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emf" ContentType="image/x-em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3.xml" ContentType="application/vnd.openxmlformats-officedocument.drawing+xml"/>
  <Override PartName="/xl/comments8.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omments9.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omments10.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omments11.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7.xml" ContentType="application/vnd.openxmlformats-officedocument.drawing+xml"/>
  <Override PartName="/xl/comments12.xml" ContentType="application/vnd.openxmlformats-officedocument.spreadsheetml.comments+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xml"/>
  <Override PartName="/xl/comments13.xml" ContentType="application/vnd.openxmlformats-officedocument.spreadsheetml.comments+xml"/>
  <Override PartName="/xl/drawings/drawing9.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drawings/drawing11.xml" ContentType="application/vnd.openxmlformats-officedocument.drawing+xml"/>
  <Override PartName="/xl/comments14.xml" ContentType="application/vnd.openxmlformats-officedocument.spreadsheetml.comment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2.xml" ContentType="application/vnd.openxmlformats-officedocument.drawing+xml"/>
  <Override PartName="/xl/charts/chart27.xml" ContentType="application/vnd.openxmlformats-officedocument.drawingml.chart+xml"/>
  <Override PartName="/xl/drawings/drawing13.xml" ContentType="application/vnd.openxmlformats-officedocument.drawing+xml"/>
  <Override PartName="/xl/comments15.xml" ContentType="application/vnd.openxmlformats-officedocument.spreadsheetml.comments+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14.xml" ContentType="application/vnd.openxmlformats-officedocument.drawing+xml"/>
  <Override PartName="/xl/charts/chart32.xml" ContentType="application/vnd.openxmlformats-officedocument.drawingml.chart+xml"/>
  <Override PartName="/xl/drawings/drawing15.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drawings/drawing16.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17.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526"/>
  <workbookPr showInkAnnotation="0" autoCompressPictures="0"/>
  <bookViews>
    <workbookView xWindow="620" yWindow="0" windowWidth="24460" windowHeight="13700" tabRatio="973" activeTab="5"/>
  </bookViews>
  <sheets>
    <sheet name="Front Page" sheetId="58" r:id="rId1"/>
    <sheet name="Proforma IS and BS" sheetId="52" r:id="rId2"/>
    <sheet name="KPIs Analysis" sheetId="56" r:id="rId3"/>
    <sheet name="Bloomberg Fin Data" sheetId="54" state="hidden" r:id="rId4"/>
    <sheet name="1. Valuation &gt;&gt;" sheetId="32" r:id="rId5"/>
    <sheet name="1a. Whole and SOTP Valuation" sheetId="39" r:id="rId6"/>
    <sheet name="1b. Valuation Comparables Data" sheetId="55" r:id="rId7"/>
    <sheet name="1c. GDP Growth Analysis" sheetId="57" r:id="rId8"/>
    <sheet name="1d. Multiples Valuation" sheetId="67" r:id="rId9"/>
    <sheet name="2. Oceana Financials &gt;&gt;" sheetId="9" r:id="rId10"/>
    <sheet name="2a. Income Statement" sheetId="1" r:id="rId11"/>
    <sheet name="2b. Balance Sheet" sheetId="2" r:id="rId12"/>
    <sheet name="2c. Cash Flow Statement" sheetId="3" r:id="rId13"/>
    <sheet name="2d. Changes in Equity" sheetId="31" r:id="rId14"/>
    <sheet name="2e. Notes to the New Fin Stat" sheetId="30" r:id="rId15"/>
    <sheet name="3. Business Segments Report &gt;&gt;" sheetId="10" r:id="rId16"/>
    <sheet name="All Together" sheetId="20" r:id="rId17"/>
    <sheet name="3a. InShore Fishing Div." sheetId="11" r:id="rId18"/>
    <sheet name="3b. Mid Deep Water Fishing Div." sheetId="27" r:id="rId19"/>
    <sheet name="3c. Commercial Cold Stor Div." sheetId="13" r:id="rId20"/>
    <sheet name="3d. Daybrook" sheetId="21" r:id="rId21"/>
    <sheet name="3e. Daybrook Currency Adjusted" sheetId="29" r:id="rId22"/>
    <sheet name="3f. Exchange Rate USDZAR" sheetId="38" r:id="rId23"/>
    <sheet name="3g. Peruvian Fishmeal Prices" sheetId="50" r:id="rId24"/>
    <sheet name="3h. Segmental Volume Drivers" sheetId="37" r:id="rId25"/>
    <sheet name="4.Other Relevant Information &gt;&gt;" sheetId="15" r:id="rId26"/>
    <sheet name="4a. Information for Tables" sheetId="40" r:id="rId27"/>
    <sheet name="4b. Information for Graphs" sheetId="41" r:id="rId28"/>
    <sheet name="Alternative 1 FCF" sheetId="26" state="hidden" r:id="rId29"/>
    <sheet name="Alternative 2 FCF" sheetId="23" state="hidden" r:id="rId30"/>
    <sheet name="Notes to the Income Statement" sheetId="4" state="hidden" r:id="rId31"/>
    <sheet name="Notes to the Balance Sheet" sheetId="7" state="hidden" r:id="rId32"/>
    <sheet name="Notes to the cash flow statemen" sheetId="6" state="hidden" r:id="rId33"/>
    <sheet name="4c. Oceana Comparables" sheetId="44" state="hidden" r:id="rId34"/>
    <sheet name="4d. Shareholder Structure" sheetId="45" r:id="rId35"/>
    <sheet name="4e. Industry Analysis" sheetId="46" r:id="rId36"/>
    <sheet name="4f. JALSH vs Oceana Prices" sheetId="48" r:id="rId37"/>
    <sheet name="4g. Oceana Stock" sheetId="53" r:id="rId38"/>
    <sheet name="4h. Fish vs Meat Consumption" sheetId="59" r:id="rId39"/>
    <sheet name="4i. CCI" sheetId="60" r:id="rId40"/>
    <sheet name="4j. South Africa Macro" sheetId="61" r:id="rId41"/>
    <sheet name="4k. Daybrook Valuation (FY15)" sheetId="62" r:id="rId42"/>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E104" i="39" l="1"/>
  <c r="D43" i="52"/>
  <c r="E43" i="52"/>
  <c r="F43" i="52"/>
  <c r="G43" i="52"/>
  <c r="H43" i="52"/>
  <c r="I43" i="52"/>
  <c r="J43" i="52"/>
  <c r="C43" i="52"/>
  <c r="D37" i="52"/>
  <c r="E37" i="52"/>
  <c r="F37" i="52"/>
  <c r="G37" i="52"/>
  <c r="H37" i="52"/>
  <c r="I37" i="52"/>
  <c r="J37" i="52"/>
  <c r="C37" i="52"/>
  <c r="D35" i="52"/>
  <c r="D36" i="52"/>
  <c r="D34" i="52"/>
  <c r="E35" i="52"/>
  <c r="E36" i="52"/>
  <c r="E34" i="52"/>
  <c r="F35" i="52"/>
  <c r="F36" i="52"/>
  <c r="F34" i="52"/>
  <c r="G35" i="52"/>
  <c r="G36" i="52"/>
  <c r="G34" i="52"/>
  <c r="H35" i="52"/>
  <c r="H36" i="52"/>
  <c r="H34" i="52"/>
  <c r="I35" i="52"/>
  <c r="I36" i="52"/>
  <c r="I34" i="52"/>
  <c r="J35" i="52"/>
  <c r="J36" i="52"/>
  <c r="J34" i="52"/>
  <c r="C36" i="52"/>
  <c r="C34" i="52"/>
  <c r="D32" i="52"/>
  <c r="D33" i="52"/>
  <c r="D31" i="52"/>
  <c r="E32" i="52"/>
  <c r="E33" i="52"/>
  <c r="E31" i="52"/>
  <c r="F32" i="52"/>
  <c r="F33" i="52"/>
  <c r="F31" i="52"/>
  <c r="G32" i="52"/>
  <c r="G33" i="52"/>
  <c r="G31" i="52"/>
  <c r="H32" i="52"/>
  <c r="H33" i="52"/>
  <c r="H31" i="52"/>
  <c r="I32" i="52"/>
  <c r="I33" i="52"/>
  <c r="I31" i="52"/>
  <c r="J32" i="52"/>
  <c r="J33" i="52"/>
  <c r="J31" i="52"/>
  <c r="C32" i="52"/>
  <c r="C33" i="52"/>
  <c r="C31" i="52"/>
  <c r="D23" i="52"/>
  <c r="E23" i="52"/>
  <c r="F23" i="52"/>
  <c r="G23" i="52"/>
  <c r="H23" i="52"/>
  <c r="I23" i="52"/>
  <c r="J23" i="52"/>
  <c r="D24" i="52"/>
  <c r="E24" i="52"/>
  <c r="F24" i="52"/>
  <c r="G24" i="52"/>
  <c r="H24" i="52"/>
  <c r="I24" i="52"/>
  <c r="J24" i="52"/>
  <c r="D25" i="52"/>
  <c r="E25" i="52"/>
  <c r="F25" i="52"/>
  <c r="G25" i="52"/>
  <c r="H25" i="52"/>
  <c r="I25" i="52"/>
  <c r="J25" i="52"/>
  <c r="D28" i="52"/>
  <c r="E28" i="52"/>
  <c r="F28" i="52"/>
  <c r="G28" i="52"/>
  <c r="H28" i="52"/>
  <c r="I28" i="52"/>
  <c r="J28" i="52"/>
  <c r="D27" i="52"/>
  <c r="E27" i="52"/>
  <c r="F27" i="52"/>
  <c r="G27" i="52"/>
  <c r="H27" i="52"/>
  <c r="I27" i="52"/>
  <c r="J27" i="52"/>
  <c r="D20" i="52"/>
  <c r="D21" i="52"/>
  <c r="D19" i="52"/>
  <c r="D22" i="52"/>
  <c r="D29" i="52"/>
  <c r="E20" i="52"/>
  <c r="E21" i="52"/>
  <c r="E19" i="52"/>
  <c r="E22" i="52"/>
  <c r="E29" i="52"/>
  <c r="F20" i="52"/>
  <c r="F21" i="52"/>
  <c r="F19" i="52"/>
  <c r="F22" i="52"/>
  <c r="F29" i="52"/>
  <c r="G20" i="52"/>
  <c r="G21" i="52"/>
  <c r="G19" i="52"/>
  <c r="G22" i="52"/>
  <c r="G29" i="52"/>
  <c r="H20" i="52"/>
  <c r="H21" i="52"/>
  <c r="H19" i="52"/>
  <c r="H22" i="52"/>
  <c r="H29" i="52"/>
  <c r="I20" i="52"/>
  <c r="I21" i="52"/>
  <c r="I19" i="52"/>
  <c r="I22" i="52"/>
  <c r="I29" i="52"/>
  <c r="J20" i="52"/>
  <c r="J21" i="52"/>
  <c r="J19" i="52"/>
  <c r="J22" i="52"/>
  <c r="J29" i="52"/>
  <c r="C20" i="52"/>
  <c r="C21" i="52"/>
  <c r="C19" i="52"/>
  <c r="C23" i="52"/>
  <c r="C24" i="52"/>
  <c r="C25" i="52"/>
  <c r="C27" i="52"/>
  <c r="C22" i="52"/>
  <c r="C28" i="52"/>
  <c r="C29" i="52"/>
  <c r="P6" i="2"/>
  <c r="H79" i="55"/>
  <c r="I79" i="55"/>
  <c r="J79" i="55"/>
  <c r="H80" i="55"/>
  <c r="I80" i="55"/>
  <c r="J80" i="55"/>
  <c r="H81" i="55"/>
  <c r="I81" i="55"/>
  <c r="J81" i="55"/>
  <c r="H82" i="55"/>
  <c r="I82" i="55"/>
  <c r="J82" i="55"/>
  <c r="H83" i="55"/>
  <c r="I83" i="55"/>
  <c r="J83" i="55"/>
  <c r="H84" i="55"/>
  <c r="I84" i="55"/>
  <c r="J84" i="55"/>
  <c r="H85" i="55"/>
  <c r="I85" i="55"/>
  <c r="J85" i="55"/>
  <c r="H86" i="55"/>
  <c r="I86" i="55"/>
  <c r="J86" i="55"/>
  <c r="H87" i="55"/>
  <c r="I87" i="55"/>
  <c r="J87" i="55"/>
  <c r="H88" i="55"/>
  <c r="I88" i="55"/>
  <c r="J88" i="55"/>
  <c r="H89" i="55"/>
  <c r="I89" i="55"/>
  <c r="J89" i="55"/>
  <c r="H90" i="55"/>
  <c r="I90" i="55"/>
  <c r="J90" i="55"/>
  <c r="J91" i="55"/>
  <c r="E206" i="39"/>
  <c r="E172" i="39"/>
  <c r="E199" i="39"/>
  <c r="F206" i="39"/>
  <c r="H206" i="39"/>
  <c r="H77" i="55"/>
  <c r="I77" i="55"/>
  <c r="J77" i="55"/>
  <c r="O26" i="39"/>
  <c r="F27" i="39"/>
  <c r="G27" i="39"/>
  <c r="H27" i="39"/>
  <c r="I27" i="39"/>
  <c r="J27" i="39"/>
  <c r="K27" i="39"/>
  <c r="L27" i="39"/>
  <c r="M27" i="39"/>
  <c r="N27" i="39"/>
  <c r="O27" i="39"/>
  <c r="O28" i="39"/>
  <c r="O29" i="39"/>
  <c r="O30" i="39"/>
  <c r="O31" i="39"/>
  <c r="O12" i="39"/>
  <c r="O32" i="39"/>
  <c r="O33" i="39"/>
  <c r="E216" i="39"/>
  <c r="E218" i="39"/>
  <c r="E39" i="39"/>
  <c r="E200" i="39"/>
  <c r="N206" i="39"/>
  <c r="I206" i="39"/>
  <c r="L206" i="39"/>
  <c r="E177" i="39"/>
  <c r="E178" i="39"/>
  <c r="S10" i="55"/>
  <c r="E179" i="39"/>
  <c r="E176" i="39"/>
  <c r="M206" i="39"/>
  <c r="O206" i="39"/>
  <c r="E36" i="39"/>
  <c r="O40" i="39"/>
  <c r="F36" i="39"/>
  <c r="G36" i="39"/>
  <c r="H36" i="39"/>
  <c r="I36" i="39"/>
  <c r="J36" i="39"/>
  <c r="K36" i="39"/>
  <c r="L36" i="39"/>
  <c r="M36" i="39"/>
  <c r="N36" i="39"/>
  <c r="O36" i="39"/>
  <c r="O37" i="39"/>
  <c r="E40" i="39"/>
  <c r="F37" i="39"/>
  <c r="F26" i="39"/>
  <c r="F28" i="39"/>
  <c r="F29" i="39"/>
  <c r="F30" i="39"/>
  <c r="F31" i="39"/>
  <c r="F12" i="39"/>
  <c r="F32" i="39"/>
  <c r="F33" i="39"/>
  <c r="F38" i="39"/>
  <c r="G37" i="39"/>
  <c r="G26" i="39"/>
  <c r="G28" i="39"/>
  <c r="G29" i="39"/>
  <c r="G30" i="39"/>
  <c r="G31" i="39"/>
  <c r="G12" i="39"/>
  <c r="G32" i="39"/>
  <c r="G33" i="39"/>
  <c r="G38" i="39"/>
  <c r="H37" i="39"/>
  <c r="H26" i="39"/>
  <c r="H28" i="39"/>
  <c r="H29" i="39"/>
  <c r="H30" i="39"/>
  <c r="H31" i="39"/>
  <c r="H12" i="39"/>
  <c r="H32" i="39"/>
  <c r="H33" i="39"/>
  <c r="H38" i="39"/>
  <c r="I37" i="39"/>
  <c r="I26" i="39"/>
  <c r="I28" i="39"/>
  <c r="I29" i="39"/>
  <c r="I30" i="39"/>
  <c r="I31" i="39"/>
  <c r="I12" i="39"/>
  <c r="I32" i="39"/>
  <c r="I33" i="39"/>
  <c r="I38" i="39"/>
  <c r="J37" i="39"/>
  <c r="J26" i="39"/>
  <c r="J28" i="39"/>
  <c r="J29" i="39"/>
  <c r="J30" i="39"/>
  <c r="J31" i="39"/>
  <c r="J12" i="39"/>
  <c r="J32" i="39"/>
  <c r="J33" i="39"/>
  <c r="J38" i="39"/>
  <c r="K37" i="39"/>
  <c r="K26" i="39"/>
  <c r="K28" i="39"/>
  <c r="K29" i="39"/>
  <c r="K30" i="39"/>
  <c r="K31" i="39"/>
  <c r="K12" i="39"/>
  <c r="K32" i="39"/>
  <c r="K33" i="39"/>
  <c r="K38" i="39"/>
  <c r="L37" i="39"/>
  <c r="L26" i="39"/>
  <c r="L28" i="39"/>
  <c r="L29" i="39"/>
  <c r="L30" i="39"/>
  <c r="L31" i="39"/>
  <c r="L12" i="39"/>
  <c r="L32" i="39"/>
  <c r="L33" i="39"/>
  <c r="L38" i="39"/>
  <c r="M37" i="39"/>
  <c r="M26" i="39"/>
  <c r="M28" i="39"/>
  <c r="M29" i="39"/>
  <c r="M30" i="39"/>
  <c r="M31" i="39"/>
  <c r="M12" i="39"/>
  <c r="M32" i="39"/>
  <c r="M33" i="39"/>
  <c r="M38" i="39"/>
  <c r="N37" i="39"/>
  <c r="N26" i="39"/>
  <c r="N28" i="39"/>
  <c r="N29" i="39"/>
  <c r="N30" i="39"/>
  <c r="N31" i="39"/>
  <c r="N12" i="39"/>
  <c r="N32" i="39"/>
  <c r="N33" i="39"/>
  <c r="N38" i="39"/>
  <c r="O38" i="39"/>
  <c r="E43" i="39"/>
  <c r="I123" i="39"/>
  <c r="O50" i="39"/>
  <c r="F51" i="39"/>
  <c r="G51" i="39"/>
  <c r="H51" i="39"/>
  <c r="I51" i="39"/>
  <c r="J51" i="39"/>
  <c r="K51" i="39"/>
  <c r="L51" i="39"/>
  <c r="M51" i="39"/>
  <c r="N51" i="39"/>
  <c r="O51" i="39"/>
  <c r="O52" i="39"/>
  <c r="O53" i="39"/>
  <c r="O54" i="39"/>
  <c r="O55" i="39"/>
  <c r="O56" i="39"/>
  <c r="O57" i="39"/>
  <c r="E63" i="39"/>
  <c r="N207" i="39"/>
  <c r="E207" i="39"/>
  <c r="F207" i="39"/>
  <c r="H207" i="39"/>
  <c r="I207" i="39"/>
  <c r="L207" i="39"/>
  <c r="M207" i="39"/>
  <c r="O207" i="39"/>
  <c r="E60" i="39"/>
  <c r="O64" i="39"/>
  <c r="F60" i="39"/>
  <c r="G60" i="39"/>
  <c r="H60" i="39"/>
  <c r="I60" i="39"/>
  <c r="J60" i="39"/>
  <c r="K60" i="39"/>
  <c r="L60" i="39"/>
  <c r="M60" i="39"/>
  <c r="N60" i="39"/>
  <c r="O60" i="39"/>
  <c r="O61" i="39"/>
  <c r="E64" i="39"/>
  <c r="F61" i="39"/>
  <c r="F50" i="39"/>
  <c r="F52" i="39"/>
  <c r="F53" i="39"/>
  <c r="F54" i="39"/>
  <c r="F55" i="39"/>
  <c r="F56" i="39"/>
  <c r="F57" i="39"/>
  <c r="F62" i="39"/>
  <c r="G61" i="39"/>
  <c r="G50" i="39"/>
  <c r="G52" i="39"/>
  <c r="G53" i="39"/>
  <c r="G54" i="39"/>
  <c r="G55" i="39"/>
  <c r="G56" i="39"/>
  <c r="G57" i="39"/>
  <c r="G62" i="39"/>
  <c r="H61" i="39"/>
  <c r="H50" i="39"/>
  <c r="H52" i="39"/>
  <c r="H53" i="39"/>
  <c r="H54" i="39"/>
  <c r="H55" i="39"/>
  <c r="H56" i="39"/>
  <c r="H57" i="39"/>
  <c r="H62" i="39"/>
  <c r="I61" i="39"/>
  <c r="I50" i="39"/>
  <c r="I52" i="39"/>
  <c r="I53" i="39"/>
  <c r="I54" i="39"/>
  <c r="I55" i="39"/>
  <c r="I56" i="39"/>
  <c r="I57" i="39"/>
  <c r="I62" i="39"/>
  <c r="J61" i="39"/>
  <c r="J50" i="39"/>
  <c r="J52" i="39"/>
  <c r="J53" i="39"/>
  <c r="J54" i="39"/>
  <c r="J55" i="39"/>
  <c r="J56" i="39"/>
  <c r="J57" i="39"/>
  <c r="J62" i="39"/>
  <c r="K61" i="39"/>
  <c r="K50" i="39"/>
  <c r="K52" i="39"/>
  <c r="K53" i="39"/>
  <c r="K54" i="39"/>
  <c r="K55" i="39"/>
  <c r="K56" i="39"/>
  <c r="K57" i="39"/>
  <c r="K62" i="39"/>
  <c r="L61" i="39"/>
  <c r="L50" i="39"/>
  <c r="L52" i="39"/>
  <c r="L53" i="39"/>
  <c r="L54" i="39"/>
  <c r="L55" i="39"/>
  <c r="L56" i="39"/>
  <c r="L57" i="39"/>
  <c r="L62" i="39"/>
  <c r="M61" i="39"/>
  <c r="M50" i="39"/>
  <c r="M52" i="39"/>
  <c r="M53" i="39"/>
  <c r="M54" i="39"/>
  <c r="M55" i="39"/>
  <c r="M56" i="39"/>
  <c r="M57" i="39"/>
  <c r="M62" i="39"/>
  <c r="N61" i="39"/>
  <c r="N50" i="39"/>
  <c r="N52" i="39"/>
  <c r="N53" i="39"/>
  <c r="N54" i="39"/>
  <c r="N55" i="39"/>
  <c r="N56" i="39"/>
  <c r="N57" i="39"/>
  <c r="N62" i="39"/>
  <c r="O62" i="39"/>
  <c r="E67" i="39"/>
  <c r="I124" i="39"/>
  <c r="O74" i="39"/>
  <c r="F75" i="39"/>
  <c r="G75" i="39"/>
  <c r="H75" i="39"/>
  <c r="I75" i="39"/>
  <c r="J75" i="39"/>
  <c r="K75" i="39"/>
  <c r="L75" i="39"/>
  <c r="M75" i="39"/>
  <c r="N75" i="39"/>
  <c r="O75" i="39"/>
  <c r="O76" i="39"/>
  <c r="O77" i="39"/>
  <c r="O78" i="39"/>
  <c r="O79" i="39"/>
  <c r="O80" i="39"/>
  <c r="O81" i="39"/>
  <c r="E87" i="39"/>
  <c r="N208" i="39"/>
  <c r="E208" i="39"/>
  <c r="F208" i="39"/>
  <c r="H208" i="39"/>
  <c r="I208" i="39"/>
  <c r="L208" i="39"/>
  <c r="M208" i="39"/>
  <c r="O208" i="39"/>
  <c r="E84" i="39"/>
  <c r="O88" i="39"/>
  <c r="F84" i="39"/>
  <c r="G84" i="39"/>
  <c r="H84" i="39"/>
  <c r="I84" i="39"/>
  <c r="J84" i="39"/>
  <c r="K84" i="39"/>
  <c r="L84" i="39"/>
  <c r="M84" i="39"/>
  <c r="N84" i="39"/>
  <c r="O84" i="39"/>
  <c r="O85" i="39"/>
  <c r="E88" i="39"/>
  <c r="F85" i="39"/>
  <c r="F74" i="39"/>
  <c r="F76" i="39"/>
  <c r="F77" i="39"/>
  <c r="F78" i="39"/>
  <c r="F79" i="39"/>
  <c r="F80" i="39"/>
  <c r="F81" i="39"/>
  <c r="F86" i="39"/>
  <c r="G85" i="39"/>
  <c r="G74" i="39"/>
  <c r="G76" i="39"/>
  <c r="G77" i="39"/>
  <c r="G78" i="39"/>
  <c r="G79" i="39"/>
  <c r="G80" i="39"/>
  <c r="G81" i="39"/>
  <c r="G86" i="39"/>
  <c r="H85" i="39"/>
  <c r="H74" i="39"/>
  <c r="H76" i="39"/>
  <c r="H77" i="39"/>
  <c r="H78" i="39"/>
  <c r="H79" i="39"/>
  <c r="H80" i="39"/>
  <c r="H81" i="39"/>
  <c r="H86" i="39"/>
  <c r="I85" i="39"/>
  <c r="I74" i="39"/>
  <c r="I76" i="39"/>
  <c r="I77" i="39"/>
  <c r="I78" i="39"/>
  <c r="I79" i="39"/>
  <c r="I80" i="39"/>
  <c r="I81" i="39"/>
  <c r="I86" i="39"/>
  <c r="J85" i="39"/>
  <c r="J74" i="39"/>
  <c r="J76" i="39"/>
  <c r="J77" i="39"/>
  <c r="J78" i="39"/>
  <c r="J79" i="39"/>
  <c r="J80" i="39"/>
  <c r="J81" i="39"/>
  <c r="J86" i="39"/>
  <c r="K85" i="39"/>
  <c r="K74" i="39"/>
  <c r="K76" i="39"/>
  <c r="K77" i="39"/>
  <c r="K78" i="39"/>
  <c r="K79" i="39"/>
  <c r="K80" i="39"/>
  <c r="K81" i="39"/>
  <c r="K86" i="39"/>
  <c r="L85" i="39"/>
  <c r="L74" i="39"/>
  <c r="L76" i="39"/>
  <c r="L77" i="39"/>
  <c r="L78" i="39"/>
  <c r="L79" i="39"/>
  <c r="L80" i="39"/>
  <c r="L81" i="39"/>
  <c r="L86" i="39"/>
  <c r="M85" i="39"/>
  <c r="M74" i="39"/>
  <c r="M76" i="39"/>
  <c r="M77" i="39"/>
  <c r="M78" i="39"/>
  <c r="M79" i="39"/>
  <c r="M80" i="39"/>
  <c r="M81" i="39"/>
  <c r="M86" i="39"/>
  <c r="N85" i="39"/>
  <c r="N74" i="39"/>
  <c r="N76" i="39"/>
  <c r="N77" i="39"/>
  <c r="N78" i="39"/>
  <c r="N79" i="39"/>
  <c r="N80" i="39"/>
  <c r="N81" i="39"/>
  <c r="N86" i="39"/>
  <c r="O86" i="39"/>
  <c r="E91" i="39"/>
  <c r="I125" i="39"/>
  <c r="O98" i="39"/>
  <c r="F99" i="39"/>
  <c r="G99" i="39"/>
  <c r="H99" i="39"/>
  <c r="I99" i="39"/>
  <c r="J99" i="39"/>
  <c r="K99" i="39"/>
  <c r="L99" i="39"/>
  <c r="M99" i="39"/>
  <c r="N99" i="39"/>
  <c r="O99" i="39"/>
  <c r="O100" i="39"/>
  <c r="O101" i="39"/>
  <c r="O102" i="39"/>
  <c r="O103" i="39"/>
  <c r="O104" i="39"/>
  <c r="O105" i="39"/>
  <c r="E217" i="39"/>
  <c r="E219" i="39"/>
  <c r="E111" i="39"/>
  <c r="N209" i="39"/>
  <c r="E209" i="39"/>
  <c r="F209" i="39"/>
  <c r="H209" i="39"/>
  <c r="I209" i="39"/>
  <c r="L209" i="39"/>
  <c r="E181" i="39"/>
  <c r="E182" i="39"/>
  <c r="R3" i="55"/>
  <c r="S3" i="55"/>
  <c r="E183" i="39"/>
  <c r="E180" i="39"/>
  <c r="M209" i="39"/>
  <c r="O209" i="39"/>
  <c r="E108" i="39"/>
  <c r="O112" i="39"/>
  <c r="F108" i="39"/>
  <c r="G108" i="39"/>
  <c r="H108" i="39"/>
  <c r="I108" i="39"/>
  <c r="J108" i="39"/>
  <c r="K108" i="39"/>
  <c r="L108" i="39"/>
  <c r="M108" i="39"/>
  <c r="N108" i="39"/>
  <c r="O108" i="39"/>
  <c r="O109" i="39"/>
  <c r="E112" i="39"/>
  <c r="F109" i="39"/>
  <c r="F98" i="39"/>
  <c r="F100" i="39"/>
  <c r="F101" i="39"/>
  <c r="F102" i="39"/>
  <c r="F103" i="39"/>
  <c r="F104" i="39"/>
  <c r="F105" i="39"/>
  <c r="F110" i="39"/>
  <c r="G109" i="39"/>
  <c r="G98" i="39"/>
  <c r="G100" i="39"/>
  <c r="G101" i="39"/>
  <c r="G102" i="39"/>
  <c r="G103" i="39"/>
  <c r="G104" i="39"/>
  <c r="G105" i="39"/>
  <c r="G110" i="39"/>
  <c r="H109" i="39"/>
  <c r="H98" i="39"/>
  <c r="H100" i="39"/>
  <c r="H101" i="39"/>
  <c r="H102" i="39"/>
  <c r="H103" i="39"/>
  <c r="H104" i="39"/>
  <c r="H105" i="39"/>
  <c r="H110" i="39"/>
  <c r="I109" i="39"/>
  <c r="I98" i="39"/>
  <c r="I100" i="39"/>
  <c r="I101" i="39"/>
  <c r="I102" i="39"/>
  <c r="I103" i="39"/>
  <c r="I104" i="39"/>
  <c r="I105" i="39"/>
  <c r="I110" i="39"/>
  <c r="J109" i="39"/>
  <c r="J98" i="39"/>
  <c r="J100" i="39"/>
  <c r="J101" i="39"/>
  <c r="J102" i="39"/>
  <c r="J103" i="39"/>
  <c r="J104" i="39"/>
  <c r="J105" i="39"/>
  <c r="J110" i="39"/>
  <c r="K109" i="39"/>
  <c r="K98" i="39"/>
  <c r="K100" i="39"/>
  <c r="K101" i="39"/>
  <c r="K102" i="39"/>
  <c r="K103" i="39"/>
  <c r="K104" i="39"/>
  <c r="K105" i="39"/>
  <c r="K110" i="39"/>
  <c r="L109" i="39"/>
  <c r="L98" i="39"/>
  <c r="L100" i="39"/>
  <c r="L101" i="39"/>
  <c r="L102" i="39"/>
  <c r="L103" i="39"/>
  <c r="L104" i="39"/>
  <c r="L105" i="39"/>
  <c r="L110" i="39"/>
  <c r="M109" i="39"/>
  <c r="M98" i="39"/>
  <c r="M100" i="39"/>
  <c r="M101" i="39"/>
  <c r="M102" i="39"/>
  <c r="M103" i="39"/>
  <c r="M104" i="39"/>
  <c r="M105" i="39"/>
  <c r="M110" i="39"/>
  <c r="N109" i="39"/>
  <c r="N98" i="39"/>
  <c r="N100" i="39"/>
  <c r="N101" i="39"/>
  <c r="N102" i="39"/>
  <c r="N103" i="39"/>
  <c r="N104" i="39"/>
  <c r="N105" i="39"/>
  <c r="N110" i="39"/>
  <c r="O110" i="39"/>
  <c r="E115" i="39"/>
  <c r="E116" i="39"/>
  <c r="I126" i="39"/>
  <c r="I127" i="39"/>
  <c r="I128" i="39"/>
  <c r="I129" i="39"/>
  <c r="I130" i="39"/>
  <c r="I131" i="39"/>
  <c r="I132" i="39"/>
  <c r="I133" i="39"/>
  <c r="I134" i="39"/>
  <c r="I135" i="39"/>
  <c r="I137" i="39"/>
  <c r="I65" i="67"/>
  <c r="E79" i="67"/>
  <c r="E80" i="67"/>
  <c r="H65" i="67"/>
  <c r="E74" i="67"/>
  <c r="E75" i="67"/>
  <c r="E78" i="67"/>
  <c r="E73" i="67"/>
  <c r="E77" i="67"/>
  <c r="E72" i="67"/>
  <c r="I64" i="67"/>
  <c r="H64" i="67"/>
  <c r="O65" i="55"/>
  <c r="O60" i="55"/>
  <c r="O55" i="55"/>
  <c r="O50" i="55"/>
  <c r="O45" i="55"/>
  <c r="O40" i="55"/>
  <c r="O35" i="55"/>
  <c r="O30" i="55"/>
  <c r="O25" i="55"/>
  <c r="O20" i="55"/>
  <c r="O15" i="55"/>
  <c r="O10" i="55"/>
  <c r="O70" i="55"/>
  <c r="B38" i="62"/>
  <c r="O3" i="55"/>
  <c r="B32" i="62"/>
  <c r="B33" i="62"/>
  <c r="B40" i="62"/>
  <c r="B42" i="62"/>
  <c r="E16" i="62"/>
  <c r="O20" i="62"/>
  <c r="F16" i="62"/>
  <c r="G16" i="62"/>
  <c r="H16" i="62"/>
  <c r="I16" i="62"/>
  <c r="J16" i="62"/>
  <c r="K16" i="62"/>
  <c r="L16" i="62"/>
  <c r="M16" i="62"/>
  <c r="N16" i="62"/>
  <c r="O16" i="62"/>
  <c r="O17" i="62"/>
  <c r="E20" i="62"/>
  <c r="E17" i="62"/>
  <c r="E18" i="62"/>
  <c r="F17" i="62"/>
  <c r="F18" i="62"/>
  <c r="G17" i="62"/>
  <c r="G18" i="62"/>
  <c r="H17" i="62"/>
  <c r="H18" i="62"/>
  <c r="I17" i="62"/>
  <c r="I18" i="62"/>
  <c r="J17" i="62"/>
  <c r="J18" i="62"/>
  <c r="K17" i="62"/>
  <c r="K18" i="62"/>
  <c r="L17" i="62"/>
  <c r="L18" i="62"/>
  <c r="M17" i="62"/>
  <c r="M18" i="62"/>
  <c r="N17" i="62"/>
  <c r="N18" i="62"/>
  <c r="O18" i="62"/>
  <c r="E23" i="62"/>
  <c r="B37" i="62"/>
  <c r="P129" i="37"/>
  <c r="I5" i="38"/>
  <c r="P25" i="11"/>
  <c r="B36" i="62"/>
  <c r="F12" i="62"/>
  <c r="G12" i="62"/>
  <c r="H12" i="62"/>
  <c r="I12" i="62"/>
  <c r="J12" i="62"/>
  <c r="K12" i="62"/>
  <c r="L12" i="62"/>
  <c r="M12" i="62"/>
  <c r="N12" i="62"/>
  <c r="O12" i="62"/>
  <c r="P12" i="62"/>
  <c r="Q12" i="62"/>
  <c r="R12" i="62"/>
  <c r="S12" i="62"/>
  <c r="E12" i="62"/>
  <c r="F11" i="62"/>
  <c r="G11" i="62"/>
  <c r="H11" i="62"/>
  <c r="I11" i="62"/>
  <c r="J11" i="62"/>
  <c r="K11" i="62"/>
  <c r="L11" i="62"/>
  <c r="M11" i="62"/>
  <c r="N11" i="62"/>
  <c r="O11" i="62"/>
  <c r="P11" i="62"/>
  <c r="Q11" i="62"/>
  <c r="R11" i="62"/>
  <c r="S11" i="62"/>
  <c r="E11" i="62"/>
  <c r="F9" i="62"/>
  <c r="G9" i="62"/>
  <c r="H9" i="62"/>
  <c r="I9" i="62"/>
  <c r="J9" i="62"/>
  <c r="K9" i="62"/>
  <c r="L9" i="62"/>
  <c r="M9" i="62"/>
  <c r="N9" i="62"/>
  <c r="O9" i="62"/>
  <c r="P9" i="62"/>
  <c r="Q9" i="62"/>
  <c r="R9" i="62"/>
  <c r="S9" i="62"/>
  <c r="E9" i="62"/>
  <c r="E7" i="62"/>
  <c r="E6" i="62"/>
  <c r="E8" i="62"/>
  <c r="E10" i="62"/>
  <c r="E13" i="62"/>
  <c r="F6" i="62"/>
  <c r="G6" i="62"/>
  <c r="H6" i="62"/>
  <c r="I6" i="62"/>
  <c r="J6" i="62"/>
  <c r="K6" i="62"/>
  <c r="L6" i="62"/>
  <c r="M6" i="62"/>
  <c r="N6" i="62"/>
  <c r="O6" i="62"/>
  <c r="P6" i="62"/>
  <c r="Q6" i="62"/>
  <c r="R6" i="62"/>
  <c r="S6" i="62"/>
  <c r="F7" i="62"/>
  <c r="G7" i="62"/>
  <c r="H7" i="62"/>
  <c r="I7" i="62"/>
  <c r="J7" i="62"/>
  <c r="K7" i="62"/>
  <c r="L7" i="62"/>
  <c r="M7" i="62"/>
  <c r="N7" i="62"/>
  <c r="O7" i="62"/>
  <c r="O8" i="62"/>
  <c r="O10" i="62"/>
  <c r="O13" i="62"/>
  <c r="F8" i="62"/>
  <c r="F10" i="62"/>
  <c r="F13" i="62"/>
  <c r="G8" i="62"/>
  <c r="G10" i="62"/>
  <c r="G13" i="62"/>
  <c r="H8" i="62"/>
  <c r="H10" i="62"/>
  <c r="H13" i="62"/>
  <c r="I8" i="62"/>
  <c r="I10" i="62"/>
  <c r="I13" i="62"/>
  <c r="J8" i="62"/>
  <c r="J10" i="62"/>
  <c r="J13" i="62"/>
  <c r="K8" i="62"/>
  <c r="K10" i="62"/>
  <c r="K13" i="62"/>
  <c r="L8" i="62"/>
  <c r="L10" i="62"/>
  <c r="L13" i="62"/>
  <c r="M8" i="62"/>
  <c r="M10" i="62"/>
  <c r="M13" i="62"/>
  <c r="N8" i="62"/>
  <c r="N10" i="62"/>
  <c r="N13" i="62"/>
  <c r="P16" i="62"/>
  <c r="Q16" i="62"/>
  <c r="R16" i="62"/>
  <c r="S16" i="62"/>
  <c r="S17" i="62"/>
  <c r="P7" i="62"/>
  <c r="Q7" i="62"/>
  <c r="R7" i="62"/>
  <c r="S7" i="62"/>
  <c r="S8" i="62"/>
  <c r="S10" i="62"/>
  <c r="S13" i="62"/>
  <c r="S18" i="62"/>
  <c r="R17" i="62"/>
  <c r="R8" i="62"/>
  <c r="R10" i="62"/>
  <c r="R13" i="62"/>
  <c r="R18" i="62"/>
  <c r="Q17" i="62"/>
  <c r="Q8" i="62"/>
  <c r="Q10" i="62"/>
  <c r="Q13" i="62"/>
  <c r="Q18" i="62"/>
  <c r="P17" i="62"/>
  <c r="P8" i="62"/>
  <c r="P10" i="62"/>
  <c r="P13" i="62"/>
  <c r="P18" i="62"/>
  <c r="K9" i="21"/>
  <c r="L9" i="21"/>
  <c r="L5" i="21"/>
  <c r="I6" i="29"/>
  <c r="M10" i="21"/>
  <c r="M9" i="21"/>
  <c r="M5" i="21"/>
  <c r="I4" i="38"/>
  <c r="J5" i="29"/>
  <c r="J6" i="29"/>
  <c r="Q17" i="20"/>
  <c r="P24" i="11"/>
  <c r="P23" i="11"/>
  <c r="Q25" i="11"/>
  <c r="Q24" i="11"/>
  <c r="Q23" i="11"/>
  <c r="I6" i="38"/>
  <c r="Q160" i="11"/>
  <c r="Q157" i="11"/>
  <c r="Q156" i="11"/>
  <c r="Q5" i="11"/>
  <c r="Q5" i="20"/>
  <c r="Q36" i="27"/>
  <c r="Q33" i="27"/>
  <c r="Q32" i="27"/>
  <c r="P127" i="37"/>
  <c r="P138" i="37"/>
  <c r="P139" i="37"/>
  <c r="P160" i="37"/>
  <c r="P26" i="27"/>
  <c r="P24" i="27"/>
  <c r="P23" i="27"/>
  <c r="Q129" i="37"/>
  <c r="Q127" i="37"/>
  <c r="Q138" i="37"/>
  <c r="Q139" i="37"/>
  <c r="Q160" i="37"/>
  <c r="Q26" i="27"/>
  <c r="Q24" i="27"/>
  <c r="Q23" i="27"/>
  <c r="Q5" i="27"/>
  <c r="Q9" i="20"/>
  <c r="Q22" i="20"/>
  <c r="Q6" i="1"/>
  <c r="K5" i="21"/>
  <c r="H6" i="29"/>
  <c r="P17" i="20"/>
  <c r="P5" i="11"/>
  <c r="P5" i="20"/>
  <c r="P5" i="27"/>
  <c r="P9" i="20"/>
  <c r="P22" i="20"/>
  <c r="P6" i="1"/>
  <c r="Q7" i="1"/>
  <c r="Q7" i="30"/>
  <c r="Q6" i="30"/>
  <c r="Q5" i="30"/>
  <c r="N10" i="21"/>
  <c r="N9" i="21"/>
  <c r="N5" i="21"/>
  <c r="J4" i="38"/>
  <c r="K5" i="29"/>
  <c r="K6" i="29"/>
  <c r="R17" i="20"/>
  <c r="R25" i="11"/>
  <c r="R24" i="11"/>
  <c r="R23" i="11"/>
  <c r="J6" i="38"/>
  <c r="R160" i="11"/>
  <c r="R157" i="11"/>
  <c r="R156" i="11"/>
  <c r="R5" i="11"/>
  <c r="R5" i="20"/>
  <c r="R36" i="27"/>
  <c r="R33" i="27"/>
  <c r="R32" i="27"/>
  <c r="R129" i="37"/>
  <c r="R127" i="37"/>
  <c r="R138" i="37"/>
  <c r="R139" i="37"/>
  <c r="R160" i="37"/>
  <c r="R26" i="27"/>
  <c r="R24" i="27"/>
  <c r="R23" i="27"/>
  <c r="R5" i="27"/>
  <c r="R9" i="20"/>
  <c r="R22" i="20"/>
  <c r="R6" i="1"/>
  <c r="R7" i="1"/>
  <c r="R7" i="30"/>
  <c r="R6" i="30"/>
  <c r="R5" i="30"/>
  <c r="O10" i="21"/>
  <c r="O9" i="21"/>
  <c r="O5" i="21"/>
  <c r="L6" i="29"/>
  <c r="S17" i="20"/>
  <c r="S25" i="11"/>
  <c r="S24" i="11"/>
  <c r="S23" i="11"/>
  <c r="K6" i="38"/>
  <c r="S160" i="11"/>
  <c r="S157" i="11"/>
  <c r="S156" i="11"/>
  <c r="S5" i="11"/>
  <c r="S5" i="20"/>
  <c r="S36" i="27"/>
  <c r="S33" i="27"/>
  <c r="S32" i="27"/>
  <c r="S129" i="37"/>
  <c r="S127" i="37"/>
  <c r="S138" i="37"/>
  <c r="S139" i="37"/>
  <c r="S160" i="37"/>
  <c r="S26" i="27"/>
  <c r="S24" i="27"/>
  <c r="S23" i="27"/>
  <c r="S5" i="27"/>
  <c r="S9" i="20"/>
  <c r="S22" i="20"/>
  <c r="S6" i="1"/>
  <c r="S7" i="1"/>
  <c r="S7" i="30"/>
  <c r="S6" i="30"/>
  <c r="S5" i="30"/>
  <c r="P10" i="21"/>
  <c r="P9" i="21"/>
  <c r="P5" i="21"/>
  <c r="M6" i="29"/>
  <c r="T17" i="20"/>
  <c r="T25" i="11"/>
  <c r="T24" i="11"/>
  <c r="T23" i="11"/>
  <c r="T156" i="11"/>
  <c r="T5" i="11"/>
  <c r="T5" i="20"/>
  <c r="T32" i="27"/>
  <c r="T129" i="37"/>
  <c r="T127" i="37"/>
  <c r="T138" i="37"/>
  <c r="T139" i="37"/>
  <c r="T160" i="37"/>
  <c r="T26" i="27"/>
  <c r="T24" i="27"/>
  <c r="T23" i="27"/>
  <c r="T5" i="27"/>
  <c r="T9" i="20"/>
  <c r="T22" i="20"/>
  <c r="T6" i="1"/>
  <c r="T7" i="1"/>
  <c r="T7" i="30"/>
  <c r="T6" i="30"/>
  <c r="T5" i="30"/>
  <c r="Q10" i="21"/>
  <c r="Q9" i="21"/>
  <c r="Q5" i="21"/>
  <c r="N6" i="29"/>
  <c r="U17" i="20"/>
  <c r="U23" i="11"/>
  <c r="U156" i="11"/>
  <c r="U5" i="11"/>
  <c r="U5" i="20"/>
  <c r="U32" i="27"/>
  <c r="U129" i="37"/>
  <c r="U127" i="37"/>
  <c r="U138" i="37"/>
  <c r="U139" i="37"/>
  <c r="U160" i="37"/>
  <c r="U26" i="27"/>
  <c r="U24" i="27"/>
  <c r="U23" i="27"/>
  <c r="U5" i="27"/>
  <c r="U9" i="20"/>
  <c r="U22" i="20"/>
  <c r="U6" i="1"/>
  <c r="U7" i="1"/>
  <c r="U7" i="30"/>
  <c r="U6" i="30"/>
  <c r="U5" i="30"/>
  <c r="R10" i="21"/>
  <c r="R9" i="21"/>
  <c r="R5" i="21"/>
  <c r="O6" i="29"/>
  <c r="V17" i="20"/>
  <c r="V23" i="11"/>
  <c r="V156" i="11"/>
  <c r="V5" i="11"/>
  <c r="V5" i="20"/>
  <c r="V32" i="27"/>
  <c r="V129" i="37"/>
  <c r="V127" i="37"/>
  <c r="V138" i="37"/>
  <c r="V139" i="37"/>
  <c r="V160" i="37"/>
  <c r="V26" i="27"/>
  <c r="V24" i="27"/>
  <c r="V23" i="27"/>
  <c r="V5" i="27"/>
  <c r="V9" i="20"/>
  <c r="V22" i="20"/>
  <c r="V6" i="1"/>
  <c r="V7" i="1"/>
  <c r="V7" i="30"/>
  <c r="V6" i="30"/>
  <c r="V5" i="30"/>
  <c r="S10" i="21"/>
  <c r="S9" i="21"/>
  <c r="S5" i="21"/>
  <c r="P6" i="29"/>
  <c r="W17" i="20"/>
  <c r="W23" i="11"/>
  <c r="W156" i="11"/>
  <c r="W5" i="11"/>
  <c r="W5" i="20"/>
  <c r="W32" i="27"/>
  <c r="W129" i="37"/>
  <c r="W127" i="37"/>
  <c r="W138" i="37"/>
  <c r="W139" i="37"/>
  <c r="W160" i="37"/>
  <c r="W26" i="27"/>
  <c r="W24" i="27"/>
  <c r="W23" i="27"/>
  <c r="W5" i="27"/>
  <c r="W9" i="20"/>
  <c r="W22" i="20"/>
  <c r="W6" i="1"/>
  <c r="W7" i="1"/>
  <c r="W7" i="30"/>
  <c r="W6" i="30"/>
  <c r="W5" i="30"/>
  <c r="T10" i="21"/>
  <c r="T9" i="21"/>
  <c r="T5" i="21"/>
  <c r="Q6" i="29"/>
  <c r="X17" i="20"/>
  <c r="X23" i="11"/>
  <c r="X156" i="11"/>
  <c r="X5" i="11"/>
  <c r="X5" i="20"/>
  <c r="X32" i="27"/>
  <c r="X23" i="27"/>
  <c r="X5" i="27"/>
  <c r="X9" i="20"/>
  <c r="X22" i="20"/>
  <c r="X6" i="1"/>
  <c r="X7" i="1"/>
  <c r="X7" i="30"/>
  <c r="X6" i="30"/>
  <c r="X5" i="30"/>
  <c r="U10" i="21"/>
  <c r="U9" i="21"/>
  <c r="U5" i="21"/>
  <c r="R6" i="29"/>
  <c r="Y17" i="20"/>
  <c r="Y23" i="11"/>
  <c r="Y156" i="11"/>
  <c r="Y5" i="11"/>
  <c r="Y5" i="20"/>
  <c r="Y32" i="27"/>
  <c r="X129" i="37"/>
  <c r="Y129" i="37"/>
  <c r="Y127" i="37"/>
  <c r="Y138" i="37"/>
  <c r="X127" i="37"/>
  <c r="X138" i="37"/>
  <c r="Y139" i="37"/>
  <c r="Y160" i="37"/>
  <c r="Y26" i="27"/>
  <c r="Y24" i="27"/>
  <c r="Y23" i="27"/>
  <c r="Y5" i="27"/>
  <c r="Y9" i="20"/>
  <c r="Y22" i="20"/>
  <c r="Y6" i="1"/>
  <c r="Y7" i="1"/>
  <c r="Y7" i="30"/>
  <c r="Y6" i="30"/>
  <c r="Y5" i="30"/>
  <c r="V10" i="21"/>
  <c r="V9" i="21"/>
  <c r="V5" i="21"/>
  <c r="S6" i="29"/>
  <c r="Z17" i="20"/>
  <c r="Z23" i="11"/>
  <c r="Z156" i="11"/>
  <c r="Z5" i="11"/>
  <c r="Z5" i="20"/>
  <c r="Z32" i="27"/>
  <c r="Z129" i="37"/>
  <c r="Z127" i="37"/>
  <c r="Z138" i="37"/>
  <c r="Z139" i="37"/>
  <c r="Z160" i="37"/>
  <c r="Z26" i="27"/>
  <c r="Z24" i="27"/>
  <c r="Z23" i="27"/>
  <c r="Z5" i="27"/>
  <c r="Z9" i="20"/>
  <c r="Z22" i="20"/>
  <c r="Z6" i="1"/>
  <c r="Z7" i="1"/>
  <c r="Z7" i="30"/>
  <c r="Z6" i="30"/>
  <c r="Z5" i="30"/>
  <c r="Z11" i="30"/>
  <c r="Z59" i="1"/>
  <c r="Z12" i="11"/>
  <c r="Z89" i="20"/>
  <c r="Z27" i="11"/>
  <c r="Z162" i="11"/>
  <c r="Z9" i="11"/>
  <c r="Z29" i="20"/>
  <c r="Z23" i="30"/>
  <c r="Z19" i="30"/>
  <c r="Z16" i="11"/>
  <c r="Z65" i="20"/>
  <c r="P7" i="1"/>
  <c r="P9" i="1"/>
  <c r="P8" i="1"/>
  <c r="Q9" i="1"/>
  <c r="Q8" i="1"/>
  <c r="R9" i="1"/>
  <c r="R8" i="1"/>
  <c r="S9" i="1"/>
  <c r="S8" i="1"/>
  <c r="T9" i="1"/>
  <c r="T8" i="1"/>
  <c r="U9" i="1"/>
  <c r="U8" i="1"/>
  <c r="V9" i="1"/>
  <c r="V8" i="1"/>
  <c r="W9" i="1"/>
  <c r="W8" i="1"/>
  <c r="X9" i="1"/>
  <c r="X8" i="1"/>
  <c r="Y9" i="1"/>
  <c r="Y8" i="1"/>
  <c r="Z9" i="1"/>
  <c r="Z8" i="1"/>
  <c r="Z49" i="30"/>
  <c r="Z50" i="30"/>
  <c r="Z48" i="30"/>
  <c r="Z53" i="30"/>
  <c r="Z56" i="30"/>
  <c r="Z59" i="30"/>
  <c r="Y49" i="30"/>
  <c r="Y50" i="30"/>
  <c r="Y48" i="30"/>
  <c r="Y53" i="30"/>
  <c r="Y56" i="30"/>
  <c r="Y59" i="30"/>
  <c r="Z60" i="30"/>
  <c r="Z20" i="3"/>
  <c r="Z7" i="20"/>
  <c r="Q11" i="30"/>
  <c r="Q59" i="1"/>
  <c r="Q12" i="11"/>
  <c r="Q89" i="20"/>
  <c r="Q27" i="11"/>
  <c r="Q162" i="11"/>
  <c r="Q9" i="11"/>
  <c r="Q29" i="20"/>
  <c r="Q23" i="30"/>
  <c r="Q19" i="30"/>
  <c r="Q16" i="11"/>
  <c r="Q65" i="20"/>
  <c r="Q49" i="30"/>
  <c r="Q50" i="30"/>
  <c r="Q48" i="30"/>
  <c r="Q53" i="30"/>
  <c r="Q56" i="30"/>
  <c r="Q59" i="30"/>
  <c r="P49" i="30"/>
  <c r="P50" i="30"/>
  <c r="P48" i="30"/>
  <c r="P53" i="30"/>
  <c r="P56" i="30"/>
  <c r="P59" i="30"/>
  <c r="Q60" i="30"/>
  <c r="Q20" i="3"/>
  <c r="Q7" i="20"/>
  <c r="R11" i="30"/>
  <c r="R59" i="1"/>
  <c r="R12" i="11"/>
  <c r="R89" i="20"/>
  <c r="R27" i="11"/>
  <c r="R162" i="11"/>
  <c r="R9" i="11"/>
  <c r="R29" i="20"/>
  <c r="R23" i="30"/>
  <c r="R19" i="30"/>
  <c r="R16" i="11"/>
  <c r="R65" i="20"/>
  <c r="R49" i="30"/>
  <c r="R50" i="30"/>
  <c r="R48" i="30"/>
  <c r="R53" i="30"/>
  <c r="R56" i="30"/>
  <c r="R59" i="30"/>
  <c r="R60" i="30"/>
  <c r="R20" i="3"/>
  <c r="R7" i="20"/>
  <c r="S11" i="30"/>
  <c r="S59" i="1"/>
  <c r="S12" i="11"/>
  <c r="S89" i="20"/>
  <c r="S27" i="11"/>
  <c r="S162" i="11"/>
  <c r="S9" i="11"/>
  <c r="S29" i="20"/>
  <c r="S23" i="30"/>
  <c r="S19" i="30"/>
  <c r="S16" i="11"/>
  <c r="S65" i="20"/>
  <c r="S49" i="30"/>
  <c r="S50" i="30"/>
  <c r="S48" i="30"/>
  <c r="S53" i="30"/>
  <c r="S56" i="30"/>
  <c r="S59" i="30"/>
  <c r="S60" i="30"/>
  <c r="S20" i="3"/>
  <c r="S7" i="20"/>
  <c r="T11" i="30"/>
  <c r="T59" i="1"/>
  <c r="T12" i="11"/>
  <c r="T89" i="20"/>
  <c r="T27" i="11"/>
  <c r="T162" i="11"/>
  <c r="T9" i="11"/>
  <c r="T29" i="20"/>
  <c r="T23" i="30"/>
  <c r="T19" i="30"/>
  <c r="T16" i="11"/>
  <c r="T65" i="20"/>
  <c r="T49" i="30"/>
  <c r="T50" i="30"/>
  <c r="T48" i="30"/>
  <c r="T53" i="30"/>
  <c r="T56" i="30"/>
  <c r="T59" i="30"/>
  <c r="T60" i="30"/>
  <c r="T20" i="3"/>
  <c r="T7" i="20"/>
  <c r="U11" i="30"/>
  <c r="U59" i="1"/>
  <c r="U12" i="11"/>
  <c r="U89" i="20"/>
  <c r="U27" i="11"/>
  <c r="U162" i="11"/>
  <c r="U9" i="11"/>
  <c r="U29" i="20"/>
  <c r="U23" i="30"/>
  <c r="U19" i="30"/>
  <c r="U16" i="11"/>
  <c r="U65" i="20"/>
  <c r="U49" i="30"/>
  <c r="U50" i="30"/>
  <c r="U48" i="30"/>
  <c r="U53" i="30"/>
  <c r="U56" i="30"/>
  <c r="U59" i="30"/>
  <c r="U60" i="30"/>
  <c r="U20" i="3"/>
  <c r="U7" i="20"/>
  <c r="V11" i="30"/>
  <c r="V59" i="1"/>
  <c r="V12" i="11"/>
  <c r="V89" i="20"/>
  <c r="V27" i="11"/>
  <c r="V162" i="11"/>
  <c r="V9" i="11"/>
  <c r="V29" i="20"/>
  <c r="V23" i="30"/>
  <c r="V19" i="30"/>
  <c r="V16" i="11"/>
  <c r="V65" i="20"/>
  <c r="V49" i="30"/>
  <c r="V50" i="30"/>
  <c r="V48" i="30"/>
  <c r="V53" i="30"/>
  <c r="V56" i="30"/>
  <c r="V59" i="30"/>
  <c r="V60" i="30"/>
  <c r="V20" i="3"/>
  <c r="V7" i="20"/>
  <c r="W11" i="30"/>
  <c r="W59" i="1"/>
  <c r="W12" i="11"/>
  <c r="W89" i="20"/>
  <c r="W27" i="11"/>
  <c r="W162" i="11"/>
  <c r="W9" i="11"/>
  <c r="W29" i="20"/>
  <c r="W23" i="30"/>
  <c r="W19" i="30"/>
  <c r="W16" i="11"/>
  <c r="W65" i="20"/>
  <c r="W49" i="30"/>
  <c r="W50" i="30"/>
  <c r="W48" i="30"/>
  <c r="W53" i="30"/>
  <c r="W56" i="30"/>
  <c r="W59" i="30"/>
  <c r="W60" i="30"/>
  <c r="W20" i="3"/>
  <c r="W7" i="20"/>
  <c r="X11" i="30"/>
  <c r="X59" i="1"/>
  <c r="X12" i="11"/>
  <c r="X89" i="20"/>
  <c r="X27" i="11"/>
  <c r="X162" i="11"/>
  <c r="X9" i="11"/>
  <c r="X29" i="20"/>
  <c r="X23" i="30"/>
  <c r="X19" i="30"/>
  <c r="X16" i="11"/>
  <c r="X65" i="20"/>
  <c r="X49" i="30"/>
  <c r="X50" i="30"/>
  <c r="X48" i="30"/>
  <c r="X53" i="30"/>
  <c r="X56" i="30"/>
  <c r="X59" i="30"/>
  <c r="X60" i="30"/>
  <c r="X20" i="3"/>
  <c r="X7" i="20"/>
  <c r="Y11" i="30"/>
  <c r="Y59" i="1"/>
  <c r="Y12" i="11"/>
  <c r="Y89" i="20"/>
  <c r="Y27" i="11"/>
  <c r="Y162" i="11"/>
  <c r="Y9" i="11"/>
  <c r="Y29" i="20"/>
  <c r="Y23" i="30"/>
  <c r="Y19" i="30"/>
  <c r="Y16" i="11"/>
  <c r="Y65" i="20"/>
  <c r="Y60" i="30"/>
  <c r="Y20" i="3"/>
  <c r="Y7" i="20"/>
  <c r="Z12" i="27"/>
  <c r="Z93" i="20"/>
  <c r="Z37" i="27"/>
  <c r="Z27" i="27"/>
  <c r="Z9" i="27"/>
  <c r="Z34" i="20"/>
  <c r="Z20" i="30"/>
  <c r="Z16" i="27"/>
  <c r="Z69" i="20"/>
  <c r="Z11" i="20"/>
  <c r="Q12" i="27"/>
  <c r="Q93" i="20"/>
  <c r="Q37" i="27"/>
  <c r="Q27" i="27"/>
  <c r="Q9" i="27"/>
  <c r="Q34" i="20"/>
  <c r="Q20" i="30"/>
  <c r="Q16" i="27"/>
  <c r="Q69" i="20"/>
  <c r="Q11" i="20"/>
  <c r="R12" i="27"/>
  <c r="R93" i="20"/>
  <c r="R37" i="27"/>
  <c r="R27" i="27"/>
  <c r="R9" i="27"/>
  <c r="R34" i="20"/>
  <c r="R20" i="30"/>
  <c r="R16" i="27"/>
  <c r="R69" i="20"/>
  <c r="R11" i="20"/>
  <c r="S12" i="27"/>
  <c r="S93" i="20"/>
  <c r="S37" i="27"/>
  <c r="S27" i="27"/>
  <c r="S9" i="27"/>
  <c r="S34" i="20"/>
  <c r="S20" i="30"/>
  <c r="S16" i="27"/>
  <c r="S69" i="20"/>
  <c r="S11" i="20"/>
  <c r="T12" i="27"/>
  <c r="T93" i="20"/>
  <c r="T37" i="27"/>
  <c r="T27" i="27"/>
  <c r="T9" i="27"/>
  <c r="T34" i="20"/>
  <c r="T20" i="30"/>
  <c r="T16" i="27"/>
  <c r="T69" i="20"/>
  <c r="T11" i="20"/>
  <c r="U12" i="27"/>
  <c r="U93" i="20"/>
  <c r="U37" i="27"/>
  <c r="U27" i="27"/>
  <c r="U9" i="27"/>
  <c r="U34" i="20"/>
  <c r="U20" i="30"/>
  <c r="U16" i="27"/>
  <c r="U69" i="20"/>
  <c r="U11" i="20"/>
  <c r="V12" i="27"/>
  <c r="V93" i="20"/>
  <c r="V37" i="27"/>
  <c r="V27" i="27"/>
  <c r="V9" i="27"/>
  <c r="V34" i="20"/>
  <c r="V20" i="30"/>
  <c r="V16" i="27"/>
  <c r="V69" i="20"/>
  <c r="V11" i="20"/>
  <c r="W12" i="27"/>
  <c r="W93" i="20"/>
  <c r="W37" i="27"/>
  <c r="W27" i="27"/>
  <c r="W9" i="27"/>
  <c r="W34" i="20"/>
  <c r="W20" i="30"/>
  <c r="W16" i="27"/>
  <c r="W69" i="20"/>
  <c r="W11" i="20"/>
  <c r="X12" i="27"/>
  <c r="X93" i="20"/>
  <c r="X37" i="27"/>
  <c r="X27" i="27"/>
  <c r="X9" i="27"/>
  <c r="X34" i="20"/>
  <c r="X20" i="30"/>
  <c r="X16" i="27"/>
  <c r="X69" i="20"/>
  <c r="X11" i="20"/>
  <c r="Y12" i="27"/>
  <c r="Y93" i="20"/>
  <c r="Y37" i="27"/>
  <c r="Y27" i="27"/>
  <c r="Y9" i="27"/>
  <c r="Y34" i="20"/>
  <c r="Y20" i="30"/>
  <c r="Y16" i="27"/>
  <c r="Y69" i="20"/>
  <c r="Y11" i="20"/>
  <c r="Z14" i="13"/>
  <c r="Z97" i="20"/>
  <c r="Z21" i="30"/>
  <c r="Z18" i="13"/>
  <c r="Z73" i="20"/>
  <c r="Z15" i="20"/>
  <c r="Q14" i="13"/>
  <c r="Q97" i="20"/>
  <c r="Q21" i="30"/>
  <c r="Q18" i="13"/>
  <c r="Q73" i="20"/>
  <c r="Q15" i="20"/>
  <c r="R14" i="13"/>
  <c r="R97" i="20"/>
  <c r="R21" i="30"/>
  <c r="R18" i="13"/>
  <c r="R73" i="20"/>
  <c r="R15" i="20"/>
  <c r="S14" i="13"/>
  <c r="S97" i="20"/>
  <c r="S21" i="30"/>
  <c r="S18" i="13"/>
  <c r="S73" i="20"/>
  <c r="S15" i="20"/>
  <c r="T14" i="13"/>
  <c r="T97" i="20"/>
  <c r="T21" i="30"/>
  <c r="T18" i="13"/>
  <c r="T73" i="20"/>
  <c r="T15" i="20"/>
  <c r="U14" i="13"/>
  <c r="U97" i="20"/>
  <c r="U21" i="30"/>
  <c r="U18" i="13"/>
  <c r="U73" i="20"/>
  <c r="U15" i="20"/>
  <c r="V14" i="13"/>
  <c r="V97" i="20"/>
  <c r="V21" i="30"/>
  <c r="V18" i="13"/>
  <c r="V73" i="20"/>
  <c r="V15" i="20"/>
  <c r="W14" i="13"/>
  <c r="W97" i="20"/>
  <c r="W21" i="30"/>
  <c r="W18" i="13"/>
  <c r="W73" i="20"/>
  <c r="W15" i="20"/>
  <c r="X14" i="13"/>
  <c r="X97" i="20"/>
  <c r="X21" i="30"/>
  <c r="X18" i="13"/>
  <c r="X73" i="20"/>
  <c r="X15" i="20"/>
  <c r="Y14" i="13"/>
  <c r="Y97" i="20"/>
  <c r="Y21" i="30"/>
  <c r="Y18" i="13"/>
  <c r="Y73" i="20"/>
  <c r="Y15" i="20"/>
  <c r="M26" i="21"/>
  <c r="N26" i="21"/>
  <c r="O26" i="21"/>
  <c r="P26" i="21"/>
  <c r="Q26" i="21"/>
  <c r="R26" i="21"/>
  <c r="S26" i="21"/>
  <c r="T26" i="21"/>
  <c r="U26" i="21"/>
  <c r="U25" i="21"/>
  <c r="U29" i="21"/>
  <c r="R12" i="29"/>
  <c r="V26" i="21"/>
  <c r="V25" i="21"/>
  <c r="V29" i="21"/>
  <c r="S12" i="29"/>
  <c r="Z44" i="20"/>
  <c r="Z101" i="20"/>
  <c r="Z22" i="30"/>
  <c r="Z77" i="20"/>
  <c r="Z19" i="20"/>
  <c r="L25" i="21"/>
  <c r="L29" i="21"/>
  <c r="I12" i="29"/>
  <c r="M25" i="21"/>
  <c r="M29" i="21"/>
  <c r="J12" i="29"/>
  <c r="Q44" i="20"/>
  <c r="Q101" i="20"/>
  <c r="Q22" i="30"/>
  <c r="Q77" i="20"/>
  <c r="Q19" i="20"/>
  <c r="N25" i="21"/>
  <c r="N29" i="21"/>
  <c r="K12" i="29"/>
  <c r="R44" i="20"/>
  <c r="R101" i="20"/>
  <c r="R22" i="30"/>
  <c r="R77" i="20"/>
  <c r="R19" i="20"/>
  <c r="O25" i="21"/>
  <c r="O29" i="21"/>
  <c r="L12" i="29"/>
  <c r="S44" i="20"/>
  <c r="S101" i="20"/>
  <c r="S22" i="30"/>
  <c r="S77" i="20"/>
  <c r="S19" i="20"/>
  <c r="P25" i="21"/>
  <c r="P29" i="21"/>
  <c r="M12" i="29"/>
  <c r="T44" i="20"/>
  <c r="T101" i="20"/>
  <c r="T22" i="30"/>
  <c r="T77" i="20"/>
  <c r="T19" i="20"/>
  <c r="Q25" i="21"/>
  <c r="Q29" i="21"/>
  <c r="N12" i="29"/>
  <c r="U44" i="20"/>
  <c r="U101" i="20"/>
  <c r="U22" i="30"/>
  <c r="U77" i="20"/>
  <c r="U19" i="20"/>
  <c r="R25" i="21"/>
  <c r="R29" i="21"/>
  <c r="O12" i="29"/>
  <c r="V44" i="20"/>
  <c r="V101" i="20"/>
  <c r="V22" i="30"/>
  <c r="V77" i="20"/>
  <c r="V19" i="20"/>
  <c r="S25" i="21"/>
  <c r="S29" i="21"/>
  <c r="P12" i="29"/>
  <c r="W44" i="20"/>
  <c r="W101" i="20"/>
  <c r="W22" i="30"/>
  <c r="W77" i="20"/>
  <c r="W19" i="20"/>
  <c r="T25" i="21"/>
  <c r="T29" i="21"/>
  <c r="Q12" i="29"/>
  <c r="X44" i="20"/>
  <c r="X101" i="20"/>
  <c r="X22" i="30"/>
  <c r="X77" i="20"/>
  <c r="X19" i="20"/>
  <c r="Y44" i="20"/>
  <c r="Y101" i="20"/>
  <c r="Y22" i="30"/>
  <c r="Y77" i="20"/>
  <c r="Y19" i="20"/>
  <c r="K25" i="21"/>
  <c r="K29" i="21"/>
  <c r="H12" i="29"/>
  <c r="P44" i="20"/>
  <c r="P27" i="11"/>
  <c r="P9" i="11"/>
  <c r="P29" i="20"/>
  <c r="P27" i="27"/>
  <c r="P9" i="27"/>
  <c r="P34" i="20"/>
  <c r="P51" i="20"/>
  <c r="P32" i="1"/>
  <c r="P38" i="1"/>
  <c r="P43" i="1"/>
  <c r="P46" i="1"/>
  <c r="P48" i="1"/>
  <c r="P7" i="31"/>
  <c r="P74" i="1"/>
  <c r="P19" i="31"/>
  <c r="P20" i="31"/>
  <c r="P31" i="2"/>
  <c r="P39" i="2"/>
  <c r="P40" i="2"/>
  <c r="P5" i="3"/>
  <c r="P19" i="3"/>
  <c r="P60" i="30"/>
  <c r="P20" i="3"/>
  <c r="P21" i="3"/>
  <c r="P24" i="3"/>
  <c r="P26" i="3"/>
  <c r="P27" i="3"/>
  <c r="P63" i="3"/>
  <c r="P67" i="3"/>
  <c r="P23" i="2"/>
  <c r="I162" i="39"/>
  <c r="I161" i="39"/>
  <c r="I160" i="39"/>
  <c r="I159" i="39"/>
  <c r="I25" i="56"/>
  <c r="I138" i="39"/>
  <c r="I140" i="39"/>
  <c r="E194" i="39"/>
  <c r="T36" i="27"/>
  <c r="U36" i="27"/>
  <c r="V36" i="27"/>
  <c r="W36" i="27"/>
  <c r="X36" i="27"/>
  <c r="Y36" i="27"/>
  <c r="Z36" i="27"/>
  <c r="AA36" i="27"/>
  <c r="AB36" i="27"/>
  <c r="AC36" i="27"/>
  <c r="AD36" i="27"/>
  <c r="P36" i="27"/>
  <c r="X24" i="27"/>
  <c r="AA129" i="37"/>
  <c r="AA127" i="37"/>
  <c r="AA138" i="37"/>
  <c r="AA139" i="37"/>
  <c r="AA160" i="37"/>
  <c r="AA26" i="27"/>
  <c r="AA24" i="27"/>
  <c r="AB129" i="37"/>
  <c r="AB127" i="37"/>
  <c r="AB138" i="37"/>
  <c r="AB139" i="37"/>
  <c r="AB160" i="37"/>
  <c r="AB26" i="27"/>
  <c r="AB24" i="27"/>
  <c r="AC129" i="37"/>
  <c r="AC127" i="37"/>
  <c r="AC138" i="37"/>
  <c r="AC139" i="37"/>
  <c r="AC160" i="37"/>
  <c r="AC26" i="27"/>
  <c r="AC24" i="27"/>
  <c r="AD129" i="37"/>
  <c r="AD127" i="37"/>
  <c r="AD138" i="37"/>
  <c r="AD139" i="37"/>
  <c r="AD160" i="37"/>
  <c r="AD26" i="27"/>
  <c r="AD24" i="27"/>
  <c r="A8" i="61"/>
  <c r="G206" i="39"/>
  <c r="J206" i="39"/>
  <c r="E227" i="39"/>
  <c r="K206" i="39"/>
  <c r="P78" i="30"/>
  <c r="P44" i="2"/>
  <c r="U81" i="30"/>
  <c r="P93" i="30"/>
  <c r="P88" i="30"/>
  <c r="P75" i="30"/>
  <c r="P87" i="30"/>
  <c r="P81" i="30"/>
  <c r="Q82" i="30"/>
  <c r="Q81" i="30"/>
  <c r="R81" i="30"/>
  <c r="S81" i="30"/>
  <c r="T81" i="30"/>
  <c r="V81" i="30"/>
  <c r="W81" i="30"/>
  <c r="X81" i="30"/>
  <c r="Y81" i="30"/>
  <c r="Z81" i="30"/>
  <c r="AA81" i="30"/>
  <c r="AB81" i="30"/>
  <c r="AC81" i="30"/>
  <c r="AD81" i="30"/>
  <c r="U80" i="30"/>
  <c r="V80" i="30"/>
  <c r="W80" i="30"/>
  <c r="X80" i="30"/>
  <c r="Y80" i="30"/>
  <c r="Z80" i="30"/>
  <c r="AA80" i="30"/>
  <c r="AB80" i="30"/>
  <c r="AC80" i="30"/>
  <c r="AD80" i="30"/>
  <c r="Q80" i="30"/>
  <c r="R80" i="30"/>
  <c r="S80" i="30"/>
  <c r="T80" i="30"/>
  <c r="P80" i="30"/>
  <c r="O81" i="30"/>
  <c r="P82" i="30"/>
  <c r="O78" i="30"/>
  <c r="O79" i="30"/>
  <c r="P79" i="30"/>
  <c r="E173" i="39"/>
  <c r="E175" i="39"/>
  <c r="G209" i="39"/>
  <c r="G207" i="39"/>
  <c r="G208" i="39"/>
  <c r="O95" i="30"/>
  <c r="N97" i="30"/>
  <c r="N95" i="30"/>
  <c r="N96" i="30"/>
  <c r="O97" i="30"/>
  <c r="O96" i="30"/>
  <c r="P96" i="30"/>
  <c r="P97" i="30"/>
  <c r="P41" i="1"/>
  <c r="P42" i="1"/>
  <c r="O9" i="27"/>
  <c r="O27" i="27"/>
  <c r="O29" i="27"/>
  <c r="P29" i="27"/>
  <c r="P35" i="27"/>
  <c r="P34" i="27"/>
  <c r="P33" i="27"/>
  <c r="P32" i="27"/>
  <c r="O39" i="27"/>
  <c r="P39" i="27"/>
  <c r="P37" i="27"/>
  <c r="P59" i="1"/>
  <c r="P7" i="3"/>
  <c r="P6" i="3"/>
  <c r="O50" i="30"/>
  <c r="O49" i="30"/>
  <c r="O52" i="30"/>
  <c r="P52" i="30"/>
  <c r="O53" i="30"/>
  <c r="O48" i="30"/>
  <c r="O55" i="30"/>
  <c r="P55" i="30"/>
  <c r="O56" i="30"/>
  <c r="O58" i="30"/>
  <c r="P58" i="30"/>
  <c r="O59" i="30"/>
  <c r="P22" i="3"/>
  <c r="P23" i="3"/>
  <c r="P16" i="11"/>
  <c r="P65" i="20"/>
  <c r="P16" i="27"/>
  <c r="P69" i="20"/>
  <c r="P18" i="13"/>
  <c r="P73" i="20"/>
  <c r="P77" i="20"/>
  <c r="P81" i="20"/>
  <c r="P30" i="3"/>
  <c r="P52" i="3"/>
  <c r="P58" i="3"/>
  <c r="P60" i="3"/>
  <c r="P95" i="30"/>
  <c r="Q96" i="30"/>
  <c r="Q97" i="30"/>
  <c r="Q41" i="1"/>
  <c r="Q79" i="30"/>
  <c r="Q87" i="30"/>
  <c r="Q42" i="1"/>
  <c r="Q29" i="27"/>
  <c r="Q35" i="27"/>
  <c r="Q34" i="27"/>
  <c r="Q39" i="27"/>
  <c r="Q51" i="20"/>
  <c r="Q32" i="1"/>
  <c r="Q38" i="1"/>
  <c r="Q43" i="1"/>
  <c r="Q46" i="1"/>
  <c r="Q48" i="1"/>
  <c r="Q74" i="1"/>
  <c r="Q19" i="31"/>
  <c r="Q26" i="3"/>
  <c r="Q7" i="3"/>
  <c r="Q6" i="3"/>
  <c r="Q5" i="3"/>
  <c r="Q19" i="3"/>
  <c r="Q52" i="30"/>
  <c r="Q55" i="30"/>
  <c r="Q58" i="30"/>
  <c r="Q21" i="3"/>
  <c r="Q22" i="3"/>
  <c r="Q23" i="3"/>
  <c r="Q24" i="3"/>
  <c r="Q27" i="3"/>
  <c r="Q81" i="20"/>
  <c r="Q30" i="3"/>
  <c r="Q52" i="3"/>
  <c r="Q78" i="30"/>
  <c r="Q44" i="2"/>
  <c r="Q58" i="3"/>
  <c r="Q60" i="3"/>
  <c r="Q63" i="3"/>
  <c r="Q65" i="3"/>
  <c r="Q67" i="3"/>
  <c r="Q23" i="2"/>
  <c r="Q95" i="30"/>
  <c r="R96" i="30"/>
  <c r="R97" i="30"/>
  <c r="R41" i="1"/>
  <c r="R22" i="3"/>
  <c r="R82" i="30"/>
  <c r="R79" i="30"/>
  <c r="R87" i="30"/>
  <c r="R42" i="1"/>
  <c r="R29" i="27"/>
  <c r="R35" i="27"/>
  <c r="R34" i="27"/>
  <c r="R39" i="27"/>
  <c r="R51" i="20"/>
  <c r="R32" i="1"/>
  <c r="R38" i="1"/>
  <c r="R43" i="1"/>
  <c r="R46" i="1"/>
  <c r="R24" i="3"/>
  <c r="R48" i="1"/>
  <c r="R74" i="1"/>
  <c r="R19" i="31"/>
  <c r="R26" i="3"/>
  <c r="R7" i="3"/>
  <c r="R6" i="3"/>
  <c r="R5" i="3"/>
  <c r="R19" i="3"/>
  <c r="R52" i="30"/>
  <c r="R55" i="30"/>
  <c r="R58" i="30"/>
  <c r="R21" i="3"/>
  <c r="R23" i="3"/>
  <c r="R27" i="3"/>
  <c r="R81" i="20"/>
  <c r="R30" i="3"/>
  <c r="R52" i="3"/>
  <c r="R78" i="30"/>
  <c r="R44" i="2"/>
  <c r="R58" i="3"/>
  <c r="R60" i="3"/>
  <c r="R63" i="3"/>
  <c r="R65" i="3"/>
  <c r="R67" i="3"/>
  <c r="R23" i="2"/>
  <c r="R95" i="30"/>
  <c r="S96" i="30"/>
  <c r="S97" i="30"/>
  <c r="S41" i="1"/>
  <c r="S22" i="3"/>
  <c r="S82" i="30"/>
  <c r="S79" i="30"/>
  <c r="S87" i="30"/>
  <c r="S42" i="1"/>
  <c r="S29" i="27"/>
  <c r="S25" i="27"/>
  <c r="S35" i="27"/>
  <c r="S34" i="27"/>
  <c r="S39" i="27"/>
  <c r="S51" i="20"/>
  <c r="S32" i="1"/>
  <c r="S38" i="1"/>
  <c r="S43" i="1"/>
  <c r="S46" i="1"/>
  <c r="S24" i="3"/>
  <c r="S48" i="1"/>
  <c r="S74" i="1"/>
  <c r="S19" i="31"/>
  <c r="S26" i="3"/>
  <c r="S7" i="3"/>
  <c r="S6" i="3"/>
  <c r="S5" i="3"/>
  <c r="S19" i="3"/>
  <c r="S52" i="30"/>
  <c r="S55" i="30"/>
  <c r="S58" i="30"/>
  <c r="S21" i="3"/>
  <c r="S23" i="3"/>
  <c r="S27" i="3"/>
  <c r="S81" i="20"/>
  <c r="S30" i="3"/>
  <c r="S52" i="3"/>
  <c r="S78" i="30"/>
  <c r="S44" i="2"/>
  <c r="S58" i="3"/>
  <c r="S60" i="3"/>
  <c r="S63" i="3"/>
  <c r="S65" i="3"/>
  <c r="S67" i="3"/>
  <c r="S23" i="2"/>
  <c r="S95" i="30"/>
  <c r="T96" i="30"/>
  <c r="T97" i="30"/>
  <c r="T41" i="1"/>
  <c r="T22" i="3"/>
  <c r="T82" i="30"/>
  <c r="T79" i="30"/>
  <c r="T87" i="30"/>
  <c r="T42" i="1"/>
  <c r="T29" i="27"/>
  <c r="T25" i="27"/>
  <c r="T35" i="27"/>
  <c r="T34" i="27"/>
  <c r="T33" i="27"/>
  <c r="T39" i="27"/>
  <c r="T51" i="20"/>
  <c r="T32" i="1"/>
  <c r="T38" i="1"/>
  <c r="T43" i="1"/>
  <c r="T46" i="1"/>
  <c r="T24" i="3"/>
  <c r="T48" i="1"/>
  <c r="T74" i="1"/>
  <c r="T19" i="31"/>
  <c r="T26" i="3"/>
  <c r="T7" i="3"/>
  <c r="T6" i="3"/>
  <c r="T5" i="3"/>
  <c r="T19" i="3"/>
  <c r="T52" i="30"/>
  <c r="T55" i="30"/>
  <c r="T58" i="30"/>
  <c r="T21" i="3"/>
  <c r="T23" i="3"/>
  <c r="T27" i="3"/>
  <c r="T81" i="20"/>
  <c r="T30" i="3"/>
  <c r="T52" i="3"/>
  <c r="T78" i="30"/>
  <c r="T44" i="2"/>
  <c r="T58" i="3"/>
  <c r="T60" i="3"/>
  <c r="T63" i="3"/>
  <c r="T65" i="3"/>
  <c r="T67" i="3"/>
  <c r="T23" i="2"/>
  <c r="T95" i="30"/>
  <c r="U96" i="30"/>
  <c r="U97" i="30"/>
  <c r="U41" i="1"/>
  <c r="U22" i="3"/>
  <c r="U82" i="30"/>
  <c r="U79" i="30"/>
  <c r="U87" i="30"/>
  <c r="U42" i="1"/>
  <c r="U29" i="27"/>
  <c r="U35" i="27"/>
  <c r="U34" i="27"/>
  <c r="U33" i="27"/>
  <c r="U39" i="27"/>
  <c r="U51" i="20"/>
  <c r="U32" i="1"/>
  <c r="U38" i="1"/>
  <c r="U43" i="1"/>
  <c r="U46" i="1"/>
  <c r="U24" i="3"/>
  <c r="U48" i="1"/>
  <c r="U74" i="1"/>
  <c r="U19" i="31"/>
  <c r="U26" i="3"/>
  <c r="U7" i="3"/>
  <c r="U6" i="3"/>
  <c r="U5" i="3"/>
  <c r="U19" i="3"/>
  <c r="U52" i="30"/>
  <c r="U55" i="30"/>
  <c r="U58" i="30"/>
  <c r="U21" i="3"/>
  <c r="U23" i="3"/>
  <c r="U27" i="3"/>
  <c r="U81" i="20"/>
  <c r="U30" i="3"/>
  <c r="U52" i="3"/>
  <c r="U78" i="30"/>
  <c r="U44" i="2"/>
  <c r="U58" i="3"/>
  <c r="U60" i="3"/>
  <c r="U63" i="3"/>
  <c r="U65" i="3"/>
  <c r="U67" i="3"/>
  <c r="U23" i="2"/>
  <c r="U58" i="2"/>
  <c r="U95" i="30"/>
  <c r="V96" i="30"/>
  <c r="V97" i="30"/>
  <c r="V41" i="1"/>
  <c r="V22" i="3"/>
  <c r="V82" i="30"/>
  <c r="V79" i="30"/>
  <c r="V87" i="30"/>
  <c r="V42" i="1"/>
  <c r="V29" i="27"/>
  <c r="V25" i="27"/>
  <c r="V35" i="27"/>
  <c r="V34" i="27"/>
  <c r="V33" i="27"/>
  <c r="V39" i="27"/>
  <c r="V51" i="20"/>
  <c r="V32" i="1"/>
  <c r="V38" i="1"/>
  <c r="V43" i="1"/>
  <c r="V46" i="1"/>
  <c r="V24" i="3"/>
  <c r="V48" i="1"/>
  <c r="V74" i="1"/>
  <c r="V140" i="1"/>
  <c r="V19" i="31"/>
  <c r="V26" i="3"/>
  <c r="V7" i="3"/>
  <c r="V6" i="3"/>
  <c r="V5" i="3"/>
  <c r="V19" i="3"/>
  <c r="V52" i="30"/>
  <c r="V55" i="30"/>
  <c r="V58" i="30"/>
  <c r="V21" i="3"/>
  <c r="V23" i="3"/>
  <c r="V27" i="3"/>
  <c r="V81" i="20"/>
  <c r="V30" i="3"/>
  <c r="V52" i="3"/>
  <c r="V78" i="30"/>
  <c r="V44" i="2"/>
  <c r="V58" i="3"/>
  <c r="V60" i="3"/>
  <c r="V63" i="3"/>
  <c r="V65" i="3"/>
  <c r="V67" i="3"/>
  <c r="V23" i="2"/>
  <c r="V58" i="2"/>
  <c r="V95" i="30"/>
  <c r="W96" i="30"/>
  <c r="W97" i="30"/>
  <c r="W41" i="1"/>
  <c r="W22" i="3"/>
  <c r="W82" i="30"/>
  <c r="W79" i="30"/>
  <c r="W87" i="30"/>
  <c r="W42" i="1"/>
  <c r="W29" i="27"/>
  <c r="W25" i="27"/>
  <c r="W35" i="27"/>
  <c r="W34" i="27"/>
  <c r="W33" i="27"/>
  <c r="W39" i="27"/>
  <c r="W51" i="20"/>
  <c r="W32" i="1"/>
  <c r="W38" i="1"/>
  <c r="W43" i="1"/>
  <c r="W46" i="1"/>
  <c r="W24" i="3"/>
  <c r="W48" i="1"/>
  <c r="W74" i="1"/>
  <c r="W140" i="1"/>
  <c r="W19" i="31"/>
  <c r="W26" i="3"/>
  <c r="W7" i="3"/>
  <c r="W6" i="3"/>
  <c r="W5" i="3"/>
  <c r="W19" i="3"/>
  <c r="W52" i="30"/>
  <c r="W55" i="30"/>
  <c r="W58" i="30"/>
  <c r="W21" i="3"/>
  <c r="W23" i="3"/>
  <c r="W27" i="3"/>
  <c r="W81" i="20"/>
  <c r="W30" i="3"/>
  <c r="W52" i="3"/>
  <c r="W78" i="30"/>
  <c r="W44" i="2"/>
  <c r="W58" i="3"/>
  <c r="W60" i="3"/>
  <c r="W63" i="3"/>
  <c r="W65" i="3"/>
  <c r="W67" i="3"/>
  <c r="W23" i="2"/>
  <c r="W58" i="2"/>
  <c r="W95" i="30"/>
  <c r="X96" i="30"/>
  <c r="X97" i="30"/>
  <c r="X41" i="1"/>
  <c r="X22" i="3"/>
  <c r="X82" i="30"/>
  <c r="X79" i="30"/>
  <c r="X87" i="30"/>
  <c r="X42" i="1"/>
  <c r="X29" i="27"/>
  <c r="X25" i="27"/>
  <c r="X35" i="27"/>
  <c r="X34" i="27"/>
  <c r="X33" i="27"/>
  <c r="X39" i="27"/>
  <c r="X51" i="20"/>
  <c r="X32" i="1"/>
  <c r="X38" i="1"/>
  <c r="X43" i="1"/>
  <c r="X46" i="1"/>
  <c r="X24" i="3"/>
  <c r="X48" i="1"/>
  <c r="X74" i="1"/>
  <c r="X140" i="1"/>
  <c r="X19" i="31"/>
  <c r="X26" i="3"/>
  <c r="X7" i="3"/>
  <c r="X6" i="3"/>
  <c r="X5" i="3"/>
  <c r="X19" i="3"/>
  <c r="X52" i="30"/>
  <c r="X55" i="30"/>
  <c r="X58" i="30"/>
  <c r="X21" i="3"/>
  <c r="X23" i="3"/>
  <c r="X27" i="3"/>
  <c r="X81" i="20"/>
  <c r="X30" i="3"/>
  <c r="X52" i="3"/>
  <c r="X78" i="30"/>
  <c r="X44" i="2"/>
  <c r="X58" i="3"/>
  <c r="X60" i="3"/>
  <c r="X63" i="3"/>
  <c r="X65" i="3"/>
  <c r="X67" i="3"/>
  <c r="X23" i="2"/>
  <c r="X58" i="2"/>
  <c r="X95" i="30"/>
  <c r="Y96" i="30"/>
  <c r="Y97" i="30"/>
  <c r="Y41" i="1"/>
  <c r="Y22" i="3"/>
  <c r="Y82" i="30"/>
  <c r="Y79" i="30"/>
  <c r="Y87" i="30"/>
  <c r="Y42" i="1"/>
  <c r="Y29" i="27"/>
  <c r="Y25" i="27"/>
  <c r="Y35" i="27"/>
  <c r="Y34" i="27"/>
  <c r="Y33" i="27"/>
  <c r="Y39" i="27"/>
  <c r="Y51" i="20"/>
  <c r="Y32" i="1"/>
  <c r="Y38" i="1"/>
  <c r="Y43" i="1"/>
  <c r="Y46" i="1"/>
  <c r="Y24" i="3"/>
  <c r="Y48" i="1"/>
  <c r="Y74" i="1"/>
  <c r="Y140" i="1"/>
  <c r="Y19" i="31"/>
  <c r="Y26" i="3"/>
  <c r="Y7" i="3"/>
  <c r="Y6" i="3"/>
  <c r="Y5" i="3"/>
  <c r="Y19" i="3"/>
  <c r="Y52" i="30"/>
  <c r="Y55" i="30"/>
  <c r="Y58" i="30"/>
  <c r="Y21" i="3"/>
  <c r="Y23" i="3"/>
  <c r="Y27" i="3"/>
  <c r="Y81" i="20"/>
  <c r="Y30" i="3"/>
  <c r="Y52" i="3"/>
  <c r="Y78" i="30"/>
  <c r="Y44" i="2"/>
  <c r="Y58" i="3"/>
  <c r="Y60" i="3"/>
  <c r="Y63" i="3"/>
  <c r="Y65" i="3"/>
  <c r="Y67" i="3"/>
  <c r="Y23" i="2"/>
  <c r="Y58" i="2"/>
  <c r="Y95" i="30"/>
  <c r="Z96" i="30"/>
  <c r="Z97" i="30"/>
  <c r="Z41" i="1"/>
  <c r="Z22" i="3"/>
  <c r="Z82" i="30"/>
  <c r="Z79" i="30"/>
  <c r="Z87" i="30"/>
  <c r="Z42" i="1"/>
  <c r="Z29" i="27"/>
  <c r="Z25" i="27"/>
  <c r="Z35" i="27"/>
  <c r="Z34" i="27"/>
  <c r="Z33" i="27"/>
  <c r="Z39" i="27"/>
  <c r="Z51" i="20"/>
  <c r="Z32" i="1"/>
  <c r="Z38" i="1"/>
  <c r="Z43" i="1"/>
  <c r="Z46" i="1"/>
  <c r="Z24" i="3"/>
  <c r="Z48" i="1"/>
  <c r="Z74" i="1"/>
  <c r="Z140" i="1"/>
  <c r="Z19" i="31"/>
  <c r="Z26" i="3"/>
  <c r="Z7" i="3"/>
  <c r="Z6" i="3"/>
  <c r="Z5" i="3"/>
  <c r="Z19" i="3"/>
  <c r="Z52" i="30"/>
  <c r="Z55" i="30"/>
  <c r="Z58" i="30"/>
  <c r="Z21" i="3"/>
  <c r="Z23" i="3"/>
  <c r="Z27" i="3"/>
  <c r="Z81" i="20"/>
  <c r="Z30" i="3"/>
  <c r="Z52" i="3"/>
  <c r="Z78" i="30"/>
  <c r="Z44" i="2"/>
  <c r="Z58" i="3"/>
  <c r="Z60" i="3"/>
  <c r="Z63" i="3"/>
  <c r="Z65" i="3"/>
  <c r="Z67" i="3"/>
  <c r="Z23" i="2"/>
  <c r="Z58" i="2"/>
  <c r="Z95" i="30"/>
  <c r="AA96" i="30"/>
  <c r="AA97" i="30"/>
  <c r="AA41" i="1"/>
  <c r="AA22" i="3"/>
  <c r="AA82" i="30"/>
  <c r="AA79" i="30"/>
  <c r="AA87" i="30"/>
  <c r="AA42" i="1"/>
  <c r="AA29" i="27"/>
  <c r="AA25" i="27"/>
  <c r="AA23" i="27"/>
  <c r="AA27" i="27"/>
  <c r="AA35" i="27"/>
  <c r="AA34" i="27"/>
  <c r="AA33" i="27"/>
  <c r="AA32" i="27"/>
  <c r="AA39" i="27"/>
  <c r="AA37" i="27"/>
  <c r="AA9" i="27"/>
  <c r="AA34" i="20"/>
  <c r="W26" i="21"/>
  <c r="W10" i="21"/>
  <c r="W9" i="21"/>
  <c r="W5" i="21"/>
  <c r="W25" i="21"/>
  <c r="W29" i="21"/>
  <c r="T12" i="29"/>
  <c r="AA44" i="20"/>
  <c r="AA156" i="11"/>
  <c r="AA162" i="11"/>
  <c r="AA23" i="11"/>
  <c r="AA27" i="11"/>
  <c r="AA9" i="11"/>
  <c r="AA29" i="20"/>
  <c r="AA51" i="20"/>
  <c r="AA32" i="1"/>
  <c r="AA38" i="1"/>
  <c r="AA43" i="1"/>
  <c r="AA46" i="1"/>
  <c r="AA24" i="3"/>
  <c r="AA48" i="1"/>
  <c r="AA74" i="1"/>
  <c r="AA140" i="1"/>
  <c r="AA19" i="31"/>
  <c r="AA26" i="3"/>
  <c r="AA5" i="27"/>
  <c r="AA9" i="20"/>
  <c r="T6" i="29"/>
  <c r="AA17" i="20"/>
  <c r="AA5" i="11"/>
  <c r="AA5" i="20"/>
  <c r="AA22" i="20"/>
  <c r="AA6" i="1"/>
  <c r="AA7" i="1"/>
  <c r="AA7" i="30"/>
  <c r="AA6" i="30"/>
  <c r="AA5" i="30"/>
  <c r="AA11" i="30"/>
  <c r="AA59" i="1"/>
  <c r="AA7" i="3"/>
  <c r="AA6" i="3"/>
  <c r="AA5" i="3"/>
  <c r="AA19" i="3"/>
  <c r="AA9" i="1"/>
  <c r="AA8" i="1"/>
  <c r="AA49" i="30"/>
  <c r="AA52" i="30"/>
  <c r="AA50" i="30"/>
  <c r="AA55" i="30"/>
  <c r="AA48" i="30"/>
  <c r="AA53" i="30"/>
  <c r="AA58" i="30"/>
  <c r="AA56" i="30"/>
  <c r="AA59" i="30"/>
  <c r="AA60" i="30"/>
  <c r="AA20" i="3"/>
  <c r="AA21" i="3"/>
  <c r="AA23" i="3"/>
  <c r="AA27" i="3"/>
  <c r="AA23" i="30"/>
  <c r="AA19" i="30"/>
  <c r="AA16" i="11"/>
  <c r="AA65" i="20"/>
  <c r="AA20" i="30"/>
  <c r="AA16" i="27"/>
  <c r="AA69" i="20"/>
  <c r="AA21" i="30"/>
  <c r="AA18" i="13"/>
  <c r="AA73" i="20"/>
  <c r="AA22" i="30"/>
  <c r="AA77" i="20"/>
  <c r="AA81" i="20"/>
  <c r="AA30" i="3"/>
  <c r="AA52" i="3"/>
  <c r="AA78" i="30"/>
  <c r="AA44" i="2"/>
  <c r="AA58" i="3"/>
  <c r="AA60" i="3"/>
  <c r="AA63" i="3"/>
  <c r="AA65" i="3"/>
  <c r="AA67" i="3"/>
  <c r="AA23" i="2"/>
  <c r="AA58" i="2"/>
  <c r="AA95" i="30"/>
  <c r="AB96" i="30"/>
  <c r="AB97" i="30"/>
  <c r="AB41" i="1"/>
  <c r="AB22" i="3"/>
  <c r="AB82" i="30"/>
  <c r="AB79" i="30"/>
  <c r="AB87" i="30"/>
  <c r="AB42" i="1"/>
  <c r="AB29" i="27"/>
  <c r="AB25" i="27"/>
  <c r="AB23" i="27"/>
  <c r="AB27" i="27"/>
  <c r="AB35" i="27"/>
  <c r="AB34" i="27"/>
  <c r="AB33" i="27"/>
  <c r="AB32" i="27"/>
  <c r="AB39" i="27"/>
  <c r="AB37" i="27"/>
  <c r="AB9" i="27"/>
  <c r="AB34" i="20"/>
  <c r="X26" i="21"/>
  <c r="X10" i="21"/>
  <c r="X9" i="21"/>
  <c r="X5" i="21"/>
  <c r="X25" i="21"/>
  <c r="X29" i="21"/>
  <c r="U12" i="29"/>
  <c r="AB44" i="20"/>
  <c r="AB156" i="11"/>
  <c r="AB162" i="11"/>
  <c r="AB23" i="11"/>
  <c r="AB27" i="11"/>
  <c r="AB9" i="11"/>
  <c r="AB29" i="20"/>
  <c r="AB51" i="20"/>
  <c r="AB32" i="1"/>
  <c r="AB38" i="1"/>
  <c r="AB43" i="1"/>
  <c r="AB46" i="1"/>
  <c r="AB24" i="3"/>
  <c r="AB48" i="1"/>
  <c r="AB74" i="1"/>
  <c r="AB140" i="1"/>
  <c r="AB19" i="31"/>
  <c r="AB26" i="3"/>
  <c r="AB5" i="27"/>
  <c r="AB9" i="20"/>
  <c r="U6" i="29"/>
  <c r="AB17" i="20"/>
  <c r="AB5" i="11"/>
  <c r="AB5" i="20"/>
  <c r="AB22" i="20"/>
  <c r="AB6" i="1"/>
  <c r="AB7" i="1"/>
  <c r="AB7" i="30"/>
  <c r="AB6" i="30"/>
  <c r="AB5" i="30"/>
  <c r="AB11" i="30"/>
  <c r="AB59" i="1"/>
  <c r="AB7" i="3"/>
  <c r="AB6" i="3"/>
  <c r="AB5" i="3"/>
  <c r="AB19" i="3"/>
  <c r="AB9" i="1"/>
  <c r="AB8" i="1"/>
  <c r="AB49" i="30"/>
  <c r="AB52" i="30"/>
  <c r="AB50" i="30"/>
  <c r="AB55" i="30"/>
  <c r="AB48" i="30"/>
  <c r="AB53" i="30"/>
  <c r="AB58" i="30"/>
  <c r="AB56" i="30"/>
  <c r="AB59" i="30"/>
  <c r="AB60" i="30"/>
  <c r="AB20" i="3"/>
  <c r="AB21" i="3"/>
  <c r="AB23" i="3"/>
  <c r="AB27" i="3"/>
  <c r="AB23" i="30"/>
  <c r="AB19" i="30"/>
  <c r="AB16" i="11"/>
  <c r="AB65" i="20"/>
  <c r="AB20" i="30"/>
  <c r="AB16" i="27"/>
  <c r="AB69" i="20"/>
  <c r="AB21" i="30"/>
  <c r="AB18" i="13"/>
  <c r="AB73" i="20"/>
  <c r="AB22" i="30"/>
  <c r="AB77" i="20"/>
  <c r="AB81" i="20"/>
  <c r="AB30" i="3"/>
  <c r="AB52" i="3"/>
  <c r="AB78" i="30"/>
  <c r="AB44" i="2"/>
  <c r="AB58" i="3"/>
  <c r="AB60" i="3"/>
  <c r="AB63" i="3"/>
  <c r="AB65" i="3"/>
  <c r="AB67" i="3"/>
  <c r="AB23" i="2"/>
  <c r="AB58" i="2"/>
  <c r="AB95" i="30"/>
  <c r="AC96" i="30"/>
  <c r="AC97" i="30"/>
  <c r="AC41" i="1"/>
  <c r="AC22" i="3"/>
  <c r="AC82" i="30"/>
  <c r="AC79" i="30"/>
  <c r="AC87" i="30"/>
  <c r="AC42" i="1"/>
  <c r="AC29" i="27"/>
  <c r="AC25" i="27"/>
  <c r="AC23" i="27"/>
  <c r="AC27" i="27"/>
  <c r="AC35" i="27"/>
  <c r="AC34" i="27"/>
  <c r="AC33" i="27"/>
  <c r="AC32" i="27"/>
  <c r="AC39" i="27"/>
  <c r="AC37" i="27"/>
  <c r="AC9" i="27"/>
  <c r="AC34" i="20"/>
  <c r="Y26" i="21"/>
  <c r="Y10" i="21"/>
  <c r="Y9" i="21"/>
  <c r="Y5" i="21"/>
  <c r="Y25" i="21"/>
  <c r="Y29" i="21"/>
  <c r="V12" i="29"/>
  <c r="AC44" i="20"/>
  <c r="AC156" i="11"/>
  <c r="AC162" i="11"/>
  <c r="AC23" i="11"/>
  <c r="AC27" i="11"/>
  <c r="AC9" i="11"/>
  <c r="AC29" i="20"/>
  <c r="AC51" i="20"/>
  <c r="AC32" i="1"/>
  <c r="AC38" i="1"/>
  <c r="AC43" i="1"/>
  <c r="AC46" i="1"/>
  <c r="AC24" i="3"/>
  <c r="AC48" i="1"/>
  <c r="AC74" i="1"/>
  <c r="AC140" i="1"/>
  <c r="AC19" i="31"/>
  <c r="AC26" i="3"/>
  <c r="AC5" i="27"/>
  <c r="AC9" i="20"/>
  <c r="V6" i="29"/>
  <c r="AC17" i="20"/>
  <c r="AC5" i="11"/>
  <c r="AC5" i="20"/>
  <c r="AC22" i="20"/>
  <c r="AC6" i="1"/>
  <c r="AC7" i="1"/>
  <c r="AC7" i="30"/>
  <c r="AC6" i="30"/>
  <c r="AC5" i="30"/>
  <c r="AC11" i="30"/>
  <c r="AC59" i="1"/>
  <c r="AC7" i="3"/>
  <c r="AC6" i="3"/>
  <c r="AC5" i="3"/>
  <c r="AC19" i="3"/>
  <c r="AC9" i="1"/>
  <c r="AC8" i="1"/>
  <c r="AC49" i="30"/>
  <c r="AC52" i="30"/>
  <c r="AC50" i="30"/>
  <c r="AC55" i="30"/>
  <c r="AC48" i="30"/>
  <c r="AC53" i="30"/>
  <c r="AC58" i="30"/>
  <c r="AC56" i="30"/>
  <c r="AC59" i="30"/>
  <c r="AC60" i="30"/>
  <c r="AC20" i="3"/>
  <c r="AC21" i="3"/>
  <c r="AC23" i="3"/>
  <c r="AC27" i="3"/>
  <c r="AC23" i="30"/>
  <c r="AC19" i="30"/>
  <c r="AC16" i="11"/>
  <c r="AC65" i="20"/>
  <c r="AC20" i="30"/>
  <c r="AC16" i="27"/>
  <c r="AC69" i="20"/>
  <c r="AC21" i="30"/>
  <c r="AC18" i="13"/>
  <c r="AC73" i="20"/>
  <c r="AC22" i="30"/>
  <c r="AC77" i="20"/>
  <c r="AC81" i="20"/>
  <c r="AC30" i="3"/>
  <c r="AC52" i="3"/>
  <c r="AC78" i="30"/>
  <c r="AC44" i="2"/>
  <c r="AC58" i="3"/>
  <c r="AC60" i="3"/>
  <c r="AC63" i="3"/>
  <c r="AC65" i="3"/>
  <c r="AC67" i="3"/>
  <c r="AC23" i="2"/>
  <c r="AC58" i="2"/>
  <c r="AC95" i="30"/>
  <c r="AD96" i="30"/>
  <c r="AD97" i="30"/>
  <c r="AD41" i="1"/>
  <c r="AD22" i="3"/>
  <c r="AD82" i="30"/>
  <c r="AD79" i="30"/>
  <c r="AD87" i="30"/>
  <c r="AD42" i="1"/>
  <c r="AD29" i="27"/>
  <c r="AD25" i="27"/>
  <c r="AD23" i="27"/>
  <c r="AD27" i="27"/>
  <c r="AD35" i="27"/>
  <c r="AD34" i="27"/>
  <c r="AD33" i="27"/>
  <c r="AD32" i="27"/>
  <c r="AD39" i="27"/>
  <c r="AD37" i="27"/>
  <c r="AD9" i="27"/>
  <c r="AD34" i="20"/>
  <c r="Z26" i="21"/>
  <c r="Z10" i="21"/>
  <c r="Z9" i="21"/>
  <c r="Z5" i="21"/>
  <c r="Z25" i="21"/>
  <c r="Z29" i="21"/>
  <c r="W12" i="29"/>
  <c r="AD44" i="20"/>
  <c r="AD156" i="11"/>
  <c r="AD162" i="11"/>
  <c r="AD23" i="11"/>
  <c r="AD27" i="11"/>
  <c r="AD9" i="11"/>
  <c r="AD29" i="20"/>
  <c r="AD51" i="20"/>
  <c r="AD32" i="1"/>
  <c r="AD38" i="1"/>
  <c r="AD43" i="1"/>
  <c r="AD46" i="1"/>
  <c r="AD24" i="3"/>
  <c r="AD48" i="1"/>
  <c r="AD74" i="1"/>
  <c r="AD140" i="1"/>
  <c r="AD19" i="31"/>
  <c r="AD26" i="3"/>
  <c r="AD5" i="27"/>
  <c r="AD9" i="20"/>
  <c r="W6" i="29"/>
  <c r="AD17" i="20"/>
  <c r="AD5" i="11"/>
  <c r="AD5" i="20"/>
  <c r="AD22" i="20"/>
  <c r="AD6" i="1"/>
  <c r="AD7" i="1"/>
  <c r="AD7" i="30"/>
  <c r="AD6" i="30"/>
  <c r="AD5" i="30"/>
  <c r="AD11" i="30"/>
  <c r="AD59" i="1"/>
  <c r="AD7" i="3"/>
  <c r="AD6" i="3"/>
  <c r="AD5" i="3"/>
  <c r="AD19" i="3"/>
  <c r="AD9" i="1"/>
  <c r="AD8" i="1"/>
  <c r="AD49" i="30"/>
  <c r="AD52" i="30"/>
  <c r="AD50" i="30"/>
  <c r="AD55" i="30"/>
  <c r="AD48" i="30"/>
  <c r="AD53" i="30"/>
  <c r="AD58" i="30"/>
  <c r="AD56" i="30"/>
  <c r="AD59" i="30"/>
  <c r="AD60" i="30"/>
  <c r="AD20" i="3"/>
  <c r="AD21" i="3"/>
  <c r="AD23" i="3"/>
  <c r="AD27" i="3"/>
  <c r="AD23" i="30"/>
  <c r="AD19" i="30"/>
  <c r="AD16" i="11"/>
  <c r="AD65" i="20"/>
  <c r="AD20" i="30"/>
  <c r="AD16" i="27"/>
  <c r="AD69" i="20"/>
  <c r="AD21" i="30"/>
  <c r="AD18" i="13"/>
  <c r="AD73" i="20"/>
  <c r="AD22" i="30"/>
  <c r="AD77" i="20"/>
  <c r="AD81" i="20"/>
  <c r="AD30" i="3"/>
  <c r="AD52" i="3"/>
  <c r="AD78" i="30"/>
  <c r="AD44" i="2"/>
  <c r="AD58" i="3"/>
  <c r="AD60" i="3"/>
  <c r="AD63" i="3"/>
  <c r="AD65" i="3"/>
  <c r="AD67" i="3"/>
  <c r="AD23" i="2"/>
  <c r="AD58" i="2"/>
  <c r="Q5" i="31"/>
  <c r="Q7" i="31"/>
  <c r="Q20" i="31"/>
  <c r="R5" i="31"/>
  <c r="R7" i="31"/>
  <c r="R20" i="31"/>
  <c r="S5" i="31"/>
  <c r="S7" i="31"/>
  <c r="S20" i="31"/>
  <c r="T5" i="31"/>
  <c r="T7" i="31"/>
  <c r="T20" i="31"/>
  <c r="U5" i="31"/>
  <c r="U7" i="31"/>
  <c r="U20" i="31"/>
  <c r="U31" i="2"/>
  <c r="T31" i="2"/>
  <c r="S31" i="2"/>
  <c r="R31" i="2"/>
  <c r="Q31" i="2"/>
  <c r="Q39" i="2"/>
  <c r="R39" i="2"/>
  <c r="S39" i="2"/>
  <c r="T39" i="2"/>
  <c r="U39" i="2"/>
  <c r="U59" i="2"/>
  <c r="P58" i="2"/>
  <c r="P59" i="2"/>
  <c r="Q58" i="2"/>
  <c r="Q59" i="2"/>
  <c r="R58" i="2"/>
  <c r="R59" i="2"/>
  <c r="S58" i="2"/>
  <c r="S59" i="2"/>
  <c r="T58" i="2"/>
  <c r="T59" i="2"/>
  <c r="V5" i="31"/>
  <c r="V7" i="31"/>
  <c r="V20" i="31"/>
  <c r="V31" i="2"/>
  <c r="V39" i="2"/>
  <c r="V59" i="2"/>
  <c r="W5" i="31"/>
  <c r="W7" i="31"/>
  <c r="W20" i="31"/>
  <c r="W31" i="2"/>
  <c r="W39" i="2"/>
  <c r="W59" i="2"/>
  <c r="X5" i="31"/>
  <c r="X7" i="31"/>
  <c r="X20" i="31"/>
  <c r="X31" i="2"/>
  <c r="X39" i="2"/>
  <c r="X59" i="2"/>
  <c r="Y5" i="31"/>
  <c r="Y7" i="31"/>
  <c r="Y20" i="31"/>
  <c r="Y31" i="2"/>
  <c r="Y39" i="2"/>
  <c r="Y59" i="2"/>
  <c r="Z5" i="31"/>
  <c r="Z7" i="31"/>
  <c r="Z20" i="31"/>
  <c r="Z31" i="2"/>
  <c r="Z39" i="2"/>
  <c r="Z59" i="2"/>
  <c r="AA5" i="31"/>
  <c r="AA7" i="31"/>
  <c r="AA20" i="31"/>
  <c r="AA31" i="2"/>
  <c r="AA39" i="2"/>
  <c r="AA59" i="2"/>
  <c r="AB5" i="31"/>
  <c r="AB7" i="31"/>
  <c r="AB20" i="31"/>
  <c r="AB31" i="2"/>
  <c r="AB39" i="2"/>
  <c r="AB59" i="2"/>
  <c r="AC5" i="31"/>
  <c r="AC7" i="31"/>
  <c r="AC20" i="31"/>
  <c r="AC31" i="2"/>
  <c r="AC39" i="2"/>
  <c r="AC59" i="2"/>
  <c r="AD5" i="31"/>
  <c r="AD7" i="31"/>
  <c r="AD20" i="31"/>
  <c r="AD31" i="2"/>
  <c r="AD39" i="2"/>
  <c r="AD59" i="2"/>
  <c r="O59" i="2"/>
  <c r="E77" i="55"/>
  <c r="F77" i="55"/>
  <c r="D77" i="55"/>
  <c r="E83" i="55"/>
  <c r="F83" i="55"/>
  <c r="E84" i="55"/>
  <c r="F84" i="55"/>
  <c r="E85" i="55"/>
  <c r="F85" i="55"/>
  <c r="E86" i="55"/>
  <c r="F86" i="55"/>
  <c r="E87" i="55"/>
  <c r="F87" i="55"/>
  <c r="E88" i="55"/>
  <c r="F88" i="55"/>
  <c r="E89" i="55"/>
  <c r="F89" i="55"/>
  <c r="E90" i="55"/>
  <c r="F90" i="55"/>
  <c r="D90" i="55"/>
  <c r="D89" i="55"/>
  <c r="D88" i="55"/>
  <c r="D87" i="55"/>
  <c r="D86" i="55"/>
  <c r="D85" i="55"/>
  <c r="D84" i="55"/>
  <c r="D83" i="55"/>
  <c r="E82" i="55"/>
  <c r="F82" i="55"/>
  <c r="D82" i="55"/>
  <c r="E81" i="55"/>
  <c r="F81" i="55"/>
  <c r="D81" i="55"/>
  <c r="E80" i="55"/>
  <c r="F80" i="55"/>
  <c r="D80" i="55"/>
  <c r="E79" i="55"/>
  <c r="F79" i="55"/>
  <c r="D79" i="55"/>
  <c r="J207" i="39"/>
  <c r="K207" i="39"/>
  <c r="J208" i="39"/>
  <c r="K208" i="39"/>
  <c r="J209" i="39"/>
  <c r="K209" i="39"/>
  <c r="P7" i="30"/>
  <c r="P6" i="30"/>
  <c r="P5" i="30"/>
  <c r="P8" i="30"/>
  <c r="P174" i="37"/>
  <c r="P84" i="30"/>
  <c r="P83" i="30"/>
  <c r="F15" i="56"/>
  <c r="G15" i="56"/>
  <c r="H15" i="56"/>
  <c r="I15" i="56"/>
  <c r="J15" i="56"/>
  <c r="K15" i="56"/>
  <c r="L15" i="56"/>
  <c r="M15" i="56"/>
  <c r="E15" i="56"/>
  <c r="I18" i="21"/>
  <c r="I25" i="21"/>
  <c r="I29" i="21"/>
  <c r="I30" i="21"/>
  <c r="P30" i="21"/>
  <c r="J7" i="21"/>
  <c r="P77" i="21"/>
  <c r="P79" i="21"/>
  <c r="P222" i="21"/>
  <c r="P223" i="21"/>
  <c r="P226" i="21"/>
  <c r="P229" i="21"/>
  <c r="P232" i="21"/>
  <c r="O222" i="21"/>
  <c r="O223" i="21"/>
  <c r="O226" i="21"/>
  <c r="O229" i="21"/>
  <c r="O232" i="21"/>
  <c r="P233" i="21"/>
  <c r="P142" i="21"/>
  <c r="K34" i="21"/>
  <c r="K35" i="21"/>
  <c r="K37" i="21"/>
  <c r="K44" i="21"/>
  <c r="K49" i="21"/>
  <c r="K48" i="21"/>
  <c r="K103" i="21"/>
  <c r="K79" i="21"/>
  <c r="K150" i="21"/>
  <c r="K152" i="21"/>
  <c r="K134" i="21"/>
  <c r="K77" i="21"/>
  <c r="K136" i="21"/>
  <c r="K135" i="21"/>
  <c r="K141" i="21"/>
  <c r="K222" i="21"/>
  <c r="K223" i="21"/>
  <c r="K226" i="21"/>
  <c r="K229" i="21"/>
  <c r="K232" i="21"/>
  <c r="K233" i="21"/>
  <c r="K142" i="21"/>
  <c r="K143" i="21"/>
  <c r="K256" i="21"/>
  <c r="K257" i="21"/>
  <c r="K146" i="21"/>
  <c r="K147" i="21"/>
  <c r="K161" i="21"/>
  <c r="K164" i="21"/>
  <c r="K277" i="21"/>
  <c r="L279" i="21"/>
  <c r="L32" i="21"/>
  <c r="L34" i="21"/>
  <c r="L35" i="21"/>
  <c r="L37" i="21"/>
  <c r="L44" i="21"/>
  <c r="L49" i="21"/>
  <c r="L48" i="21"/>
  <c r="L103" i="21"/>
  <c r="M77" i="21"/>
  <c r="M79" i="21"/>
  <c r="M222" i="21"/>
  <c r="M223" i="21"/>
  <c r="M226" i="21"/>
  <c r="M229" i="21"/>
  <c r="M232" i="21"/>
  <c r="L222" i="21"/>
  <c r="L223" i="21"/>
  <c r="L226" i="21"/>
  <c r="L229" i="21"/>
  <c r="L232" i="21"/>
  <c r="M233" i="21"/>
  <c r="M142" i="21"/>
  <c r="N77" i="21"/>
  <c r="N79" i="21"/>
  <c r="N222" i="21"/>
  <c r="N223" i="21"/>
  <c r="N226" i="21"/>
  <c r="N229" i="21"/>
  <c r="N232" i="21"/>
  <c r="N233" i="21"/>
  <c r="N142" i="21"/>
  <c r="O77" i="21"/>
  <c r="O79" i="21"/>
  <c r="O233" i="21"/>
  <c r="O142" i="21"/>
  <c r="L233" i="21"/>
  <c r="L142" i="21"/>
  <c r="L79" i="21"/>
  <c r="L77" i="21"/>
  <c r="P7" i="57"/>
  <c r="P8" i="57"/>
  <c r="O140" i="1"/>
  <c r="M140" i="1"/>
  <c r="F10" i="48"/>
  <c r="F11" i="48"/>
  <c r="F12" i="48"/>
  <c r="F13" i="48"/>
  <c r="F14" i="48"/>
  <c r="F15" i="48"/>
  <c r="F16" i="48"/>
  <c r="F17" i="48"/>
  <c r="F18" i="48"/>
  <c r="F19" i="48"/>
  <c r="F20" i="48"/>
  <c r="F21" i="48"/>
  <c r="F22" i="48"/>
  <c r="F23" i="48"/>
  <c r="F24" i="48"/>
  <c r="F25" i="48"/>
  <c r="F26" i="48"/>
  <c r="F27" i="48"/>
  <c r="F28" i="48"/>
  <c r="F29" i="48"/>
  <c r="F30" i="48"/>
  <c r="F31" i="48"/>
  <c r="F32" i="48"/>
  <c r="F33" i="48"/>
  <c r="F34" i="48"/>
  <c r="F35" i="48"/>
  <c r="F36" i="48"/>
  <c r="F37" i="48"/>
  <c r="F38" i="48"/>
  <c r="F39" i="48"/>
  <c r="F40" i="48"/>
  <c r="F41" i="48"/>
  <c r="F42" i="48"/>
  <c r="F43" i="48"/>
  <c r="F44" i="48"/>
  <c r="F45" i="48"/>
  <c r="F46" i="48"/>
  <c r="F47" i="48"/>
  <c r="F48" i="48"/>
  <c r="F49" i="48"/>
  <c r="F50" i="48"/>
  <c r="F51" i="48"/>
  <c r="F52" i="48"/>
  <c r="F53" i="48"/>
  <c r="F54" i="48"/>
  <c r="F55" i="48"/>
  <c r="F56" i="48"/>
  <c r="F57" i="48"/>
  <c r="F58" i="48"/>
  <c r="F59" i="48"/>
  <c r="F60" i="48"/>
  <c r="F61" i="48"/>
  <c r="F62" i="48"/>
  <c r="F63" i="48"/>
  <c r="F64" i="48"/>
  <c r="F65" i="48"/>
  <c r="F66" i="48"/>
  <c r="F67" i="48"/>
  <c r="F68" i="48"/>
  <c r="F69" i="48"/>
  <c r="F70" i="48"/>
  <c r="F71" i="48"/>
  <c r="F72" i="48"/>
  <c r="F73" i="48"/>
  <c r="F74" i="48"/>
  <c r="F75" i="48"/>
  <c r="F76" i="48"/>
  <c r="F77" i="48"/>
  <c r="F78" i="48"/>
  <c r="F79" i="48"/>
  <c r="F80" i="48"/>
  <c r="F81" i="48"/>
  <c r="F82" i="48"/>
  <c r="F83" i="48"/>
  <c r="F84" i="48"/>
  <c r="F85" i="48"/>
  <c r="F86" i="48"/>
  <c r="F87" i="48"/>
  <c r="F88" i="48"/>
  <c r="F89" i="48"/>
  <c r="F90" i="48"/>
  <c r="F91" i="48"/>
  <c r="F92" i="48"/>
  <c r="F93" i="48"/>
  <c r="F94" i="48"/>
  <c r="F95" i="48"/>
  <c r="F96" i="48"/>
  <c r="F97" i="48"/>
  <c r="F98" i="48"/>
  <c r="F99" i="48"/>
  <c r="F100" i="48"/>
  <c r="F101" i="48"/>
  <c r="F102" i="48"/>
  <c r="F103" i="48"/>
  <c r="F104" i="48"/>
  <c r="F105" i="48"/>
  <c r="F106" i="48"/>
  <c r="F107" i="48"/>
  <c r="F108" i="48"/>
  <c r="F109" i="48"/>
  <c r="F110" i="48"/>
  <c r="F111" i="48"/>
  <c r="F112" i="48"/>
  <c r="F113" i="48"/>
  <c r="F114" i="48"/>
  <c r="F115" i="48"/>
  <c r="F116" i="48"/>
  <c r="F117" i="48"/>
  <c r="F118" i="48"/>
  <c r="F119" i="48"/>
  <c r="F120" i="48"/>
  <c r="F121" i="48"/>
  <c r="F122" i="48"/>
  <c r="F123" i="48"/>
  <c r="F124" i="48"/>
  <c r="F125" i="48"/>
  <c r="F126" i="48"/>
  <c r="F127" i="48"/>
  <c r="F128" i="48"/>
  <c r="F129" i="48"/>
  <c r="F130" i="48"/>
  <c r="F131" i="48"/>
  <c r="F132" i="48"/>
  <c r="F133" i="48"/>
  <c r="F134" i="48"/>
  <c r="F135" i="48"/>
  <c r="F136" i="48"/>
  <c r="F137" i="48"/>
  <c r="F138" i="48"/>
  <c r="F139" i="48"/>
  <c r="F140" i="48"/>
  <c r="F141" i="48"/>
  <c r="F142" i="48"/>
  <c r="F143" i="48"/>
  <c r="F144" i="48"/>
  <c r="F145" i="48"/>
  <c r="F146" i="48"/>
  <c r="F147" i="48"/>
  <c r="F148" i="48"/>
  <c r="F149" i="48"/>
  <c r="F150" i="48"/>
  <c r="F151" i="48"/>
  <c r="F152" i="48"/>
  <c r="F153" i="48"/>
  <c r="F154" i="48"/>
  <c r="F155" i="48"/>
  <c r="F156" i="48"/>
  <c r="F157" i="48"/>
  <c r="F158" i="48"/>
  <c r="F159" i="48"/>
  <c r="F160" i="48"/>
  <c r="F161" i="48"/>
  <c r="F162" i="48"/>
  <c r="F163" i="48"/>
  <c r="F164" i="48"/>
  <c r="F165" i="48"/>
  <c r="F166" i="48"/>
  <c r="F167" i="48"/>
  <c r="F168" i="48"/>
  <c r="F169" i="48"/>
  <c r="F170" i="48"/>
  <c r="F171" i="48"/>
  <c r="F172" i="48"/>
  <c r="F173" i="48"/>
  <c r="F174" i="48"/>
  <c r="F175" i="48"/>
  <c r="F176" i="48"/>
  <c r="F177" i="48"/>
  <c r="F178" i="48"/>
  <c r="F179" i="48"/>
  <c r="F180" i="48"/>
  <c r="F181" i="48"/>
  <c r="F182" i="48"/>
  <c r="F183" i="48"/>
  <c r="F184" i="48"/>
  <c r="F185" i="48"/>
  <c r="F186" i="48"/>
  <c r="F187" i="48"/>
  <c r="F188" i="48"/>
  <c r="F189" i="48"/>
  <c r="F190" i="48"/>
  <c r="F191" i="48"/>
  <c r="F192" i="48"/>
  <c r="F193" i="48"/>
  <c r="F194" i="48"/>
  <c r="F195" i="48"/>
  <c r="F196" i="48"/>
  <c r="F197" i="48"/>
  <c r="F198" i="48"/>
  <c r="F199" i="48"/>
  <c r="F200" i="48"/>
  <c r="F201" i="48"/>
  <c r="F202" i="48"/>
  <c r="F203" i="48"/>
  <c r="F204" i="48"/>
  <c r="F205" i="48"/>
  <c r="F206" i="48"/>
  <c r="F207" i="48"/>
  <c r="F208" i="48"/>
  <c r="F209" i="48"/>
  <c r="F210" i="48"/>
  <c r="F211" i="48"/>
  <c r="F212" i="48"/>
  <c r="F213" i="48"/>
  <c r="F214" i="48"/>
  <c r="F215" i="48"/>
  <c r="F216" i="48"/>
  <c r="F217" i="48"/>
  <c r="F218" i="48"/>
  <c r="F219" i="48"/>
  <c r="F220" i="48"/>
  <c r="F221" i="48"/>
  <c r="F222" i="48"/>
  <c r="F223" i="48"/>
  <c r="F224" i="48"/>
  <c r="F225" i="48"/>
  <c r="F226" i="48"/>
  <c r="F227" i="48"/>
  <c r="F228" i="48"/>
  <c r="F229" i="48"/>
  <c r="F230" i="48"/>
  <c r="F231" i="48"/>
  <c r="F232" i="48"/>
  <c r="F233" i="48"/>
  <c r="F234" i="48"/>
  <c r="F235" i="48"/>
  <c r="F236" i="48"/>
  <c r="F237" i="48"/>
  <c r="F238" i="48"/>
  <c r="F239" i="48"/>
  <c r="F240" i="48"/>
  <c r="F241" i="48"/>
  <c r="F242" i="48"/>
  <c r="F243" i="48"/>
  <c r="F244" i="48"/>
  <c r="F245" i="48"/>
  <c r="F246" i="48"/>
  <c r="F247" i="48"/>
  <c r="F248" i="48"/>
  <c r="F249" i="48"/>
  <c r="F250" i="48"/>
  <c r="F251" i="48"/>
  <c r="F252" i="48"/>
  <c r="F253" i="48"/>
  <c r="F254" i="48"/>
  <c r="F255" i="48"/>
  <c r="F256" i="48"/>
  <c r="F257" i="48"/>
  <c r="F258" i="48"/>
  <c r="F259" i="48"/>
  <c r="F260" i="48"/>
  <c r="F261" i="48"/>
  <c r="F262" i="48"/>
  <c r="F263" i="48"/>
  <c r="F264" i="48"/>
  <c r="F265" i="48"/>
  <c r="F266" i="48"/>
  <c r="F267" i="48"/>
  <c r="F268" i="48"/>
  <c r="F269" i="48"/>
  <c r="F270" i="48"/>
  <c r="F271" i="48"/>
  <c r="F272" i="48"/>
  <c r="F273" i="48"/>
  <c r="F274" i="48"/>
  <c r="F275" i="48"/>
  <c r="F276" i="48"/>
  <c r="F277" i="48"/>
  <c r="F278" i="48"/>
  <c r="F279" i="48"/>
  <c r="F280" i="48"/>
  <c r="F281" i="48"/>
  <c r="F282" i="48"/>
  <c r="F283" i="48"/>
  <c r="F284" i="48"/>
  <c r="F285" i="48"/>
  <c r="F286" i="48"/>
  <c r="F287" i="48"/>
  <c r="F288" i="48"/>
  <c r="F289" i="48"/>
  <c r="F290" i="48"/>
  <c r="F291" i="48"/>
  <c r="F292" i="48"/>
  <c r="F293" i="48"/>
  <c r="F294" i="48"/>
  <c r="F295" i="48"/>
  <c r="F296" i="48"/>
  <c r="F297" i="48"/>
  <c r="F298" i="48"/>
  <c r="F299" i="48"/>
  <c r="F300" i="48"/>
  <c r="F301" i="48"/>
  <c r="F302" i="48"/>
  <c r="F303" i="48"/>
  <c r="F304" i="48"/>
  <c r="F305" i="48"/>
  <c r="F306" i="48"/>
  <c r="F307" i="48"/>
  <c r="F308" i="48"/>
  <c r="F309" i="48"/>
  <c r="F310" i="48"/>
  <c r="F311" i="48"/>
  <c r="F312" i="48"/>
  <c r="F313" i="48"/>
  <c r="F314" i="48"/>
  <c r="F315" i="48"/>
  <c r="F316" i="48"/>
  <c r="F317" i="48"/>
  <c r="F318" i="48"/>
  <c r="F319" i="48"/>
  <c r="F320" i="48"/>
  <c r="F321" i="48"/>
  <c r="F322" i="48"/>
  <c r="F323" i="48"/>
  <c r="F324" i="48"/>
  <c r="F325" i="48"/>
  <c r="F326" i="48"/>
  <c r="F327" i="48"/>
  <c r="F328" i="48"/>
  <c r="F329" i="48"/>
  <c r="F330" i="48"/>
  <c r="F331" i="48"/>
  <c r="F332" i="48"/>
  <c r="F333" i="48"/>
  <c r="F334" i="48"/>
  <c r="F335" i="48"/>
  <c r="F336" i="48"/>
  <c r="F337" i="48"/>
  <c r="F338" i="48"/>
  <c r="F339" i="48"/>
  <c r="F340" i="48"/>
  <c r="F341" i="48"/>
  <c r="F342" i="48"/>
  <c r="F343" i="48"/>
  <c r="F344" i="48"/>
  <c r="F345" i="48"/>
  <c r="F346" i="48"/>
  <c r="F347" i="48"/>
  <c r="F348" i="48"/>
  <c r="F349" i="48"/>
  <c r="F350" i="48"/>
  <c r="F351" i="48"/>
  <c r="F352" i="48"/>
  <c r="F353" i="48"/>
  <c r="F354" i="48"/>
  <c r="F355" i="48"/>
  <c r="F356" i="48"/>
  <c r="F357" i="48"/>
  <c r="F358" i="48"/>
  <c r="F359" i="48"/>
  <c r="F360" i="48"/>
  <c r="F361" i="48"/>
  <c r="F362" i="48"/>
  <c r="F363" i="48"/>
  <c r="F364" i="48"/>
  <c r="F365" i="48"/>
  <c r="F366" i="48"/>
  <c r="F367" i="48"/>
  <c r="F368" i="48"/>
  <c r="F369" i="48"/>
  <c r="F370" i="48"/>
  <c r="F371" i="48"/>
  <c r="F372" i="48"/>
  <c r="F373" i="48"/>
  <c r="F374" i="48"/>
  <c r="F375" i="48"/>
  <c r="F376" i="48"/>
  <c r="F377" i="48"/>
  <c r="F378" i="48"/>
  <c r="F379" i="48"/>
  <c r="F380" i="48"/>
  <c r="F381" i="48"/>
  <c r="F382" i="48"/>
  <c r="F383" i="48"/>
  <c r="F384" i="48"/>
  <c r="F385" i="48"/>
  <c r="F386" i="48"/>
  <c r="F387" i="48"/>
  <c r="F388" i="48"/>
  <c r="F389" i="48"/>
  <c r="F390" i="48"/>
  <c r="F391" i="48"/>
  <c r="F392" i="48"/>
  <c r="F393" i="48"/>
  <c r="F394" i="48"/>
  <c r="F395" i="48"/>
  <c r="F396" i="48"/>
  <c r="F397" i="48"/>
  <c r="F398" i="48"/>
  <c r="F399" i="48"/>
  <c r="F400" i="48"/>
  <c r="F401" i="48"/>
  <c r="F402" i="48"/>
  <c r="F403" i="48"/>
  <c r="F404" i="48"/>
  <c r="F405" i="48"/>
  <c r="F406" i="48"/>
  <c r="F407" i="48"/>
  <c r="F408" i="48"/>
  <c r="F409" i="48"/>
  <c r="F410" i="48"/>
  <c r="F411" i="48"/>
  <c r="F412" i="48"/>
  <c r="F413" i="48"/>
  <c r="F414" i="48"/>
  <c r="F415" i="48"/>
  <c r="F416" i="48"/>
  <c r="F417" i="48"/>
  <c r="F418" i="48"/>
  <c r="F419" i="48"/>
  <c r="F420" i="48"/>
  <c r="F421" i="48"/>
  <c r="F422" i="48"/>
  <c r="F423" i="48"/>
  <c r="F424" i="48"/>
  <c r="F425" i="48"/>
  <c r="F426" i="48"/>
  <c r="F427" i="48"/>
  <c r="F428" i="48"/>
  <c r="F429" i="48"/>
  <c r="F430" i="48"/>
  <c r="F431" i="48"/>
  <c r="F432" i="48"/>
  <c r="F433" i="48"/>
  <c r="F434" i="48"/>
  <c r="F435" i="48"/>
  <c r="F436" i="48"/>
  <c r="F437" i="48"/>
  <c r="F438" i="48"/>
  <c r="F439" i="48"/>
  <c r="F440" i="48"/>
  <c r="F441" i="48"/>
  <c r="F442" i="48"/>
  <c r="F443" i="48"/>
  <c r="F444" i="48"/>
  <c r="F445" i="48"/>
  <c r="F446" i="48"/>
  <c r="F447" i="48"/>
  <c r="F448" i="48"/>
  <c r="F449" i="48"/>
  <c r="F450" i="48"/>
  <c r="F451" i="48"/>
  <c r="F452" i="48"/>
  <c r="F453" i="48"/>
  <c r="F454" i="48"/>
  <c r="F455" i="48"/>
  <c r="F456" i="48"/>
  <c r="F457" i="48"/>
  <c r="F458" i="48"/>
  <c r="F459" i="48"/>
  <c r="F460" i="48"/>
  <c r="F461" i="48"/>
  <c r="F462" i="48"/>
  <c r="F463" i="48"/>
  <c r="F464" i="48"/>
  <c r="F465" i="48"/>
  <c r="F466" i="48"/>
  <c r="F467" i="48"/>
  <c r="F468" i="48"/>
  <c r="F469" i="48"/>
  <c r="F470" i="48"/>
  <c r="F471" i="48"/>
  <c r="F472" i="48"/>
  <c r="F473" i="48"/>
  <c r="F474" i="48"/>
  <c r="F475" i="48"/>
  <c r="F476" i="48"/>
  <c r="F477" i="48"/>
  <c r="F478" i="48"/>
  <c r="F479" i="48"/>
  <c r="F480" i="48"/>
  <c r="F481" i="48"/>
  <c r="F482" i="48"/>
  <c r="F483" i="48"/>
  <c r="F484" i="48"/>
  <c r="F485" i="48"/>
  <c r="F486" i="48"/>
  <c r="F487" i="48"/>
  <c r="F488" i="48"/>
  <c r="F489" i="48"/>
  <c r="F490" i="48"/>
  <c r="F491" i="48"/>
  <c r="F492" i="48"/>
  <c r="F493" i="48"/>
  <c r="F494" i="48"/>
  <c r="F495" i="48"/>
  <c r="F496" i="48"/>
  <c r="F497" i="48"/>
  <c r="F498" i="48"/>
  <c r="F499" i="48"/>
  <c r="F500" i="48"/>
  <c r="F501" i="48"/>
  <c r="F502" i="48"/>
  <c r="F503" i="48"/>
  <c r="F504" i="48"/>
  <c r="F505" i="48"/>
  <c r="F506" i="48"/>
  <c r="F507" i="48"/>
  <c r="F508" i="48"/>
  <c r="F509" i="48"/>
  <c r="F510" i="48"/>
  <c r="F511" i="48"/>
  <c r="F512" i="48"/>
  <c r="F513" i="48"/>
  <c r="F514" i="48"/>
  <c r="F515" i="48"/>
  <c r="F516" i="48"/>
  <c r="F517" i="48"/>
  <c r="F518" i="48"/>
  <c r="F519" i="48"/>
  <c r="F520" i="48"/>
  <c r="F521" i="48"/>
  <c r="F522" i="48"/>
  <c r="F523" i="48"/>
  <c r="F524" i="48"/>
  <c r="F525" i="48"/>
  <c r="F526" i="48"/>
  <c r="F527" i="48"/>
  <c r="F528" i="48"/>
  <c r="F529" i="48"/>
  <c r="F530" i="48"/>
  <c r="F531" i="48"/>
  <c r="F532" i="48"/>
  <c r="F533" i="48"/>
  <c r="F534" i="48"/>
  <c r="F535" i="48"/>
  <c r="F536" i="48"/>
  <c r="F537" i="48"/>
  <c r="F538" i="48"/>
  <c r="F539" i="48"/>
  <c r="F540" i="48"/>
  <c r="F541" i="48"/>
  <c r="F542" i="48"/>
  <c r="F543" i="48"/>
  <c r="F544" i="48"/>
  <c r="F545" i="48"/>
  <c r="F546" i="48"/>
  <c r="F547" i="48"/>
  <c r="F548" i="48"/>
  <c r="F549" i="48"/>
  <c r="F550" i="48"/>
  <c r="F551" i="48"/>
  <c r="F552" i="48"/>
  <c r="F553" i="48"/>
  <c r="F554" i="48"/>
  <c r="F555" i="48"/>
  <c r="F556" i="48"/>
  <c r="F557" i="48"/>
  <c r="F558" i="48"/>
  <c r="F559" i="48"/>
  <c r="F560" i="48"/>
  <c r="F561" i="48"/>
  <c r="F562" i="48"/>
  <c r="F563" i="48"/>
  <c r="F564" i="48"/>
  <c r="F565" i="48"/>
  <c r="F566" i="48"/>
  <c r="F567" i="48"/>
  <c r="F568" i="48"/>
  <c r="F569" i="48"/>
  <c r="F570" i="48"/>
  <c r="F571" i="48"/>
  <c r="F572" i="48"/>
  <c r="F573" i="48"/>
  <c r="F574" i="48"/>
  <c r="F575" i="48"/>
  <c r="F576" i="48"/>
  <c r="F577" i="48"/>
  <c r="F578" i="48"/>
  <c r="F579" i="48"/>
  <c r="F580" i="48"/>
  <c r="F581" i="48"/>
  <c r="F582" i="48"/>
  <c r="F583" i="48"/>
  <c r="F584" i="48"/>
  <c r="F585" i="48"/>
  <c r="F586" i="48"/>
  <c r="F587" i="48"/>
  <c r="F588" i="48"/>
  <c r="F589" i="48"/>
  <c r="F590" i="48"/>
  <c r="F591" i="48"/>
  <c r="F592" i="48"/>
  <c r="F593" i="48"/>
  <c r="F594" i="48"/>
  <c r="F595" i="48"/>
  <c r="F596" i="48"/>
  <c r="F597" i="48"/>
  <c r="F598" i="48"/>
  <c r="F599" i="48"/>
  <c r="F600" i="48"/>
  <c r="F601" i="48"/>
  <c r="F602" i="48"/>
  <c r="F603" i="48"/>
  <c r="F604" i="48"/>
  <c r="F605" i="48"/>
  <c r="F606" i="48"/>
  <c r="F607" i="48"/>
  <c r="F608" i="48"/>
  <c r="F609" i="48"/>
  <c r="F610" i="48"/>
  <c r="F611" i="48"/>
  <c r="F612" i="48"/>
  <c r="F613" i="48"/>
  <c r="F614" i="48"/>
  <c r="F615" i="48"/>
  <c r="F616" i="48"/>
  <c r="F617" i="48"/>
  <c r="F618" i="48"/>
  <c r="F619" i="48"/>
  <c r="F620" i="48"/>
  <c r="F621" i="48"/>
  <c r="F622" i="48"/>
  <c r="F623" i="48"/>
  <c r="F624" i="48"/>
  <c r="F625" i="48"/>
  <c r="F626" i="48"/>
  <c r="F627" i="48"/>
  <c r="F628" i="48"/>
  <c r="F629" i="48"/>
  <c r="F630" i="48"/>
  <c r="F631" i="48"/>
  <c r="F632" i="48"/>
  <c r="F633" i="48"/>
  <c r="F634" i="48"/>
  <c r="F635" i="48"/>
  <c r="F636" i="48"/>
  <c r="F637" i="48"/>
  <c r="F638" i="48"/>
  <c r="F639" i="48"/>
  <c r="F640" i="48"/>
  <c r="F641" i="48"/>
  <c r="F642" i="48"/>
  <c r="F643" i="48"/>
  <c r="F644" i="48"/>
  <c r="F645" i="48"/>
  <c r="F646" i="48"/>
  <c r="F647" i="48"/>
  <c r="F648" i="48"/>
  <c r="F649" i="48"/>
  <c r="F650" i="48"/>
  <c r="F651" i="48"/>
  <c r="F652" i="48"/>
  <c r="F653" i="48"/>
  <c r="F654" i="48"/>
  <c r="F655" i="48"/>
  <c r="F656" i="48"/>
  <c r="F657" i="48"/>
  <c r="F658" i="48"/>
  <c r="F659" i="48"/>
  <c r="F660" i="48"/>
  <c r="F661" i="48"/>
  <c r="F662" i="48"/>
  <c r="F663" i="48"/>
  <c r="F664" i="48"/>
  <c r="F665" i="48"/>
  <c r="F666" i="48"/>
  <c r="F667" i="48"/>
  <c r="F668" i="48"/>
  <c r="F669" i="48"/>
  <c r="F670" i="48"/>
  <c r="F671" i="48"/>
  <c r="F672" i="48"/>
  <c r="F673" i="48"/>
  <c r="F674" i="48"/>
  <c r="F675" i="48"/>
  <c r="F676" i="48"/>
  <c r="F677" i="48"/>
  <c r="F678" i="48"/>
  <c r="F679" i="48"/>
  <c r="F680" i="48"/>
  <c r="F681" i="48"/>
  <c r="F682" i="48"/>
  <c r="F683" i="48"/>
  <c r="F684" i="48"/>
  <c r="F685" i="48"/>
  <c r="F686" i="48"/>
  <c r="F687" i="48"/>
  <c r="F688" i="48"/>
  <c r="F689" i="48"/>
  <c r="F690" i="48"/>
  <c r="F691" i="48"/>
  <c r="F692" i="48"/>
  <c r="F693" i="48"/>
  <c r="F694" i="48"/>
  <c r="F695" i="48"/>
  <c r="F696" i="48"/>
  <c r="F697" i="48"/>
  <c r="F698" i="48"/>
  <c r="F699" i="48"/>
  <c r="F700" i="48"/>
  <c r="F701" i="48"/>
  <c r="F702" i="48"/>
  <c r="F703" i="48"/>
  <c r="F704" i="48"/>
  <c r="F705" i="48"/>
  <c r="F706" i="48"/>
  <c r="F707" i="48"/>
  <c r="F708" i="48"/>
  <c r="F709" i="48"/>
  <c r="F710" i="48"/>
  <c r="F711" i="48"/>
  <c r="F712" i="48"/>
  <c r="F713" i="48"/>
  <c r="F714" i="48"/>
  <c r="F715" i="48"/>
  <c r="F716" i="48"/>
  <c r="F717" i="48"/>
  <c r="F718" i="48"/>
  <c r="F719" i="48"/>
  <c r="F720" i="48"/>
  <c r="F721" i="48"/>
  <c r="F722" i="48"/>
  <c r="F723" i="48"/>
  <c r="F724" i="48"/>
  <c r="F725" i="48"/>
  <c r="F726" i="48"/>
  <c r="F727" i="48"/>
  <c r="F728" i="48"/>
  <c r="F729" i="48"/>
  <c r="F730" i="48"/>
  <c r="F731" i="48"/>
  <c r="F732" i="48"/>
  <c r="F733" i="48"/>
  <c r="F734" i="48"/>
  <c r="F735" i="48"/>
  <c r="F736" i="48"/>
  <c r="F737" i="48"/>
  <c r="F738" i="48"/>
  <c r="F739" i="48"/>
  <c r="F740" i="48"/>
  <c r="F741" i="48"/>
  <c r="F742" i="48"/>
  <c r="F743" i="48"/>
  <c r="F744" i="48"/>
  <c r="F745" i="48"/>
  <c r="F746" i="48"/>
  <c r="F747" i="48"/>
  <c r="F748" i="48"/>
  <c r="F749" i="48"/>
  <c r="F750" i="48"/>
  <c r="F751" i="48"/>
  <c r="F752" i="48"/>
  <c r="F753" i="48"/>
  <c r="F754" i="48"/>
  <c r="F755" i="48"/>
  <c r="F756" i="48"/>
  <c r="F757" i="48"/>
  <c r="D10" i="48"/>
  <c r="D11" i="48"/>
  <c r="D12" i="48"/>
  <c r="D13" i="48"/>
  <c r="D14" i="48"/>
  <c r="D15" i="48"/>
  <c r="D16"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6" i="48"/>
  <c r="D47" i="48"/>
  <c r="D48" i="48"/>
  <c r="D49" i="48"/>
  <c r="D50" i="48"/>
  <c r="D51" i="48"/>
  <c r="D52" i="48"/>
  <c r="D53" i="48"/>
  <c r="D54" i="48"/>
  <c r="D55" i="48"/>
  <c r="D56" i="48"/>
  <c r="D57" i="48"/>
  <c r="D58" i="48"/>
  <c r="D59" i="48"/>
  <c r="D60" i="48"/>
  <c r="D61" i="48"/>
  <c r="D62" i="48"/>
  <c r="D63" i="48"/>
  <c r="D64" i="48"/>
  <c r="D65" i="48"/>
  <c r="D66" i="48"/>
  <c r="D67" i="48"/>
  <c r="D68" i="48"/>
  <c r="D69" i="48"/>
  <c r="D70" i="48"/>
  <c r="D71" i="48"/>
  <c r="D72" i="48"/>
  <c r="D73" i="48"/>
  <c r="D74" i="48"/>
  <c r="D75" i="48"/>
  <c r="D76" i="48"/>
  <c r="D77" i="48"/>
  <c r="D78" i="48"/>
  <c r="D79" i="48"/>
  <c r="D80" i="48"/>
  <c r="D81" i="48"/>
  <c r="D82" i="48"/>
  <c r="D83" i="48"/>
  <c r="D84" i="48"/>
  <c r="D85" i="48"/>
  <c r="D86" i="48"/>
  <c r="D87" i="48"/>
  <c r="D88" i="48"/>
  <c r="D89" i="48"/>
  <c r="D90" i="48"/>
  <c r="D91" i="48"/>
  <c r="D92" i="48"/>
  <c r="D93" i="48"/>
  <c r="D94" i="48"/>
  <c r="D95" i="48"/>
  <c r="D96" i="48"/>
  <c r="D97" i="48"/>
  <c r="D98" i="48"/>
  <c r="D99" i="48"/>
  <c r="D100" i="48"/>
  <c r="D101" i="48"/>
  <c r="D102" i="48"/>
  <c r="D103" i="48"/>
  <c r="D104" i="48"/>
  <c r="D105" i="48"/>
  <c r="D106" i="48"/>
  <c r="D107" i="48"/>
  <c r="D108" i="48"/>
  <c r="D109" i="48"/>
  <c r="D110" i="48"/>
  <c r="D111" i="48"/>
  <c r="D112" i="48"/>
  <c r="D113" i="48"/>
  <c r="D114" i="48"/>
  <c r="D115" i="48"/>
  <c r="D116" i="48"/>
  <c r="D117" i="48"/>
  <c r="D118" i="48"/>
  <c r="D119" i="48"/>
  <c r="D120" i="48"/>
  <c r="D121" i="48"/>
  <c r="D122" i="48"/>
  <c r="D123" i="48"/>
  <c r="D124" i="48"/>
  <c r="D125" i="48"/>
  <c r="D126" i="48"/>
  <c r="D127" i="48"/>
  <c r="D128" i="48"/>
  <c r="D129" i="48"/>
  <c r="D130" i="48"/>
  <c r="D131" i="48"/>
  <c r="D132" i="48"/>
  <c r="D133" i="48"/>
  <c r="D134" i="48"/>
  <c r="D135" i="48"/>
  <c r="D136" i="48"/>
  <c r="D137" i="48"/>
  <c r="D138" i="48"/>
  <c r="D139" i="48"/>
  <c r="D140" i="48"/>
  <c r="D141" i="48"/>
  <c r="D142" i="48"/>
  <c r="D143" i="48"/>
  <c r="D144" i="48"/>
  <c r="D145" i="48"/>
  <c r="D146" i="48"/>
  <c r="D147" i="48"/>
  <c r="D148" i="48"/>
  <c r="D149" i="48"/>
  <c r="D150" i="48"/>
  <c r="D151" i="48"/>
  <c r="D152" i="48"/>
  <c r="D153" i="48"/>
  <c r="D154" i="48"/>
  <c r="D155" i="48"/>
  <c r="D156" i="48"/>
  <c r="D157" i="48"/>
  <c r="D158" i="48"/>
  <c r="D159" i="48"/>
  <c r="D160" i="48"/>
  <c r="D161" i="48"/>
  <c r="D162" i="48"/>
  <c r="D163" i="48"/>
  <c r="D164" i="48"/>
  <c r="D165" i="48"/>
  <c r="D166" i="48"/>
  <c r="D167" i="48"/>
  <c r="D168" i="48"/>
  <c r="D169" i="48"/>
  <c r="D170" i="48"/>
  <c r="D171" i="48"/>
  <c r="D172" i="48"/>
  <c r="D173" i="48"/>
  <c r="D174" i="48"/>
  <c r="D175" i="48"/>
  <c r="D176" i="48"/>
  <c r="D177" i="48"/>
  <c r="D178" i="48"/>
  <c r="D179" i="48"/>
  <c r="D180" i="48"/>
  <c r="D181" i="48"/>
  <c r="D182" i="48"/>
  <c r="D183" i="48"/>
  <c r="D184" i="48"/>
  <c r="D185" i="48"/>
  <c r="D186" i="48"/>
  <c r="D187" i="48"/>
  <c r="D188" i="48"/>
  <c r="D189" i="48"/>
  <c r="D190" i="48"/>
  <c r="D191" i="48"/>
  <c r="D192" i="48"/>
  <c r="D193" i="48"/>
  <c r="D194" i="48"/>
  <c r="D195" i="48"/>
  <c r="D196" i="48"/>
  <c r="D197" i="48"/>
  <c r="D198" i="48"/>
  <c r="D199" i="48"/>
  <c r="D200" i="48"/>
  <c r="D201" i="48"/>
  <c r="D202" i="48"/>
  <c r="D203" i="48"/>
  <c r="D204" i="48"/>
  <c r="D205" i="48"/>
  <c r="D206" i="48"/>
  <c r="D207" i="48"/>
  <c r="D208" i="48"/>
  <c r="D209" i="48"/>
  <c r="D210" i="48"/>
  <c r="D211" i="48"/>
  <c r="D212" i="48"/>
  <c r="D213" i="48"/>
  <c r="D214" i="48"/>
  <c r="D215" i="48"/>
  <c r="D216" i="48"/>
  <c r="D217" i="48"/>
  <c r="D218" i="48"/>
  <c r="D219" i="48"/>
  <c r="D220" i="48"/>
  <c r="D221" i="48"/>
  <c r="D222" i="48"/>
  <c r="D223" i="48"/>
  <c r="D224" i="48"/>
  <c r="D225" i="48"/>
  <c r="D226" i="48"/>
  <c r="D227" i="48"/>
  <c r="D228" i="48"/>
  <c r="D229" i="48"/>
  <c r="D230" i="48"/>
  <c r="D231" i="48"/>
  <c r="D232" i="48"/>
  <c r="D233" i="48"/>
  <c r="D234" i="48"/>
  <c r="D235" i="48"/>
  <c r="D236" i="48"/>
  <c r="D237" i="48"/>
  <c r="D238" i="48"/>
  <c r="D239" i="48"/>
  <c r="D240" i="48"/>
  <c r="D241" i="48"/>
  <c r="D242" i="48"/>
  <c r="D243" i="48"/>
  <c r="D244" i="48"/>
  <c r="D245" i="48"/>
  <c r="D246" i="48"/>
  <c r="D247" i="48"/>
  <c r="D248" i="48"/>
  <c r="D249" i="48"/>
  <c r="D250" i="48"/>
  <c r="D251" i="48"/>
  <c r="D252" i="48"/>
  <c r="D253" i="48"/>
  <c r="D254" i="48"/>
  <c r="D255" i="48"/>
  <c r="D256" i="48"/>
  <c r="D257" i="48"/>
  <c r="D258" i="48"/>
  <c r="D259" i="48"/>
  <c r="D260" i="48"/>
  <c r="D261" i="48"/>
  <c r="D262" i="48"/>
  <c r="D263" i="48"/>
  <c r="D264" i="48"/>
  <c r="D265" i="48"/>
  <c r="D266" i="48"/>
  <c r="D267" i="48"/>
  <c r="D268" i="48"/>
  <c r="D269" i="48"/>
  <c r="D270" i="48"/>
  <c r="D271" i="48"/>
  <c r="D272" i="48"/>
  <c r="D273" i="48"/>
  <c r="D274" i="48"/>
  <c r="D275" i="48"/>
  <c r="D276" i="48"/>
  <c r="D277" i="48"/>
  <c r="D278" i="48"/>
  <c r="D279" i="48"/>
  <c r="D280" i="48"/>
  <c r="D281" i="48"/>
  <c r="D282" i="48"/>
  <c r="D283" i="48"/>
  <c r="D284" i="48"/>
  <c r="D285" i="48"/>
  <c r="D286" i="48"/>
  <c r="D287" i="48"/>
  <c r="D288" i="48"/>
  <c r="D289" i="48"/>
  <c r="D290" i="48"/>
  <c r="D291" i="48"/>
  <c r="D292" i="48"/>
  <c r="D293" i="48"/>
  <c r="D294" i="48"/>
  <c r="D295" i="48"/>
  <c r="D296" i="48"/>
  <c r="D297" i="48"/>
  <c r="D298" i="48"/>
  <c r="D299" i="48"/>
  <c r="D300" i="48"/>
  <c r="D301" i="48"/>
  <c r="D302" i="48"/>
  <c r="D303" i="48"/>
  <c r="D304" i="48"/>
  <c r="D305" i="48"/>
  <c r="D306" i="48"/>
  <c r="D307" i="48"/>
  <c r="D308" i="48"/>
  <c r="D309" i="48"/>
  <c r="D310" i="48"/>
  <c r="D311" i="48"/>
  <c r="D312" i="48"/>
  <c r="D313" i="48"/>
  <c r="D314" i="48"/>
  <c r="D315" i="48"/>
  <c r="D316" i="48"/>
  <c r="D317" i="48"/>
  <c r="D318" i="48"/>
  <c r="D319" i="48"/>
  <c r="D320" i="48"/>
  <c r="D321" i="48"/>
  <c r="D322" i="48"/>
  <c r="D323" i="48"/>
  <c r="D324" i="48"/>
  <c r="D325" i="48"/>
  <c r="D326" i="48"/>
  <c r="D327" i="48"/>
  <c r="D328" i="48"/>
  <c r="D329" i="48"/>
  <c r="D330" i="48"/>
  <c r="D331" i="48"/>
  <c r="D332" i="48"/>
  <c r="D333" i="48"/>
  <c r="D334" i="48"/>
  <c r="D335" i="48"/>
  <c r="D336" i="48"/>
  <c r="D337" i="48"/>
  <c r="D338" i="48"/>
  <c r="D339" i="48"/>
  <c r="D340" i="48"/>
  <c r="D341" i="48"/>
  <c r="D342" i="48"/>
  <c r="D343" i="48"/>
  <c r="D344" i="48"/>
  <c r="D345" i="48"/>
  <c r="D346" i="48"/>
  <c r="D347" i="48"/>
  <c r="D348" i="48"/>
  <c r="D349" i="48"/>
  <c r="D350" i="48"/>
  <c r="D351" i="48"/>
  <c r="D352" i="48"/>
  <c r="D353" i="48"/>
  <c r="D354" i="48"/>
  <c r="D355" i="48"/>
  <c r="D356" i="48"/>
  <c r="D357" i="48"/>
  <c r="D358" i="48"/>
  <c r="D359" i="48"/>
  <c r="D360" i="48"/>
  <c r="D361" i="48"/>
  <c r="D362" i="48"/>
  <c r="D363" i="48"/>
  <c r="D364" i="48"/>
  <c r="D365" i="48"/>
  <c r="D366" i="48"/>
  <c r="D367" i="48"/>
  <c r="D368" i="48"/>
  <c r="D369" i="48"/>
  <c r="D370" i="48"/>
  <c r="D371" i="48"/>
  <c r="D372" i="48"/>
  <c r="D373" i="48"/>
  <c r="D374" i="48"/>
  <c r="D375" i="48"/>
  <c r="D376" i="48"/>
  <c r="D377" i="48"/>
  <c r="D378" i="48"/>
  <c r="D379" i="48"/>
  <c r="D380" i="48"/>
  <c r="D381" i="48"/>
  <c r="D382" i="48"/>
  <c r="D383" i="48"/>
  <c r="D384" i="48"/>
  <c r="D385" i="48"/>
  <c r="D386" i="48"/>
  <c r="D387" i="48"/>
  <c r="D388" i="48"/>
  <c r="D389" i="48"/>
  <c r="D390" i="48"/>
  <c r="D391" i="48"/>
  <c r="D392" i="48"/>
  <c r="D393" i="48"/>
  <c r="D394" i="48"/>
  <c r="D395" i="48"/>
  <c r="D396" i="48"/>
  <c r="D397" i="48"/>
  <c r="D398" i="48"/>
  <c r="D399" i="48"/>
  <c r="D400" i="48"/>
  <c r="D401" i="48"/>
  <c r="D402" i="48"/>
  <c r="D403" i="48"/>
  <c r="D404" i="48"/>
  <c r="D405" i="48"/>
  <c r="D406" i="48"/>
  <c r="D407" i="48"/>
  <c r="D408" i="48"/>
  <c r="D409" i="48"/>
  <c r="D410" i="48"/>
  <c r="D411" i="48"/>
  <c r="D412" i="48"/>
  <c r="D413" i="48"/>
  <c r="D414" i="48"/>
  <c r="D415" i="48"/>
  <c r="D416" i="48"/>
  <c r="D417" i="48"/>
  <c r="D418" i="48"/>
  <c r="D419" i="48"/>
  <c r="D420" i="48"/>
  <c r="D421" i="48"/>
  <c r="D422" i="48"/>
  <c r="D423" i="48"/>
  <c r="D424" i="48"/>
  <c r="D425" i="48"/>
  <c r="D426" i="48"/>
  <c r="D427" i="48"/>
  <c r="D428" i="48"/>
  <c r="D429" i="48"/>
  <c r="D430" i="48"/>
  <c r="D431" i="48"/>
  <c r="D432" i="48"/>
  <c r="D433" i="48"/>
  <c r="D434" i="48"/>
  <c r="D435" i="48"/>
  <c r="D436" i="48"/>
  <c r="D437" i="48"/>
  <c r="D438" i="48"/>
  <c r="D439" i="48"/>
  <c r="D440" i="48"/>
  <c r="D441" i="48"/>
  <c r="D442" i="48"/>
  <c r="D443" i="48"/>
  <c r="D444" i="48"/>
  <c r="D445" i="48"/>
  <c r="D446" i="48"/>
  <c r="D447" i="48"/>
  <c r="D448" i="48"/>
  <c r="D449" i="48"/>
  <c r="D450" i="48"/>
  <c r="D451" i="48"/>
  <c r="D452" i="48"/>
  <c r="D453" i="48"/>
  <c r="D454" i="48"/>
  <c r="D455" i="48"/>
  <c r="D456" i="48"/>
  <c r="D457" i="48"/>
  <c r="D458" i="48"/>
  <c r="D459" i="48"/>
  <c r="D460" i="48"/>
  <c r="D461" i="48"/>
  <c r="D462" i="48"/>
  <c r="D463" i="48"/>
  <c r="D464" i="48"/>
  <c r="D465" i="48"/>
  <c r="D466" i="48"/>
  <c r="D467" i="48"/>
  <c r="D468" i="48"/>
  <c r="D469" i="48"/>
  <c r="D470" i="48"/>
  <c r="D471" i="48"/>
  <c r="D472" i="48"/>
  <c r="D473" i="48"/>
  <c r="D474" i="48"/>
  <c r="D475" i="48"/>
  <c r="D476" i="48"/>
  <c r="D477" i="48"/>
  <c r="D478" i="48"/>
  <c r="D479" i="48"/>
  <c r="D480" i="48"/>
  <c r="D481" i="48"/>
  <c r="D482" i="48"/>
  <c r="D483" i="48"/>
  <c r="D484" i="48"/>
  <c r="D485" i="48"/>
  <c r="D486" i="48"/>
  <c r="D487" i="48"/>
  <c r="D488" i="48"/>
  <c r="D489" i="48"/>
  <c r="D490" i="48"/>
  <c r="D491" i="48"/>
  <c r="D492" i="48"/>
  <c r="D493" i="48"/>
  <c r="D494" i="48"/>
  <c r="D495" i="48"/>
  <c r="D496" i="48"/>
  <c r="D497" i="48"/>
  <c r="D498" i="48"/>
  <c r="D499" i="48"/>
  <c r="D500" i="48"/>
  <c r="D501" i="48"/>
  <c r="D502" i="48"/>
  <c r="D503" i="48"/>
  <c r="D504" i="48"/>
  <c r="D505" i="48"/>
  <c r="D506" i="48"/>
  <c r="D507" i="48"/>
  <c r="D508" i="48"/>
  <c r="D509" i="48"/>
  <c r="D510" i="48"/>
  <c r="D511" i="48"/>
  <c r="D512" i="48"/>
  <c r="D513" i="48"/>
  <c r="D514" i="48"/>
  <c r="D515" i="48"/>
  <c r="D516" i="48"/>
  <c r="D517" i="48"/>
  <c r="D518" i="48"/>
  <c r="D519" i="48"/>
  <c r="D520" i="48"/>
  <c r="D521" i="48"/>
  <c r="D522" i="48"/>
  <c r="D523" i="48"/>
  <c r="D524" i="48"/>
  <c r="D525" i="48"/>
  <c r="D526" i="48"/>
  <c r="D527" i="48"/>
  <c r="D528" i="48"/>
  <c r="D529" i="48"/>
  <c r="D530" i="48"/>
  <c r="D531" i="48"/>
  <c r="D532" i="48"/>
  <c r="D533" i="48"/>
  <c r="D534" i="48"/>
  <c r="D535" i="48"/>
  <c r="D536" i="48"/>
  <c r="D537" i="48"/>
  <c r="D538" i="48"/>
  <c r="D539" i="48"/>
  <c r="D540" i="48"/>
  <c r="D541" i="48"/>
  <c r="D542" i="48"/>
  <c r="D543" i="48"/>
  <c r="D544" i="48"/>
  <c r="D545" i="48"/>
  <c r="D546" i="48"/>
  <c r="D547" i="48"/>
  <c r="D548" i="48"/>
  <c r="D549" i="48"/>
  <c r="D550" i="48"/>
  <c r="D551" i="48"/>
  <c r="D552" i="48"/>
  <c r="D553" i="48"/>
  <c r="D554" i="48"/>
  <c r="D555" i="48"/>
  <c r="D556" i="48"/>
  <c r="D557" i="48"/>
  <c r="D558" i="48"/>
  <c r="D559" i="48"/>
  <c r="D560" i="48"/>
  <c r="D561" i="48"/>
  <c r="D562" i="48"/>
  <c r="D563" i="48"/>
  <c r="D564" i="48"/>
  <c r="D565" i="48"/>
  <c r="D566" i="48"/>
  <c r="D567" i="48"/>
  <c r="D568" i="48"/>
  <c r="D569" i="48"/>
  <c r="D570" i="48"/>
  <c r="D571" i="48"/>
  <c r="D572" i="48"/>
  <c r="D573" i="48"/>
  <c r="D574" i="48"/>
  <c r="D575" i="48"/>
  <c r="D576" i="48"/>
  <c r="D577" i="48"/>
  <c r="D578" i="48"/>
  <c r="D579" i="48"/>
  <c r="D580" i="48"/>
  <c r="D581" i="48"/>
  <c r="D582" i="48"/>
  <c r="D583" i="48"/>
  <c r="D584" i="48"/>
  <c r="D585" i="48"/>
  <c r="D586" i="48"/>
  <c r="D587" i="48"/>
  <c r="D588" i="48"/>
  <c r="D589" i="48"/>
  <c r="D590" i="48"/>
  <c r="D591" i="48"/>
  <c r="D592" i="48"/>
  <c r="D593" i="48"/>
  <c r="D594" i="48"/>
  <c r="D595" i="48"/>
  <c r="D596" i="48"/>
  <c r="D597" i="48"/>
  <c r="D598" i="48"/>
  <c r="D599" i="48"/>
  <c r="D600" i="48"/>
  <c r="D601" i="48"/>
  <c r="D602" i="48"/>
  <c r="D603" i="48"/>
  <c r="D604" i="48"/>
  <c r="D605" i="48"/>
  <c r="D606" i="48"/>
  <c r="D607" i="48"/>
  <c r="D608" i="48"/>
  <c r="D609" i="48"/>
  <c r="D610" i="48"/>
  <c r="D611" i="48"/>
  <c r="D612" i="48"/>
  <c r="D613" i="48"/>
  <c r="D614" i="48"/>
  <c r="D615" i="48"/>
  <c r="D616" i="48"/>
  <c r="D617" i="48"/>
  <c r="D618" i="48"/>
  <c r="D619" i="48"/>
  <c r="D620" i="48"/>
  <c r="D621" i="48"/>
  <c r="D622" i="48"/>
  <c r="D623" i="48"/>
  <c r="D624" i="48"/>
  <c r="D625" i="48"/>
  <c r="D626" i="48"/>
  <c r="D627" i="48"/>
  <c r="D628" i="48"/>
  <c r="D629" i="48"/>
  <c r="D630" i="48"/>
  <c r="D631" i="48"/>
  <c r="D632" i="48"/>
  <c r="D633" i="48"/>
  <c r="D634" i="48"/>
  <c r="D635" i="48"/>
  <c r="D636" i="48"/>
  <c r="D637" i="48"/>
  <c r="D638" i="48"/>
  <c r="D639" i="48"/>
  <c r="D640" i="48"/>
  <c r="D641" i="48"/>
  <c r="D642" i="48"/>
  <c r="D643" i="48"/>
  <c r="D644" i="48"/>
  <c r="D645" i="48"/>
  <c r="D646" i="48"/>
  <c r="D647" i="48"/>
  <c r="D648" i="48"/>
  <c r="D649" i="48"/>
  <c r="D650" i="48"/>
  <c r="D651" i="48"/>
  <c r="D652" i="48"/>
  <c r="D653" i="48"/>
  <c r="D654" i="48"/>
  <c r="D655" i="48"/>
  <c r="D656" i="48"/>
  <c r="D657" i="48"/>
  <c r="D658" i="48"/>
  <c r="D659" i="48"/>
  <c r="D660" i="48"/>
  <c r="D661" i="48"/>
  <c r="D662" i="48"/>
  <c r="D663" i="48"/>
  <c r="D664" i="48"/>
  <c r="D665" i="48"/>
  <c r="D666" i="48"/>
  <c r="D667" i="48"/>
  <c r="D668" i="48"/>
  <c r="D669" i="48"/>
  <c r="D670" i="48"/>
  <c r="D671" i="48"/>
  <c r="D672" i="48"/>
  <c r="D673" i="48"/>
  <c r="D674" i="48"/>
  <c r="D675" i="48"/>
  <c r="D676" i="48"/>
  <c r="D677" i="48"/>
  <c r="D678" i="48"/>
  <c r="D679" i="48"/>
  <c r="D680" i="48"/>
  <c r="D681" i="48"/>
  <c r="D682" i="48"/>
  <c r="D683" i="48"/>
  <c r="D684" i="48"/>
  <c r="D685" i="48"/>
  <c r="D686" i="48"/>
  <c r="D687" i="48"/>
  <c r="D688" i="48"/>
  <c r="D689" i="48"/>
  <c r="D690" i="48"/>
  <c r="D691" i="48"/>
  <c r="D692" i="48"/>
  <c r="D693" i="48"/>
  <c r="D694" i="48"/>
  <c r="D695" i="48"/>
  <c r="D696" i="48"/>
  <c r="D697" i="48"/>
  <c r="D698" i="48"/>
  <c r="D699" i="48"/>
  <c r="D700" i="48"/>
  <c r="D701" i="48"/>
  <c r="D702" i="48"/>
  <c r="D703" i="48"/>
  <c r="D704" i="48"/>
  <c r="D705" i="48"/>
  <c r="D706" i="48"/>
  <c r="D707" i="48"/>
  <c r="D708" i="48"/>
  <c r="D709" i="48"/>
  <c r="D710" i="48"/>
  <c r="D711" i="48"/>
  <c r="D712" i="48"/>
  <c r="D713" i="48"/>
  <c r="D714" i="48"/>
  <c r="D715" i="48"/>
  <c r="D716" i="48"/>
  <c r="D717" i="48"/>
  <c r="D718" i="48"/>
  <c r="D719" i="48"/>
  <c r="D720" i="48"/>
  <c r="D721" i="48"/>
  <c r="D722" i="48"/>
  <c r="D723" i="48"/>
  <c r="D724" i="48"/>
  <c r="D725" i="48"/>
  <c r="D726" i="48"/>
  <c r="D727" i="48"/>
  <c r="D728" i="48"/>
  <c r="D729" i="48"/>
  <c r="D730" i="48"/>
  <c r="D731" i="48"/>
  <c r="D732" i="48"/>
  <c r="D733" i="48"/>
  <c r="D734" i="48"/>
  <c r="D735" i="48"/>
  <c r="D736" i="48"/>
  <c r="D737" i="48"/>
  <c r="D738" i="48"/>
  <c r="D739" i="48"/>
  <c r="D740" i="48"/>
  <c r="D741" i="48"/>
  <c r="D742" i="48"/>
  <c r="D743" i="48"/>
  <c r="D744" i="48"/>
  <c r="D745" i="48"/>
  <c r="D746" i="48"/>
  <c r="D747" i="48"/>
  <c r="D748" i="48"/>
  <c r="D749" i="48"/>
  <c r="D750" i="48"/>
  <c r="D751" i="48"/>
  <c r="D752" i="48"/>
  <c r="D753" i="48"/>
  <c r="D754" i="48"/>
  <c r="D755" i="48"/>
  <c r="D756" i="48"/>
  <c r="D757" i="48"/>
  <c r="F9" i="48"/>
  <c r="D9" i="48"/>
  <c r="D782" i="48"/>
  <c r="D783" i="48"/>
  <c r="D784" i="48"/>
  <c r="D785" i="48"/>
  <c r="D786" i="48"/>
  <c r="D787" i="48"/>
  <c r="D788" i="48"/>
  <c r="D789" i="48"/>
  <c r="D790" i="48"/>
  <c r="D791" i="48"/>
  <c r="D792" i="48"/>
  <c r="D793" i="48"/>
  <c r="D794" i="48"/>
  <c r="D795" i="48"/>
  <c r="D796" i="48"/>
  <c r="D797" i="48"/>
  <c r="D798" i="48"/>
  <c r="D799" i="48"/>
  <c r="D800" i="48"/>
  <c r="D801" i="48"/>
  <c r="D802" i="48"/>
  <c r="D803" i="48"/>
  <c r="D804" i="48"/>
  <c r="D805" i="48"/>
  <c r="D806" i="48"/>
  <c r="D807" i="48"/>
  <c r="D808" i="48"/>
  <c r="D809" i="48"/>
  <c r="D810" i="48"/>
  <c r="D811" i="48"/>
  <c r="D812" i="48"/>
  <c r="D813" i="48"/>
  <c r="D814" i="48"/>
  <c r="D815" i="48"/>
  <c r="D816" i="48"/>
  <c r="D817" i="48"/>
  <c r="D818" i="48"/>
  <c r="D819" i="48"/>
  <c r="D820" i="48"/>
  <c r="D821" i="48"/>
  <c r="D822" i="48"/>
  <c r="D823" i="48"/>
  <c r="D824" i="48"/>
  <c r="D825" i="48"/>
  <c r="D826" i="48"/>
  <c r="D827" i="48"/>
  <c r="D828" i="48"/>
  <c r="D829" i="48"/>
  <c r="D830" i="48"/>
  <c r="D831" i="48"/>
  <c r="D832" i="48"/>
  <c r="D833" i="48"/>
  <c r="D834" i="48"/>
  <c r="D835" i="48"/>
  <c r="D836" i="48"/>
  <c r="D837" i="48"/>
  <c r="D838" i="48"/>
  <c r="D839" i="48"/>
  <c r="D840" i="48"/>
  <c r="D841" i="48"/>
  <c r="D842" i="48"/>
  <c r="D843" i="48"/>
  <c r="D844" i="48"/>
  <c r="D845" i="48"/>
  <c r="D846" i="48"/>
  <c r="D847" i="48"/>
  <c r="D848" i="48"/>
  <c r="D849" i="48"/>
  <c r="D850" i="48"/>
  <c r="D851" i="48"/>
  <c r="D852" i="48"/>
  <c r="D853" i="48"/>
  <c r="D854" i="48"/>
  <c r="D855" i="48"/>
  <c r="D856" i="48"/>
  <c r="D857" i="48"/>
  <c r="D858" i="48"/>
  <c r="D859" i="48"/>
  <c r="D860" i="48"/>
  <c r="D861" i="48"/>
  <c r="D862" i="48"/>
  <c r="D863" i="48"/>
  <c r="D864" i="48"/>
  <c r="D865" i="48"/>
  <c r="D866" i="48"/>
  <c r="D867" i="48"/>
  <c r="D868" i="48"/>
  <c r="D869" i="48"/>
  <c r="D870" i="48"/>
  <c r="D871" i="48"/>
  <c r="D872" i="48"/>
  <c r="D873" i="48"/>
  <c r="D874" i="48"/>
  <c r="D875" i="48"/>
  <c r="D876" i="48"/>
  <c r="D877" i="48"/>
  <c r="D878" i="48"/>
  <c r="D879" i="48"/>
  <c r="D880" i="48"/>
  <c r="D881" i="48"/>
  <c r="D882" i="48"/>
  <c r="D883" i="48"/>
  <c r="D884" i="48"/>
  <c r="D885" i="48"/>
  <c r="D886" i="48"/>
  <c r="D887" i="48"/>
  <c r="D888" i="48"/>
  <c r="D889" i="48"/>
  <c r="D890" i="48"/>
  <c r="D891" i="48"/>
  <c r="D892" i="48"/>
  <c r="D893" i="48"/>
  <c r="D894" i="48"/>
  <c r="D895" i="48"/>
  <c r="D896" i="48"/>
  <c r="D897" i="48"/>
  <c r="D898" i="48"/>
  <c r="D899" i="48"/>
  <c r="D900" i="48"/>
  <c r="D901" i="48"/>
  <c r="D902" i="48"/>
  <c r="D903" i="48"/>
  <c r="D904" i="48"/>
  <c r="D905" i="48"/>
  <c r="D906" i="48"/>
  <c r="D907" i="48"/>
  <c r="D908" i="48"/>
  <c r="D909" i="48"/>
  <c r="D910" i="48"/>
  <c r="D911" i="48"/>
  <c r="D912" i="48"/>
  <c r="D913" i="48"/>
  <c r="D914" i="48"/>
  <c r="D915" i="48"/>
  <c r="D916" i="48"/>
  <c r="D917" i="48"/>
  <c r="D918" i="48"/>
  <c r="D919" i="48"/>
  <c r="D920" i="48"/>
  <c r="D921" i="48"/>
  <c r="D922" i="48"/>
  <c r="D923" i="48"/>
  <c r="D924" i="48"/>
  <c r="D925" i="48"/>
  <c r="D926" i="48"/>
  <c r="D927" i="48"/>
  <c r="D928" i="48"/>
  <c r="D929" i="48"/>
  <c r="D930" i="48"/>
  <c r="D931" i="48"/>
  <c r="D932" i="48"/>
  <c r="D933" i="48"/>
  <c r="D934" i="48"/>
  <c r="D935" i="48"/>
  <c r="D936" i="48"/>
  <c r="D937" i="48"/>
  <c r="D938" i="48"/>
  <c r="D939" i="48"/>
  <c r="D940" i="48"/>
  <c r="D941" i="48"/>
  <c r="D942" i="48"/>
  <c r="D943" i="48"/>
  <c r="D944" i="48"/>
  <c r="D945" i="48"/>
  <c r="D946" i="48"/>
  <c r="D947" i="48"/>
  <c r="D948" i="48"/>
  <c r="D949" i="48"/>
  <c r="D950" i="48"/>
  <c r="D951" i="48"/>
  <c r="D952" i="48"/>
  <c r="D953" i="48"/>
  <c r="D954" i="48"/>
  <c r="D955" i="48"/>
  <c r="D956" i="48"/>
  <c r="D957" i="48"/>
  <c r="D958" i="48"/>
  <c r="D959" i="48"/>
  <c r="D960" i="48"/>
  <c r="D961" i="48"/>
  <c r="D962" i="48"/>
  <c r="D963" i="48"/>
  <c r="D964" i="48"/>
  <c r="D965" i="48"/>
  <c r="D966" i="48"/>
  <c r="D967" i="48"/>
  <c r="D968" i="48"/>
  <c r="D969" i="48"/>
  <c r="D970" i="48"/>
  <c r="D971" i="48"/>
  <c r="D972" i="48"/>
  <c r="D973" i="48"/>
  <c r="D974" i="48"/>
  <c r="D975" i="48"/>
  <c r="D976" i="48"/>
  <c r="D977" i="48"/>
  <c r="D978" i="48"/>
  <c r="D979" i="48"/>
  <c r="D980" i="48"/>
  <c r="D981" i="48"/>
  <c r="D982" i="48"/>
  <c r="D983" i="48"/>
  <c r="D984" i="48"/>
  <c r="D985" i="48"/>
  <c r="D986" i="48"/>
  <c r="D987" i="48"/>
  <c r="D988" i="48"/>
  <c r="D989" i="48"/>
  <c r="D990" i="48"/>
  <c r="D991" i="48"/>
  <c r="D992" i="48"/>
  <c r="D993" i="48"/>
  <c r="D994" i="48"/>
  <c r="D995" i="48"/>
  <c r="D996" i="48"/>
  <c r="D997" i="48"/>
  <c r="D998" i="48"/>
  <c r="D999" i="48"/>
  <c r="D1000" i="48"/>
  <c r="D1001" i="48"/>
  <c r="D1002" i="48"/>
  <c r="D1003" i="48"/>
  <c r="D1004" i="48"/>
  <c r="D1005" i="48"/>
  <c r="D1006" i="48"/>
  <c r="D1007" i="48"/>
  <c r="D1008" i="48"/>
  <c r="D1009" i="48"/>
  <c r="D1010" i="48"/>
  <c r="D1011" i="48"/>
  <c r="D1012" i="48"/>
  <c r="D1013" i="48"/>
  <c r="D1014" i="48"/>
  <c r="D1015" i="48"/>
  <c r="D1016" i="48"/>
  <c r="D1017" i="48"/>
  <c r="D1018" i="48"/>
  <c r="D1019" i="48"/>
  <c r="D1020" i="48"/>
  <c r="D1021" i="48"/>
  <c r="D1022" i="48"/>
  <c r="D1023" i="48"/>
  <c r="D1024" i="48"/>
  <c r="D1025" i="48"/>
  <c r="D1026" i="48"/>
  <c r="D1027" i="48"/>
  <c r="D1028" i="48"/>
  <c r="D1029" i="48"/>
  <c r="D1030" i="48"/>
  <c r="D1031" i="48"/>
  <c r="D1032" i="48"/>
  <c r="D1033" i="48"/>
  <c r="D1034" i="48"/>
  <c r="D1035" i="48"/>
  <c r="D1036" i="48"/>
  <c r="D1037" i="48"/>
  <c r="D1038" i="48"/>
  <c r="D1039" i="48"/>
  <c r="D1040" i="48"/>
  <c r="D1041" i="48"/>
  <c r="D1042" i="48"/>
  <c r="D1043" i="48"/>
  <c r="D1044" i="48"/>
  <c r="D1045" i="48"/>
  <c r="D1046" i="48"/>
  <c r="D1047" i="48"/>
  <c r="D1048" i="48"/>
  <c r="D1049" i="48"/>
  <c r="D1050" i="48"/>
  <c r="D1051" i="48"/>
  <c r="D1052" i="48"/>
  <c r="D1053" i="48"/>
  <c r="D1054" i="48"/>
  <c r="D1055" i="48"/>
  <c r="D1056" i="48"/>
  <c r="D1057" i="48"/>
  <c r="D1058" i="48"/>
  <c r="D1059" i="48"/>
  <c r="D1060" i="48"/>
  <c r="D1061" i="48"/>
  <c r="D1062" i="48"/>
  <c r="D1063" i="48"/>
  <c r="D1064" i="48"/>
  <c r="D1065" i="48"/>
  <c r="D1066" i="48"/>
  <c r="D1067" i="48"/>
  <c r="D1068" i="48"/>
  <c r="D1069" i="48"/>
  <c r="D1070" i="48"/>
  <c r="D1071" i="48"/>
  <c r="D1072" i="48"/>
  <c r="D1073" i="48"/>
  <c r="D1074" i="48"/>
  <c r="D1075" i="48"/>
  <c r="D1076" i="48"/>
  <c r="D1077" i="48"/>
  <c r="D1078" i="48"/>
  <c r="D1079" i="48"/>
  <c r="D1080" i="48"/>
  <c r="D1081" i="48"/>
  <c r="D1082" i="48"/>
  <c r="D1083" i="48"/>
  <c r="D1084" i="48"/>
  <c r="D1085" i="48"/>
  <c r="D1086" i="48"/>
  <c r="D1087" i="48"/>
  <c r="D1088" i="48"/>
  <c r="D1089" i="48"/>
  <c r="D1090" i="48"/>
  <c r="D1091" i="48"/>
  <c r="D1092" i="48"/>
  <c r="D1093" i="48"/>
  <c r="D1094" i="48"/>
  <c r="D1095" i="48"/>
  <c r="D1096" i="48"/>
  <c r="D1097" i="48"/>
  <c r="D1098" i="48"/>
  <c r="D1099" i="48"/>
  <c r="D1100" i="48"/>
  <c r="D1101" i="48"/>
  <c r="D1102" i="48"/>
  <c r="D1103" i="48"/>
  <c r="D1104" i="48"/>
  <c r="D1105" i="48"/>
  <c r="D1106" i="48"/>
  <c r="D1107" i="48"/>
  <c r="D1108" i="48"/>
  <c r="D1109" i="48"/>
  <c r="D1110" i="48"/>
  <c r="D1111" i="48"/>
  <c r="D1112" i="48"/>
  <c r="D1113" i="48"/>
  <c r="D1114" i="48"/>
  <c r="D1115" i="48"/>
  <c r="D1116" i="48"/>
  <c r="D1117" i="48"/>
  <c r="D1118" i="48"/>
  <c r="D1119" i="48"/>
  <c r="D1120" i="48"/>
  <c r="D1121" i="48"/>
  <c r="D1122" i="48"/>
  <c r="D1123" i="48"/>
  <c r="D1124" i="48"/>
  <c r="D1125" i="48"/>
  <c r="D1126" i="48"/>
  <c r="D1127" i="48"/>
  <c r="D1128" i="48"/>
  <c r="D1129" i="48"/>
  <c r="D1130" i="48"/>
  <c r="D1131" i="48"/>
  <c r="D1132" i="48"/>
  <c r="D1133" i="48"/>
  <c r="D1134" i="48"/>
  <c r="D1135" i="48"/>
  <c r="D1136" i="48"/>
  <c r="D1137" i="48"/>
  <c r="D1138" i="48"/>
  <c r="D1139" i="48"/>
  <c r="D1140" i="48"/>
  <c r="D1141" i="48"/>
  <c r="D1142" i="48"/>
  <c r="D1143" i="48"/>
  <c r="D1144" i="48"/>
  <c r="D1145" i="48"/>
  <c r="D1146" i="48"/>
  <c r="D1147" i="48"/>
  <c r="D1148" i="48"/>
  <c r="D1149" i="48"/>
  <c r="D1150" i="48"/>
  <c r="D1151" i="48"/>
  <c r="D1152" i="48"/>
  <c r="D1153" i="48"/>
  <c r="D1154" i="48"/>
  <c r="D1155" i="48"/>
  <c r="D1156" i="48"/>
  <c r="D1157" i="48"/>
  <c r="D1158" i="48"/>
  <c r="D1159" i="48"/>
  <c r="D1160" i="48"/>
  <c r="D1161" i="48"/>
  <c r="D1162" i="48"/>
  <c r="D1163" i="48"/>
  <c r="D1164" i="48"/>
  <c r="D1165" i="48"/>
  <c r="D1166" i="48"/>
  <c r="D1167" i="48"/>
  <c r="D1168" i="48"/>
  <c r="D1169" i="48"/>
  <c r="D1170" i="48"/>
  <c r="D1171" i="48"/>
  <c r="D1172" i="48"/>
  <c r="D1173" i="48"/>
  <c r="D1174" i="48"/>
  <c r="D1175" i="48"/>
  <c r="D1176" i="48"/>
  <c r="D1177" i="48"/>
  <c r="D1178" i="48"/>
  <c r="D1179" i="48"/>
  <c r="D1180" i="48"/>
  <c r="D1181" i="48"/>
  <c r="D1182" i="48"/>
  <c r="D1183" i="48"/>
  <c r="D1184" i="48"/>
  <c r="D1185" i="48"/>
  <c r="D1186" i="48"/>
  <c r="D1187" i="48"/>
  <c r="D1188" i="48"/>
  <c r="D1189" i="48"/>
  <c r="D1190" i="48"/>
  <c r="D1191" i="48"/>
  <c r="D1192" i="48"/>
  <c r="D1193" i="48"/>
  <c r="D1194" i="48"/>
  <c r="D1195" i="48"/>
  <c r="D1196" i="48"/>
  <c r="D1197" i="48"/>
  <c r="D1198" i="48"/>
  <c r="D1199" i="48"/>
  <c r="D1200" i="48"/>
  <c r="D1201" i="48"/>
  <c r="D1202" i="48"/>
  <c r="D1203" i="48"/>
  <c r="D1204" i="48"/>
  <c r="D1205" i="48"/>
  <c r="D1206" i="48"/>
  <c r="D1207" i="48"/>
  <c r="D1208" i="48"/>
  <c r="D1209" i="48"/>
  <c r="D1210" i="48"/>
  <c r="D1211" i="48"/>
  <c r="D1212" i="48"/>
  <c r="D1213" i="48"/>
  <c r="D1214" i="48"/>
  <c r="D1215" i="48"/>
  <c r="D1216" i="48"/>
  <c r="D1217" i="48"/>
  <c r="D1218" i="48"/>
  <c r="D1219" i="48"/>
  <c r="D1220" i="48"/>
  <c r="D1221" i="48"/>
  <c r="D1222" i="48"/>
  <c r="D1223" i="48"/>
  <c r="D1224" i="48"/>
  <c r="D1225" i="48"/>
  <c r="D1226" i="48"/>
  <c r="D1227" i="48"/>
  <c r="D1228" i="48"/>
  <c r="D1229" i="48"/>
  <c r="D1230" i="48"/>
  <c r="D1231" i="48"/>
  <c r="D1232" i="48"/>
  <c r="D1233" i="48"/>
  <c r="D1234" i="48"/>
  <c r="D1235" i="48"/>
  <c r="D1236" i="48"/>
  <c r="D1237" i="48"/>
  <c r="D1238" i="48"/>
  <c r="D1239" i="48"/>
  <c r="D1240" i="48"/>
  <c r="D1241" i="48"/>
  <c r="D1242" i="48"/>
  <c r="D1243" i="48"/>
  <c r="D1244" i="48"/>
  <c r="D1245" i="48"/>
  <c r="D1246" i="48"/>
  <c r="D1247" i="48"/>
  <c r="D1248" i="48"/>
  <c r="D1249" i="48"/>
  <c r="D1250" i="48"/>
  <c r="D1251" i="48"/>
  <c r="D1252" i="48"/>
  <c r="D1253" i="48"/>
  <c r="D1254" i="48"/>
  <c r="D1255" i="48"/>
  <c r="D1256" i="48"/>
  <c r="D1257" i="48"/>
  <c r="D1258" i="48"/>
  <c r="D1259" i="48"/>
  <c r="D1260" i="48"/>
  <c r="D1261" i="48"/>
  <c r="D1262" i="48"/>
  <c r="D1263" i="48"/>
  <c r="D1264" i="48"/>
  <c r="D1265" i="48"/>
  <c r="D1266" i="48"/>
  <c r="D1267" i="48"/>
  <c r="D1268" i="48"/>
  <c r="D1269" i="48"/>
  <c r="D1270" i="48"/>
  <c r="D1271" i="48"/>
  <c r="D1272" i="48"/>
  <c r="D1273" i="48"/>
  <c r="D1274" i="48"/>
  <c r="D1275" i="48"/>
  <c r="D1276" i="48"/>
  <c r="D1277" i="48"/>
  <c r="D1278" i="48"/>
  <c r="D1279" i="48"/>
  <c r="D1280" i="48"/>
  <c r="D1281" i="48"/>
  <c r="D1282" i="48"/>
  <c r="D1283" i="48"/>
  <c r="D1284" i="48"/>
  <c r="D1285" i="48"/>
  <c r="D1286" i="48"/>
  <c r="D1287" i="48"/>
  <c r="D1288" i="48"/>
  <c r="D1289" i="48"/>
  <c r="D1290" i="48"/>
  <c r="D1291" i="48"/>
  <c r="D1292" i="48"/>
  <c r="D1293" i="48"/>
  <c r="D1294" i="48"/>
  <c r="D1295" i="48"/>
  <c r="D1296" i="48"/>
  <c r="D1297" i="48"/>
  <c r="D1298" i="48"/>
  <c r="D1299" i="48"/>
  <c r="D1300" i="48"/>
  <c r="D1301" i="48"/>
  <c r="D1302" i="48"/>
  <c r="D1303" i="48"/>
  <c r="D1304" i="48"/>
  <c r="D1305" i="48"/>
  <c r="D1306" i="48"/>
  <c r="D1307" i="48"/>
  <c r="D1308" i="48"/>
  <c r="D1309" i="48"/>
  <c r="D1310" i="48"/>
  <c r="D1311" i="48"/>
  <c r="D1312" i="48"/>
  <c r="D1313" i="48"/>
  <c r="D1314" i="48"/>
  <c r="D1315" i="48"/>
  <c r="D1316" i="48"/>
  <c r="D1317" i="48"/>
  <c r="D1318" i="48"/>
  <c r="D1319" i="48"/>
  <c r="D1320" i="48"/>
  <c r="D1321" i="48"/>
  <c r="D1322" i="48"/>
  <c r="D1323" i="48"/>
  <c r="D1324" i="48"/>
  <c r="D1325" i="48"/>
  <c r="D1326" i="48"/>
  <c r="D1327" i="48"/>
  <c r="D1328" i="48"/>
  <c r="D1329" i="48"/>
  <c r="D1330" i="48"/>
  <c r="D1331" i="48"/>
  <c r="D1332" i="48"/>
  <c r="D1333" i="48"/>
  <c r="D1334" i="48"/>
  <c r="D1335" i="48"/>
  <c r="D1336" i="48"/>
  <c r="D1337" i="48"/>
  <c r="D1338" i="48"/>
  <c r="D1339" i="48"/>
  <c r="D1340" i="48"/>
  <c r="D1341" i="48"/>
  <c r="D1342" i="48"/>
  <c r="D1343" i="48"/>
  <c r="D1344" i="48"/>
  <c r="D1345" i="48"/>
  <c r="D1346" i="48"/>
  <c r="D1347" i="48"/>
  <c r="D1348" i="48"/>
  <c r="D1349" i="48"/>
  <c r="D1350" i="48"/>
  <c r="D1351" i="48"/>
  <c r="D1352" i="48"/>
  <c r="D1353" i="48"/>
  <c r="D1354" i="48"/>
  <c r="D1355" i="48"/>
  <c r="D1356" i="48"/>
  <c r="D1357" i="48"/>
  <c r="D1358" i="48"/>
  <c r="D1359" i="48"/>
  <c r="D1360" i="48"/>
  <c r="D1361" i="48"/>
  <c r="D1362" i="48"/>
  <c r="D1363" i="48"/>
  <c r="D1364" i="48"/>
  <c r="D1365" i="48"/>
  <c r="D1366" i="48"/>
  <c r="D1367" i="48"/>
  <c r="D1368" i="48"/>
  <c r="D1369" i="48"/>
  <c r="D1370" i="48"/>
  <c r="D1371" i="48"/>
  <c r="D1372" i="48"/>
  <c r="D1373" i="48"/>
  <c r="D1374" i="48"/>
  <c r="D1375" i="48"/>
  <c r="D1376" i="48"/>
  <c r="D1377" i="48"/>
  <c r="D1378" i="48"/>
  <c r="D1379" i="48"/>
  <c r="D1380" i="48"/>
  <c r="D1381" i="48"/>
  <c r="D1382" i="48"/>
  <c r="D1383" i="48"/>
  <c r="D1384" i="48"/>
  <c r="D1385" i="48"/>
  <c r="D1386" i="48"/>
  <c r="D1387" i="48"/>
  <c r="D1388" i="48"/>
  <c r="D1389" i="48"/>
  <c r="D1390" i="48"/>
  <c r="D1391" i="48"/>
  <c r="D1392" i="48"/>
  <c r="D1393" i="48"/>
  <c r="D1394" i="48"/>
  <c r="D1395" i="48"/>
  <c r="D1396" i="48"/>
  <c r="D1397" i="48"/>
  <c r="D1398" i="48"/>
  <c r="D1399" i="48"/>
  <c r="D1400" i="48"/>
  <c r="D1401" i="48"/>
  <c r="D1402" i="48"/>
  <c r="D1403" i="48"/>
  <c r="D1404" i="48"/>
  <c r="D1405" i="48"/>
  <c r="D1406" i="48"/>
  <c r="D1407" i="48"/>
  <c r="D1408" i="48"/>
  <c r="D1409" i="48"/>
  <c r="D1410" i="48"/>
  <c r="D1411" i="48"/>
  <c r="D1412" i="48"/>
  <c r="D1413" i="48"/>
  <c r="D1414" i="48"/>
  <c r="D1415" i="48"/>
  <c r="D1416" i="48"/>
  <c r="D1417" i="48"/>
  <c r="D1418" i="48"/>
  <c r="D1419" i="48"/>
  <c r="D1420" i="48"/>
  <c r="D1421" i="48"/>
  <c r="D1422" i="48"/>
  <c r="D1423" i="48"/>
  <c r="D1424" i="48"/>
  <c r="D1425" i="48"/>
  <c r="D1426" i="48"/>
  <c r="D1427" i="48"/>
  <c r="D1428" i="48"/>
  <c r="D1429" i="48"/>
  <c r="D1430" i="48"/>
  <c r="D1431" i="48"/>
  <c r="D1432" i="48"/>
  <c r="D1433" i="48"/>
  <c r="D1434" i="48"/>
  <c r="D1435" i="48"/>
  <c r="D1436" i="48"/>
  <c r="D1437" i="48"/>
  <c r="D1438" i="48"/>
  <c r="D1439" i="48"/>
  <c r="D1440" i="48"/>
  <c r="D1441" i="48"/>
  <c r="D1442" i="48"/>
  <c r="D1443" i="48"/>
  <c r="D1444" i="48"/>
  <c r="D1445" i="48"/>
  <c r="D1446" i="48"/>
  <c r="D1447" i="48"/>
  <c r="D1448" i="48"/>
  <c r="D1449" i="48"/>
  <c r="D1450" i="48"/>
  <c r="D1451" i="48"/>
  <c r="D1452" i="48"/>
  <c r="D1453" i="48"/>
  <c r="D1454" i="48"/>
  <c r="D1455" i="48"/>
  <c r="D1456" i="48"/>
  <c r="D1457" i="48"/>
  <c r="D1458" i="48"/>
  <c r="D1459" i="48"/>
  <c r="D1460" i="48"/>
  <c r="D1461" i="48"/>
  <c r="D1462" i="48"/>
  <c r="D1463" i="48"/>
  <c r="D1464" i="48"/>
  <c r="D1465" i="48"/>
  <c r="D1466" i="48"/>
  <c r="D1467" i="48"/>
  <c r="D1468" i="48"/>
  <c r="D1469" i="48"/>
  <c r="D1470" i="48"/>
  <c r="D1471" i="48"/>
  <c r="D1472" i="48"/>
  <c r="D1473" i="48"/>
  <c r="D1474" i="48"/>
  <c r="D1475" i="48"/>
  <c r="D1476" i="48"/>
  <c r="D1477" i="48"/>
  <c r="D1478" i="48"/>
  <c r="D1479" i="48"/>
  <c r="D1480" i="48"/>
  <c r="D1481" i="48"/>
  <c r="D1482" i="48"/>
  <c r="D1483" i="48"/>
  <c r="D1484" i="48"/>
  <c r="D1485" i="48"/>
  <c r="D1486" i="48"/>
  <c r="D1487" i="48"/>
  <c r="D1488" i="48"/>
  <c r="D1489" i="48"/>
  <c r="D1490" i="48"/>
  <c r="D1491" i="48"/>
  <c r="D1492" i="48"/>
  <c r="D1493" i="48"/>
  <c r="D1494" i="48"/>
  <c r="D1495" i="48"/>
  <c r="D1496" i="48"/>
  <c r="D1497" i="48"/>
  <c r="D1498" i="48"/>
  <c r="D1499" i="48"/>
  <c r="D1500" i="48"/>
  <c r="D1501" i="48"/>
  <c r="D1502" i="48"/>
  <c r="D1503" i="48"/>
  <c r="D1504" i="48"/>
  <c r="D1505" i="48"/>
  <c r="D1506" i="48"/>
  <c r="D1507" i="48"/>
  <c r="D1508" i="48"/>
  <c r="D1509" i="48"/>
  <c r="D1510" i="48"/>
  <c r="D1512" i="48"/>
  <c r="D1513" i="48"/>
  <c r="D1514" i="48"/>
  <c r="D1515" i="48"/>
  <c r="D1516" i="48"/>
  <c r="D1517" i="48"/>
  <c r="D1518" i="48"/>
  <c r="D1519" i="48"/>
  <c r="D1520" i="48"/>
  <c r="D1521" i="48"/>
  <c r="D1522" i="48"/>
  <c r="D1523" i="48"/>
  <c r="D1524" i="48"/>
  <c r="D1525" i="48"/>
  <c r="D1526" i="48"/>
  <c r="D1527" i="48"/>
  <c r="D1528" i="48"/>
  <c r="D1529" i="48"/>
  <c r="D1530" i="48"/>
  <c r="D1531" i="48"/>
  <c r="D1532" i="48"/>
  <c r="D1533" i="48"/>
  <c r="D1534" i="48"/>
  <c r="D1535" i="48"/>
  <c r="D1536" i="48"/>
  <c r="D1537" i="48"/>
  <c r="D1538" i="48"/>
  <c r="D1539" i="48"/>
  <c r="D1540" i="48"/>
  <c r="D1541" i="48"/>
  <c r="D1542" i="48"/>
  <c r="D1543" i="48"/>
  <c r="D1544" i="48"/>
  <c r="D1545" i="48"/>
  <c r="D1546" i="48"/>
  <c r="D1547" i="48"/>
  <c r="D1548" i="48"/>
  <c r="D1549" i="48"/>
  <c r="D1550" i="48"/>
  <c r="D1551" i="48"/>
  <c r="D1552" i="48"/>
  <c r="D1553" i="48"/>
  <c r="D1554" i="48"/>
  <c r="D1555" i="48"/>
  <c r="D1556" i="48"/>
  <c r="D1557" i="48"/>
  <c r="D1558" i="48"/>
  <c r="D1559" i="48"/>
  <c r="D1560" i="48"/>
  <c r="D1561" i="48"/>
  <c r="D1562" i="48"/>
  <c r="D1563" i="48"/>
  <c r="D1564" i="48"/>
  <c r="D1565" i="48"/>
  <c r="D1566" i="48"/>
  <c r="D1567" i="48"/>
  <c r="D1568" i="48"/>
  <c r="D1569" i="48"/>
  <c r="D1570" i="48"/>
  <c r="D1571" i="48"/>
  <c r="D1572" i="48"/>
  <c r="D1573" i="48"/>
  <c r="D1574" i="48"/>
  <c r="D1575" i="48"/>
  <c r="D1576" i="48"/>
  <c r="D1577" i="48"/>
  <c r="D1578" i="48"/>
  <c r="D1579" i="48"/>
  <c r="D1580" i="48"/>
  <c r="D1581" i="48"/>
  <c r="D1582" i="48"/>
  <c r="D1583" i="48"/>
  <c r="D1584" i="48"/>
  <c r="D1585" i="48"/>
  <c r="D1586" i="48"/>
  <c r="D1587" i="48"/>
  <c r="D1588" i="48"/>
  <c r="D1589" i="48"/>
  <c r="D1590" i="48"/>
  <c r="D1591" i="48"/>
  <c r="D1592" i="48"/>
  <c r="D1593" i="48"/>
  <c r="D1594" i="48"/>
  <c r="D1595" i="48"/>
  <c r="D1596" i="48"/>
  <c r="D1597" i="48"/>
  <c r="D1598" i="48"/>
  <c r="D1599" i="48"/>
  <c r="D1600" i="48"/>
  <c r="D1601" i="48"/>
  <c r="D1602" i="48"/>
  <c r="D1603" i="48"/>
  <c r="D1604" i="48"/>
  <c r="D1605" i="48"/>
  <c r="D1606" i="48"/>
  <c r="D1607" i="48"/>
  <c r="D1608" i="48"/>
  <c r="D1609" i="48"/>
  <c r="D1610" i="48"/>
  <c r="D1611" i="48"/>
  <c r="D1612" i="48"/>
  <c r="D1613" i="48"/>
  <c r="D1614" i="48"/>
  <c r="D1615" i="48"/>
  <c r="D1616" i="48"/>
  <c r="D1617" i="48"/>
  <c r="D1618" i="48"/>
  <c r="D1619" i="48"/>
  <c r="D1620" i="48"/>
  <c r="D1621" i="48"/>
  <c r="D1622" i="48"/>
  <c r="D1623" i="48"/>
  <c r="D1624" i="48"/>
  <c r="D1625" i="48"/>
  <c r="D1626" i="48"/>
  <c r="D1627" i="48"/>
  <c r="D1628" i="48"/>
  <c r="D1629" i="48"/>
  <c r="D1630" i="48"/>
  <c r="D1631" i="48"/>
  <c r="D1632" i="48"/>
  <c r="D1633" i="48"/>
  <c r="D1634" i="48"/>
  <c r="D1635" i="48"/>
  <c r="D1636" i="48"/>
  <c r="D1637" i="48"/>
  <c r="D1638" i="48"/>
  <c r="D1639" i="48"/>
  <c r="D1640" i="48"/>
  <c r="D1641" i="48"/>
  <c r="D1642" i="48"/>
  <c r="D1643" i="48"/>
  <c r="D1644" i="48"/>
  <c r="D1645" i="48"/>
  <c r="D1646" i="48"/>
  <c r="D1647" i="48"/>
  <c r="D1648" i="48"/>
  <c r="D1649" i="48"/>
  <c r="D1650" i="48"/>
  <c r="D1651" i="48"/>
  <c r="D1652" i="48"/>
  <c r="D1653" i="48"/>
  <c r="D1654" i="48"/>
  <c r="D1655" i="48"/>
  <c r="D1656" i="48"/>
  <c r="D1657" i="48"/>
  <c r="D1658" i="48"/>
  <c r="D1659" i="48"/>
  <c r="D1660" i="48"/>
  <c r="D1661" i="48"/>
  <c r="D1662" i="48"/>
  <c r="D1663" i="48"/>
  <c r="D1664" i="48"/>
  <c r="D1665" i="48"/>
  <c r="D1666" i="48"/>
  <c r="D1667" i="48"/>
  <c r="D1668" i="48"/>
  <c r="D1669" i="48"/>
  <c r="D1670" i="48"/>
  <c r="D1671" i="48"/>
  <c r="D1672" i="48"/>
  <c r="D1673" i="48"/>
  <c r="D1674" i="48"/>
  <c r="D1675" i="48"/>
  <c r="D1676" i="48"/>
  <c r="D1677" i="48"/>
  <c r="D1678" i="48"/>
  <c r="D1679" i="48"/>
  <c r="D1680" i="48"/>
  <c r="D1681" i="48"/>
  <c r="D1682" i="48"/>
  <c r="D1683" i="48"/>
  <c r="D1684" i="48"/>
  <c r="D1685" i="48"/>
  <c r="D1686" i="48"/>
  <c r="D1687" i="48"/>
  <c r="D1688" i="48"/>
  <c r="D1689" i="48"/>
  <c r="D1690" i="48"/>
  <c r="D1691" i="48"/>
  <c r="D1692" i="48"/>
  <c r="D1693" i="48"/>
  <c r="D1694" i="48"/>
  <c r="D1695" i="48"/>
  <c r="D1696" i="48"/>
  <c r="D1697" i="48"/>
  <c r="D1698" i="48"/>
  <c r="D1699" i="48"/>
  <c r="D1700" i="48"/>
  <c r="D1701" i="48"/>
  <c r="D1702" i="48"/>
  <c r="D1703" i="48"/>
  <c r="D1704" i="48"/>
  <c r="D1705" i="48"/>
  <c r="D1706" i="48"/>
  <c r="D1707" i="48"/>
  <c r="D1708" i="48"/>
  <c r="D1709" i="48"/>
  <c r="D1710" i="48"/>
  <c r="D1711" i="48"/>
  <c r="D1712" i="48"/>
  <c r="D1713" i="48"/>
  <c r="D1714" i="48"/>
  <c r="D1715" i="48"/>
  <c r="D1716" i="48"/>
  <c r="D1717" i="48"/>
  <c r="D1718" i="48"/>
  <c r="D1719" i="48"/>
  <c r="D1720" i="48"/>
  <c r="D1721" i="48"/>
  <c r="D1722" i="48"/>
  <c r="D1723" i="48"/>
  <c r="D1724" i="48"/>
  <c r="D1725" i="48"/>
  <c r="D1726" i="48"/>
  <c r="D1727" i="48"/>
  <c r="D1728" i="48"/>
  <c r="D1729" i="48"/>
  <c r="D1730" i="48"/>
  <c r="D1731" i="48"/>
  <c r="D1732" i="48"/>
  <c r="D1733" i="48"/>
  <c r="D1734" i="48"/>
  <c r="D1735" i="48"/>
  <c r="D1736" i="48"/>
  <c r="D1737" i="48"/>
  <c r="D1738" i="48"/>
  <c r="D1739" i="48"/>
  <c r="D1740" i="48"/>
  <c r="D1741" i="48"/>
  <c r="D1742" i="48"/>
  <c r="D1743" i="48"/>
  <c r="D1744" i="48"/>
  <c r="D1745" i="48"/>
  <c r="D1746" i="48"/>
  <c r="D1747" i="48"/>
  <c r="D1748" i="48"/>
  <c r="D1749" i="48"/>
  <c r="D1750" i="48"/>
  <c r="D1751" i="48"/>
  <c r="D1752" i="48"/>
  <c r="D1753" i="48"/>
  <c r="D1754" i="48"/>
  <c r="D1755" i="48"/>
  <c r="D1756" i="48"/>
  <c r="D1757" i="48"/>
  <c r="D1758" i="48"/>
  <c r="D1759" i="48"/>
  <c r="D1760" i="48"/>
  <c r="D1761" i="48"/>
  <c r="D1762" i="48"/>
  <c r="D1763" i="48"/>
  <c r="D1764" i="48"/>
  <c r="D1765" i="48"/>
  <c r="D1766" i="48"/>
  <c r="D1767" i="48"/>
  <c r="D1768" i="48"/>
  <c r="D1769" i="48"/>
  <c r="D1770" i="48"/>
  <c r="D1771" i="48"/>
  <c r="D1772" i="48"/>
  <c r="D1773" i="48"/>
  <c r="D1774" i="48"/>
  <c r="D1775" i="48"/>
  <c r="D1776" i="48"/>
  <c r="D1777" i="48"/>
  <c r="D1778" i="48"/>
  <c r="D1779" i="48"/>
  <c r="D1780" i="48"/>
  <c r="D1781" i="48"/>
  <c r="D1782" i="48"/>
  <c r="D1783" i="48"/>
  <c r="D1784" i="48"/>
  <c r="D1785" i="48"/>
  <c r="D1786" i="48"/>
  <c r="D1787" i="48"/>
  <c r="D1788" i="48"/>
  <c r="D1789" i="48"/>
  <c r="D1790" i="48"/>
  <c r="D1791" i="48"/>
  <c r="D1792" i="48"/>
  <c r="D1793" i="48"/>
  <c r="D1794" i="48"/>
  <c r="D1795" i="48"/>
  <c r="D1796" i="48"/>
  <c r="D1797" i="48"/>
  <c r="D1798" i="48"/>
  <c r="D1799" i="48"/>
  <c r="D1800" i="48"/>
  <c r="D1801" i="48"/>
  <c r="D1802" i="48"/>
  <c r="D1803" i="48"/>
  <c r="D1804" i="48"/>
  <c r="D1805" i="48"/>
  <c r="D1806" i="48"/>
  <c r="D1807" i="48"/>
  <c r="D1808" i="48"/>
  <c r="D1809" i="48"/>
  <c r="D1810" i="48"/>
  <c r="D1811" i="48"/>
  <c r="D1812" i="48"/>
  <c r="D1813" i="48"/>
  <c r="D1814" i="48"/>
  <c r="D1815" i="48"/>
  <c r="D1816" i="48"/>
  <c r="D1817" i="48"/>
  <c r="D1818" i="48"/>
  <c r="D1819" i="48"/>
  <c r="D1820" i="48"/>
  <c r="D1821" i="48"/>
  <c r="D1822" i="48"/>
  <c r="D1823" i="48"/>
  <c r="D1824" i="48"/>
  <c r="D1825" i="48"/>
  <c r="D1826" i="48"/>
  <c r="D1827" i="48"/>
  <c r="D1828" i="48"/>
  <c r="D1829" i="48"/>
  <c r="D1830" i="48"/>
  <c r="D1831" i="48"/>
  <c r="D1832" i="48"/>
  <c r="D1833" i="48"/>
  <c r="D1834" i="48"/>
  <c r="D1835" i="48"/>
  <c r="D1836" i="48"/>
  <c r="D1837" i="48"/>
  <c r="D1838" i="48"/>
  <c r="D1839" i="48"/>
  <c r="D1840" i="48"/>
  <c r="D1841" i="48"/>
  <c r="D1842" i="48"/>
  <c r="D1843" i="48"/>
  <c r="D1844" i="48"/>
  <c r="D1845" i="48"/>
  <c r="D1846" i="48"/>
  <c r="D1847" i="48"/>
  <c r="D1848" i="48"/>
  <c r="D1849" i="48"/>
  <c r="D1850" i="48"/>
  <c r="D1851" i="48"/>
  <c r="D1852" i="48"/>
  <c r="D1853" i="48"/>
  <c r="D1854" i="48"/>
  <c r="D1855" i="48"/>
  <c r="D1856" i="48"/>
  <c r="D1857" i="48"/>
  <c r="D1858" i="48"/>
  <c r="D1859" i="48"/>
  <c r="D1860" i="48"/>
  <c r="D1861" i="48"/>
  <c r="D1862" i="48"/>
  <c r="D1863" i="48"/>
  <c r="D1864" i="48"/>
  <c r="D1865" i="48"/>
  <c r="D1866" i="48"/>
  <c r="D1867" i="48"/>
  <c r="D1868" i="48"/>
  <c r="D1869" i="48"/>
  <c r="D1870" i="48"/>
  <c r="D1871" i="48"/>
  <c r="D1872" i="48"/>
  <c r="D1873" i="48"/>
  <c r="D1874" i="48"/>
  <c r="D1875" i="48"/>
  <c r="D1876" i="48"/>
  <c r="D1877" i="48"/>
  <c r="D1878" i="48"/>
  <c r="D1879" i="48"/>
  <c r="D1880" i="48"/>
  <c r="D1881" i="48"/>
  <c r="D1882" i="48"/>
  <c r="D1883" i="48"/>
  <c r="D1884" i="48"/>
  <c r="D1885" i="48"/>
  <c r="D1886" i="48"/>
  <c r="D1887" i="48"/>
  <c r="D1888" i="48"/>
  <c r="D1889" i="48"/>
  <c r="D1890" i="48"/>
  <c r="D1891" i="48"/>
  <c r="D1892" i="48"/>
  <c r="D1893" i="48"/>
  <c r="D1894" i="48"/>
  <c r="D1895" i="48"/>
  <c r="D1896" i="48"/>
  <c r="D1897" i="48"/>
  <c r="D1898" i="48"/>
  <c r="D1899" i="48"/>
  <c r="D1900" i="48"/>
  <c r="D1901" i="48"/>
  <c r="D1902" i="48"/>
  <c r="D1903" i="48"/>
  <c r="D1904" i="48"/>
  <c r="D1905" i="48"/>
  <c r="D1906" i="48"/>
  <c r="D1907" i="48"/>
  <c r="D1908" i="48"/>
  <c r="D1909" i="48"/>
  <c r="D1910" i="48"/>
  <c r="D1911" i="48"/>
  <c r="D1912" i="48"/>
  <c r="D1913" i="48"/>
  <c r="D1914" i="48"/>
  <c r="D1915" i="48"/>
  <c r="D1916" i="48"/>
  <c r="D1917" i="48"/>
  <c r="D1918" i="48"/>
  <c r="D1919" i="48"/>
  <c r="D1920" i="48"/>
  <c r="D1921" i="48"/>
  <c r="D1922" i="48"/>
  <c r="D1923" i="48"/>
  <c r="D1924" i="48"/>
  <c r="D1925" i="48"/>
  <c r="D1926" i="48"/>
  <c r="D1927" i="48"/>
  <c r="D1928" i="48"/>
  <c r="D1929" i="48"/>
  <c r="D1930" i="48"/>
  <c r="D1931" i="48"/>
  <c r="D1932" i="48"/>
  <c r="D1933" i="48"/>
  <c r="D1934" i="48"/>
  <c r="D1935" i="48"/>
  <c r="D1936" i="48"/>
  <c r="D1937" i="48"/>
  <c r="D1938" i="48"/>
  <c r="D1939" i="48"/>
  <c r="D1940" i="48"/>
  <c r="D1941" i="48"/>
  <c r="D1942" i="48"/>
  <c r="D1943" i="48"/>
  <c r="D1944" i="48"/>
  <c r="D1945" i="48"/>
  <c r="D1946" i="48"/>
  <c r="D1947" i="48"/>
  <c r="D1948" i="48"/>
  <c r="D1949" i="48"/>
  <c r="D1950" i="48"/>
  <c r="D1951" i="48"/>
  <c r="D1952" i="48"/>
  <c r="D1953" i="48"/>
  <c r="D1954" i="48"/>
  <c r="D1955" i="48"/>
  <c r="D1956" i="48"/>
  <c r="D1957" i="48"/>
  <c r="D1958" i="48"/>
  <c r="D1959" i="48"/>
  <c r="D1960" i="48"/>
  <c r="D1961" i="48"/>
  <c r="D1962" i="48"/>
  <c r="D1963" i="48"/>
  <c r="D1964" i="48"/>
  <c r="D1965" i="48"/>
  <c r="D1966" i="48"/>
  <c r="D1967" i="48"/>
  <c r="D1968" i="48"/>
  <c r="D1969" i="48"/>
  <c r="D1970" i="48"/>
  <c r="D1971" i="48"/>
  <c r="D1972" i="48"/>
  <c r="D1973" i="48"/>
  <c r="D1974" i="48"/>
  <c r="D1975" i="48"/>
  <c r="D1976" i="48"/>
  <c r="D1977" i="48"/>
  <c r="D1978" i="48"/>
  <c r="D1979" i="48"/>
  <c r="D1980" i="48"/>
  <c r="D1981" i="48"/>
  <c r="D1982" i="48"/>
  <c r="D1983" i="48"/>
  <c r="D1984" i="48"/>
  <c r="D1985" i="48"/>
  <c r="D1986" i="48"/>
  <c r="D1987" i="48"/>
  <c r="D1988" i="48"/>
  <c r="D1989" i="48"/>
  <c r="D1990" i="48"/>
  <c r="D1991" i="48"/>
  <c r="D1992" i="48"/>
  <c r="D1993" i="48"/>
  <c r="D1994" i="48"/>
  <c r="D1995" i="48"/>
  <c r="D1996" i="48"/>
  <c r="D1997" i="48"/>
  <c r="D1998" i="48"/>
  <c r="D1999" i="48"/>
  <c r="D2000" i="48"/>
  <c r="D2001" i="48"/>
  <c r="D2002" i="48"/>
  <c r="D2003" i="48"/>
  <c r="D2004" i="48"/>
  <c r="D2005" i="48"/>
  <c r="D2006" i="48"/>
  <c r="D2007" i="48"/>
  <c r="D2008" i="48"/>
  <c r="D2009" i="48"/>
  <c r="D2010" i="48"/>
  <c r="D2011" i="48"/>
  <c r="D2012" i="48"/>
  <c r="D2013" i="48"/>
  <c r="D2014" i="48"/>
  <c r="D2015" i="48"/>
  <c r="D2016" i="48"/>
  <c r="D2017" i="48"/>
  <c r="D2018" i="48"/>
  <c r="D2019" i="48"/>
  <c r="D2020" i="48"/>
  <c r="D2021" i="48"/>
  <c r="D2022" i="48"/>
  <c r="D2023" i="48"/>
  <c r="D2024" i="48"/>
  <c r="D2025" i="48"/>
  <c r="D2026" i="48"/>
  <c r="D2027" i="48"/>
  <c r="D2028" i="48"/>
  <c r="D2029" i="48"/>
  <c r="D2030" i="48"/>
  <c r="D2031" i="48"/>
  <c r="D2032" i="48"/>
  <c r="D2033" i="48"/>
  <c r="D2034" i="48"/>
  <c r="D2035" i="48"/>
  <c r="D2036" i="48"/>
  <c r="D2037" i="48"/>
  <c r="D2038" i="48"/>
  <c r="D2039" i="48"/>
  <c r="D2040" i="48"/>
  <c r="D2041" i="48"/>
  <c r="D2042" i="48"/>
  <c r="D2043" i="48"/>
  <c r="D2044" i="48"/>
  <c r="D2045" i="48"/>
  <c r="D2046" i="48"/>
  <c r="D2047" i="48"/>
  <c r="D2048" i="48"/>
  <c r="D2049" i="48"/>
  <c r="D2050" i="48"/>
  <c r="D2051" i="48"/>
  <c r="D2052" i="48"/>
  <c r="D2053" i="48"/>
  <c r="D2054" i="48"/>
  <c r="D2055" i="48"/>
  <c r="D2056" i="48"/>
  <c r="D2057" i="48"/>
  <c r="D2058" i="48"/>
  <c r="D2059" i="48"/>
  <c r="D2060" i="48"/>
  <c r="D2061" i="48"/>
  <c r="D2062" i="48"/>
  <c r="D2063" i="48"/>
  <c r="D2064" i="48"/>
  <c r="D2065" i="48"/>
  <c r="D2066" i="48"/>
  <c r="D2067" i="48"/>
  <c r="D2068" i="48"/>
  <c r="D2069" i="48"/>
  <c r="D2070" i="48"/>
  <c r="D2071" i="48"/>
  <c r="D2072" i="48"/>
  <c r="D2073" i="48"/>
  <c r="D2074" i="48"/>
  <c r="D2075" i="48"/>
  <c r="D2076" i="48"/>
  <c r="D2077" i="48"/>
  <c r="D2078" i="48"/>
  <c r="D2079" i="48"/>
  <c r="D2080" i="48"/>
  <c r="D2081" i="48"/>
  <c r="D2082" i="48"/>
  <c r="D2083" i="48"/>
  <c r="D2084" i="48"/>
  <c r="D2085" i="48"/>
  <c r="D2086" i="48"/>
  <c r="D2087" i="48"/>
  <c r="D2088" i="48"/>
  <c r="D2089" i="48"/>
  <c r="D2090" i="48"/>
  <c r="D2091" i="48"/>
  <c r="D2092" i="48"/>
  <c r="D2093" i="48"/>
  <c r="D2094" i="48"/>
  <c r="D2095" i="48"/>
  <c r="D2096" i="48"/>
  <c r="D2097" i="48"/>
  <c r="D2098" i="48"/>
  <c r="D2099" i="48"/>
  <c r="D2100" i="48"/>
  <c r="D2101" i="48"/>
  <c r="D2102" i="48"/>
  <c r="D2103" i="48"/>
  <c r="D2104" i="48"/>
  <c r="D2105" i="48"/>
  <c r="D2106" i="48"/>
  <c r="D2107" i="48"/>
  <c r="D2108" i="48"/>
  <c r="D2109" i="48"/>
  <c r="D2110" i="48"/>
  <c r="D2111" i="48"/>
  <c r="D2112" i="48"/>
  <c r="D2113" i="48"/>
  <c r="D2114" i="48"/>
  <c r="D2115" i="48"/>
  <c r="D2116" i="48"/>
  <c r="D2117" i="48"/>
  <c r="D2118" i="48"/>
  <c r="D2119" i="48"/>
  <c r="D2120" i="48"/>
  <c r="D2121" i="48"/>
  <c r="D2122" i="48"/>
  <c r="D2123" i="48"/>
  <c r="D2124" i="48"/>
  <c r="D2125" i="48"/>
  <c r="D2126" i="48"/>
  <c r="D2127" i="48"/>
  <c r="D2128" i="48"/>
  <c r="D2129" i="48"/>
  <c r="D2130" i="48"/>
  <c r="D2131" i="48"/>
  <c r="D2132" i="48"/>
  <c r="D2133" i="48"/>
  <c r="D2134" i="48"/>
  <c r="D2135" i="48"/>
  <c r="D2136" i="48"/>
  <c r="D2137" i="48"/>
  <c r="D2138" i="48"/>
  <c r="D2139" i="48"/>
  <c r="D2140" i="48"/>
  <c r="D2141" i="48"/>
  <c r="D2142" i="48"/>
  <c r="D2143" i="48"/>
  <c r="D2144" i="48"/>
  <c r="D2145" i="48"/>
  <c r="D2146" i="48"/>
  <c r="D2147" i="48"/>
  <c r="D2148" i="48"/>
  <c r="D2149" i="48"/>
  <c r="D2150" i="48"/>
  <c r="D2151" i="48"/>
  <c r="D2152" i="48"/>
  <c r="D2153" i="48"/>
  <c r="D2154" i="48"/>
  <c r="D2155" i="48"/>
  <c r="D2156" i="48"/>
  <c r="D2157" i="48"/>
  <c r="D2158" i="48"/>
  <c r="D2159" i="48"/>
  <c r="D2160" i="48"/>
  <c r="D2161" i="48"/>
  <c r="D2162" i="48"/>
  <c r="D2163" i="48"/>
  <c r="D2164" i="48"/>
  <c r="D2165" i="48"/>
  <c r="D2166" i="48"/>
  <c r="D2167" i="48"/>
  <c r="D2168" i="48"/>
  <c r="D2169" i="48"/>
  <c r="D2170" i="48"/>
  <c r="D2171" i="48"/>
  <c r="D2172" i="48"/>
  <c r="D2173" i="48"/>
  <c r="D2174" i="48"/>
  <c r="D2175" i="48"/>
  <c r="D2176" i="48"/>
  <c r="D2177" i="48"/>
  <c r="D2178" i="48"/>
  <c r="D2179" i="48"/>
  <c r="D2180" i="48"/>
  <c r="D2181" i="48"/>
  <c r="D2182" i="48"/>
  <c r="D2183" i="48"/>
  <c r="D2184" i="48"/>
  <c r="D2185" i="48"/>
  <c r="D2186" i="48"/>
  <c r="D2187" i="48"/>
  <c r="D2188" i="48"/>
  <c r="D2189" i="48"/>
  <c r="D2190" i="48"/>
  <c r="D2191" i="48"/>
  <c r="D2192" i="48"/>
  <c r="D2193" i="48"/>
  <c r="D2194" i="48"/>
  <c r="D2195" i="48"/>
  <c r="D2196" i="48"/>
  <c r="D2197" i="48"/>
  <c r="D2198" i="48"/>
  <c r="D2199" i="48"/>
  <c r="D2200" i="48"/>
  <c r="D2201" i="48"/>
  <c r="D2202" i="48"/>
  <c r="D2203" i="48"/>
  <c r="D2204" i="48"/>
  <c r="D2205" i="48"/>
  <c r="D2206" i="48"/>
  <c r="D2207" i="48"/>
  <c r="D2208" i="48"/>
  <c r="D2209" i="48"/>
  <c r="D2210" i="48"/>
  <c r="D2211" i="48"/>
  <c r="D2212" i="48"/>
  <c r="D2213" i="48"/>
  <c r="D2214" i="48"/>
  <c r="D2215" i="48"/>
  <c r="D2216" i="48"/>
  <c r="D2217" i="48"/>
  <c r="D2218" i="48"/>
  <c r="D2219" i="48"/>
  <c r="D2220" i="48"/>
  <c r="D2221" i="48"/>
  <c r="D2222" i="48"/>
  <c r="D2223" i="48"/>
  <c r="D2224" i="48"/>
  <c r="D2225" i="48"/>
  <c r="D2226" i="48"/>
  <c r="D2227" i="48"/>
  <c r="D2228" i="48"/>
  <c r="D2229" i="48"/>
  <c r="D2230" i="48"/>
  <c r="D2231" i="48"/>
  <c r="D2232" i="48"/>
  <c r="D2233" i="48"/>
  <c r="D2234" i="48"/>
  <c r="D2235" i="48"/>
  <c r="D2236" i="48"/>
  <c r="D2237" i="48"/>
  <c r="D2238" i="48"/>
  <c r="D2239" i="48"/>
  <c r="D2240" i="48"/>
  <c r="D2241" i="48"/>
  <c r="D2242" i="48"/>
  <c r="D2243" i="48"/>
  <c r="D2244" i="48"/>
  <c r="D2245" i="48"/>
  <c r="D2246" i="48"/>
  <c r="D2247" i="48"/>
  <c r="D2248" i="48"/>
  <c r="D2249" i="48"/>
  <c r="D2250" i="48"/>
  <c r="D2251" i="48"/>
  <c r="D2252" i="48"/>
  <c r="D2253" i="48"/>
  <c r="D2254" i="48"/>
  <c r="D2255" i="48"/>
  <c r="D2256" i="48"/>
  <c r="D2257" i="48"/>
  <c r="D2258" i="48"/>
  <c r="D2259" i="48"/>
  <c r="D2260" i="48"/>
  <c r="D2261" i="48"/>
  <c r="D2262" i="48"/>
  <c r="D2263" i="48"/>
  <c r="D2264" i="48"/>
  <c r="D2265" i="48"/>
  <c r="D2266" i="48"/>
  <c r="D2267" i="48"/>
  <c r="D2268" i="48"/>
  <c r="D2269" i="48"/>
  <c r="D2270" i="48"/>
  <c r="D2271" i="48"/>
  <c r="D2272" i="48"/>
  <c r="D2273" i="48"/>
  <c r="D2274" i="48"/>
  <c r="D2275" i="48"/>
  <c r="D2276" i="48"/>
  <c r="D2277" i="48"/>
  <c r="D2278" i="48"/>
  <c r="D2279" i="48"/>
  <c r="D2280" i="48"/>
  <c r="D2281" i="48"/>
  <c r="D2282" i="48"/>
  <c r="D2283" i="48"/>
  <c r="D2284" i="48"/>
  <c r="D2285" i="48"/>
  <c r="D2286" i="48"/>
  <c r="D2287" i="48"/>
  <c r="D2288" i="48"/>
  <c r="D2289" i="48"/>
  <c r="D2290" i="48"/>
  <c r="D2291" i="48"/>
  <c r="D2292" i="48"/>
  <c r="D2293" i="48"/>
  <c r="D2294" i="48"/>
  <c r="D2295" i="48"/>
  <c r="D2296" i="48"/>
  <c r="D2297" i="48"/>
  <c r="D2298" i="48"/>
  <c r="D2299" i="48"/>
  <c r="D2300" i="48"/>
  <c r="D2301" i="48"/>
  <c r="D2302" i="48"/>
  <c r="D2303" i="48"/>
  <c r="D2304" i="48"/>
  <c r="D2305" i="48"/>
  <c r="D2306" i="48"/>
  <c r="D2307" i="48"/>
  <c r="D2308" i="48"/>
  <c r="D2309" i="48"/>
  <c r="D2310" i="48"/>
  <c r="D2311" i="48"/>
  <c r="D2312" i="48"/>
  <c r="D2313" i="48"/>
  <c r="D2314" i="48"/>
  <c r="D2315" i="48"/>
  <c r="D2316" i="48"/>
  <c r="D2317" i="48"/>
  <c r="D2318" i="48"/>
  <c r="D2319" i="48"/>
  <c r="D2320" i="48"/>
  <c r="D2321" i="48"/>
  <c r="D2322" i="48"/>
  <c r="D2323" i="48"/>
  <c r="D2324" i="48"/>
  <c r="D2325" i="48"/>
  <c r="D2326" i="48"/>
  <c r="D2327" i="48"/>
  <c r="D2328" i="48"/>
  <c r="D2329" i="48"/>
  <c r="D2330" i="48"/>
  <c r="D2331" i="48"/>
  <c r="D2332" i="48"/>
  <c r="D2333" i="48"/>
  <c r="D2334" i="48"/>
  <c r="D2335" i="48"/>
  <c r="D2336" i="48"/>
  <c r="D2337" i="48"/>
  <c r="D2338" i="48"/>
  <c r="D2339" i="48"/>
  <c r="D2340" i="48"/>
  <c r="D2341" i="48"/>
  <c r="D2342" i="48"/>
  <c r="D2343" i="48"/>
  <c r="D2344" i="48"/>
  <c r="D2345" i="48"/>
  <c r="D2346" i="48"/>
  <c r="D2347" i="48"/>
  <c r="D2348" i="48"/>
  <c r="D2349" i="48"/>
  <c r="D2350" i="48"/>
  <c r="D2351" i="48"/>
  <c r="D2352" i="48"/>
  <c r="D2353" i="48"/>
  <c r="D2354" i="48"/>
  <c r="D2355" i="48"/>
  <c r="D2356" i="48"/>
  <c r="D2357" i="48"/>
  <c r="D2358" i="48"/>
  <c r="D2359" i="48"/>
  <c r="D2360" i="48"/>
  <c r="D2361" i="48"/>
  <c r="D2362" i="48"/>
  <c r="D2363" i="48"/>
  <c r="D2364" i="48"/>
  <c r="D2365" i="48"/>
  <c r="D2366" i="48"/>
  <c r="D2367" i="48"/>
  <c r="D2368" i="48"/>
  <c r="D2369" i="48"/>
  <c r="D2370" i="48"/>
  <c r="D2371" i="48"/>
  <c r="D2372" i="48"/>
  <c r="D2373" i="48"/>
  <c r="D2374" i="48"/>
  <c r="D2375" i="48"/>
  <c r="D2376" i="48"/>
  <c r="D2377" i="48"/>
  <c r="D2378" i="48"/>
  <c r="D2379" i="48"/>
  <c r="D2380" i="48"/>
  <c r="D2381" i="48"/>
  <c r="D2382" i="48"/>
  <c r="D2383" i="48"/>
  <c r="D2384" i="48"/>
  <c r="D2385" i="48"/>
  <c r="D2386" i="48"/>
  <c r="D2387" i="48"/>
  <c r="D2388" i="48"/>
  <c r="D2389" i="48"/>
  <c r="D2390" i="48"/>
  <c r="D2391" i="48"/>
  <c r="D2392" i="48"/>
  <c r="D2393" i="48"/>
  <c r="D2394" i="48"/>
  <c r="D2395" i="48"/>
  <c r="D2396" i="48"/>
  <c r="D2397" i="48"/>
  <c r="D2398" i="48"/>
  <c r="D2399" i="48"/>
  <c r="D2400" i="48"/>
  <c r="D2401" i="48"/>
  <c r="D2402" i="48"/>
  <c r="D2403" i="48"/>
  <c r="D2404" i="48"/>
  <c r="D2405" i="48"/>
  <c r="D2406" i="48"/>
  <c r="D2407" i="48"/>
  <c r="D2408" i="48"/>
  <c r="D2409" i="48"/>
  <c r="D2410" i="48"/>
  <c r="D2411" i="48"/>
  <c r="D2412" i="48"/>
  <c r="D2413" i="48"/>
  <c r="D2414" i="48"/>
  <c r="D2415" i="48"/>
  <c r="D2416" i="48"/>
  <c r="D2417" i="48"/>
  <c r="D2418" i="48"/>
  <c r="D2419" i="48"/>
  <c r="D2420" i="48"/>
  <c r="D2421" i="48"/>
  <c r="D2422" i="48"/>
  <c r="D2423" i="48"/>
  <c r="D2424" i="48"/>
  <c r="D2425" i="48"/>
  <c r="D2426" i="48"/>
  <c r="D2427" i="48"/>
  <c r="D2428" i="48"/>
  <c r="D2429" i="48"/>
  <c r="D2430" i="48"/>
  <c r="D2431" i="48"/>
  <c r="D2432" i="48"/>
  <c r="D2433" i="48"/>
  <c r="D2434" i="48"/>
  <c r="D2435" i="48"/>
  <c r="D2436" i="48"/>
  <c r="D2437" i="48"/>
  <c r="D2438" i="48"/>
  <c r="D2439" i="48"/>
  <c r="D2440" i="48"/>
  <c r="D2441" i="48"/>
  <c r="D2442" i="48"/>
  <c r="D2443" i="48"/>
  <c r="D2444" i="48"/>
  <c r="D2445" i="48"/>
  <c r="D2446" i="48"/>
  <c r="D2447" i="48"/>
  <c r="D2448" i="48"/>
  <c r="D2449" i="48"/>
  <c r="D2450" i="48"/>
  <c r="D2451" i="48"/>
  <c r="D2452" i="48"/>
  <c r="D2453" i="48"/>
  <c r="D2454" i="48"/>
  <c r="D2455" i="48"/>
  <c r="D2456" i="48"/>
  <c r="D2457" i="48"/>
  <c r="D2458" i="48"/>
  <c r="D2459" i="48"/>
  <c r="D2460" i="48"/>
  <c r="D2461" i="48"/>
  <c r="D2462" i="48"/>
  <c r="D2463" i="48"/>
  <c r="D2464" i="48"/>
  <c r="D2465" i="48"/>
  <c r="D2466" i="48"/>
  <c r="D2467" i="48"/>
  <c r="D2468" i="48"/>
  <c r="D2469" i="48"/>
  <c r="D2470" i="48"/>
  <c r="D2471" i="48"/>
  <c r="D2472" i="48"/>
  <c r="D2473" i="48"/>
  <c r="D2474" i="48"/>
  <c r="D2475" i="48"/>
  <c r="D2476" i="48"/>
  <c r="D2477" i="48"/>
  <c r="D2478" i="48"/>
  <c r="D2479" i="48"/>
  <c r="D2480" i="48"/>
  <c r="D2481" i="48"/>
  <c r="D2482" i="48"/>
  <c r="D2483" i="48"/>
  <c r="D2484" i="48"/>
  <c r="D2485" i="48"/>
  <c r="D2486" i="48"/>
  <c r="D2487" i="48"/>
  <c r="D2488" i="48"/>
  <c r="D2489" i="48"/>
  <c r="D2490" i="48"/>
  <c r="D2491" i="48"/>
  <c r="D2492" i="48"/>
  <c r="D2493" i="48"/>
  <c r="D2494" i="48"/>
  <c r="D2495" i="48"/>
  <c r="D2496" i="48"/>
  <c r="D2497" i="48"/>
  <c r="D2498" i="48"/>
  <c r="D2499" i="48"/>
  <c r="D2500" i="48"/>
  <c r="D2501" i="48"/>
  <c r="D2502" i="48"/>
  <c r="D2503" i="48"/>
  <c r="D2504" i="48"/>
  <c r="D2505" i="48"/>
  <c r="D2506" i="48"/>
  <c r="D2507" i="48"/>
  <c r="D2508" i="48"/>
  <c r="D2509" i="48"/>
  <c r="D2510" i="48"/>
  <c r="D2511" i="48"/>
  <c r="D2512" i="48"/>
  <c r="D2513" i="48"/>
  <c r="D2514" i="48"/>
  <c r="D2515" i="48"/>
  <c r="D2516" i="48"/>
  <c r="D2517" i="48"/>
  <c r="D2518" i="48"/>
  <c r="D2519" i="48"/>
  <c r="D2520" i="48"/>
  <c r="D2521" i="48"/>
  <c r="D2522" i="48"/>
  <c r="D2523" i="48"/>
  <c r="D2524" i="48"/>
  <c r="D2525" i="48"/>
  <c r="D2526" i="48"/>
  <c r="D2527" i="48"/>
  <c r="D2528" i="48"/>
  <c r="D2529" i="48"/>
  <c r="D2530" i="48"/>
  <c r="D2531" i="48"/>
  <c r="D2532" i="48"/>
  <c r="D2533" i="48"/>
  <c r="D2534" i="48"/>
  <c r="D2535" i="48"/>
  <c r="D2536" i="48"/>
  <c r="D2537" i="48"/>
  <c r="D2538" i="48"/>
  <c r="D2539" i="48"/>
  <c r="D2540" i="48"/>
  <c r="D2541" i="48"/>
  <c r="D2542" i="48"/>
  <c r="D2543" i="48"/>
  <c r="D2544" i="48"/>
  <c r="D2545" i="48"/>
  <c r="D2546" i="48"/>
  <c r="D2547" i="48"/>
  <c r="D2548" i="48"/>
  <c r="D2549" i="48"/>
  <c r="D2550" i="48"/>
  <c r="D2551" i="48"/>
  <c r="D2552" i="48"/>
  <c r="D2553" i="48"/>
  <c r="D2554" i="48"/>
  <c r="D2555" i="48"/>
  <c r="D2556" i="48"/>
  <c r="D2557" i="48"/>
  <c r="D2558" i="48"/>
  <c r="D2559" i="48"/>
  <c r="D2560" i="48"/>
  <c r="D2561" i="48"/>
  <c r="D2562" i="48"/>
  <c r="D2563" i="48"/>
  <c r="D2564" i="48"/>
  <c r="D2565" i="48"/>
  <c r="D2566" i="48"/>
  <c r="D2567" i="48"/>
  <c r="D2568" i="48"/>
  <c r="D2569" i="48"/>
  <c r="D2570" i="48"/>
  <c r="D2571" i="48"/>
  <c r="D2572" i="48"/>
  <c r="D2573" i="48"/>
  <c r="D2574" i="48"/>
  <c r="D2575" i="48"/>
  <c r="D2576" i="48"/>
  <c r="D2577" i="48"/>
  <c r="D2578" i="48"/>
  <c r="D2579" i="48"/>
  <c r="D2580" i="48"/>
  <c r="D2581" i="48"/>
  <c r="D2582" i="48"/>
  <c r="D2583" i="48"/>
  <c r="D2584" i="48"/>
  <c r="D2585" i="48"/>
  <c r="D2586" i="48"/>
  <c r="D2587" i="48"/>
  <c r="D2588" i="48"/>
  <c r="D2589" i="48"/>
  <c r="D2590" i="48"/>
  <c r="D2591" i="48"/>
  <c r="D2592" i="48"/>
  <c r="D2593" i="48"/>
  <c r="D2594" i="48"/>
  <c r="D2595" i="48"/>
  <c r="D2596" i="48"/>
  <c r="D2597" i="48"/>
  <c r="D2598" i="48"/>
  <c r="D2599" i="48"/>
  <c r="D2600" i="48"/>
  <c r="D2601" i="48"/>
  <c r="D2602" i="48"/>
  <c r="D2603" i="48"/>
  <c r="D2604" i="48"/>
  <c r="D2605" i="48"/>
  <c r="D2606" i="48"/>
  <c r="D2607" i="48"/>
  <c r="D2608" i="48"/>
  <c r="D2609" i="48"/>
  <c r="D2610" i="48"/>
  <c r="D2611" i="48"/>
  <c r="D2612" i="48"/>
  <c r="D2613" i="48"/>
  <c r="D2614" i="48"/>
  <c r="D2615" i="48"/>
  <c r="D2616" i="48"/>
  <c r="D2617" i="48"/>
  <c r="D2618" i="48"/>
  <c r="D2619" i="48"/>
  <c r="D2620" i="48"/>
  <c r="D2621" i="48"/>
  <c r="D2622" i="48"/>
  <c r="D2623" i="48"/>
  <c r="D2624" i="48"/>
  <c r="D2625" i="48"/>
  <c r="D2626" i="48"/>
  <c r="D2627" i="48"/>
  <c r="D2628" i="48"/>
  <c r="D2629" i="48"/>
  <c r="D2630" i="48"/>
  <c r="D2631" i="48"/>
  <c r="D2632" i="48"/>
  <c r="D2633" i="48"/>
  <c r="D2634" i="48"/>
  <c r="D2635" i="48"/>
  <c r="D2636" i="48"/>
  <c r="D2637" i="48"/>
  <c r="D2638" i="48"/>
  <c r="D2639" i="48"/>
  <c r="D2640" i="48"/>
  <c r="D2641" i="48"/>
  <c r="D2642" i="48"/>
  <c r="D2643" i="48"/>
  <c r="D2644" i="48"/>
  <c r="D2645" i="48"/>
  <c r="D2646" i="48"/>
  <c r="D2647" i="48"/>
  <c r="D2648" i="48"/>
  <c r="D2649" i="48"/>
  <c r="D2650" i="48"/>
  <c r="D2651" i="48"/>
  <c r="D2652" i="48"/>
  <c r="D2653" i="48"/>
  <c r="D2654" i="48"/>
  <c r="D2655" i="48"/>
  <c r="D2656" i="48"/>
  <c r="D2657" i="48"/>
  <c r="D2658" i="48"/>
  <c r="D2659" i="48"/>
  <c r="D2660" i="48"/>
  <c r="D2661" i="48"/>
  <c r="D2662" i="48"/>
  <c r="D2663" i="48"/>
  <c r="D2664" i="48"/>
  <c r="D2665" i="48"/>
  <c r="D2666" i="48"/>
  <c r="D2667" i="48"/>
  <c r="D2668" i="48"/>
  <c r="D2669" i="48"/>
  <c r="D2670" i="48"/>
  <c r="D2671" i="48"/>
  <c r="D2672" i="48"/>
  <c r="D2673" i="48"/>
  <c r="D2674" i="48"/>
  <c r="D2675" i="48"/>
  <c r="D2676" i="48"/>
  <c r="D2677" i="48"/>
  <c r="D2678" i="48"/>
  <c r="D2679" i="48"/>
  <c r="D2680" i="48"/>
  <c r="D2681" i="48"/>
  <c r="D2682" i="48"/>
  <c r="D2683" i="48"/>
  <c r="D2684" i="48"/>
  <c r="D2685" i="48"/>
  <c r="D2686" i="48"/>
  <c r="D2687" i="48"/>
  <c r="D2688" i="48"/>
  <c r="D2689" i="48"/>
  <c r="D2690" i="48"/>
  <c r="D2691" i="48"/>
  <c r="D2692" i="48"/>
  <c r="D2693" i="48"/>
  <c r="D2694" i="48"/>
  <c r="D2695" i="48"/>
  <c r="D2696" i="48"/>
  <c r="D2697" i="48"/>
  <c r="D2698" i="48"/>
  <c r="D2699" i="48"/>
  <c r="D2700" i="48"/>
  <c r="D2701" i="48"/>
  <c r="D2702" i="48"/>
  <c r="D2703" i="48"/>
  <c r="D2704" i="48"/>
  <c r="D2705" i="48"/>
  <c r="D2706" i="48"/>
  <c r="D2707" i="48"/>
  <c r="D2708" i="48"/>
  <c r="D2709" i="48"/>
  <c r="D2710" i="48"/>
  <c r="D2711" i="48"/>
  <c r="D2712" i="48"/>
  <c r="D2713" i="48"/>
  <c r="D2714" i="48"/>
  <c r="D2715" i="48"/>
  <c r="D2716" i="48"/>
  <c r="D2717" i="48"/>
  <c r="D2718" i="48"/>
  <c r="D2719" i="48"/>
  <c r="D2720" i="48"/>
  <c r="D2721" i="48"/>
  <c r="D2722" i="48"/>
  <c r="D2723" i="48"/>
  <c r="D2724" i="48"/>
  <c r="D2725" i="48"/>
  <c r="D2726" i="48"/>
  <c r="D2727" i="48"/>
  <c r="D2728" i="48"/>
  <c r="D2729" i="48"/>
  <c r="D2730" i="48"/>
  <c r="D2731" i="48"/>
  <c r="D2732" i="48"/>
  <c r="D2733" i="48"/>
  <c r="D2734" i="48"/>
  <c r="D2735" i="48"/>
  <c r="D2736" i="48"/>
  <c r="D2737" i="48"/>
  <c r="D2738" i="48"/>
  <c r="D2739" i="48"/>
  <c r="D2740" i="48"/>
  <c r="D2741" i="48"/>
  <c r="D2742" i="48"/>
  <c r="D2743" i="48"/>
  <c r="D2744" i="48"/>
  <c r="D2745" i="48"/>
  <c r="D2746" i="48"/>
  <c r="D2747" i="48"/>
  <c r="D2748" i="48"/>
  <c r="D2749" i="48"/>
  <c r="D2750" i="48"/>
  <c r="D2751" i="48"/>
  <c r="D2752" i="48"/>
  <c r="D2753" i="48"/>
  <c r="D2754" i="48"/>
  <c r="D2755" i="48"/>
  <c r="D2756" i="48"/>
  <c r="D2757" i="48"/>
  <c r="D2758" i="48"/>
  <c r="F793" i="48"/>
  <c r="F794" i="48"/>
  <c r="F795" i="48"/>
  <c r="F796" i="48"/>
  <c r="F797" i="48"/>
  <c r="F798" i="48"/>
  <c r="F799" i="48"/>
  <c r="F800" i="48"/>
  <c r="F801" i="48"/>
  <c r="F802" i="48"/>
  <c r="F803" i="48"/>
  <c r="F804" i="48"/>
  <c r="F805" i="48"/>
  <c r="F806" i="48"/>
  <c r="F807" i="48"/>
  <c r="F808" i="48"/>
  <c r="F809" i="48"/>
  <c r="F810" i="48"/>
  <c r="F811" i="48"/>
  <c r="F812" i="48"/>
  <c r="F813" i="48"/>
  <c r="F814" i="48"/>
  <c r="F815" i="48"/>
  <c r="F816" i="48"/>
  <c r="F817" i="48"/>
  <c r="F818" i="48"/>
  <c r="F819" i="48"/>
  <c r="F820" i="48"/>
  <c r="F821" i="48"/>
  <c r="F822" i="48"/>
  <c r="F823" i="48"/>
  <c r="F824" i="48"/>
  <c r="F825" i="48"/>
  <c r="F826" i="48"/>
  <c r="F827" i="48"/>
  <c r="F828" i="48"/>
  <c r="F829" i="48"/>
  <c r="F830" i="48"/>
  <c r="F831" i="48"/>
  <c r="F832" i="48"/>
  <c r="F833" i="48"/>
  <c r="F834" i="48"/>
  <c r="F835" i="48"/>
  <c r="F836" i="48"/>
  <c r="F837" i="48"/>
  <c r="F838" i="48"/>
  <c r="F839" i="48"/>
  <c r="F840" i="48"/>
  <c r="F841" i="48"/>
  <c r="F842" i="48"/>
  <c r="F843" i="48"/>
  <c r="F844" i="48"/>
  <c r="F845" i="48"/>
  <c r="F846" i="48"/>
  <c r="F847" i="48"/>
  <c r="F848" i="48"/>
  <c r="F849" i="48"/>
  <c r="F850" i="48"/>
  <c r="F851" i="48"/>
  <c r="F852" i="48"/>
  <c r="F853" i="48"/>
  <c r="F854" i="48"/>
  <c r="F855" i="48"/>
  <c r="F856" i="48"/>
  <c r="F857" i="48"/>
  <c r="F858" i="48"/>
  <c r="F859" i="48"/>
  <c r="F860" i="48"/>
  <c r="F861" i="48"/>
  <c r="F862" i="48"/>
  <c r="F863" i="48"/>
  <c r="F864" i="48"/>
  <c r="F865" i="48"/>
  <c r="F866" i="48"/>
  <c r="F867" i="48"/>
  <c r="F868" i="48"/>
  <c r="F869" i="48"/>
  <c r="F870" i="48"/>
  <c r="F871" i="48"/>
  <c r="F872" i="48"/>
  <c r="F873" i="48"/>
  <c r="F874" i="48"/>
  <c r="F875" i="48"/>
  <c r="F876" i="48"/>
  <c r="F877" i="48"/>
  <c r="F878" i="48"/>
  <c r="F879" i="48"/>
  <c r="F880" i="48"/>
  <c r="F881" i="48"/>
  <c r="F882" i="48"/>
  <c r="F883" i="48"/>
  <c r="F884" i="48"/>
  <c r="F885" i="48"/>
  <c r="F886" i="48"/>
  <c r="F887" i="48"/>
  <c r="F888" i="48"/>
  <c r="F889" i="48"/>
  <c r="F890" i="48"/>
  <c r="F891" i="48"/>
  <c r="F892" i="48"/>
  <c r="F893" i="48"/>
  <c r="F894" i="48"/>
  <c r="F895" i="48"/>
  <c r="F896" i="48"/>
  <c r="F897" i="48"/>
  <c r="F898" i="48"/>
  <c r="F899" i="48"/>
  <c r="F900" i="48"/>
  <c r="F901" i="48"/>
  <c r="F902" i="48"/>
  <c r="F903" i="48"/>
  <c r="F904" i="48"/>
  <c r="F905" i="48"/>
  <c r="F906" i="48"/>
  <c r="F907" i="48"/>
  <c r="F908" i="48"/>
  <c r="F909" i="48"/>
  <c r="F910" i="48"/>
  <c r="F911" i="48"/>
  <c r="F912" i="48"/>
  <c r="F913" i="48"/>
  <c r="F914" i="48"/>
  <c r="F915" i="48"/>
  <c r="F916" i="48"/>
  <c r="F917" i="48"/>
  <c r="F918" i="48"/>
  <c r="F919" i="48"/>
  <c r="F920" i="48"/>
  <c r="F921" i="48"/>
  <c r="F922" i="48"/>
  <c r="F923" i="48"/>
  <c r="F924" i="48"/>
  <c r="F925" i="48"/>
  <c r="F926" i="48"/>
  <c r="F927" i="48"/>
  <c r="F928" i="48"/>
  <c r="F929" i="48"/>
  <c r="F930" i="48"/>
  <c r="F931" i="48"/>
  <c r="F932" i="48"/>
  <c r="F933" i="48"/>
  <c r="F934" i="48"/>
  <c r="F935" i="48"/>
  <c r="F936" i="48"/>
  <c r="F937" i="48"/>
  <c r="F938" i="48"/>
  <c r="F939" i="48"/>
  <c r="F940" i="48"/>
  <c r="F941" i="48"/>
  <c r="F942" i="48"/>
  <c r="F943" i="48"/>
  <c r="F944" i="48"/>
  <c r="F945" i="48"/>
  <c r="F946" i="48"/>
  <c r="F947" i="48"/>
  <c r="F948" i="48"/>
  <c r="F949" i="48"/>
  <c r="F950" i="48"/>
  <c r="F951" i="48"/>
  <c r="F952" i="48"/>
  <c r="F953" i="48"/>
  <c r="F954" i="48"/>
  <c r="F955" i="48"/>
  <c r="F956" i="48"/>
  <c r="F957" i="48"/>
  <c r="F958" i="48"/>
  <c r="F959" i="48"/>
  <c r="F960" i="48"/>
  <c r="F961" i="48"/>
  <c r="F962" i="48"/>
  <c r="F963" i="48"/>
  <c r="F964" i="48"/>
  <c r="F965" i="48"/>
  <c r="F966" i="48"/>
  <c r="F967" i="48"/>
  <c r="F968" i="48"/>
  <c r="F969" i="48"/>
  <c r="F970" i="48"/>
  <c r="F971" i="48"/>
  <c r="F972" i="48"/>
  <c r="F973" i="48"/>
  <c r="F974" i="48"/>
  <c r="F975" i="48"/>
  <c r="F976" i="48"/>
  <c r="F977" i="48"/>
  <c r="F978" i="48"/>
  <c r="F979" i="48"/>
  <c r="F980" i="48"/>
  <c r="F981" i="48"/>
  <c r="F982" i="48"/>
  <c r="F983" i="48"/>
  <c r="F984" i="48"/>
  <c r="F985" i="48"/>
  <c r="F986" i="48"/>
  <c r="F987" i="48"/>
  <c r="F988" i="48"/>
  <c r="F989" i="48"/>
  <c r="F990" i="48"/>
  <c r="F991" i="48"/>
  <c r="F992" i="48"/>
  <c r="F993" i="48"/>
  <c r="F994" i="48"/>
  <c r="F995" i="48"/>
  <c r="F996" i="48"/>
  <c r="F997" i="48"/>
  <c r="F998" i="48"/>
  <c r="F999" i="48"/>
  <c r="F1000" i="48"/>
  <c r="F1001" i="48"/>
  <c r="F1002" i="48"/>
  <c r="F1003" i="48"/>
  <c r="F1004" i="48"/>
  <c r="F1005" i="48"/>
  <c r="F1006" i="48"/>
  <c r="F1007" i="48"/>
  <c r="F1008" i="48"/>
  <c r="F1009" i="48"/>
  <c r="F1010" i="48"/>
  <c r="F1011" i="48"/>
  <c r="F1012" i="48"/>
  <c r="F1013" i="48"/>
  <c r="F1014" i="48"/>
  <c r="F1015" i="48"/>
  <c r="F1016" i="48"/>
  <c r="F1017" i="48"/>
  <c r="F1018" i="48"/>
  <c r="F1019" i="48"/>
  <c r="F1020" i="48"/>
  <c r="F1021" i="48"/>
  <c r="F1022" i="48"/>
  <c r="F1023" i="48"/>
  <c r="F1024" i="48"/>
  <c r="F1025" i="48"/>
  <c r="F1026" i="48"/>
  <c r="F1027" i="48"/>
  <c r="F1028" i="48"/>
  <c r="F1029" i="48"/>
  <c r="F1030" i="48"/>
  <c r="F1031" i="48"/>
  <c r="F1032" i="48"/>
  <c r="F1033" i="48"/>
  <c r="F1034" i="48"/>
  <c r="F1035" i="48"/>
  <c r="F1036" i="48"/>
  <c r="F1037" i="48"/>
  <c r="F1038" i="48"/>
  <c r="F1039" i="48"/>
  <c r="F1040" i="48"/>
  <c r="F1041" i="48"/>
  <c r="F1042" i="48"/>
  <c r="F1043" i="48"/>
  <c r="F1044" i="48"/>
  <c r="F1045" i="48"/>
  <c r="F1046" i="48"/>
  <c r="F1047" i="48"/>
  <c r="F1048" i="48"/>
  <c r="F1049" i="48"/>
  <c r="F1050" i="48"/>
  <c r="F1051" i="48"/>
  <c r="F1052" i="48"/>
  <c r="F1053" i="48"/>
  <c r="F1054" i="48"/>
  <c r="F1055" i="48"/>
  <c r="F1056" i="48"/>
  <c r="F1057" i="48"/>
  <c r="F1058" i="48"/>
  <c r="F1059" i="48"/>
  <c r="F1060" i="48"/>
  <c r="F1061" i="48"/>
  <c r="F1062" i="48"/>
  <c r="F1063" i="48"/>
  <c r="F1064" i="48"/>
  <c r="F1065" i="48"/>
  <c r="F1066" i="48"/>
  <c r="F1067" i="48"/>
  <c r="F1068" i="48"/>
  <c r="F1069" i="48"/>
  <c r="F1070" i="48"/>
  <c r="F1071" i="48"/>
  <c r="F1072" i="48"/>
  <c r="F1073" i="48"/>
  <c r="F1074" i="48"/>
  <c r="F1075" i="48"/>
  <c r="F1076" i="48"/>
  <c r="F1077" i="48"/>
  <c r="F1078" i="48"/>
  <c r="F1079" i="48"/>
  <c r="F1080" i="48"/>
  <c r="F1081" i="48"/>
  <c r="F1082" i="48"/>
  <c r="F1083" i="48"/>
  <c r="F1084" i="48"/>
  <c r="F1085" i="48"/>
  <c r="F1086" i="48"/>
  <c r="F1087" i="48"/>
  <c r="F1088" i="48"/>
  <c r="F1089" i="48"/>
  <c r="F1090" i="48"/>
  <c r="F1091" i="48"/>
  <c r="F1092" i="48"/>
  <c r="F1093" i="48"/>
  <c r="F1094" i="48"/>
  <c r="F1095" i="48"/>
  <c r="F1096" i="48"/>
  <c r="F1097" i="48"/>
  <c r="F1098" i="48"/>
  <c r="F1099" i="48"/>
  <c r="F1100" i="48"/>
  <c r="F1101" i="48"/>
  <c r="F1102" i="48"/>
  <c r="F1103" i="48"/>
  <c r="F1104" i="48"/>
  <c r="F1105" i="48"/>
  <c r="F1106" i="48"/>
  <c r="F1107" i="48"/>
  <c r="F1108" i="48"/>
  <c r="F1109" i="48"/>
  <c r="F1110" i="48"/>
  <c r="F1111" i="48"/>
  <c r="F1112" i="48"/>
  <c r="F1113" i="48"/>
  <c r="F1114" i="48"/>
  <c r="F1115" i="48"/>
  <c r="F1116" i="48"/>
  <c r="F1117" i="48"/>
  <c r="F1118" i="48"/>
  <c r="F1119" i="48"/>
  <c r="F1120" i="48"/>
  <c r="F1121" i="48"/>
  <c r="F1122" i="48"/>
  <c r="F1123" i="48"/>
  <c r="F1124" i="48"/>
  <c r="F1125" i="48"/>
  <c r="F1126" i="48"/>
  <c r="F1127" i="48"/>
  <c r="F1128" i="48"/>
  <c r="F1129" i="48"/>
  <c r="F1130" i="48"/>
  <c r="F1131" i="48"/>
  <c r="F1132" i="48"/>
  <c r="F1133" i="48"/>
  <c r="F1134" i="48"/>
  <c r="F1135" i="48"/>
  <c r="F1136" i="48"/>
  <c r="F1137" i="48"/>
  <c r="F1138" i="48"/>
  <c r="F1139" i="48"/>
  <c r="F1140" i="48"/>
  <c r="F1141" i="48"/>
  <c r="F1142" i="48"/>
  <c r="F1143" i="48"/>
  <c r="F1144" i="48"/>
  <c r="F1145" i="48"/>
  <c r="F1146" i="48"/>
  <c r="F1147" i="48"/>
  <c r="F1148" i="48"/>
  <c r="F1149" i="48"/>
  <c r="F1150" i="48"/>
  <c r="F1151" i="48"/>
  <c r="F1152" i="48"/>
  <c r="F1153" i="48"/>
  <c r="F1154" i="48"/>
  <c r="F1155" i="48"/>
  <c r="F1156" i="48"/>
  <c r="F1157" i="48"/>
  <c r="F1158" i="48"/>
  <c r="F1159" i="48"/>
  <c r="F1160" i="48"/>
  <c r="F1161" i="48"/>
  <c r="F1162" i="48"/>
  <c r="F1163" i="48"/>
  <c r="F1164" i="48"/>
  <c r="F1165" i="48"/>
  <c r="F1166" i="48"/>
  <c r="F1167" i="48"/>
  <c r="F1168" i="48"/>
  <c r="F1169" i="48"/>
  <c r="F1170" i="48"/>
  <c r="F1171" i="48"/>
  <c r="F1172" i="48"/>
  <c r="F1173" i="48"/>
  <c r="F1174" i="48"/>
  <c r="F1175" i="48"/>
  <c r="F1176" i="48"/>
  <c r="F1177" i="48"/>
  <c r="F1178" i="48"/>
  <c r="F1179" i="48"/>
  <c r="F1180" i="48"/>
  <c r="F1181" i="48"/>
  <c r="F1182" i="48"/>
  <c r="F1183" i="48"/>
  <c r="F1184" i="48"/>
  <c r="F1185" i="48"/>
  <c r="F1186" i="48"/>
  <c r="F1187" i="48"/>
  <c r="F1188" i="48"/>
  <c r="F1189" i="48"/>
  <c r="F1190" i="48"/>
  <c r="F1191" i="48"/>
  <c r="F1192" i="48"/>
  <c r="F1193" i="48"/>
  <c r="F1194" i="48"/>
  <c r="F1195" i="48"/>
  <c r="F1196" i="48"/>
  <c r="F1197" i="48"/>
  <c r="F1198" i="48"/>
  <c r="F1199" i="48"/>
  <c r="F1200" i="48"/>
  <c r="F1201" i="48"/>
  <c r="F1202" i="48"/>
  <c r="F1203" i="48"/>
  <c r="F1204" i="48"/>
  <c r="F1205" i="48"/>
  <c r="F1206" i="48"/>
  <c r="F1207" i="48"/>
  <c r="F1208" i="48"/>
  <c r="F1209" i="48"/>
  <c r="F1210" i="48"/>
  <c r="F1211" i="48"/>
  <c r="F1212" i="48"/>
  <c r="F1213" i="48"/>
  <c r="F1214" i="48"/>
  <c r="F1215" i="48"/>
  <c r="F1216" i="48"/>
  <c r="F1217" i="48"/>
  <c r="F1218" i="48"/>
  <c r="F1219" i="48"/>
  <c r="F1220" i="48"/>
  <c r="F1221" i="48"/>
  <c r="F1222" i="48"/>
  <c r="F1223" i="48"/>
  <c r="F1224" i="48"/>
  <c r="F1225" i="48"/>
  <c r="F1226" i="48"/>
  <c r="F1227" i="48"/>
  <c r="F1228" i="48"/>
  <c r="F1229" i="48"/>
  <c r="F1230" i="48"/>
  <c r="F1231" i="48"/>
  <c r="F1232" i="48"/>
  <c r="F1233" i="48"/>
  <c r="F1234" i="48"/>
  <c r="F1235" i="48"/>
  <c r="F1236" i="48"/>
  <c r="F1237" i="48"/>
  <c r="F1238" i="48"/>
  <c r="F1239" i="48"/>
  <c r="F1240" i="48"/>
  <c r="F1241" i="48"/>
  <c r="F1242" i="48"/>
  <c r="F1243" i="48"/>
  <c r="F1244" i="48"/>
  <c r="F1245" i="48"/>
  <c r="F1246" i="48"/>
  <c r="F1247" i="48"/>
  <c r="F1248" i="48"/>
  <c r="F1249" i="48"/>
  <c r="F1250" i="48"/>
  <c r="F1251" i="48"/>
  <c r="F1252" i="48"/>
  <c r="F1253" i="48"/>
  <c r="F1254" i="48"/>
  <c r="F1255" i="48"/>
  <c r="F1256" i="48"/>
  <c r="F1257" i="48"/>
  <c r="F1258" i="48"/>
  <c r="F1259" i="48"/>
  <c r="F1260" i="48"/>
  <c r="F1261" i="48"/>
  <c r="F1262" i="48"/>
  <c r="F1263" i="48"/>
  <c r="F1264" i="48"/>
  <c r="F1265" i="48"/>
  <c r="F1266" i="48"/>
  <c r="F1267" i="48"/>
  <c r="F1268" i="48"/>
  <c r="F1269" i="48"/>
  <c r="F1270" i="48"/>
  <c r="F1271" i="48"/>
  <c r="F1272" i="48"/>
  <c r="F1273" i="48"/>
  <c r="F1274" i="48"/>
  <c r="F1275" i="48"/>
  <c r="F1276" i="48"/>
  <c r="F1277" i="48"/>
  <c r="F1278" i="48"/>
  <c r="F1279" i="48"/>
  <c r="F1280" i="48"/>
  <c r="F1281" i="48"/>
  <c r="F1282" i="48"/>
  <c r="F1283" i="48"/>
  <c r="F1284" i="48"/>
  <c r="F1285" i="48"/>
  <c r="F1286" i="48"/>
  <c r="F1287" i="48"/>
  <c r="F1288" i="48"/>
  <c r="F1289" i="48"/>
  <c r="F1290" i="48"/>
  <c r="F1291" i="48"/>
  <c r="F1292" i="48"/>
  <c r="F1293" i="48"/>
  <c r="F1294" i="48"/>
  <c r="F1295" i="48"/>
  <c r="F1296" i="48"/>
  <c r="F1297" i="48"/>
  <c r="F1298" i="48"/>
  <c r="F1299" i="48"/>
  <c r="F1300" i="48"/>
  <c r="F1301" i="48"/>
  <c r="F1302" i="48"/>
  <c r="F1303" i="48"/>
  <c r="F1304" i="48"/>
  <c r="F1305" i="48"/>
  <c r="F1306" i="48"/>
  <c r="F1307" i="48"/>
  <c r="F1308" i="48"/>
  <c r="F1309" i="48"/>
  <c r="F1310" i="48"/>
  <c r="F1311" i="48"/>
  <c r="F1312" i="48"/>
  <c r="F1313" i="48"/>
  <c r="F1314" i="48"/>
  <c r="F1315" i="48"/>
  <c r="F1316" i="48"/>
  <c r="F1317" i="48"/>
  <c r="F1318" i="48"/>
  <c r="F1319" i="48"/>
  <c r="F1320" i="48"/>
  <c r="F1321" i="48"/>
  <c r="F1322" i="48"/>
  <c r="F1323" i="48"/>
  <c r="F1324" i="48"/>
  <c r="F1325" i="48"/>
  <c r="F1326" i="48"/>
  <c r="F1327" i="48"/>
  <c r="F1328" i="48"/>
  <c r="F1329" i="48"/>
  <c r="F1330" i="48"/>
  <c r="F1331" i="48"/>
  <c r="F1332" i="48"/>
  <c r="F1333" i="48"/>
  <c r="F1334" i="48"/>
  <c r="F1335" i="48"/>
  <c r="F1336" i="48"/>
  <c r="F1337" i="48"/>
  <c r="F1338" i="48"/>
  <c r="F1339" i="48"/>
  <c r="F1340" i="48"/>
  <c r="F1341" i="48"/>
  <c r="F1342" i="48"/>
  <c r="F1343" i="48"/>
  <c r="F1344" i="48"/>
  <c r="F1345" i="48"/>
  <c r="F1346" i="48"/>
  <c r="F1347" i="48"/>
  <c r="F1348" i="48"/>
  <c r="F1349" i="48"/>
  <c r="F1350" i="48"/>
  <c r="F1351" i="48"/>
  <c r="F1352" i="48"/>
  <c r="F1353" i="48"/>
  <c r="F1354" i="48"/>
  <c r="F1355" i="48"/>
  <c r="F1356" i="48"/>
  <c r="F1357" i="48"/>
  <c r="F1358" i="48"/>
  <c r="F1359" i="48"/>
  <c r="F1360" i="48"/>
  <c r="F1361" i="48"/>
  <c r="F1362" i="48"/>
  <c r="F1363" i="48"/>
  <c r="F1364" i="48"/>
  <c r="F1365" i="48"/>
  <c r="F1366" i="48"/>
  <c r="F1367" i="48"/>
  <c r="F1368" i="48"/>
  <c r="F1369" i="48"/>
  <c r="F1370" i="48"/>
  <c r="F1371" i="48"/>
  <c r="F1372" i="48"/>
  <c r="F1373" i="48"/>
  <c r="F1374" i="48"/>
  <c r="F1375" i="48"/>
  <c r="F1376" i="48"/>
  <c r="F1377" i="48"/>
  <c r="F1378" i="48"/>
  <c r="F1379" i="48"/>
  <c r="F1380" i="48"/>
  <c r="F1381" i="48"/>
  <c r="F1382" i="48"/>
  <c r="F1383" i="48"/>
  <c r="F1384" i="48"/>
  <c r="F1385" i="48"/>
  <c r="F1386" i="48"/>
  <c r="F1387" i="48"/>
  <c r="F1388" i="48"/>
  <c r="F1389" i="48"/>
  <c r="F1390" i="48"/>
  <c r="F1391" i="48"/>
  <c r="F1392" i="48"/>
  <c r="F1393" i="48"/>
  <c r="F1394" i="48"/>
  <c r="F1395" i="48"/>
  <c r="F1396" i="48"/>
  <c r="F1397" i="48"/>
  <c r="F1398" i="48"/>
  <c r="F1399" i="48"/>
  <c r="F1400" i="48"/>
  <c r="F1401" i="48"/>
  <c r="F1402" i="48"/>
  <c r="F1403" i="48"/>
  <c r="F1404" i="48"/>
  <c r="F1405" i="48"/>
  <c r="F1406" i="48"/>
  <c r="F1407" i="48"/>
  <c r="F1408" i="48"/>
  <c r="F1409" i="48"/>
  <c r="F1410" i="48"/>
  <c r="F1411" i="48"/>
  <c r="F1412" i="48"/>
  <c r="F1413" i="48"/>
  <c r="F1414" i="48"/>
  <c r="F1415" i="48"/>
  <c r="F1416" i="48"/>
  <c r="F1417" i="48"/>
  <c r="F1418" i="48"/>
  <c r="F1419" i="48"/>
  <c r="F1420" i="48"/>
  <c r="F1421" i="48"/>
  <c r="F1422" i="48"/>
  <c r="F1423" i="48"/>
  <c r="F1424" i="48"/>
  <c r="F1425" i="48"/>
  <c r="F1426" i="48"/>
  <c r="F1427" i="48"/>
  <c r="F1428" i="48"/>
  <c r="F1429" i="48"/>
  <c r="F1430" i="48"/>
  <c r="F1431" i="48"/>
  <c r="F1432" i="48"/>
  <c r="F1433" i="48"/>
  <c r="F1434" i="48"/>
  <c r="F1435" i="48"/>
  <c r="F1436" i="48"/>
  <c r="F1437" i="48"/>
  <c r="F1438" i="48"/>
  <c r="F1439" i="48"/>
  <c r="F1440" i="48"/>
  <c r="F1441" i="48"/>
  <c r="F1442" i="48"/>
  <c r="F1443" i="48"/>
  <c r="F1444" i="48"/>
  <c r="F1445" i="48"/>
  <c r="F1446" i="48"/>
  <c r="F1447" i="48"/>
  <c r="F1448" i="48"/>
  <c r="F1449" i="48"/>
  <c r="F1450" i="48"/>
  <c r="F1451" i="48"/>
  <c r="F1452" i="48"/>
  <c r="F1453" i="48"/>
  <c r="F1454" i="48"/>
  <c r="F1455" i="48"/>
  <c r="F1456" i="48"/>
  <c r="F1457" i="48"/>
  <c r="F1458" i="48"/>
  <c r="F1459" i="48"/>
  <c r="F1460" i="48"/>
  <c r="F1461" i="48"/>
  <c r="F1462" i="48"/>
  <c r="F1463" i="48"/>
  <c r="F1464" i="48"/>
  <c r="F1465" i="48"/>
  <c r="F1466" i="48"/>
  <c r="F1467" i="48"/>
  <c r="F1468" i="48"/>
  <c r="F1469" i="48"/>
  <c r="F1470" i="48"/>
  <c r="F1471" i="48"/>
  <c r="F1472" i="48"/>
  <c r="F1473" i="48"/>
  <c r="F1474" i="48"/>
  <c r="F1475" i="48"/>
  <c r="F1476" i="48"/>
  <c r="F1477" i="48"/>
  <c r="F1478" i="48"/>
  <c r="F1479" i="48"/>
  <c r="F1480" i="48"/>
  <c r="F1481" i="48"/>
  <c r="F1482" i="48"/>
  <c r="F1483" i="48"/>
  <c r="F1484" i="48"/>
  <c r="F1485" i="48"/>
  <c r="F1486" i="48"/>
  <c r="F1487" i="48"/>
  <c r="F1488" i="48"/>
  <c r="F1489" i="48"/>
  <c r="F1490" i="48"/>
  <c r="F1491" i="48"/>
  <c r="F1492" i="48"/>
  <c r="F1493" i="48"/>
  <c r="F1494" i="48"/>
  <c r="F1495" i="48"/>
  <c r="F1496" i="48"/>
  <c r="F1497" i="48"/>
  <c r="F1498" i="48"/>
  <c r="F1499" i="48"/>
  <c r="F1500" i="48"/>
  <c r="F1501" i="48"/>
  <c r="F1502" i="48"/>
  <c r="F1503" i="48"/>
  <c r="F1504" i="48"/>
  <c r="F1505" i="48"/>
  <c r="F1506" i="48"/>
  <c r="F1507" i="48"/>
  <c r="F1508" i="48"/>
  <c r="F1509" i="48"/>
  <c r="F1510" i="48"/>
  <c r="F1512" i="48"/>
  <c r="F1513" i="48"/>
  <c r="F1514" i="48"/>
  <c r="F1515" i="48"/>
  <c r="F1516" i="48"/>
  <c r="F1517" i="48"/>
  <c r="F1518" i="48"/>
  <c r="F1519" i="48"/>
  <c r="F1520" i="48"/>
  <c r="F1521" i="48"/>
  <c r="F1522" i="48"/>
  <c r="F1523" i="48"/>
  <c r="F1524" i="48"/>
  <c r="F1525" i="48"/>
  <c r="F1526" i="48"/>
  <c r="F1527" i="48"/>
  <c r="F1528" i="48"/>
  <c r="F1529" i="48"/>
  <c r="F1530" i="48"/>
  <c r="F1531" i="48"/>
  <c r="F1532" i="48"/>
  <c r="F1533" i="48"/>
  <c r="F1534" i="48"/>
  <c r="F1535" i="48"/>
  <c r="F1536" i="48"/>
  <c r="F1537" i="48"/>
  <c r="F1538" i="48"/>
  <c r="F1539" i="48"/>
  <c r="F1540" i="48"/>
  <c r="F1541" i="48"/>
  <c r="F1542" i="48"/>
  <c r="F1543" i="48"/>
  <c r="F1544" i="48"/>
  <c r="F1545" i="48"/>
  <c r="F1546" i="48"/>
  <c r="F1547" i="48"/>
  <c r="F1548" i="48"/>
  <c r="F1549" i="48"/>
  <c r="F1550" i="48"/>
  <c r="F1551" i="48"/>
  <c r="F1552" i="48"/>
  <c r="F1553" i="48"/>
  <c r="F1554" i="48"/>
  <c r="F1555" i="48"/>
  <c r="F1556" i="48"/>
  <c r="F1557" i="48"/>
  <c r="F1558" i="48"/>
  <c r="F1559" i="48"/>
  <c r="F1560" i="48"/>
  <c r="F1561" i="48"/>
  <c r="F1562" i="48"/>
  <c r="F1563" i="48"/>
  <c r="F1564" i="48"/>
  <c r="F1565" i="48"/>
  <c r="F1566" i="48"/>
  <c r="F1567" i="48"/>
  <c r="F1568" i="48"/>
  <c r="F1569" i="48"/>
  <c r="F1570" i="48"/>
  <c r="F1571" i="48"/>
  <c r="F1572" i="48"/>
  <c r="F1573" i="48"/>
  <c r="F1574" i="48"/>
  <c r="F1575" i="48"/>
  <c r="F1576" i="48"/>
  <c r="F1577" i="48"/>
  <c r="F1578" i="48"/>
  <c r="F1579" i="48"/>
  <c r="F1580" i="48"/>
  <c r="F1581" i="48"/>
  <c r="F1582" i="48"/>
  <c r="F1583" i="48"/>
  <c r="F1584" i="48"/>
  <c r="F1585" i="48"/>
  <c r="F1586" i="48"/>
  <c r="F1587" i="48"/>
  <c r="F1588" i="48"/>
  <c r="F1589" i="48"/>
  <c r="F1590" i="48"/>
  <c r="F1591" i="48"/>
  <c r="F1592" i="48"/>
  <c r="F1593" i="48"/>
  <c r="F1594" i="48"/>
  <c r="F1595" i="48"/>
  <c r="F1596" i="48"/>
  <c r="F1597" i="48"/>
  <c r="F1598" i="48"/>
  <c r="F1599" i="48"/>
  <c r="F1600" i="48"/>
  <c r="F1601" i="48"/>
  <c r="F1602" i="48"/>
  <c r="F1603" i="48"/>
  <c r="F1604" i="48"/>
  <c r="F1605" i="48"/>
  <c r="F1606" i="48"/>
  <c r="F1607" i="48"/>
  <c r="F1608" i="48"/>
  <c r="F1609" i="48"/>
  <c r="F1610" i="48"/>
  <c r="F1611" i="48"/>
  <c r="F1612" i="48"/>
  <c r="F1613" i="48"/>
  <c r="F1614" i="48"/>
  <c r="F1615" i="48"/>
  <c r="F1616" i="48"/>
  <c r="F1617" i="48"/>
  <c r="F1618" i="48"/>
  <c r="F1619" i="48"/>
  <c r="F1620" i="48"/>
  <c r="F1621" i="48"/>
  <c r="F1622" i="48"/>
  <c r="F1623" i="48"/>
  <c r="F1624" i="48"/>
  <c r="F1625" i="48"/>
  <c r="F1626" i="48"/>
  <c r="F1627" i="48"/>
  <c r="F1628" i="48"/>
  <c r="F1629" i="48"/>
  <c r="F1630" i="48"/>
  <c r="F1631" i="48"/>
  <c r="F1632" i="48"/>
  <c r="F1633" i="48"/>
  <c r="F1634" i="48"/>
  <c r="F1635" i="48"/>
  <c r="F1636" i="48"/>
  <c r="F1637" i="48"/>
  <c r="F1638" i="48"/>
  <c r="F1639" i="48"/>
  <c r="F1640" i="48"/>
  <c r="F1641" i="48"/>
  <c r="F1642" i="48"/>
  <c r="F1643" i="48"/>
  <c r="F1644" i="48"/>
  <c r="F1645" i="48"/>
  <c r="F1646" i="48"/>
  <c r="F1647" i="48"/>
  <c r="F1648" i="48"/>
  <c r="F1649" i="48"/>
  <c r="F1650" i="48"/>
  <c r="F1651" i="48"/>
  <c r="F1652" i="48"/>
  <c r="F1653" i="48"/>
  <c r="F1654" i="48"/>
  <c r="F1655" i="48"/>
  <c r="F1656" i="48"/>
  <c r="F1657" i="48"/>
  <c r="F1658" i="48"/>
  <c r="F1659" i="48"/>
  <c r="F1660" i="48"/>
  <c r="F1661" i="48"/>
  <c r="F1662" i="48"/>
  <c r="F1663" i="48"/>
  <c r="F1664" i="48"/>
  <c r="F1665" i="48"/>
  <c r="F1666" i="48"/>
  <c r="F1667" i="48"/>
  <c r="F1668" i="48"/>
  <c r="F1669" i="48"/>
  <c r="F1670" i="48"/>
  <c r="F1671" i="48"/>
  <c r="F1672" i="48"/>
  <c r="F1673" i="48"/>
  <c r="F1674" i="48"/>
  <c r="F1675" i="48"/>
  <c r="F1676" i="48"/>
  <c r="F1677" i="48"/>
  <c r="F1678" i="48"/>
  <c r="F1679" i="48"/>
  <c r="F1680" i="48"/>
  <c r="F1681" i="48"/>
  <c r="F1682" i="48"/>
  <c r="F1683" i="48"/>
  <c r="F1684" i="48"/>
  <c r="F1685" i="48"/>
  <c r="F1686" i="48"/>
  <c r="F1687" i="48"/>
  <c r="F1688" i="48"/>
  <c r="F1689" i="48"/>
  <c r="F1690" i="48"/>
  <c r="F1691" i="48"/>
  <c r="F1692" i="48"/>
  <c r="F1693" i="48"/>
  <c r="F1694" i="48"/>
  <c r="F1695" i="48"/>
  <c r="F1696" i="48"/>
  <c r="F1697" i="48"/>
  <c r="F1698" i="48"/>
  <c r="F1699" i="48"/>
  <c r="F1700" i="48"/>
  <c r="F1701" i="48"/>
  <c r="F1702" i="48"/>
  <c r="F1703" i="48"/>
  <c r="F1704" i="48"/>
  <c r="F1705" i="48"/>
  <c r="F1706" i="48"/>
  <c r="F1707" i="48"/>
  <c r="F1708" i="48"/>
  <c r="F1709" i="48"/>
  <c r="F1710" i="48"/>
  <c r="F1711" i="48"/>
  <c r="F1712" i="48"/>
  <c r="F1713" i="48"/>
  <c r="F1714" i="48"/>
  <c r="F1715" i="48"/>
  <c r="F1716" i="48"/>
  <c r="F1717" i="48"/>
  <c r="F1718" i="48"/>
  <c r="F1719" i="48"/>
  <c r="F1720" i="48"/>
  <c r="F1721" i="48"/>
  <c r="F1722" i="48"/>
  <c r="F1723" i="48"/>
  <c r="F1724" i="48"/>
  <c r="F1725" i="48"/>
  <c r="F1726" i="48"/>
  <c r="F1727" i="48"/>
  <c r="F1728" i="48"/>
  <c r="F1729" i="48"/>
  <c r="F1730" i="48"/>
  <c r="F1731" i="48"/>
  <c r="F1732" i="48"/>
  <c r="F1733" i="48"/>
  <c r="F1734" i="48"/>
  <c r="F1735" i="48"/>
  <c r="F1736" i="48"/>
  <c r="F1737" i="48"/>
  <c r="F1738" i="48"/>
  <c r="F1739" i="48"/>
  <c r="F1740" i="48"/>
  <c r="F1741" i="48"/>
  <c r="F1742" i="48"/>
  <c r="F1743" i="48"/>
  <c r="F1744" i="48"/>
  <c r="F1745" i="48"/>
  <c r="F1746" i="48"/>
  <c r="F1747" i="48"/>
  <c r="F1748" i="48"/>
  <c r="F1749" i="48"/>
  <c r="F1750" i="48"/>
  <c r="F1751" i="48"/>
  <c r="F1752" i="48"/>
  <c r="F1753" i="48"/>
  <c r="F1754" i="48"/>
  <c r="F1755" i="48"/>
  <c r="F1756" i="48"/>
  <c r="F1757" i="48"/>
  <c r="F1758" i="48"/>
  <c r="F1759" i="48"/>
  <c r="F1760" i="48"/>
  <c r="F1761" i="48"/>
  <c r="F1762" i="48"/>
  <c r="F1763" i="48"/>
  <c r="F1764" i="48"/>
  <c r="F1765" i="48"/>
  <c r="F1766" i="48"/>
  <c r="F1767" i="48"/>
  <c r="F1768" i="48"/>
  <c r="F1769" i="48"/>
  <c r="F1770" i="48"/>
  <c r="F1771" i="48"/>
  <c r="F1772" i="48"/>
  <c r="F1773" i="48"/>
  <c r="F1774" i="48"/>
  <c r="F1775" i="48"/>
  <c r="F1776" i="48"/>
  <c r="F1777" i="48"/>
  <c r="F1778" i="48"/>
  <c r="F1779" i="48"/>
  <c r="F1780" i="48"/>
  <c r="F1781" i="48"/>
  <c r="F1782" i="48"/>
  <c r="F1783" i="48"/>
  <c r="F1784" i="48"/>
  <c r="F1785" i="48"/>
  <c r="F1786" i="48"/>
  <c r="F1787" i="48"/>
  <c r="F1788" i="48"/>
  <c r="F1789" i="48"/>
  <c r="F1790" i="48"/>
  <c r="F1791" i="48"/>
  <c r="F1792" i="48"/>
  <c r="F1793" i="48"/>
  <c r="F1794" i="48"/>
  <c r="F1795" i="48"/>
  <c r="F1796" i="48"/>
  <c r="F1797" i="48"/>
  <c r="F1798" i="48"/>
  <c r="F1799" i="48"/>
  <c r="F1800" i="48"/>
  <c r="F1801" i="48"/>
  <c r="F1802" i="48"/>
  <c r="F1803" i="48"/>
  <c r="F1804" i="48"/>
  <c r="F1805" i="48"/>
  <c r="F1806" i="48"/>
  <c r="F1807" i="48"/>
  <c r="F1808" i="48"/>
  <c r="F1809" i="48"/>
  <c r="F1810" i="48"/>
  <c r="F1811" i="48"/>
  <c r="F1812" i="48"/>
  <c r="F1813" i="48"/>
  <c r="F1814" i="48"/>
  <c r="F1815" i="48"/>
  <c r="F1816" i="48"/>
  <c r="F1817" i="48"/>
  <c r="F1818" i="48"/>
  <c r="F1819" i="48"/>
  <c r="F1820" i="48"/>
  <c r="F1821" i="48"/>
  <c r="F1822" i="48"/>
  <c r="F1823" i="48"/>
  <c r="F1824" i="48"/>
  <c r="F1825" i="48"/>
  <c r="F1826" i="48"/>
  <c r="F1827" i="48"/>
  <c r="F1828" i="48"/>
  <c r="F1829" i="48"/>
  <c r="F1830" i="48"/>
  <c r="F1831" i="48"/>
  <c r="F1832" i="48"/>
  <c r="F1833" i="48"/>
  <c r="F1834" i="48"/>
  <c r="F1835" i="48"/>
  <c r="F1836" i="48"/>
  <c r="F1837" i="48"/>
  <c r="F1838" i="48"/>
  <c r="F1839" i="48"/>
  <c r="F1840" i="48"/>
  <c r="F1841" i="48"/>
  <c r="F1842" i="48"/>
  <c r="F1843" i="48"/>
  <c r="F1844" i="48"/>
  <c r="F1845" i="48"/>
  <c r="F1846" i="48"/>
  <c r="F1847" i="48"/>
  <c r="F1848" i="48"/>
  <c r="F1849" i="48"/>
  <c r="F1850" i="48"/>
  <c r="F1851" i="48"/>
  <c r="F1852" i="48"/>
  <c r="F1853" i="48"/>
  <c r="F1854" i="48"/>
  <c r="F1855" i="48"/>
  <c r="F1856" i="48"/>
  <c r="F1857" i="48"/>
  <c r="F1858" i="48"/>
  <c r="F1859" i="48"/>
  <c r="F1860" i="48"/>
  <c r="F1861" i="48"/>
  <c r="F1862" i="48"/>
  <c r="F1863" i="48"/>
  <c r="F1864" i="48"/>
  <c r="F1865" i="48"/>
  <c r="F1866" i="48"/>
  <c r="F1867" i="48"/>
  <c r="F1868" i="48"/>
  <c r="F1869" i="48"/>
  <c r="F1870" i="48"/>
  <c r="F1871" i="48"/>
  <c r="F1872" i="48"/>
  <c r="F1873" i="48"/>
  <c r="F1874" i="48"/>
  <c r="F1875" i="48"/>
  <c r="F1876" i="48"/>
  <c r="F1877" i="48"/>
  <c r="F1878" i="48"/>
  <c r="F1879" i="48"/>
  <c r="F1880" i="48"/>
  <c r="F1881" i="48"/>
  <c r="F1882" i="48"/>
  <c r="F1883" i="48"/>
  <c r="F1884" i="48"/>
  <c r="F1885" i="48"/>
  <c r="F1886" i="48"/>
  <c r="F1887" i="48"/>
  <c r="F1888" i="48"/>
  <c r="F1889" i="48"/>
  <c r="F1890" i="48"/>
  <c r="F1891" i="48"/>
  <c r="F1892" i="48"/>
  <c r="F1893" i="48"/>
  <c r="F1894" i="48"/>
  <c r="F1895" i="48"/>
  <c r="F1896" i="48"/>
  <c r="F1897" i="48"/>
  <c r="F1898" i="48"/>
  <c r="F1899" i="48"/>
  <c r="F1900" i="48"/>
  <c r="F1901" i="48"/>
  <c r="F1902" i="48"/>
  <c r="F1903" i="48"/>
  <c r="F1904" i="48"/>
  <c r="F1905" i="48"/>
  <c r="F1906" i="48"/>
  <c r="F1907" i="48"/>
  <c r="F1908" i="48"/>
  <c r="F1909" i="48"/>
  <c r="F1910" i="48"/>
  <c r="F1911" i="48"/>
  <c r="F1912" i="48"/>
  <c r="F1913" i="48"/>
  <c r="F1914" i="48"/>
  <c r="F1915" i="48"/>
  <c r="F1916" i="48"/>
  <c r="F1917" i="48"/>
  <c r="F1918" i="48"/>
  <c r="F1919" i="48"/>
  <c r="F1920" i="48"/>
  <c r="F1921" i="48"/>
  <c r="F1922" i="48"/>
  <c r="F1923" i="48"/>
  <c r="F1924" i="48"/>
  <c r="F1925" i="48"/>
  <c r="F1926" i="48"/>
  <c r="F1927" i="48"/>
  <c r="F1928" i="48"/>
  <c r="F1929" i="48"/>
  <c r="F1930" i="48"/>
  <c r="F1931" i="48"/>
  <c r="F1932" i="48"/>
  <c r="F1933" i="48"/>
  <c r="F1934" i="48"/>
  <c r="F1935" i="48"/>
  <c r="F1936" i="48"/>
  <c r="F1937" i="48"/>
  <c r="F1938" i="48"/>
  <c r="F1939" i="48"/>
  <c r="F1940" i="48"/>
  <c r="F1941" i="48"/>
  <c r="F1942" i="48"/>
  <c r="F1943" i="48"/>
  <c r="F1944" i="48"/>
  <c r="F1945" i="48"/>
  <c r="F1946" i="48"/>
  <c r="F1947" i="48"/>
  <c r="F1948" i="48"/>
  <c r="F1949" i="48"/>
  <c r="F1950" i="48"/>
  <c r="F1951" i="48"/>
  <c r="F1952" i="48"/>
  <c r="F1953" i="48"/>
  <c r="F1954" i="48"/>
  <c r="F1955" i="48"/>
  <c r="F1956" i="48"/>
  <c r="F1957" i="48"/>
  <c r="F1958" i="48"/>
  <c r="F1959" i="48"/>
  <c r="F1960" i="48"/>
  <c r="F1961" i="48"/>
  <c r="F1962" i="48"/>
  <c r="F1963" i="48"/>
  <c r="F1964" i="48"/>
  <c r="F1965" i="48"/>
  <c r="F1966" i="48"/>
  <c r="F1967" i="48"/>
  <c r="F1968" i="48"/>
  <c r="F1969" i="48"/>
  <c r="F1970" i="48"/>
  <c r="F1971" i="48"/>
  <c r="F1972" i="48"/>
  <c r="F1973" i="48"/>
  <c r="F1974" i="48"/>
  <c r="F1975" i="48"/>
  <c r="F1976" i="48"/>
  <c r="F1977" i="48"/>
  <c r="F1978" i="48"/>
  <c r="F1979" i="48"/>
  <c r="F1980" i="48"/>
  <c r="F1981" i="48"/>
  <c r="F1982" i="48"/>
  <c r="F1983" i="48"/>
  <c r="F1984" i="48"/>
  <c r="F1985" i="48"/>
  <c r="F1986" i="48"/>
  <c r="F1987" i="48"/>
  <c r="F1988" i="48"/>
  <c r="F1989" i="48"/>
  <c r="F1990" i="48"/>
  <c r="F1991" i="48"/>
  <c r="F1992" i="48"/>
  <c r="F1993" i="48"/>
  <c r="F1994" i="48"/>
  <c r="F1995" i="48"/>
  <c r="F1996" i="48"/>
  <c r="F1997" i="48"/>
  <c r="F1998" i="48"/>
  <c r="F1999" i="48"/>
  <c r="F2000" i="48"/>
  <c r="F2001" i="48"/>
  <c r="F2002" i="48"/>
  <c r="F2003" i="48"/>
  <c r="F2004" i="48"/>
  <c r="F2005" i="48"/>
  <c r="F2006" i="48"/>
  <c r="F2007" i="48"/>
  <c r="F2008" i="48"/>
  <c r="F2009" i="48"/>
  <c r="F2010" i="48"/>
  <c r="F2011" i="48"/>
  <c r="F2012" i="48"/>
  <c r="F2013" i="48"/>
  <c r="F2014" i="48"/>
  <c r="F2015" i="48"/>
  <c r="F2016" i="48"/>
  <c r="F2017" i="48"/>
  <c r="F2018" i="48"/>
  <c r="F2019" i="48"/>
  <c r="F2020" i="48"/>
  <c r="F2021" i="48"/>
  <c r="F2022" i="48"/>
  <c r="F2023" i="48"/>
  <c r="F2024" i="48"/>
  <c r="F2025" i="48"/>
  <c r="F2026" i="48"/>
  <c r="F2027" i="48"/>
  <c r="F2028" i="48"/>
  <c r="F2029" i="48"/>
  <c r="F2030" i="48"/>
  <c r="F2031" i="48"/>
  <c r="F2032" i="48"/>
  <c r="F2033" i="48"/>
  <c r="F2034" i="48"/>
  <c r="F2035" i="48"/>
  <c r="F2036" i="48"/>
  <c r="F2037" i="48"/>
  <c r="F2038" i="48"/>
  <c r="F2039" i="48"/>
  <c r="F2040" i="48"/>
  <c r="F2041" i="48"/>
  <c r="F2042" i="48"/>
  <c r="F2043" i="48"/>
  <c r="F2044" i="48"/>
  <c r="F2045" i="48"/>
  <c r="F2046" i="48"/>
  <c r="F2047" i="48"/>
  <c r="F2048" i="48"/>
  <c r="F2049" i="48"/>
  <c r="F2050" i="48"/>
  <c r="F2051" i="48"/>
  <c r="F2052" i="48"/>
  <c r="F2053" i="48"/>
  <c r="F2054" i="48"/>
  <c r="F2055" i="48"/>
  <c r="F2056" i="48"/>
  <c r="F2057" i="48"/>
  <c r="F2058" i="48"/>
  <c r="F2059" i="48"/>
  <c r="F2060" i="48"/>
  <c r="F2061" i="48"/>
  <c r="F2062" i="48"/>
  <c r="F2063" i="48"/>
  <c r="F2064" i="48"/>
  <c r="F2065" i="48"/>
  <c r="F2066" i="48"/>
  <c r="F2067" i="48"/>
  <c r="F2068" i="48"/>
  <c r="F2069" i="48"/>
  <c r="F2070" i="48"/>
  <c r="F2071" i="48"/>
  <c r="F2072" i="48"/>
  <c r="F2073" i="48"/>
  <c r="F2074" i="48"/>
  <c r="F2075" i="48"/>
  <c r="F2076" i="48"/>
  <c r="F2077" i="48"/>
  <c r="F2078" i="48"/>
  <c r="F2079" i="48"/>
  <c r="F2080" i="48"/>
  <c r="F2081" i="48"/>
  <c r="F2082" i="48"/>
  <c r="F2083" i="48"/>
  <c r="F2084" i="48"/>
  <c r="F2085" i="48"/>
  <c r="F2086" i="48"/>
  <c r="F2087" i="48"/>
  <c r="F2088" i="48"/>
  <c r="F2089" i="48"/>
  <c r="F2090" i="48"/>
  <c r="F2091" i="48"/>
  <c r="F2092" i="48"/>
  <c r="F2093" i="48"/>
  <c r="F2094" i="48"/>
  <c r="F2095" i="48"/>
  <c r="F2096" i="48"/>
  <c r="F2097" i="48"/>
  <c r="F2098" i="48"/>
  <c r="F2099" i="48"/>
  <c r="F2100" i="48"/>
  <c r="F2101" i="48"/>
  <c r="F2102" i="48"/>
  <c r="F2103" i="48"/>
  <c r="F2104" i="48"/>
  <c r="F2105" i="48"/>
  <c r="F2106" i="48"/>
  <c r="F2107" i="48"/>
  <c r="F2108" i="48"/>
  <c r="F2109" i="48"/>
  <c r="F2110" i="48"/>
  <c r="F2111" i="48"/>
  <c r="F2112" i="48"/>
  <c r="F2113" i="48"/>
  <c r="F2114" i="48"/>
  <c r="F2115" i="48"/>
  <c r="F2116" i="48"/>
  <c r="F2117" i="48"/>
  <c r="F2118" i="48"/>
  <c r="F2119" i="48"/>
  <c r="F2120" i="48"/>
  <c r="F2121" i="48"/>
  <c r="F2122" i="48"/>
  <c r="F2123" i="48"/>
  <c r="F2124" i="48"/>
  <c r="F2125" i="48"/>
  <c r="F2126" i="48"/>
  <c r="F2127" i="48"/>
  <c r="F2128" i="48"/>
  <c r="F2129" i="48"/>
  <c r="F2130" i="48"/>
  <c r="F2131" i="48"/>
  <c r="F2132" i="48"/>
  <c r="F2133" i="48"/>
  <c r="F2134" i="48"/>
  <c r="F2135" i="48"/>
  <c r="F2136" i="48"/>
  <c r="F2137" i="48"/>
  <c r="F2138" i="48"/>
  <c r="F2139" i="48"/>
  <c r="F2140" i="48"/>
  <c r="F2141" i="48"/>
  <c r="F2142" i="48"/>
  <c r="F2143" i="48"/>
  <c r="F2144" i="48"/>
  <c r="F2145" i="48"/>
  <c r="F2146" i="48"/>
  <c r="F2147" i="48"/>
  <c r="F2148" i="48"/>
  <c r="F2149" i="48"/>
  <c r="F2150" i="48"/>
  <c r="F2151" i="48"/>
  <c r="F2152" i="48"/>
  <c r="F2153" i="48"/>
  <c r="F2154" i="48"/>
  <c r="F2155" i="48"/>
  <c r="F2156" i="48"/>
  <c r="F2157" i="48"/>
  <c r="F2158" i="48"/>
  <c r="F2159" i="48"/>
  <c r="F2160" i="48"/>
  <c r="F2161" i="48"/>
  <c r="F2162" i="48"/>
  <c r="F2163" i="48"/>
  <c r="F2164" i="48"/>
  <c r="F2165" i="48"/>
  <c r="F2166" i="48"/>
  <c r="F2167" i="48"/>
  <c r="F2168" i="48"/>
  <c r="F2169" i="48"/>
  <c r="F2170" i="48"/>
  <c r="F2171" i="48"/>
  <c r="F2172" i="48"/>
  <c r="F2173" i="48"/>
  <c r="F2174" i="48"/>
  <c r="F2175" i="48"/>
  <c r="F2176" i="48"/>
  <c r="F2177" i="48"/>
  <c r="F2178" i="48"/>
  <c r="F2179" i="48"/>
  <c r="F2180" i="48"/>
  <c r="F2181" i="48"/>
  <c r="F2182" i="48"/>
  <c r="F2183" i="48"/>
  <c r="F2184" i="48"/>
  <c r="F2185" i="48"/>
  <c r="F2186" i="48"/>
  <c r="F2187" i="48"/>
  <c r="F2188" i="48"/>
  <c r="F2189" i="48"/>
  <c r="F2190" i="48"/>
  <c r="F2191" i="48"/>
  <c r="F2192" i="48"/>
  <c r="F2193" i="48"/>
  <c r="F2194" i="48"/>
  <c r="F2195" i="48"/>
  <c r="F2196" i="48"/>
  <c r="F2197" i="48"/>
  <c r="F2198" i="48"/>
  <c r="F2199" i="48"/>
  <c r="F2200" i="48"/>
  <c r="F2201" i="48"/>
  <c r="F2202" i="48"/>
  <c r="F2203" i="48"/>
  <c r="F2204" i="48"/>
  <c r="F2205" i="48"/>
  <c r="F2206" i="48"/>
  <c r="F2207" i="48"/>
  <c r="F2208" i="48"/>
  <c r="F2209" i="48"/>
  <c r="F2210" i="48"/>
  <c r="F2211" i="48"/>
  <c r="F2212" i="48"/>
  <c r="F2213" i="48"/>
  <c r="F2214" i="48"/>
  <c r="F2215" i="48"/>
  <c r="F2216" i="48"/>
  <c r="F2217" i="48"/>
  <c r="F2218" i="48"/>
  <c r="F2219" i="48"/>
  <c r="F2220" i="48"/>
  <c r="F2221" i="48"/>
  <c r="F2222" i="48"/>
  <c r="F2223" i="48"/>
  <c r="F2224" i="48"/>
  <c r="F2225" i="48"/>
  <c r="F2226" i="48"/>
  <c r="F2227" i="48"/>
  <c r="F2228" i="48"/>
  <c r="F2229" i="48"/>
  <c r="F2230" i="48"/>
  <c r="F2231" i="48"/>
  <c r="F2232" i="48"/>
  <c r="F2233" i="48"/>
  <c r="F2234" i="48"/>
  <c r="F2235" i="48"/>
  <c r="F2236" i="48"/>
  <c r="F2237" i="48"/>
  <c r="F2238" i="48"/>
  <c r="F2239" i="48"/>
  <c r="F2240" i="48"/>
  <c r="F2241" i="48"/>
  <c r="F2242" i="48"/>
  <c r="F2243" i="48"/>
  <c r="F2244" i="48"/>
  <c r="F2245" i="48"/>
  <c r="F2246" i="48"/>
  <c r="F2247" i="48"/>
  <c r="F2248" i="48"/>
  <c r="F2249" i="48"/>
  <c r="F2250" i="48"/>
  <c r="F2251" i="48"/>
  <c r="F2252" i="48"/>
  <c r="F2253" i="48"/>
  <c r="F2254" i="48"/>
  <c r="F2255" i="48"/>
  <c r="F2256" i="48"/>
  <c r="F2257" i="48"/>
  <c r="F2258" i="48"/>
  <c r="F2259" i="48"/>
  <c r="F2260" i="48"/>
  <c r="F2261" i="48"/>
  <c r="F2262" i="48"/>
  <c r="F2263" i="48"/>
  <c r="F2264" i="48"/>
  <c r="F2265" i="48"/>
  <c r="F2266" i="48"/>
  <c r="F2267" i="48"/>
  <c r="F2268" i="48"/>
  <c r="F2269" i="48"/>
  <c r="F2270" i="48"/>
  <c r="F2271" i="48"/>
  <c r="F2272" i="48"/>
  <c r="F2273" i="48"/>
  <c r="F2274" i="48"/>
  <c r="F2275" i="48"/>
  <c r="F2276" i="48"/>
  <c r="F2277" i="48"/>
  <c r="F2278" i="48"/>
  <c r="F2279" i="48"/>
  <c r="F2280" i="48"/>
  <c r="F2281" i="48"/>
  <c r="F2282" i="48"/>
  <c r="F2283" i="48"/>
  <c r="F2284" i="48"/>
  <c r="F2285" i="48"/>
  <c r="F2286" i="48"/>
  <c r="F2287" i="48"/>
  <c r="F2288" i="48"/>
  <c r="F2289" i="48"/>
  <c r="F2290" i="48"/>
  <c r="F2291" i="48"/>
  <c r="F2292" i="48"/>
  <c r="F2293" i="48"/>
  <c r="F2294" i="48"/>
  <c r="F2295" i="48"/>
  <c r="F2296" i="48"/>
  <c r="F2297" i="48"/>
  <c r="F2298" i="48"/>
  <c r="F2299" i="48"/>
  <c r="F2300" i="48"/>
  <c r="F2301" i="48"/>
  <c r="F2302" i="48"/>
  <c r="F2303" i="48"/>
  <c r="F2304" i="48"/>
  <c r="F2305" i="48"/>
  <c r="F2306" i="48"/>
  <c r="F2307" i="48"/>
  <c r="F2308" i="48"/>
  <c r="F2309" i="48"/>
  <c r="F2310" i="48"/>
  <c r="F2311" i="48"/>
  <c r="F2312" i="48"/>
  <c r="F2313" i="48"/>
  <c r="F2314" i="48"/>
  <c r="F2315" i="48"/>
  <c r="F2316" i="48"/>
  <c r="F2317" i="48"/>
  <c r="F2318" i="48"/>
  <c r="F2319" i="48"/>
  <c r="F2320" i="48"/>
  <c r="F2321" i="48"/>
  <c r="F2322" i="48"/>
  <c r="F2323" i="48"/>
  <c r="F2324" i="48"/>
  <c r="F2325" i="48"/>
  <c r="F2326" i="48"/>
  <c r="F2327" i="48"/>
  <c r="F2328" i="48"/>
  <c r="F2329" i="48"/>
  <c r="F2330" i="48"/>
  <c r="F2331" i="48"/>
  <c r="F2332" i="48"/>
  <c r="F2333" i="48"/>
  <c r="F2334" i="48"/>
  <c r="F2335" i="48"/>
  <c r="F2336" i="48"/>
  <c r="F2337" i="48"/>
  <c r="F2338" i="48"/>
  <c r="F2339" i="48"/>
  <c r="F2340" i="48"/>
  <c r="F2341" i="48"/>
  <c r="F2342" i="48"/>
  <c r="F2343" i="48"/>
  <c r="F2344" i="48"/>
  <c r="F2345" i="48"/>
  <c r="F2346" i="48"/>
  <c r="F2347" i="48"/>
  <c r="F2348" i="48"/>
  <c r="F2349" i="48"/>
  <c r="F2350" i="48"/>
  <c r="F2351" i="48"/>
  <c r="F2352" i="48"/>
  <c r="F2353" i="48"/>
  <c r="F2354" i="48"/>
  <c r="F2355" i="48"/>
  <c r="F2356" i="48"/>
  <c r="F2357" i="48"/>
  <c r="F2358" i="48"/>
  <c r="F2359" i="48"/>
  <c r="F2360" i="48"/>
  <c r="F2361" i="48"/>
  <c r="F2362" i="48"/>
  <c r="F2363" i="48"/>
  <c r="F2364" i="48"/>
  <c r="F2365" i="48"/>
  <c r="F2366" i="48"/>
  <c r="F2367" i="48"/>
  <c r="F2368" i="48"/>
  <c r="F2369" i="48"/>
  <c r="F2370" i="48"/>
  <c r="F2371" i="48"/>
  <c r="F2372" i="48"/>
  <c r="F2373" i="48"/>
  <c r="F2374" i="48"/>
  <c r="F2375" i="48"/>
  <c r="F2376" i="48"/>
  <c r="F2377" i="48"/>
  <c r="F2378" i="48"/>
  <c r="F2379" i="48"/>
  <c r="F2380" i="48"/>
  <c r="F2381" i="48"/>
  <c r="F2382" i="48"/>
  <c r="F2383" i="48"/>
  <c r="F2384" i="48"/>
  <c r="F2385" i="48"/>
  <c r="F2386" i="48"/>
  <c r="F2387" i="48"/>
  <c r="F2388" i="48"/>
  <c r="F2389" i="48"/>
  <c r="F2390" i="48"/>
  <c r="F2391" i="48"/>
  <c r="F2392" i="48"/>
  <c r="F2393" i="48"/>
  <c r="F2394" i="48"/>
  <c r="F2395" i="48"/>
  <c r="F2396" i="48"/>
  <c r="F2397" i="48"/>
  <c r="F2398" i="48"/>
  <c r="F2399" i="48"/>
  <c r="F2400" i="48"/>
  <c r="F2401" i="48"/>
  <c r="F2402" i="48"/>
  <c r="F2403" i="48"/>
  <c r="F2404" i="48"/>
  <c r="F2405" i="48"/>
  <c r="F2406" i="48"/>
  <c r="F2407" i="48"/>
  <c r="F2408" i="48"/>
  <c r="F2409" i="48"/>
  <c r="F2410" i="48"/>
  <c r="F2411" i="48"/>
  <c r="F2412" i="48"/>
  <c r="F2413" i="48"/>
  <c r="F2414" i="48"/>
  <c r="F2415" i="48"/>
  <c r="F2416" i="48"/>
  <c r="F2417" i="48"/>
  <c r="F2418" i="48"/>
  <c r="F2419" i="48"/>
  <c r="F2420" i="48"/>
  <c r="F2421" i="48"/>
  <c r="F2422" i="48"/>
  <c r="F2423" i="48"/>
  <c r="F2424" i="48"/>
  <c r="F2425" i="48"/>
  <c r="F2426" i="48"/>
  <c r="F2427" i="48"/>
  <c r="F2428" i="48"/>
  <c r="F2429" i="48"/>
  <c r="F2430" i="48"/>
  <c r="F2431" i="48"/>
  <c r="F2432" i="48"/>
  <c r="F2433" i="48"/>
  <c r="F2434" i="48"/>
  <c r="F2435" i="48"/>
  <c r="F2436" i="48"/>
  <c r="F2437" i="48"/>
  <c r="F2438" i="48"/>
  <c r="F2439" i="48"/>
  <c r="F2440" i="48"/>
  <c r="F2441" i="48"/>
  <c r="F2442" i="48"/>
  <c r="F2443" i="48"/>
  <c r="F2444" i="48"/>
  <c r="F2445" i="48"/>
  <c r="F2446" i="48"/>
  <c r="F2447" i="48"/>
  <c r="F2448" i="48"/>
  <c r="F2449" i="48"/>
  <c r="F2450" i="48"/>
  <c r="F2451" i="48"/>
  <c r="F2452" i="48"/>
  <c r="F2453" i="48"/>
  <c r="F2454" i="48"/>
  <c r="F2455" i="48"/>
  <c r="F2456" i="48"/>
  <c r="F2457" i="48"/>
  <c r="F2458" i="48"/>
  <c r="F2459" i="48"/>
  <c r="F2460" i="48"/>
  <c r="F2461" i="48"/>
  <c r="F2462" i="48"/>
  <c r="F2463" i="48"/>
  <c r="F2464" i="48"/>
  <c r="F2465" i="48"/>
  <c r="F2466" i="48"/>
  <c r="F2467" i="48"/>
  <c r="F2468" i="48"/>
  <c r="F2469" i="48"/>
  <c r="F2470" i="48"/>
  <c r="F2471" i="48"/>
  <c r="F2472" i="48"/>
  <c r="F2473" i="48"/>
  <c r="F2474" i="48"/>
  <c r="F2475" i="48"/>
  <c r="F2476" i="48"/>
  <c r="F2477" i="48"/>
  <c r="F2478" i="48"/>
  <c r="F2479" i="48"/>
  <c r="F2480" i="48"/>
  <c r="F2481" i="48"/>
  <c r="F2482" i="48"/>
  <c r="F2483" i="48"/>
  <c r="F2484" i="48"/>
  <c r="F2485" i="48"/>
  <c r="F2486" i="48"/>
  <c r="F2487" i="48"/>
  <c r="F2488" i="48"/>
  <c r="F2489" i="48"/>
  <c r="F2490" i="48"/>
  <c r="F2491" i="48"/>
  <c r="F2492" i="48"/>
  <c r="F2493" i="48"/>
  <c r="F2494" i="48"/>
  <c r="F2495" i="48"/>
  <c r="F2496" i="48"/>
  <c r="F2497" i="48"/>
  <c r="F2498" i="48"/>
  <c r="F2499" i="48"/>
  <c r="F2500" i="48"/>
  <c r="F2501" i="48"/>
  <c r="F2502" i="48"/>
  <c r="F2503" i="48"/>
  <c r="F2504" i="48"/>
  <c r="F2505" i="48"/>
  <c r="F2506" i="48"/>
  <c r="F2507" i="48"/>
  <c r="F2508" i="48"/>
  <c r="F2509" i="48"/>
  <c r="F2510" i="48"/>
  <c r="F2511" i="48"/>
  <c r="F2512" i="48"/>
  <c r="F2513" i="48"/>
  <c r="F2514" i="48"/>
  <c r="F2515" i="48"/>
  <c r="F2516" i="48"/>
  <c r="F2517" i="48"/>
  <c r="F2518" i="48"/>
  <c r="F2519" i="48"/>
  <c r="F2520" i="48"/>
  <c r="F2521" i="48"/>
  <c r="F2522" i="48"/>
  <c r="F2523" i="48"/>
  <c r="F2524" i="48"/>
  <c r="F2525" i="48"/>
  <c r="F2526" i="48"/>
  <c r="F2527" i="48"/>
  <c r="F2528" i="48"/>
  <c r="F2529" i="48"/>
  <c r="F2530" i="48"/>
  <c r="F2531" i="48"/>
  <c r="F2532" i="48"/>
  <c r="F2533" i="48"/>
  <c r="F2534" i="48"/>
  <c r="F2535" i="48"/>
  <c r="F2536" i="48"/>
  <c r="F2537" i="48"/>
  <c r="F2538" i="48"/>
  <c r="F2539" i="48"/>
  <c r="F2540" i="48"/>
  <c r="F2541" i="48"/>
  <c r="F2542" i="48"/>
  <c r="F2543" i="48"/>
  <c r="F2544" i="48"/>
  <c r="F2545" i="48"/>
  <c r="F2546" i="48"/>
  <c r="F2547" i="48"/>
  <c r="F2548" i="48"/>
  <c r="F2549" i="48"/>
  <c r="F2550" i="48"/>
  <c r="F2551" i="48"/>
  <c r="F2552" i="48"/>
  <c r="F2553" i="48"/>
  <c r="F2554" i="48"/>
  <c r="F2555" i="48"/>
  <c r="F2556" i="48"/>
  <c r="F2557" i="48"/>
  <c r="F2558" i="48"/>
  <c r="F2559" i="48"/>
  <c r="F2560" i="48"/>
  <c r="F2561" i="48"/>
  <c r="F2562" i="48"/>
  <c r="F2563" i="48"/>
  <c r="F2564" i="48"/>
  <c r="F2565" i="48"/>
  <c r="F2566" i="48"/>
  <c r="F2567" i="48"/>
  <c r="F2568" i="48"/>
  <c r="F2569" i="48"/>
  <c r="F2570" i="48"/>
  <c r="F2571" i="48"/>
  <c r="F2572" i="48"/>
  <c r="F2573" i="48"/>
  <c r="F2574" i="48"/>
  <c r="F2575" i="48"/>
  <c r="F2576" i="48"/>
  <c r="F2577" i="48"/>
  <c r="F2578" i="48"/>
  <c r="F2579" i="48"/>
  <c r="F2580" i="48"/>
  <c r="F2581" i="48"/>
  <c r="F2582" i="48"/>
  <c r="F2583" i="48"/>
  <c r="F2584" i="48"/>
  <c r="F2585" i="48"/>
  <c r="F2586" i="48"/>
  <c r="F2587" i="48"/>
  <c r="F2588" i="48"/>
  <c r="F2589" i="48"/>
  <c r="F2590" i="48"/>
  <c r="F2591" i="48"/>
  <c r="F2592" i="48"/>
  <c r="F2593" i="48"/>
  <c r="F2594" i="48"/>
  <c r="F2595" i="48"/>
  <c r="F2596" i="48"/>
  <c r="F2597" i="48"/>
  <c r="F2598" i="48"/>
  <c r="F2599" i="48"/>
  <c r="F2600" i="48"/>
  <c r="F2601" i="48"/>
  <c r="F2602" i="48"/>
  <c r="F2603" i="48"/>
  <c r="F2604" i="48"/>
  <c r="F2605" i="48"/>
  <c r="F2606" i="48"/>
  <c r="F2607" i="48"/>
  <c r="F2608" i="48"/>
  <c r="F2609" i="48"/>
  <c r="F2610" i="48"/>
  <c r="F2611" i="48"/>
  <c r="F2612" i="48"/>
  <c r="F2613" i="48"/>
  <c r="F2614" i="48"/>
  <c r="F2615" i="48"/>
  <c r="F2616" i="48"/>
  <c r="F2617" i="48"/>
  <c r="F2618" i="48"/>
  <c r="F2619" i="48"/>
  <c r="F2620" i="48"/>
  <c r="F2621" i="48"/>
  <c r="F2622" i="48"/>
  <c r="F2623" i="48"/>
  <c r="F2624" i="48"/>
  <c r="F2625" i="48"/>
  <c r="F2626" i="48"/>
  <c r="F2627" i="48"/>
  <c r="F2628" i="48"/>
  <c r="F2629" i="48"/>
  <c r="F2630" i="48"/>
  <c r="F2631" i="48"/>
  <c r="F2632" i="48"/>
  <c r="F2633" i="48"/>
  <c r="F2634" i="48"/>
  <c r="F2635" i="48"/>
  <c r="F2636" i="48"/>
  <c r="F2637" i="48"/>
  <c r="F2638" i="48"/>
  <c r="F2639" i="48"/>
  <c r="F2640" i="48"/>
  <c r="F2641" i="48"/>
  <c r="F2642" i="48"/>
  <c r="F2643" i="48"/>
  <c r="F2644" i="48"/>
  <c r="F2645" i="48"/>
  <c r="F2646" i="48"/>
  <c r="F2647" i="48"/>
  <c r="F2648" i="48"/>
  <c r="F2649" i="48"/>
  <c r="F2650" i="48"/>
  <c r="F2651" i="48"/>
  <c r="F2652" i="48"/>
  <c r="F2653" i="48"/>
  <c r="F2654" i="48"/>
  <c r="F2655" i="48"/>
  <c r="F2656" i="48"/>
  <c r="F2657" i="48"/>
  <c r="F2658" i="48"/>
  <c r="F2659" i="48"/>
  <c r="F2660" i="48"/>
  <c r="F2661" i="48"/>
  <c r="F2662" i="48"/>
  <c r="F2663" i="48"/>
  <c r="F2664" i="48"/>
  <c r="F2665" i="48"/>
  <c r="F2666" i="48"/>
  <c r="F2667" i="48"/>
  <c r="F2668" i="48"/>
  <c r="F2669" i="48"/>
  <c r="F2670" i="48"/>
  <c r="F2671" i="48"/>
  <c r="F2672" i="48"/>
  <c r="F2673" i="48"/>
  <c r="F2674" i="48"/>
  <c r="F2675" i="48"/>
  <c r="F2676" i="48"/>
  <c r="F2677" i="48"/>
  <c r="F2678" i="48"/>
  <c r="F2679" i="48"/>
  <c r="F2680" i="48"/>
  <c r="F2681" i="48"/>
  <c r="F2682" i="48"/>
  <c r="F2683" i="48"/>
  <c r="F2684" i="48"/>
  <c r="F2685" i="48"/>
  <c r="F2686" i="48"/>
  <c r="F2687" i="48"/>
  <c r="F2688" i="48"/>
  <c r="F2689" i="48"/>
  <c r="F2690" i="48"/>
  <c r="F2691" i="48"/>
  <c r="F2692" i="48"/>
  <c r="F2693" i="48"/>
  <c r="F2694" i="48"/>
  <c r="F2695" i="48"/>
  <c r="F2696" i="48"/>
  <c r="F2697" i="48"/>
  <c r="F2698" i="48"/>
  <c r="F2699" i="48"/>
  <c r="F2700" i="48"/>
  <c r="F2701" i="48"/>
  <c r="F2702" i="48"/>
  <c r="F2703" i="48"/>
  <c r="F2704" i="48"/>
  <c r="F2705" i="48"/>
  <c r="F2706" i="48"/>
  <c r="F2707" i="48"/>
  <c r="F2708" i="48"/>
  <c r="F2709" i="48"/>
  <c r="F2710" i="48"/>
  <c r="F2711" i="48"/>
  <c r="F2712" i="48"/>
  <c r="F2713" i="48"/>
  <c r="F2714" i="48"/>
  <c r="F2715" i="48"/>
  <c r="F2716" i="48"/>
  <c r="F2717" i="48"/>
  <c r="F2718" i="48"/>
  <c r="F2719" i="48"/>
  <c r="F2720" i="48"/>
  <c r="F2721" i="48"/>
  <c r="F2722" i="48"/>
  <c r="F2723" i="48"/>
  <c r="F2724" i="48"/>
  <c r="F2725" i="48"/>
  <c r="F2726" i="48"/>
  <c r="F2727" i="48"/>
  <c r="F2728" i="48"/>
  <c r="F2729" i="48"/>
  <c r="F2730" i="48"/>
  <c r="F2731" i="48"/>
  <c r="F2732" i="48"/>
  <c r="F2733" i="48"/>
  <c r="F2734" i="48"/>
  <c r="F2735" i="48"/>
  <c r="F2736" i="48"/>
  <c r="F2737" i="48"/>
  <c r="F2738" i="48"/>
  <c r="F2739" i="48"/>
  <c r="F2740" i="48"/>
  <c r="F2741" i="48"/>
  <c r="F2742" i="48"/>
  <c r="F2743" i="48"/>
  <c r="F2744" i="48"/>
  <c r="F2745" i="48"/>
  <c r="F2746" i="48"/>
  <c r="F2747" i="48"/>
  <c r="F2748" i="48"/>
  <c r="F2749" i="48"/>
  <c r="F2750" i="48"/>
  <c r="F2751" i="48"/>
  <c r="F2752" i="48"/>
  <c r="F2753" i="48"/>
  <c r="F2754" i="48"/>
  <c r="F2755" i="48"/>
  <c r="F2756" i="48"/>
  <c r="F2757" i="48"/>
  <c r="F2758" i="48"/>
  <c r="F782" i="48"/>
  <c r="F783" i="48"/>
  <c r="F784" i="48"/>
  <c r="F785" i="48"/>
  <c r="F786" i="48"/>
  <c r="F787" i="48"/>
  <c r="F788" i="48"/>
  <c r="F789" i="48"/>
  <c r="F790" i="48"/>
  <c r="F791" i="48"/>
  <c r="F792" i="48"/>
  <c r="F759" i="48"/>
  <c r="F760" i="48"/>
  <c r="F761" i="48"/>
  <c r="F762" i="48"/>
  <c r="F763" i="48"/>
  <c r="F764" i="48"/>
  <c r="F765" i="48"/>
  <c r="F766" i="48"/>
  <c r="F767" i="48"/>
  <c r="F768" i="48"/>
  <c r="F769" i="48"/>
  <c r="F770" i="48"/>
  <c r="F771" i="48"/>
  <c r="F772" i="48"/>
  <c r="F773" i="48"/>
  <c r="F774" i="48"/>
  <c r="F775" i="48"/>
  <c r="F776" i="48"/>
  <c r="F777" i="48"/>
  <c r="F778" i="48"/>
  <c r="F779" i="48"/>
  <c r="F780" i="48"/>
  <c r="F781" i="48"/>
  <c r="D759" i="48"/>
  <c r="D760" i="48"/>
  <c r="D761" i="48"/>
  <c r="D762" i="48"/>
  <c r="D763" i="48"/>
  <c r="D764" i="48"/>
  <c r="D765" i="48"/>
  <c r="D766" i="48"/>
  <c r="D767" i="48"/>
  <c r="D768" i="48"/>
  <c r="D769" i="48"/>
  <c r="D770" i="48"/>
  <c r="D771" i="48"/>
  <c r="D772" i="48"/>
  <c r="D773" i="48"/>
  <c r="D774" i="48"/>
  <c r="D775" i="48"/>
  <c r="D776" i="48"/>
  <c r="D777" i="48"/>
  <c r="D778" i="48"/>
  <c r="D779" i="48"/>
  <c r="D780" i="48"/>
  <c r="D781" i="48"/>
  <c r="G28" i="29"/>
  <c r="H27" i="29"/>
  <c r="H28" i="29"/>
  <c r="I27" i="29"/>
  <c r="I28" i="29"/>
  <c r="J27" i="29"/>
  <c r="J28" i="29"/>
  <c r="K27" i="29"/>
  <c r="K28" i="29"/>
  <c r="L27" i="29"/>
  <c r="L28" i="29"/>
  <c r="M27" i="29"/>
  <c r="M28" i="29"/>
  <c r="Q79" i="21"/>
  <c r="N27" i="29"/>
  <c r="N28" i="29"/>
  <c r="R79" i="21"/>
  <c r="O27" i="29"/>
  <c r="O28" i="29"/>
  <c r="S79" i="21"/>
  <c r="P27" i="29"/>
  <c r="P28" i="29"/>
  <c r="T79" i="21"/>
  <c r="Q27" i="29"/>
  <c r="Q28" i="29"/>
  <c r="U79" i="21"/>
  <c r="R27" i="29"/>
  <c r="R28" i="29"/>
  <c r="V79" i="21"/>
  <c r="S27" i="29"/>
  <c r="S28" i="29"/>
  <c r="W79" i="21"/>
  <c r="T27" i="29"/>
  <c r="T28" i="29"/>
  <c r="X79" i="21"/>
  <c r="U27" i="29"/>
  <c r="U28" i="29"/>
  <c r="Y79" i="21"/>
  <c r="V27" i="29"/>
  <c r="V28" i="29"/>
  <c r="Z79" i="21"/>
  <c r="W27" i="29"/>
  <c r="W28" i="29"/>
  <c r="Q34" i="21"/>
  <c r="N17" i="29"/>
  <c r="K93" i="21"/>
  <c r="L162" i="21"/>
  <c r="L150" i="21"/>
  <c r="L152" i="21"/>
  <c r="L134" i="21"/>
  <c r="L136" i="21"/>
  <c r="L135" i="21"/>
  <c r="L141" i="21"/>
  <c r="L143" i="21"/>
  <c r="L144" i="21"/>
  <c r="L256" i="21"/>
  <c r="L257" i="21"/>
  <c r="L146" i="21"/>
  <c r="L147" i="21"/>
  <c r="L161" i="21"/>
  <c r="L164" i="21"/>
  <c r="L93" i="21"/>
  <c r="M162" i="21"/>
  <c r="M150" i="21"/>
  <c r="M152" i="21"/>
  <c r="M134" i="21"/>
  <c r="M136" i="21"/>
  <c r="M135" i="21"/>
  <c r="M141" i="21"/>
  <c r="M143" i="21"/>
  <c r="L277" i="21"/>
  <c r="M279" i="21"/>
  <c r="M32" i="21"/>
  <c r="M144" i="21"/>
  <c r="M34" i="21"/>
  <c r="M35" i="21"/>
  <c r="M256" i="21"/>
  <c r="M257" i="21"/>
  <c r="M146" i="21"/>
  <c r="M147" i="21"/>
  <c r="M161" i="21"/>
  <c r="M164" i="21"/>
  <c r="M93" i="21"/>
  <c r="N162" i="21"/>
  <c r="N150" i="21"/>
  <c r="N152" i="21"/>
  <c r="N134" i="21"/>
  <c r="N136" i="21"/>
  <c r="N135" i="21"/>
  <c r="N141" i="21"/>
  <c r="N143" i="21"/>
  <c r="M277" i="21"/>
  <c r="N279" i="21"/>
  <c r="N32" i="21"/>
  <c r="N144" i="21"/>
  <c r="N34" i="21"/>
  <c r="N35" i="21"/>
  <c r="N256" i="21"/>
  <c r="N257" i="21"/>
  <c r="N146" i="21"/>
  <c r="N147" i="21"/>
  <c r="N161" i="21"/>
  <c r="N164" i="21"/>
  <c r="N93" i="21"/>
  <c r="O162" i="21"/>
  <c r="O150" i="21"/>
  <c r="O152" i="21"/>
  <c r="O134" i="21"/>
  <c r="O136" i="21"/>
  <c r="O135" i="21"/>
  <c r="O141" i="21"/>
  <c r="O143" i="21"/>
  <c r="N277" i="21"/>
  <c r="O279" i="21"/>
  <c r="O32" i="21"/>
  <c r="O144" i="21"/>
  <c r="O34" i="21"/>
  <c r="O35" i="21"/>
  <c r="O256" i="21"/>
  <c r="O257" i="21"/>
  <c r="O146" i="21"/>
  <c r="O147" i="21"/>
  <c r="O161" i="21"/>
  <c r="O164" i="21"/>
  <c r="O277" i="21"/>
  <c r="P279" i="21"/>
  <c r="P32" i="21"/>
  <c r="P34" i="21"/>
  <c r="M17" i="29"/>
  <c r="N18" i="29"/>
  <c r="R34" i="21"/>
  <c r="O17" i="29"/>
  <c r="O18" i="29"/>
  <c r="S34" i="21"/>
  <c r="P17" i="29"/>
  <c r="P18" i="29"/>
  <c r="T34" i="21"/>
  <c r="Q17" i="29"/>
  <c r="Q18" i="29"/>
  <c r="U34" i="21"/>
  <c r="R17" i="29"/>
  <c r="R18" i="29"/>
  <c r="V34" i="21"/>
  <c r="S17" i="29"/>
  <c r="S18" i="29"/>
  <c r="W34" i="21"/>
  <c r="T17" i="29"/>
  <c r="T18" i="29"/>
  <c r="X34" i="21"/>
  <c r="U17" i="29"/>
  <c r="U18" i="29"/>
  <c r="Y34" i="21"/>
  <c r="V17" i="29"/>
  <c r="V18" i="29"/>
  <c r="Z34" i="21"/>
  <c r="W17" i="29"/>
  <c r="W18" i="29"/>
  <c r="N19" i="29"/>
  <c r="O19" i="29"/>
  <c r="P19" i="29"/>
  <c r="Q19" i="29"/>
  <c r="R19" i="29"/>
  <c r="S19" i="29"/>
  <c r="T19" i="29"/>
  <c r="U19" i="29"/>
  <c r="V19" i="29"/>
  <c r="W19" i="29"/>
  <c r="Q35" i="21"/>
  <c r="N20" i="29"/>
  <c r="R35" i="21"/>
  <c r="O20" i="29"/>
  <c r="S35" i="21"/>
  <c r="P20" i="29"/>
  <c r="T35" i="21"/>
  <c r="Q20" i="29"/>
  <c r="U35" i="21"/>
  <c r="R20" i="29"/>
  <c r="V35" i="21"/>
  <c r="S20" i="29"/>
  <c r="W35" i="21"/>
  <c r="T20" i="29"/>
  <c r="X35" i="21"/>
  <c r="U20" i="29"/>
  <c r="Y35" i="21"/>
  <c r="V20" i="29"/>
  <c r="Z35" i="21"/>
  <c r="W20" i="29"/>
  <c r="N21" i="29"/>
  <c r="O21" i="29"/>
  <c r="P21" i="29"/>
  <c r="Q21" i="29"/>
  <c r="R21" i="29"/>
  <c r="S21" i="29"/>
  <c r="T21" i="29"/>
  <c r="U21" i="29"/>
  <c r="V21" i="29"/>
  <c r="W21" i="29"/>
  <c r="Q37" i="21"/>
  <c r="N22" i="29"/>
  <c r="R37" i="21"/>
  <c r="O22" i="29"/>
  <c r="S37" i="21"/>
  <c r="P22" i="29"/>
  <c r="T37" i="21"/>
  <c r="Q22" i="29"/>
  <c r="U37" i="21"/>
  <c r="R22" i="29"/>
  <c r="V37" i="21"/>
  <c r="S22" i="29"/>
  <c r="W37" i="21"/>
  <c r="T22" i="29"/>
  <c r="X37" i="21"/>
  <c r="U22" i="29"/>
  <c r="Y37" i="21"/>
  <c r="V22" i="29"/>
  <c r="Z37" i="21"/>
  <c r="W22" i="29"/>
  <c r="P35" i="21"/>
  <c r="P37" i="21"/>
  <c r="M22" i="29"/>
  <c r="N23" i="29"/>
  <c r="O23" i="29"/>
  <c r="P23" i="29"/>
  <c r="Q23" i="29"/>
  <c r="R23" i="29"/>
  <c r="S23" i="29"/>
  <c r="T23" i="29"/>
  <c r="U23" i="29"/>
  <c r="V23" i="29"/>
  <c r="W23" i="29"/>
  <c r="N24" i="29"/>
  <c r="O24" i="29"/>
  <c r="P24" i="29"/>
  <c r="Q24" i="29"/>
  <c r="R24" i="29"/>
  <c r="S24" i="29"/>
  <c r="T24" i="29"/>
  <c r="U24" i="29"/>
  <c r="V24" i="29"/>
  <c r="W24" i="29"/>
  <c r="I34" i="21"/>
  <c r="I37" i="21"/>
  <c r="F22" i="29"/>
  <c r="F24" i="29"/>
  <c r="T15" i="27"/>
  <c r="Q10" i="30"/>
  <c r="R10" i="30"/>
  <c r="S10" i="30"/>
  <c r="T10" i="30"/>
  <c r="T7" i="27"/>
  <c r="S15" i="27"/>
  <c r="S7" i="27"/>
  <c r="T8" i="27"/>
  <c r="U15" i="27"/>
  <c r="U10" i="30"/>
  <c r="U7" i="27"/>
  <c r="U8" i="27"/>
  <c r="V15" i="27"/>
  <c r="V10" i="30"/>
  <c r="V7" i="27"/>
  <c r="V8" i="27"/>
  <c r="W15" i="27"/>
  <c r="W10" i="30"/>
  <c r="W7" i="27"/>
  <c r="W8" i="27"/>
  <c r="X15" i="27"/>
  <c r="X10" i="30"/>
  <c r="X7" i="27"/>
  <c r="X8" i="27"/>
  <c r="Y15" i="27"/>
  <c r="Y10" i="30"/>
  <c r="Y7" i="27"/>
  <c r="Y8" i="27"/>
  <c r="Z15" i="27"/>
  <c r="Z10" i="30"/>
  <c r="Z7" i="27"/>
  <c r="Z8" i="27"/>
  <c r="AA15" i="27"/>
  <c r="AA10" i="30"/>
  <c r="AA12" i="27"/>
  <c r="AA7" i="27"/>
  <c r="AA8" i="27"/>
  <c r="AB15" i="27"/>
  <c r="AB10" i="30"/>
  <c r="AB12" i="27"/>
  <c r="AB7" i="27"/>
  <c r="AB8" i="27"/>
  <c r="AC15" i="27"/>
  <c r="AC10" i="30"/>
  <c r="AC12" i="27"/>
  <c r="AC7" i="27"/>
  <c r="AC8" i="27"/>
  <c r="AD15" i="27"/>
  <c r="AD10" i="30"/>
  <c r="AD12" i="27"/>
  <c r="AD7" i="27"/>
  <c r="AD8" i="27"/>
  <c r="M5" i="27"/>
  <c r="M9" i="27"/>
  <c r="M12" i="27"/>
  <c r="M7" i="27"/>
  <c r="L5" i="27"/>
  <c r="L9" i="27"/>
  <c r="L12" i="27"/>
  <c r="L7" i="27"/>
  <c r="M8" i="27"/>
  <c r="O29" i="11"/>
  <c r="P29" i="11"/>
  <c r="Q29" i="11"/>
  <c r="P26" i="11"/>
  <c r="Q26" i="11"/>
  <c r="Q164" i="11"/>
  <c r="P159" i="11"/>
  <c r="P160" i="11"/>
  <c r="P157" i="11"/>
  <c r="P156" i="11"/>
  <c r="Q158" i="11"/>
  <c r="Q159" i="11"/>
  <c r="O11" i="13"/>
  <c r="O5" i="13"/>
  <c r="O13" i="13"/>
  <c r="P13" i="13"/>
  <c r="Q13" i="13"/>
  <c r="P8" i="13"/>
  <c r="P7" i="13"/>
  <c r="P6" i="13"/>
  <c r="P5" i="13"/>
  <c r="Q8" i="13"/>
  <c r="Q7" i="13"/>
  <c r="Q6" i="13"/>
  <c r="Q5" i="13"/>
  <c r="Q11" i="13"/>
  <c r="Q39" i="20"/>
  <c r="P162" i="11"/>
  <c r="P11" i="13"/>
  <c r="P39" i="20"/>
  <c r="P11" i="30"/>
  <c r="P13" i="20"/>
  <c r="P23" i="30"/>
  <c r="P19" i="30"/>
  <c r="P20" i="30"/>
  <c r="P21" i="30"/>
  <c r="P28" i="30"/>
  <c r="P22" i="30"/>
  <c r="Q84" i="30"/>
  <c r="Q83" i="30"/>
  <c r="Q136" i="1"/>
  <c r="R29" i="11"/>
  <c r="R26" i="11"/>
  <c r="R164" i="11"/>
  <c r="R158" i="11"/>
  <c r="R159" i="11"/>
  <c r="R13" i="13"/>
  <c r="R8" i="13"/>
  <c r="R7" i="13"/>
  <c r="R6" i="13"/>
  <c r="R5" i="13"/>
  <c r="R11" i="13"/>
  <c r="R39" i="20"/>
  <c r="Q13" i="20"/>
  <c r="Q25" i="30"/>
  <c r="Q26" i="30"/>
  <c r="Q27" i="30"/>
  <c r="Q28" i="30"/>
  <c r="R84" i="30"/>
  <c r="R83" i="30"/>
  <c r="R136" i="1"/>
  <c r="S29" i="11"/>
  <c r="S26" i="11"/>
  <c r="S164" i="11"/>
  <c r="S158" i="11"/>
  <c r="S159" i="11"/>
  <c r="S13" i="13"/>
  <c r="S8" i="13"/>
  <c r="S7" i="13"/>
  <c r="S6" i="13"/>
  <c r="S5" i="13"/>
  <c r="S11" i="13"/>
  <c r="S39" i="20"/>
  <c r="R13" i="20"/>
  <c r="R25" i="30"/>
  <c r="R26" i="30"/>
  <c r="R27" i="30"/>
  <c r="R28" i="30"/>
  <c r="S84" i="30"/>
  <c r="S83" i="30"/>
  <c r="S136" i="1"/>
  <c r="T29" i="11"/>
  <c r="T26" i="11"/>
  <c r="T164" i="11"/>
  <c r="T158" i="11"/>
  <c r="T159" i="11"/>
  <c r="T160" i="11"/>
  <c r="T157" i="11"/>
  <c r="T13" i="13"/>
  <c r="T8" i="13"/>
  <c r="T7" i="13"/>
  <c r="T6" i="13"/>
  <c r="T5" i="13"/>
  <c r="T11" i="13"/>
  <c r="T39" i="20"/>
  <c r="S13" i="20"/>
  <c r="S25" i="30"/>
  <c r="S26" i="30"/>
  <c r="S27" i="30"/>
  <c r="S28" i="30"/>
  <c r="T84" i="30"/>
  <c r="T83" i="30"/>
  <c r="T136" i="1"/>
  <c r="U29" i="11"/>
  <c r="U26" i="11"/>
  <c r="U25" i="11"/>
  <c r="U24" i="11"/>
  <c r="U164" i="11"/>
  <c r="U158" i="11"/>
  <c r="U159" i="11"/>
  <c r="U160" i="11"/>
  <c r="U157" i="11"/>
  <c r="U13" i="13"/>
  <c r="U8" i="13"/>
  <c r="U7" i="13"/>
  <c r="U6" i="13"/>
  <c r="U5" i="13"/>
  <c r="U11" i="13"/>
  <c r="U39" i="20"/>
  <c r="T13" i="20"/>
  <c r="T25" i="30"/>
  <c r="T26" i="30"/>
  <c r="T27" i="30"/>
  <c r="T28" i="30"/>
  <c r="U84" i="30"/>
  <c r="U83" i="30"/>
  <c r="U136" i="1"/>
  <c r="V29" i="11"/>
  <c r="V26" i="11"/>
  <c r="V25" i="11"/>
  <c r="V24" i="11"/>
  <c r="V164" i="11"/>
  <c r="V158" i="11"/>
  <c r="V159" i="11"/>
  <c r="V160" i="11"/>
  <c r="V157" i="11"/>
  <c r="V13" i="13"/>
  <c r="V8" i="13"/>
  <c r="V7" i="13"/>
  <c r="V6" i="13"/>
  <c r="V5" i="13"/>
  <c r="V11" i="13"/>
  <c r="V39" i="20"/>
  <c r="U13" i="20"/>
  <c r="U25" i="30"/>
  <c r="U26" i="30"/>
  <c r="U27" i="30"/>
  <c r="U28" i="30"/>
  <c r="V84" i="30"/>
  <c r="V83" i="30"/>
  <c r="V136" i="1"/>
  <c r="W29" i="11"/>
  <c r="W26" i="11"/>
  <c r="W25" i="11"/>
  <c r="W24" i="11"/>
  <c r="W164" i="11"/>
  <c r="W158" i="11"/>
  <c r="W159" i="11"/>
  <c r="W160" i="11"/>
  <c r="W157" i="11"/>
  <c r="W13" i="13"/>
  <c r="W8" i="13"/>
  <c r="W7" i="13"/>
  <c r="W6" i="13"/>
  <c r="W5" i="13"/>
  <c r="W11" i="13"/>
  <c r="W39" i="20"/>
  <c r="V13" i="20"/>
  <c r="V25" i="30"/>
  <c r="V26" i="30"/>
  <c r="V27" i="30"/>
  <c r="V28" i="30"/>
  <c r="W84" i="30"/>
  <c r="W83" i="30"/>
  <c r="W136" i="1"/>
  <c r="X29" i="11"/>
  <c r="X26" i="11"/>
  <c r="X25" i="11"/>
  <c r="X24" i="11"/>
  <c r="X164" i="11"/>
  <c r="X158" i="11"/>
  <c r="X159" i="11"/>
  <c r="X160" i="11"/>
  <c r="X157" i="11"/>
  <c r="X13" i="13"/>
  <c r="X8" i="13"/>
  <c r="X7" i="13"/>
  <c r="X6" i="13"/>
  <c r="X5" i="13"/>
  <c r="X11" i="13"/>
  <c r="X39" i="20"/>
  <c r="W13" i="20"/>
  <c r="W25" i="30"/>
  <c r="W26" i="30"/>
  <c r="W27" i="30"/>
  <c r="W28" i="30"/>
  <c r="X84" i="30"/>
  <c r="X83" i="30"/>
  <c r="X136" i="1"/>
  <c r="Y29" i="11"/>
  <c r="Y26" i="11"/>
  <c r="Y25" i="11"/>
  <c r="Y24" i="11"/>
  <c r="Y164" i="11"/>
  <c r="Y158" i="11"/>
  <c r="Y159" i="11"/>
  <c r="Y160" i="11"/>
  <c r="Y157" i="11"/>
  <c r="Y13" i="13"/>
  <c r="Y8" i="13"/>
  <c r="Y7" i="13"/>
  <c r="Y6" i="13"/>
  <c r="Y5" i="13"/>
  <c r="Y11" i="13"/>
  <c r="Y39" i="20"/>
  <c r="X13" i="20"/>
  <c r="X25" i="30"/>
  <c r="X26" i="30"/>
  <c r="X27" i="30"/>
  <c r="X28" i="30"/>
  <c r="Y84" i="30"/>
  <c r="Y83" i="30"/>
  <c r="Y136" i="1"/>
  <c r="Z29" i="11"/>
  <c r="Z26" i="11"/>
  <c r="Z25" i="11"/>
  <c r="Z24" i="11"/>
  <c r="Z164" i="11"/>
  <c r="Z158" i="11"/>
  <c r="Z159" i="11"/>
  <c r="Z160" i="11"/>
  <c r="Z157" i="11"/>
  <c r="Z13" i="13"/>
  <c r="Z8" i="13"/>
  <c r="Z7" i="13"/>
  <c r="Z6" i="13"/>
  <c r="Z5" i="13"/>
  <c r="Z11" i="13"/>
  <c r="Z39" i="20"/>
  <c r="Y13" i="20"/>
  <c r="Y25" i="30"/>
  <c r="Y26" i="30"/>
  <c r="Y27" i="30"/>
  <c r="Y28" i="30"/>
  <c r="Z84" i="30"/>
  <c r="Z83" i="30"/>
  <c r="Z136" i="1"/>
  <c r="AA29" i="11"/>
  <c r="AA26" i="11"/>
  <c r="AA25" i="11"/>
  <c r="AA24" i="11"/>
  <c r="AA164" i="11"/>
  <c r="AA158" i="11"/>
  <c r="AA159" i="11"/>
  <c r="AA160" i="11"/>
  <c r="AA157" i="11"/>
  <c r="AA13" i="13"/>
  <c r="AA8" i="13"/>
  <c r="AA7" i="13"/>
  <c r="AA6" i="13"/>
  <c r="AA5" i="13"/>
  <c r="AA11" i="13"/>
  <c r="AA39" i="20"/>
  <c r="Z13" i="20"/>
  <c r="Z25" i="30"/>
  <c r="Z26" i="30"/>
  <c r="Z27" i="30"/>
  <c r="Z28" i="30"/>
  <c r="AA84" i="30"/>
  <c r="AA83" i="30"/>
  <c r="AA136" i="1"/>
  <c r="AB29" i="11"/>
  <c r="AB26" i="11"/>
  <c r="AB25" i="11"/>
  <c r="AB24" i="11"/>
  <c r="AB164" i="11"/>
  <c r="AB158" i="11"/>
  <c r="AB159" i="11"/>
  <c r="AB160" i="11"/>
  <c r="AB157" i="11"/>
  <c r="AB13" i="13"/>
  <c r="AB8" i="13"/>
  <c r="AB7" i="13"/>
  <c r="AB6" i="13"/>
  <c r="AB5" i="13"/>
  <c r="AB11" i="13"/>
  <c r="AB39" i="20"/>
  <c r="AA13" i="20"/>
  <c r="AA25" i="30"/>
  <c r="AA26" i="30"/>
  <c r="AA27" i="30"/>
  <c r="AA28" i="30"/>
  <c r="AB84" i="30"/>
  <c r="AB83" i="30"/>
  <c r="AB136" i="1"/>
  <c r="AC29" i="11"/>
  <c r="AC26" i="11"/>
  <c r="AC25" i="11"/>
  <c r="AC24" i="11"/>
  <c r="AC164" i="11"/>
  <c r="AC158" i="11"/>
  <c r="AC159" i="11"/>
  <c r="AC160" i="11"/>
  <c r="AC157" i="11"/>
  <c r="AC13" i="13"/>
  <c r="AC8" i="13"/>
  <c r="AC7" i="13"/>
  <c r="AC6" i="13"/>
  <c r="AC5" i="13"/>
  <c r="AC11" i="13"/>
  <c r="AC39" i="20"/>
  <c r="AB13" i="20"/>
  <c r="AB25" i="30"/>
  <c r="AB26" i="30"/>
  <c r="AB27" i="30"/>
  <c r="AB28" i="30"/>
  <c r="AC84" i="30"/>
  <c r="AC83" i="30"/>
  <c r="AC136" i="1"/>
  <c r="AD29" i="11"/>
  <c r="AD26" i="11"/>
  <c r="AD25" i="11"/>
  <c r="AD24" i="11"/>
  <c r="AD164" i="11"/>
  <c r="AD158" i="11"/>
  <c r="AD159" i="11"/>
  <c r="AD160" i="11"/>
  <c r="AD157" i="11"/>
  <c r="AD13" i="13"/>
  <c r="AD8" i="13"/>
  <c r="AD7" i="13"/>
  <c r="AD6" i="13"/>
  <c r="AD5" i="13"/>
  <c r="AD11" i="13"/>
  <c r="AD39" i="20"/>
  <c r="AC13" i="20"/>
  <c r="AC25" i="30"/>
  <c r="AC26" i="30"/>
  <c r="AC27" i="30"/>
  <c r="AC28" i="30"/>
  <c r="AD84" i="30"/>
  <c r="AD83" i="30"/>
  <c r="AD136" i="1"/>
  <c r="P136" i="1"/>
  <c r="I22" i="56"/>
  <c r="V62" i="1"/>
  <c r="V56" i="1"/>
  <c r="V61" i="2"/>
  <c r="W62" i="1"/>
  <c r="W56" i="1"/>
  <c r="W61" i="2"/>
  <c r="X62" i="1"/>
  <c r="X56" i="1"/>
  <c r="X61" i="2"/>
  <c r="Y62" i="1"/>
  <c r="Y56" i="1"/>
  <c r="Y61" i="2"/>
  <c r="Z62" i="1"/>
  <c r="Z56" i="1"/>
  <c r="Z61" i="2"/>
  <c r="AA62" i="1"/>
  <c r="AA56" i="1"/>
  <c r="AA61" i="2"/>
  <c r="AB62" i="1"/>
  <c r="AB56" i="1"/>
  <c r="AB61" i="2"/>
  <c r="AC62" i="1"/>
  <c r="AC56" i="1"/>
  <c r="AC61" i="2"/>
  <c r="AD13" i="20"/>
  <c r="AD25" i="30"/>
  <c r="AD26" i="30"/>
  <c r="AD27" i="30"/>
  <c r="AD28" i="30"/>
  <c r="AD62" i="1"/>
  <c r="AD56" i="1"/>
  <c r="AD61" i="2"/>
  <c r="E229" i="39"/>
  <c r="F229" i="39"/>
  <c r="G229" i="39"/>
  <c r="G230" i="39"/>
  <c r="G231" i="39"/>
  <c r="F225" i="39"/>
  <c r="E230" i="39"/>
  <c r="F230" i="39"/>
  <c r="F231" i="39"/>
  <c r="F228" i="39"/>
  <c r="G228" i="39"/>
  <c r="F227" i="39"/>
  <c r="G227" i="39"/>
  <c r="F224" i="39"/>
  <c r="G224" i="39"/>
  <c r="F226" i="39"/>
  <c r="O49" i="2"/>
  <c r="E12" i="39"/>
  <c r="P7" i="20"/>
  <c r="E32" i="39"/>
  <c r="O136" i="37"/>
  <c r="O129" i="37"/>
  <c r="O50" i="37"/>
  <c r="L50" i="37"/>
  <c r="AE50" i="37"/>
  <c r="H30" i="56"/>
  <c r="H22" i="56"/>
  <c r="H23" i="56"/>
  <c r="H31" i="56"/>
  <c r="P136" i="37"/>
  <c r="Q137" i="37"/>
  <c r="Q136" i="37"/>
  <c r="Q123" i="37"/>
  <c r="O138" i="37"/>
  <c r="O145" i="37"/>
  <c r="P145" i="37"/>
  <c r="Q145" i="37"/>
  <c r="P152" i="37"/>
  <c r="Q153" i="37"/>
  <c r="Q152" i="37"/>
  <c r="Q143" i="37"/>
  <c r="O148" i="37"/>
  <c r="P148" i="37"/>
  <c r="Q148" i="37"/>
  <c r="Q146" i="37"/>
  <c r="Q154" i="37"/>
  <c r="P143" i="37"/>
  <c r="P146" i="37"/>
  <c r="P154" i="37"/>
  <c r="Q155" i="37"/>
  <c r="Q163" i="37"/>
  <c r="O154" i="37"/>
  <c r="P155" i="37"/>
  <c r="P163" i="37"/>
  <c r="O57" i="37"/>
  <c r="P57" i="37"/>
  <c r="Q57" i="37"/>
  <c r="P64" i="37"/>
  <c r="Q64" i="37"/>
  <c r="Q55" i="37"/>
  <c r="O60" i="37"/>
  <c r="P60" i="37"/>
  <c r="Q60" i="37"/>
  <c r="Q58" i="37"/>
  <c r="Q66" i="37"/>
  <c r="P55" i="37"/>
  <c r="P58" i="37"/>
  <c r="P66" i="37"/>
  <c r="Q67" i="37"/>
  <c r="Q94" i="37"/>
  <c r="O73" i="37"/>
  <c r="P73" i="37"/>
  <c r="Q73" i="37"/>
  <c r="P80" i="37"/>
  <c r="Q80" i="37"/>
  <c r="Q71" i="37"/>
  <c r="O76" i="37"/>
  <c r="P76" i="37"/>
  <c r="Q76" i="37"/>
  <c r="Q74" i="37"/>
  <c r="Q82" i="37"/>
  <c r="P71" i="37"/>
  <c r="P74" i="37"/>
  <c r="P82" i="37"/>
  <c r="Q83" i="37"/>
  <c r="Q97" i="37"/>
  <c r="O100" i="37"/>
  <c r="P100" i="37"/>
  <c r="Q100" i="37"/>
  <c r="O66" i="37"/>
  <c r="P67" i="37"/>
  <c r="P94" i="37"/>
  <c r="O82" i="37"/>
  <c r="P83" i="37"/>
  <c r="P97" i="37"/>
  <c r="P9" i="37"/>
  <c r="P16" i="37"/>
  <c r="P7" i="37"/>
  <c r="P12" i="37"/>
  <c r="P10" i="37"/>
  <c r="P18" i="37"/>
  <c r="O7" i="37"/>
  <c r="O10" i="37"/>
  <c r="O18" i="37"/>
  <c r="P19" i="37"/>
  <c r="O25" i="37"/>
  <c r="P25" i="37"/>
  <c r="P32" i="37"/>
  <c r="P23" i="37"/>
  <c r="O28" i="37"/>
  <c r="P28" i="37"/>
  <c r="P26" i="37"/>
  <c r="P34" i="37"/>
  <c r="O34" i="37"/>
  <c r="P35" i="37"/>
  <c r="P88" i="37"/>
  <c r="O41" i="37"/>
  <c r="P41" i="37"/>
  <c r="P48" i="37"/>
  <c r="P39" i="37"/>
  <c r="O44" i="37"/>
  <c r="P44" i="37"/>
  <c r="P42" i="37"/>
  <c r="P50" i="37"/>
  <c r="P51" i="37"/>
  <c r="P91" i="37"/>
  <c r="Q9" i="37"/>
  <c r="Q17" i="37"/>
  <c r="Q16" i="37"/>
  <c r="Q7" i="37"/>
  <c r="Q12" i="37"/>
  <c r="Q10" i="37"/>
  <c r="Q18" i="37"/>
  <c r="Q19" i="37"/>
  <c r="Q25" i="37"/>
  <c r="Q33" i="37"/>
  <c r="Q32" i="37"/>
  <c r="Q23" i="37"/>
  <c r="Q28" i="37"/>
  <c r="Q26" i="37"/>
  <c r="Q34" i="37"/>
  <c r="Q35" i="37"/>
  <c r="Q88" i="37"/>
  <c r="Q41" i="37"/>
  <c r="Q49" i="37"/>
  <c r="Q48" i="37"/>
  <c r="Q39" i="37"/>
  <c r="Q44" i="37"/>
  <c r="Q42" i="37"/>
  <c r="Q50" i="37"/>
  <c r="Q51" i="37"/>
  <c r="Q91" i="37"/>
  <c r="Q173" i="37"/>
  <c r="O67" i="3"/>
  <c r="P65" i="3"/>
  <c r="J22" i="56"/>
  <c r="J25" i="56"/>
  <c r="M6" i="2"/>
  <c r="M18" i="2"/>
  <c r="M27" i="2"/>
  <c r="F63" i="56"/>
  <c r="N6" i="2"/>
  <c r="N18" i="2"/>
  <c r="N27" i="2"/>
  <c r="G63" i="56"/>
  <c r="O6" i="2"/>
  <c r="O18" i="2"/>
  <c r="O27" i="2"/>
  <c r="H63" i="56"/>
  <c r="P19" i="2"/>
  <c r="P20" i="2"/>
  <c r="P18" i="2"/>
  <c r="P12" i="30"/>
  <c r="P14" i="30"/>
  <c r="P7" i="2"/>
  <c r="P11" i="2"/>
  <c r="P12" i="2"/>
  <c r="P13" i="2"/>
  <c r="P14" i="2"/>
  <c r="P25" i="2"/>
  <c r="P27" i="2"/>
  <c r="I63" i="56"/>
  <c r="Q19" i="2"/>
  <c r="Q20" i="2"/>
  <c r="Q21" i="2"/>
  <c r="Q18" i="2"/>
  <c r="Q12" i="30"/>
  <c r="Q14" i="30"/>
  <c r="Q7" i="2"/>
  <c r="Q11" i="2"/>
  <c r="Q12" i="2"/>
  <c r="Q13" i="2"/>
  <c r="Q14" i="2"/>
  <c r="Q6" i="2"/>
  <c r="Q25" i="2"/>
  <c r="Q27" i="2"/>
  <c r="J63" i="56"/>
  <c r="R57" i="37"/>
  <c r="R65" i="37"/>
  <c r="R64" i="37"/>
  <c r="R55" i="37"/>
  <c r="R60" i="37"/>
  <c r="R58" i="37"/>
  <c r="R66" i="37"/>
  <c r="R67" i="37"/>
  <c r="R94" i="37"/>
  <c r="R73" i="37"/>
  <c r="R81" i="37"/>
  <c r="R80" i="37"/>
  <c r="R71" i="37"/>
  <c r="R76" i="37"/>
  <c r="R74" i="37"/>
  <c r="R82" i="37"/>
  <c r="R83" i="37"/>
  <c r="R97" i="37"/>
  <c r="R100" i="37"/>
  <c r="R9" i="37"/>
  <c r="R17" i="37"/>
  <c r="R16" i="37"/>
  <c r="R7" i="37"/>
  <c r="R12" i="37"/>
  <c r="R10" i="37"/>
  <c r="R18" i="37"/>
  <c r="R19" i="37"/>
  <c r="R25" i="37"/>
  <c r="R33" i="37"/>
  <c r="R32" i="37"/>
  <c r="R23" i="37"/>
  <c r="R28" i="37"/>
  <c r="R26" i="37"/>
  <c r="R34" i="37"/>
  <c r="R35" i="37"/>
  <c r="R88" i="37"/>
  <c r="R41" i="37"/>
  <c r="R49" i="37"/>
  <c r="R48" i="37"/>
  <c r="R39" i="37"/>
  <c r="R44" i="37"/>
  <c r="R42" i="37"/>
  <c r="R50" i="37"/>
  <c r="R51" i="37"/>
  <c r="R91" i="37"/>
  <c r="R137" i="37"/>
  <c r="R136" i="37"/>
  <c r="R123" i="37"/>
  <c r="R145" i="37"/>
  <c r="R153" i="37"/>
  <c r="R152" i="37"/>
  <c r="R143" i="37"/>
  <c r="R148" i="37"/>
  <c r="R146" i="37"/>
  <c r="R154" i="37"/>
  <c r="R155" i="37"/>
  <c r="R163" i="37"/>
  <c r="R173" i="37"/>
  <c r="R19" i="2"/>
  <c r="R20" i="2"/>
  <c r="R21" i="2"/>
  <c r="R18" i="2"/>
  <c r="R12" i="30"/>
  <c r="R14" i="30"/>
  <c r="R7" i="2"/>
  <c r="R11" i="2"/>
  <c r="R12" i="2"/>
  <c r="R13" i="2"/>
  <c r="R14" i="2"/>
  <c r="R6" i="2"/>
  <c r="R25" i="2"/>
  <c r="R27" i="2"/>
  <c r="K63" i="56"/>
  <c r="S57" i="37"/>
  <c r="S65" i="37"/>
  <c r="S64" i="37"/>
  <c r="S55" i="37"/>
  <c r="S60" i="37"/>
  <c r="S58" i="37"/>
  <c r="S66" i="37"/>
  <c r="S67" i="37"/>
  <c r="S94" i="37"/>
  <c r="S73" i="37"/>
  <c r="S81" i="37"/>
  <c r="S80" i="37"/>
  <c r="S71" i="37"/>
  <c r="S76" i="37"/>
  <c r="S74" i="37"/>
  <c r="S82" i="37"/>
  <c r="S83" i="37"/>
  <c r="S97" i="37"/>
  <c r="S100" i="37"/>
  <c r="S9" i="37"/>
  <c r="S17" i="37"/>
  <c r="S16" i="37"/>
  <c r="S7" i="37"/>
  <c r="S12" i="37"/>
  <c r="S10" i="37"/>
  <c r="S18" i="37"/>
  <c r="S19" i="37"/>
  <c r="S25" i="37"/>
  <c r="S33" i="37"/>
  <c r="S32" i="37"/>
  <c r="S23" i="37"/>
  <c r="S28" i="37"/>
  <c r="S26" i="37"/>
  <c r="S34" i="37"/>
  <c r="S35" i="37"/>
  <c r="S88" i="37"/>
  <c r="S41" i="37"/>
  <c r="S49" i="37"/>
  <c r="S48" i="37"/>
  <c r="S39" i="37"/>
  <c r="S44" i="37"/>
  <c r="S42" i="37"/>
  <c r="S50" i="37"/>
  <c r="S51" i="37"/>
  <c r="S91" i="37"/>
  <c r="S137" i="37"/>
  <c r="S136" i="37"/>
  <c r="S123" i="37"/>
  <c r="S145" i="37"/>
  <c r="S153" i="37"/>
  <c r="S152" i="37"/>
  <c r="S143" i="37"/>
  <c r="S148" i="37"/>
  <c r="S146" i="37"/>
  <c r="S154" i="37"/>
  <c r="S155" i="37"/>
  <c r="S163" i="37"/>
  <c r="S173" i="37"/>
  <c r="S19" i="2"/>
  <c r="S20" i="2"/>
  <c r="S21" i="2"/>
  <c r="S18" i="2"/>
  <c r="S12" i="30"/>
  <c r="S14" i="30"/>
  <c r="S7" i="2"/>
  <c r="S11" i="2"/>
  <c r="S12" i="2"/>
  <c r="S13" i="2"/>
  <c r="S14" i="2"/>
  <c r="S6" i="2"/>
  <c r="S25" i="2"/>
  <c r="S27" i="2"/>
  <c r="L63" i="56"/>
  <c r="T57" i="37"/>
  <c r="T65" i="37"/>
  <c r="T64" i="37"/>
  <c r="T55" i="37"/>
  <c r="T60" i="37"/>
  <c r="T58" i="37"/>
  <c r="T66" i="37"/>
  <c r="T67" i="37"/>
  <c r="T94" i="37"/>
  <c r="T73" i="37"/>
  <c r="T81" i="37"/>
  <c r="T80" i="37"/>
  <c r="T71" i="37"/>
  <c r="T76" i="37"/>
  <c r="T74" i="37"/>
  <c r="T82" i="37"/>
  <c r="T83" i="37"/>
  <c r="T97" i="37"/>
  <c r="T100" i="37"/>
  <c r="T9" i="37"/>
  <c r="T17" i="37"/>
  <c r="T16" i="37"/>
  <c r="T7" i="37"/>
  <c r="T12" i="37"/>
  <c r="T10" i="37"/>
  <c r="T18" i="37"/>
  <c r="T19" i="37"/>
  <c r="T25" i="37"/>
  <c r="T33" i="37"/>
  <c r="T32" i="37"/>
  <c r="T23" i="37"/>
  <c r="T28" i="37"/>
  <c r="T26" i="37"/>
  <c r="T34" i="37"/>
  <c r="T35" i="37"/>
  <c r="T88" i="37"/>
  <c r="T41" i="37"/>
  <c r="T49" i="37"/>
  <c r="T48" i="37"/>
  <c r="T39" i="37"/>
  <c r="T44" i="37"/>
  <c r="T42" i="37"/>
  <c r="T50" i="37"/>
  <c r="T51" i="37"/>
  <c r="T91" i="37"/>
  <c r="T137" i="37"/>
  <c r="T136" i="37"/>
  <c r="T123" i="37"/>
  <c r="T145" i="37"/>
  <c r="T153" i="37"/>
  <c r="T152" i="37"/>
  <c r="T143" i="37"/>
  <c r="T148" i="37"/>
  <c r="T146" i="37"/>
  <c r="T154" i="37"/>
  <c r="T155" i="37"/>
  <c r="T163" i="37"/>
  <c r="T173" i="37"/>
  <c r="T19" i="2"/>
  <c r="T20" i="2"/>
  <c r="T21" i="2"/>
  <c r="T18" i="2"/>
  <c r="T12" i="30"/>
  <c r="T14" i="30"/>
  <c r="T7" i="2"/>
  <c r="T11" i="2"/>
  <c r="T12" i="2"/>
  <c r="T13" i="2"/>
  <c r="T14" i="2"/>
  <c r="T6" i="2"/>
  <c r="T25" i="2"/>
  <c r="T27" i="2"/>
  <c r="M63" i="56"/>
  <c r="L11" i="2"/>
  <c r="L6" i="2"/>
  <c r="L18" i="2"/>
  <c r="L27" i="2"/>
  <c r="E63" i="56"/>
  <c r="M42" i="2"/>
  <c r="M48" i="2"/>
  <c r="M39" i="2"/>
  <c r="F62" i="56"/>
  <c r="N42" i="2"/>
  <c r="N49" i="2"/>
  <c r="N48" i="2"/>
  <c r="N39" i="2"/>
  <c r="G62" i="56"/>
  <c r="O42" i="2"/>
  <c r="O48" i="2"/>
  <c r="O39" i="2"/>
  <c r="H62" i="56"/>
  <c r="P49" i="2"/>
  <c r="P52" i="2"/>
  <c r="P48" i="2"/>
  <c r="N31" i="2"/>
  <c r="O5" i="31"/>
  <c r="O11" i="1"/>
  <c r="O26" i="1"/>
  <c r="O32" i="1"/>
  <c r="O38" i="1"/>
  <c r="O43" i="1"/>
  <c r="O48" i="1"/>
  <c r="O7" i="31"/>
  <c r="O6" i="31"/>
  <c r="O20" i="31"/>
  <c r="P5" i="31"/>
  <c r="O31" i="2"/>
  <c r="P43" i="2"/>
  <c r="P45" i="2"/>
  <c r="P46" i="2"/>
  <c r="P42" i="2"/>
  <c r="I62" i="56"/>
  <c r="Q49" i="2"/>
  <c r="Q51" i="2"/>
  <c r="Q52" i="2"/>
  <c r="Q48" i="2"/>
  <c r="Q43" i="2"/>
  <c r="Q45" i="2"/>
  <c r="Q46" i="2"/>
  <c r="Q42" i="2"/>
  <c r="J62" i="56"/>
  <c r="R49" i="2"/>
  <c r="R51" i="2"/>
  <c r="R52" i="2"/>
  <c r="R48" i="2"/>
  <c r="R43" i="2"/>
  <c r="R45" i="2"/>
  <c r="R46" i="2"/>
  <c r="R42" i="2"/>
  <c r="K62" i="56"/>
  <c r="S49" i="2"/>
  <c r="S51" i="2"/>
  <c r="S52" i="2"/>
  <c r="S48" i="2"/>
  <c r="S43" i="2"/>
  <c r="S45" i="2"/>
  <c r="S46" i="2"/>
  <c r="S42" i="2"/>
  <c r="L62" i="56"/>
  <c r="T49" i="2"/>
  <c r="T51" i="2"/>
  <c r="T52" i="2"/>
  <c r="T48" i="2"/>
  <c r="T43" i="2"/>
  <c r="T45" i="2"/>
  <c r="T46" i="2"/>
  <c r="T42" i="2"/>
  <c r="M62" i="56"/>
  <c r="L42" i="2"/>
  <c r="L48" i="2"/>
  <c r="L39" i="2"/>
  <c r="E62" i="56"/>
  <c r="F61" i="56"/>
  <c r="G61" i="56"/>
  <c r="H61" i="56"/>
  <c r="I61" i="56"/>
  <c r="J61" i="56"/>
  <c r="K61" i="56"/>
  <c r="L61" i="56"/>
  <c r="M61" i="56"/>
  <c r="E61" i="56"/>
  <c r="F18" i="56"/>
  <c r="F12" i="56"/>
  <c r="F60" i="56"/>
  <c r="G18" i="56"/>
  <c r="G12" i="56"/>
  <c r="G60" i="56"/>
  <c r="H18" i="56"/>
  <c r="H12" i="56"/>
  <c r="H60" i="56"/>
  <c r="I18" i="56"/>
  <c r="I12" i="56"/>
  <c r="I60" i="56"/>
  <c r="J18" i="56"/>
  <c r="J12" i="56"/>
  <c r="J60" i="56"/>
  <c r="K18" i="56"/>
  <c r="K12" i="56"/>
  <c r="K60" i="56"/>
  <c r="L18" i="56"/>
  <c r="L12" i="56"/>
  <c r="L60" i="56"/>
  <c r="M18" i="56"/>
  <c r="M12" i="56"/>
  <c r="M60" i="56"/>
  <c r="E18" i="56"/>
  <c r="E12" i="56"/>
  <c r="E60" i="56"/>
  <c r="F55" i="56"/>
  <c r="G55" i="56"/>
  <c r="H55" i="56"/>
  <c r="I55" i="56"/>
  <c r="J55" i="56"/>
  <c r="K55" i="56"/>
  <c r="L55" i="56"/>
  <c r="M55" i="56"/>
  <c r="F56" i="56"/>
  <c r="G56" i="56"/>
  <c r="H56" i="56"/>
  <c r="I56" i="56"/>
  <c r="J56" i="56"/>
  <c r="K56" i="56"/>
  <c r="L56" i="56"/>
  <c r="M56" i="56"/>
  <c r="E56" i="56"/>
  <c r="E55" i="56"/>
  <c r="F6" i="56"/>
  <c r="F47" i="56"/>
  <c r="G6" i="56"/>
  <c r="G47" i="56"/>
  <c r="H6" i="56"/>
  <c r="H47" i="56"/>
  <c r="I6" i="56"/>
  <c r="I47" i="56"/>
  <c r="J6" i="56"/>
  <c r="J47" i="56"/>
  <c r="K6" i="56"/>
  <c r="K47" i="56"/>
  <c r="L6" i="56"/>
  <c r="L47" i="56"/>
  <c r="M6" i="56"/>
  <c r="M47" i="56"/>
  <c r="M50" i="30"/>
  <c r="M49" i="30"/>
  <c r="F48" i="56"/>
  <c r="N50" i="30"/>
  <c r="N49" i="30"/>
  <c r="G48" i="56"/>
  <c r="H48" i="56"/>
  <c r="I48" i="56"/>
  <c r="J48" i="56"/>
  <c r="K48" i="56"/>
  <c r="L48" i="56"/>
  <c r="M48" i="56"/>
  <c r="M53" i="30"/>
  <c r="M48" i="30"/>
  <c r="F49" i="56"/>
  <c r="N53" i="30"/>
  <c r="N48" i="30"/>
  <c r="G49" i="56"/>
  <c r="H49" i="56"/>
  <c r="I49" i="56"/>
  <c r="J49" i="56"/>
  <c r="K49" i="56"/>
  <c r="L49" i="56"/>
  <c r="M49" i="56"/>
  <c r="M56" i="30"/>
  <c r="F50" i="56"/>
  <c r="N56" i="30"/>
  <c r="G50" i="56"/>
  <c r="H50" i="56"/>
  <c r="I50" i="56"/>
  <c r="J50" i="56"/>
  <c r="K50" i="56"/>
  <c r="L50" i="56"/>
  <c r="M50" i="56"/>
  <c r="M59" i="30"/>
  <c r="M61" i="30"/>
  <c r="F51" i="56"/>
  <c r="N59" i="30"/>
  <c r="N61" i="30"/>
  <c r="G51" i="56"/>
  <c r="O61" i="30"/>
  <c r="H51" i="56"/>
  <c r="P61" i="30"/>
  <c r="I51" i="56"/>
  <c r="Q61" i="30"/>
  <c r="J51" i="56"/>
  <c r="R61" i="30"/>
  <c r="K51" i="56"/>
  <c r="S61" i="30"/>
  <c r="L51" i="56"/>
  <c r="T61" i="30"/>
  <c r="M51" i="56"/>
  <c r="L50" i="30"/>
  <c r="L53" i="30"/>
  <c r="L56" i="30"/>
  <c r="L59" i="30"/>
  <c r="L48" i="30"/>
  <c r="L61" i="30"/>
  <c r="E51" i="56"/>
  <c r="L49" i="30"/>
  <c r="E50" i="56"/>
  <c r="E49" i="56"/>
  <c r="E48" i="56"/>
  <c r="E6" i="56"/>
  <c r="E47" i="56"/>
  <c r="M11" i="1"/>
  <c r="M26" i="1"/>
  <c r="M32" i="1"/>
  <c r="M38" i="1"/>
  <c r="M62" i="1"/>
  <c r="M56" i="1"/>
  <c r="F7" i="56"/>
  <c r="F39" i="56"/>
  <c r="N11" i="1"/>
  <c r="N26" i="1"/>
  <c r="N32" i="1"/>
  <c r="N38" i="1"/>
  <c r="N62" i="1"/>
  <c r="N56" i="1"/>
  <c r="G7" i="56"/>
  <c r="G39" i="56"/>
  <c r="O62" i="1"/>
  <c r="O56" i="1"/>
  <c r="H7" i="56"/>
  <c r="H39" i="56"/>
  <c r="P62" i="1"/>
  <c r="P56" i="1"/>
  <c r="I7" i="56"/>
  <c r="I39" i="56"/>
  <c r="Q62" i="1"/>
  <c r="Q56" i="1"/>
  <c r="J7" i="56"/>
  <c r="J39" i="56"/>
  <c r="R62" i="1"/>
  <c r="R56" i="1"/>
  <c r="K7" i="56"/>
  <c r="K39" i="56"/>
  <c r="S62" i="1"/>
  <c r="S56" i="1"/>
  <c r="L7" i="56"/>
  <c r="L39" i="56"/>
  <c r="T62" i="1"/>
  <c r="T56" i="1"/>
  <c r="M7" i="56"/>
  <c r="M39" i="56"/>
  <c r="F8" i="56"/>
  <c r="F40" i="56"/>
  <c r="G8" i="56"/>
  <c r="G40" i="56"/>
  <c r="H8" i="56"/>
  <c r="H40" i="56"/>
  <c r="I8" i="56"/>
  <c r="I40" i="56"/>
  <c r="J8" i="56"/>
  <c r="J40" i="56"/>
  <c r="K8" i="56"/>
  <c r="K40" i="56"/>
  <c r="L8" i="56"/>
  <c r="L40" i="56"/>
  <c r="M8" i="56"/>
  <c r="M40" i="56"/>
  <c r="M69" i="1"/>
  <c r="M74" i="1"/>
  <c r="F10" i="56"/>
  <c r="F41" i="56"/>
  <c r="N69" i="1"/>
  <c r="N74" i="1"/>
  <c r="G10" i="56"/>
  <c r="G41" i="56"/>
  <c r="O69" i="1"/>
  <c r="O74" i="1"/>
  <c r="H10" i="56"/>
  <c r="H41" i="56"/>
  <c r="I10" i="56"/>
  <c r="I41" i="56"/>
  <c r="J10" i="56"/>
  <c r="J41" i="56"/>
  <c r="K10" i="56"/>
  <c r="K41" i="56"/>
  <c r="L10" i="56"/>
  <c r="L41" i="56"/>
  <c r="M10" i="56"/>
  <c r="M41" i="56"/>
  <c r="F42" i="56"/>
  <c r="G42" i="56"/>
  <c r="H42" i="56"/>
  <c r="I42" i="56"/>
  <c r="J42" i="56"/>
  <c r="K42" i="56"/>
  <c r="L42" i="56"/>
  <c r="M42" i="56"/>
  <c r="F43" i="56"/>
  <c r="G43" i="56"/>
  <c r="H43" i="56"/>
  <c r="I43" i="56"/>
  <c r="J43" i="56"/>
  <c r="K43" i="56"/>
  <c r="L43" i="56"/>
  <c r="M43" i="56"/>
  <c r="L11" i="1"/>
  <c r="L26" i="1"/>
  <c r="L32" i="1"/>
  <c r="L38" i="1"/>
  <c r="L62" i="1"/>
  <c r="L69" i="1"/>
  <c r="L74" i="1"/>
  <c r="E10" i="56"/>
  <c r="E43" i="56"/>
  <c r="E42" i="56"/>
  <c r="E41" i="56"/>
  <c r="E8" i="56"/>
  <c r="E40" i="56"/>
  <c r="L56" i="1"/>
  <c r="E7" i="56"/>
  <c r="E39" i="56"/>
  <c r="H13" i="56"/>
  <c r="H16" i="56"/>
  <c r="E13" i="56"/>
  <c r="E16" i="56"/>
  <c r="F38" i="56"/>
  <c r="G38" i="56"/>
  <c r="H38" i="56"/>
  <c r="I38" i="56"/>
  <c r="J38" i="56"/>
  <c r="K38" i="56"/>
  <c r="L38" i="56"/>
  <c r="M38" i="56"/>
  <c r="E38" i="56"/>
  <c r="O7" i="56"/>
  <c r="O8" i="56"/>
  <c r="M9" i="56"/>
  <c r="I9" i="56"/>
  <c r="O9" i="56"/>
  <c r="O10" i="56"/>
  <c r="M11" i="56"/>
  <c r="I11" i="56"/>
  <c r="O11" i="56"/>
  <c r="O12" i="56"/>
  <c r="T40" i="2"/>
  <c r="M13" i="56"/>
  <c r="I13" i="56"/>
  <c r="O13" i="56"/>
  <c r="M14" i="56"/>
  <c r="I14" i="56"/>
  <c r="O14" i="56"/>
  <c r="O15" i="56"/>
  <c r="M16" i="56"/>
  <c r="I16" i="56"/>
  <c r="O16" i="56"/>
  <c r="M17" i="56"/>
  <c r="I17" i="56"/>
  <c r="O17" i="56"/>
  <c r="O18" i="56"/>
  <c r="M22" i="56"/>
  <c r="O22" i="56"/>
  <c r="T86" i="1"/>
  <c r="T91" i="1"/>
  <c r="T90" i="1"/>
  <c r="T103" i="1"/>
  <c r="T106" i="1"/>
  <c r="M23" i="56"/>
  <c r="P86" i="1"/>
  <c r="P91" i="1"/>
  <c r="P90" i="1"/>
  <c r="P103" i="1"/>
  <c r="P106" i="1"/>
  <c r="I23" i="56"/>
  <c r="O23" i="56"/>
  <c r="M24" i="56"/>
  <c r="I24" i="56"/>
  <c r="O24" i="56"/>
  <c r="M25" i="56"/>
  <c r="O25" i="56"/>
  <c r="M26" i="56"/>
  <c r="I26" i="56"/>
  <c r="O26" i="56"/>
  <c r="M30" i="56"/>
  <c r="I30" i="56"/>
  <c r="O30" i="56"/>
  <c r="M31" i="56"/>
  <c r="I31" i="56"/>
  <c r="O31" i="56"/>
  <c r="M32" i="56"/>
  <c r="I32" i="56"/>
  <c r="O32" i="56"/>
  <c r="M33" i="56"/>
  <c r="I33" i="56"/>
  <c r="O33" i="56"/>
  <c r="M34" i="56"/>
  <c r="I34" i="56"/>
  <c r="O34" i="56"/>
  <c r="O39" i="56"/>
  <c r="O40" i="56"/>
  <c r="O41" i="56"/>
  <c r="O42" i="56"/>
  <c r="O43" i="56"/>
  <c r="O47" i="56"/>
  <c r="O48" i="56"/>
  <c r="O49" i="56"/>
  <c r="O50" i="56"/>
  <c r="O51" i="56"/>
  <c r="O55" i="56"/>
  <c r="O56" i="56"/>
  <c r="O60" i="56"/>
  <c r="O61" i="56"/>
  <c r="O62" i="56"/>
  <c r="O63" i="56"/>
  <c r="N7" i="56"/>
  <c r="N8" i="56"/>
  <c r="H9" i="56"/>
  <c r="E9" i="56"/>
  <c r="N9" i="56"/>
  <c r="N10" i="56"/>
  <c r="H11" i="56"/>
  <c r="E11" i="56"/>
  <c r="N11" i="56"/>
  <c r="N12" i="56"/>
  <c r="N13" i="56"/>
  <c r="H14" i="56"/>
  <c r="E14" i="56"/>
  <c r="N14" i="56"/>
  <c r="N16" i="56"/>
  <c r="H17" i="56"/>
  <c r="E17" i="56"/>
  <c r="N17" i="56"/>
  <c r="N18" i="56"/>
  <c r="E22" i="56"/>
  <c r="N22" i="56"/>
  <c r="E23" i="56"/>
  <c r="N23" i="56"/>
  <c r="H24" i="56"/>
  <c r="E24" i="56"/>
  <c r="N24" i="56"/>
  <c r="H25" i="56"/>
  <c r="E25" i="56"/>
  <c r="N25" i="56"/>
  <c r="H26" i="56"/>
  <c r="E26" i="56"/>
  <c r="N26" i="56"/>
  <c r="E30" i="56"/>
  <c r="N30" i="56"/>
  <c r="E31" i="56"/>
  <c r="N31" i="56"/>
  <c r="H32" i="56"/>
  <c r="E32" i="56"/>
  <c r="N32" i="56"/>
  <c r="H33" i="56"/>
  <c r="E33" i="56"/>
  <c r="N33" i="56"/>
  <c r="H34" i="56"/>
  <c r="E34" i="56"/>
  <c r="N34" i="56"/>
  <c r="N39" i="56"/>
  <c r="N40" i="56"/>
  <c r="N41" i="56"/>
  <c r="N42" i="56"/>
  <c r="N43" i="56"/>
  <c r="N47" i="56"/>
  <c r="N48" i="56"/>
  <c r="N49" i="56"/>
  <c r="N50" i="56"/>
  <c r="N51" i="56"/>
  <c r="N55" i="56"/>
  <c r="N56" i="56"/>
  <c r="N60" i="56"/>
  <c r="N61" i="56"/>
  <c r="N62" i="56"/>
  <c r="O6" i="56"/>
  <c r="N6" i="56"/>
  <c r="I154" i="39"/>
  <c r="I146" i="39"/>
  <c r="I147" i="39"/>
  <c r="I148" i="39"/>
  <c r="I149" i="39"/>
  <c r="I150" i="39"/>
  <c r="I151" i="39"/>
  <c r="I152" i="39"/>
  <c r="I153" i="39"/>
  <c r="I155" i="39"/>
  <c r="I156" i="39"/>
  <c r="I157" i="39"/>
  <c r="I158" i="39"/>
  <c r="I145" i="39"/>
  <c r="I144" i="39"/>
  <c r="U57" i="37"/>
  <c r="U65" i="37"/>
  <c r="U64" i="37"/>
  <c r="U55" i="37"/>
  <c r="U60" i="37"/>
  <c r="U58" i="37"/>
  <c r="U66" i="37"/>
  <c r="U67" i="37"/>
  <c r="U94" i="37"/>
  <c r="U73" i="37"/>
  <c r="U81" i="37"/>
  <c r="U80" i="37"/>
  <c r="U71" i="37"/>
  <c r="U76" i="37"/>
  <c r="U74" i="37"/>
  <c r="U82" i="37"/>
  <c r="U83" i="37"/>
  <c r="U97" i="37"/>
  <c r="U100" i="37"/>
  <c r="V57" i="37"/>
  <c r="V65" i="37"/>
  <c r="V64" i="37"/>
  <c r="V55" i="37"/>
  <c r="V60" i="37"/>
  <c r="V58" i="37"/>
  <c r="V66" i="37"/>
  <c r="V67" i="37"/>
  <c r="V94" i="37"/>
  <c r="V73" i="37"/>
  <c r="V81" i="37"/>
  <c r="V80" i="37"/>
  <c r="V71" i="37"/>
  <c r="V76" i="37"/>
  <c r="V74" i="37"/>
  <c r="V82" i="37"/>
  <c r="V83" i="37"/>
  <c r="V97" i="37"/>
  <c r="V100" i="37"/>
  <c r="W57" i="37"/>
  <c r="W65" i="37"/>
  <c r="W64" i="37"/>
  <c r="W55" i="37"/>
  <c r="W60" i="37"/>
  <c r="W58" i="37"/>
  <c r="W66" i="37"/>
  <c r="W67" i="37"/>
  <c r="W94" i="37"/>
  <c r="W73" i="37"/>
  <c r="W81" i="37"/>
  <c r="W80" i="37"/>
  <c r="W71" i="37"/>
  <c r="W76" i="37"/>
  <c r="W74" i="37"/>
  <c r="W82" i="37"/>
  <c r="W83" i="37"/>
  <c r="W97" i="37"/>
  <c r="W100" i="37"/>
  <c r="X57" i="37"/>
  <c r="X65" i="37"/>
  <c r="X64" i="37"/>
  <c r="X55" i="37"/>
  <c r="X60" i="37"/>
  <c r="X58" i="37"/>
  <c r="X66" i="37"/>
  <c r="X67" i="37"/>
  <c r="X94" i="37"/>
  <c r="X73" i="37"/>
  <c r="X81" i="37"/>
  <c r="X80" i="37"/>
  <c r="X71" i="37"/>
  <c r="X76" i="37"/>
  <c r="X74" i="37"/>
  <c r="X82" i="37"/>
  <c r="X83" i="37"/>
  <c r="X97" i="37"/>
  <c r="X100" i="37"/>
  <c r="Y57" i="37"/>
  <c r="Y65" i="37"/>
  <c r="Y64" i="37"/>
  <c r="Y55" i="37"/>
  <c r="Y60" i="37"/>
  <c r="Y58" i="37"/>
  <c r="Y66" i="37"/>
  <c r="Y67" i="37"/>
  <c r="Y94" i="37"/>
  <c r="Y73" i="37"/>
  <c r="Y81" i="37"/>
  <c r="Y80" i="37"/>
  <c r="Y71" i="37"/>
  <c r="Y76" i="37"/>
  <c r="Y74" i="37"/>
  <c r="Y82" i="37"/>
  <c r="Y83" i="37"/>
  <c r="Y97" i="37"/>
  <c r="Y100" i="37"/>
  <c r="Z57" i="37"/>
  <c r="Z65" i="37"/>
  <c r="Z64" i="37"/>
  <c r="Z55" i="37"/>
  <c r="Z60" i="37"/>
  <c r="Z58" i="37"/>
  <c r="Z66" i="37"/>
  <c r="Z67" i="37"/>
  <c r="Z94" i="37"/>
  <c r="Z73" i="37"/>
  <c r="Z81" i="37"/>
  <c r="Z80" i="37"/>
  <c r="Z71" i="37"/>
  <c r="Z76" i="37"/>
  <c r="Z74" i="37"/>
  <c r="Z82" i="37"/>
  <c r="Z83" i="37"/>
  <c r="Z97" i="37"/>
  <c r="Z100" i="37"/>
  <c r="U25" i="37"/>
  <c r="U33" i="37"/>
  <c r="U32" i="37"/>
  <c r="U23" i="37"/>
  <c r="U28" i="37"/>
  <c r="U26" i="37"/>
  <c r="U34" i="37"/>
  <c r="U35" i="37"/>
  <c r="U9" i="37"/>
  <c r="U17" i="37"/>
  <c r="U16" i="37"/>
  <c r="U7" i="37"/>
  <c r="U12" i="37"/>
  <c r="U10" i="37"/>
  <c r="U18" i="37"/>
  <c r="U19" i="37"/>
  <c r="U88" i="37"/>
  <c r="U41" i="37"/>
  <c r="U49" i="37"/>
  <c r="U48" i="37"/>
  <c r="U39" i="37"/>
  <c r="U44" i="37"/>
  <c r="U42" i="37"/>
  <c r="U50" i="37"/>
  <c r="U51" i="37"/>
  <c r="U91" i="37"/>
  <c r="V25" i="37"/>
  <c r="V33" i="37"/>
  <c r="V32" i="37"/>
  <c r="V23" i="37"/>
  <c r="V28" i="37"/>
  <c r="V26" i="37"/>
  <c r="V34" i="37"/>
  <c r="V35" i="37"/>
  <c r="V9" i="37"/>
  <c r="V17" i="37"/>
  <c r="V16" i="37"/>
  <c r="V7" i="37"/>
  <c r="V12" i="37"/>
  <c r="V10" i="37"/>
  <c r="V18" i="37"/>
  <c r="V19" i="37"/>
  <c r="V88" i="37"/>
  <c r="V41" i="37"/>
  <c r="V49" i="37"/>
  <c r="V48" i="37"/>
  <c r="V39" i="37"/>
  <c r="V44" i="37"/>
  <c r="V42" i="37"/>
  <c r="V50" i="37"/>
  <c r="V51" i="37"/>
  <c r="V91" i="37"/>
  <c r="W25" i="37"/>
  <c r="W33" i="37"/>
  <c r="W32" i="37"/>
  <c r="W23" i="37"/>
  <c r="W28" i="37"/>
  <c r="W26" i="37"/>
  <c r="W34" i="37"/>
  <c r="W35" i="37"/>
  <c r="W9" i="37"/>
  <c r="W17" i="37"/>
  <c r="W16" i="37"/>
  <c r="W7" i="37"/>
  <c r="W12" i="37"/>
  <c r="W10" i="37"/>
  <c r="W18" i="37"/>
  <c r="W19" i="37"/>
  <c r="W88" i="37"/>
  <c r="W41" i="37"/>
  <c r="W49" i="37"/>
  <c r="W48" i="37"/>
  <c r="W39" i="37"/>
  <c r="W44" i="37"/>
  <c r="W42" i="37"/>
  <c r="W50" i="37"/>
  <c r="W51" i="37"/>
  <c r="W91" i="37"/>
  <c r="X25" i="37"/>
  <c r="X33" i="37"/>
  <c r="X32" i="37"/>
  <c r="X23" i="37"/>
  <c r="X28" i="37"/>
  <c r="X26" i="37"/>
  <c r="X34" i="37"/>
  <c r="X35" i="37"/>
  <c r="X9" i="37"/>
  <c r="X17" i="37"/>
  <c r="X16" i="37"/>
  <c r="X7" i="37"/>
  <c r="X12" i="37"/>
  <c r="X10" i="37"/>
  <c r="X18" i="37"/>
  <c r="X19" i="37"/>
  <c r="X88" i="37"/>
  <c r="X41" i="37"/>
  <c r="X49" i="37"/>
  <c r="X48" i="37"/>
  <c r="X39" i="37"/>
  <c r="X44" i="37"/>
  <c r="X42" i="37"/>
  <c r="X50" i="37"/>
  <c r="X51" i="37"/>
  <c r="X91" i="37"/>
  <c r="Y25" i="37"/>
  <c r="Y33" i="37"/>
  <c r="Y32" i="37"/>
  <c r="Y23" i="37"/>
  <c r="Y28" i="37"/>
  <c r="Y26" i="37"/>
  <c r="Y34" i="37"/>
  <c r="Y35" i="37"/>
  <c r="Y9" i="37"/>
  <c r="Y17" i="37"/>
  <c r="Y16" i="37"/>
  <c r="Y7" i="37"/>
  <c r="Y12" i="37"/>
  <c r="Y10" i="37"/>
  <c r="Y18" i="37"/>
  <c r="Y19" i="37"/>
  <c r="Y88" i="37"/>
  <c r="Y41" i="37"/>
  <c r="Y49" i="37"/>
  <c r="Y48" i="37"/>
  <c r="Y39" i="37"/>
  <c r="Y44" i="37"/>
  <c r="Y42" i="37"/>
  <c r="Y50" i="37"/>
  <c r="Y51" i="37"/>
  <c r="Y91" i="37"/>
  <c r="Z25" i="37"/>
  <c r="Z33" i="37"/>
  <c r="Z32" i="37"/>
  <c r="Z23" i="37"/>
  <c r="Z28" i="37"/>
  <c r="Z26" i="37"/>
  <c r="Z34" i="37"/>
  <c r="Z35" i="37"/>
  <c r="Z9" i="37"/>
  <c r="Z17" i="37"/>
  <c r="Z16" i="37"/>
  <c r="Z7" i="37"/>
  <c r="Z12" i="37"/>
  <c r="Z10" i="37"/>
  <c r="Z18" i="37"/>
  <c r="Z19" i="37"/>
  <c r="Z88" i="37"/>
  <c r="Z41" i="37"/>
  <c r="Z49" i="37"/>
  <c r="Z48" i="37"/>
  <c r="Z39" i="37"/>
  <c r="Z44" i="37"/>
  <c r="Z42" i="37"/>
  <c r="Z50" i="37"/>
  <c r="Z51" i="37"/>
  <c r="Z91" i="37"/>
  <c r="E27" i="39"/>
  <c r="Z15" i="11"/>
  <c r="U137" i="37"/>
  <c r="U136" i="37"/>
  <c r="U123" i="37"/>
  <c r="U145" i="37"/>
  <c r="U153" i="37"/>
  <c r="U152" i="37"/>
  <c r="U143" i="37"/>
  <c r="U148" i="37"/>
  <c r="U146" i="37"/>
  <c r="U154" i="37"/>
  <c r="U155" i="37"/>
  <c r="U163" i="37"/>
  <c r="V137" i="37"/>
  <c r="V136" i="37"/>
  <c r="V123" i="37"/>
  <c r="V145" i="37"/>
  <c r="V153" i="37"/>
  <c r="V152" i="37"/>
  <c r="V143" i="37"/>
  <c r="V148" i="37"/>
  <c r="V146" i="37"/>
  <c r="V154" i="37"/>
  <c r="V155" i="37"/>
  <c r="V163" i="37"/>
  <c r="V173" i="37"/>
  <c r="W137" i="37"/>
  <c r="W136" i="37"/>
  <c r="W123" i="37"/>
  <c r="W145" i="37"/>
  <c r="W153" i="37"/>
  <c r="W152" i="37"/>
  <c r="W143" i="37"/>
  <c r="W148" i="37"/>
  <c r="W146" i="37"/>
  <c r="W154" i="37"/>
  <c r="W155" i="37"/>
  <c r="W163" i="37"/>
  <c r="W173" i="37"/>
  <c r="X145" i="37"/>
  <c r="X153" i="37"/>
  <c r="X152" i="37"/>
  <c r="X143" i="37"/>
  <c r="X148" i="37"/>
  <c r="X146" i="37"/>
  <c r="X154" i="37"/>
  <c r="X155" i="37"/>
  <c r="X163" i="37"/>
  <c r="X173" i="37"/>
  <c r="X137" i="37"/>
  <c r="X136" i="37"/>
  <c r="Y137" i="37"/>
  <c r="Y136" i="37"/>
  <c r="X123" i="37"/>
  <c r="Y123" i="37"/>
  <c r="Y145" i="37"/>
  <c r="Y153" i="37"/>
  <c r="Y152" i="37"/>
  <c r="Y143" i="37"/>
  <c r="Y148" i="37"/>
  <c r="Y146" i="37"/>
  <c r="Y154" i="37"/>
  <c r="Y155" i="37"/>
  <c r="Y163" i="37"/>
  <c r="Y173" i="37"/>
  <c r="Z137" i="37"/>
  <c r="Z136" i="37"/>
  <c r="Z123" i="37"/>
  <c r="Z145" i="37"/>
  <c r="Z153" i="37"/>
  <c r="Z152" i="37"/>
  <c r="Z143" i="37"/>
  <c r="Z148" i="37"/>
  <c r="Z146" i="37"/>
  <c r="Z154" i="37"/>
  <c r="Z155" i="37"/>
  <c r="Z163" i="37"/>
  <c r="Z173" i="37"/>
  <c r="Q15" i="11"/>
  <c r="R15" i="11"/>
  <c r="S15" i="11"/>
  <c r="T15" i="11"/>
  <c r="U15" i="11"/>
  <c r="V15" i="11"/>
  <c r="W15" i="11"/>
  <c r="X15" i="11"/>
  <c r="Y15" i="11"/>
  <c r="E51" i="39"/>
  <c r="Q15" i="27"/>
  <c r="R15" i="27"/>
  <c r="E75" i="39"/>
  <c r="Z17" i="13"/>
  <c r="Q17" i="13"/>
  <c r="R17" i="13"/>
  <c r="S17" i="13"/>
  <c r="T17" i="13"/>
  <c r="U17" i="13"/>
  <c r="V17" i="13"/>
  <c r="W17" i="13"/>
  <c r="X17" i="13"/>
  <c r="Y17" i="13"/>
  <c r="E99" i="39"/>
  <c r="Z104" i="20"/>
  <c r="Q104" i="20"/>
  <c r="R104" i="20"/>
  <c r="S104" i="20"/>
  <c r="T104" i="20"/>
  <c r="U104" i="20"/>
  <c r="V104" i="20"/>
  <c r="W104" i="20"/>
  <c r="X104" i="20"/>
  <c r="Y104" i="20"/>
  <c r="I136" i="39"/>
  <c r="I139" i="39"/>
  <c r="O7" i="30"/>
  <c r="O8" i="30"/>
  <c r="O10" i="30"/>
  <c r="P172" i="37"/>
  <c r="P175" i="37"/>
  <c r="Q172" i="37"/>
  <c r="Q175" i="37"/>
  <c r="Q174" i="37"/>
  <c r="R172" i="37"/>
  <c r="R175" i="37"/>
  <c r="R174" i="37"/>
  <c r="S172" i="37"/>
  <c r="S175" i="37"/>
  <c r="S174" i="37"/>
  <c r="T172" i="37"/>
  <c r="T176" i="37"/>
  <c r="T175" i="37"/>
  <c r="T174" i="37"/>
  <c r="P177" i="37"/>
  <c r="Q30" i="21"/>
  <c r="L10" i="21"/>
  <c r="N8" i="21"/>
  <c r="O8" i="21"/>
  <c r="P8" i="21"/>
  <c r="M8" i="21"/>
  <c r="L7" i="21"/>
  <c r="F138" i="40"/>
  <c r="G138" i="40"/>
  <c r="M7" i="21"/>
  <c r="H138" i="40"/>
  <c r="N7" i="21"/>
  <c r="I138" i="40"/>
  <c r="O7" i="21"/>
  <c r="J138" i="40"/>
  <c r="P7" i="21"/>
  <c r="K138" i="40"/>
  <c r="E138" i="40"/>
  <c r="F135" i="40"/>
  <c r="F137" i="40"/>
  <c r="G135" i="40"/>
  <c r="G137" i="40"/>
  <c r="H135" i="40"/>
  <c r="H137" i="40"/>
  <c r="I135" i="40"/>
  <c r="I137" i="40"/>
  <c r="J135" i="40"/>
  <c r="J137" i="40"/>
  <c r="K135" i="40"/>
  <c r="K137" i="40"/>
  <c r="E135" i="40"/>
  <c r="E137" i="40"/>
  <c r="M58" i="2"/>
  <c r="M31" i="2"/>
  <c r="M59" i="2"/>
  <c r="F136" i="40"/>
  <c r="G136" i="40"/>
  <c r="H136" i="40"/>
  <c r="I136" i="40"/>
  <c r="J136" i="40"/>
  <c r="K136" i="40"/>
  <c r="E136" i="40"/>
  <c r="AF23" i="27"/>
  <c r="O122" i="37"/>
  <c r="L122" i="37"/>
  <c r="AE122" i="37"/>
  <c r="F50" i="40"/>
  <c r="F45" i="40"/>
  <c r="F52" i="40"/>
  <c r="M110" i="40"/>
  <c r="G50" i="40"/>
  <c r="G45" i="40"/>
  <c r="G52" i="40"/>
  <c r="N110" i="40"/>
  <c r="E50" i="40"/>
  <c r="E45" i="40"/>
  <c r="E52" i="40"/>
  <c r="L110" i="40"/>
  <c r="M109" i="40"/>
  <c r="J18" i="21"/>
  <c r="J25" i="21"/>
  <c r="J29" i="21"/>
  <c r="J30" i="21"/>
  <c r="N109" i="40"/>
  <c r="H18" i="21"/>
  <c r="H25" i="21"/>
  <c r="H29" i="21"/>
  <c r="H30" i="21"/>
  <c r="L109" i="40"/>
  <c r="AF9" i="27"/>
  <c r="AF5" i="27"/>
  <c r="AE9" i="27"/>
  <c r="O5" i="27"/>
  <c r="AE5" i="27"/>
  <c r="N154" i="37"/>
  <c r="M154" i="37"/>
  <c r="N155" i="37"/>
  <c r="N163" i="37"/>
  <c r="N162" i="37"/>
  <c r="O155" i="37"/>
  <c r="O163" i="37"/>
  <c r="O162" i="37"/>
  <c r="P162" i="37"/>
  <c r="Q162" i="37"/>
  <c r="R162" i="37"/>
  <c r="S162" i="37"/>
  <c r="T162" i="37"/>
  <c r="AF162" i="37"/>
  <c r="AE162" i="37"/>
  <c r="T135" i="37"/>
  <c r="T133" i="37"/>
  <c r="P135" i="37"/>
  <c r="P133" i="37"/>
  <c r="AF133" i="37"/>
  <c r="AE133" i="37"/>
  <c r="M122" i="37"/>
  <c r="N82" i="37"/>
  <c r="M82" i="37"/>
  <c r="N83" i="37"/>
  <c r="N97" i="37"/>
  <c r="N96" i="37"/>
  <c r="O83" i="37"/>
  <c r="O97" i="37"/>
  <c r="O96" i="37"/>
  <c r="AE96" i="37"/>
  <c r="N66" i="37"/>
  <c r="O67" i="37"/>
  <c r="O94" i="37"/>
  <c r="M66" i="37"/>
  <c r="N67" i="37"/>
  <c r="N94" i="37"/>
  <c r="N93" i="37"/>
  <c r="O93" i="37"/>
  <c r="F8" i="57"/>
  <c r="G8" i="57"/>
  <c r="H8" i="57"/>
  <c r="I8" i="57"/>
  <c r="J8" i="57"/>
  <c r="K8" i="57"/>
  <c r="O8" i="57"/>
  <c r="E8" i="57"/>
  <c r="P6" i="57"/>
  <c r="F6" i="57"/>
  <c r="G6" i="57"/>
  <c r="H6" i="57"/>
  <c r="I6" i="57"/>
  <c r="J6" i="57"/>
  <c r="K6" i="57"/>
  <c r="O6" i="57"/>
  <c r="E6" i="57"/>
  <c r="O7" i="57"/>
  <c r="P5" i="57"/>
  <c r="O5" i="57"/>
  <c r="R5" i="38"/>
  <c r="Q5" i="38"/>
  <c r="P5" i="38"/>
  <c r="O5" i="38"/>
  <c r="N5" i="38"/>
  <c r="M5" i="38"/>
  <c r="L5" i="38"/>
  <c r="K5" i="38"/>
  <c r="J5" i="38"/>
  <c r="AE27" i="11"/>
  <c r="AF27" i="11"/>
  <c r="C12" i="53"/>
  <c r="C11" i="53"/>
  <c r="C10" i="53"/>
  <c r="P115" i="1"/>
  <c r="K7" i="21"/>
  <c r="L30" i="21"/>
  <c r="C25" i="50"/>
  <c r="AA100" i="37"/>
  <c r="AA65" i="37"/>
  <c r="AA64" i="37"/>
  <c r="AA57" i="37"/>
  <c r="AA55" i="37"/>
  <c r="AA60" i="37"/>
  <c r="AA58" i="37"/>
  <c r="AA66" i="37"/>
  <c r="AA67" i="37"/>
  <c r="AA94" i="37"/>
  <c r="AA73" i="37"/>
  <c r="AA81" i="37"/>
  <c r="AA80" i="37"/>
  <c r="AA71" i="37"/>
  <c r="AA76" i="37"/>
  <c r="AA74" i="37"/>
  <c r="AA82" i="37"/>
  <c r="AA83" i="37"/>
  <c r="AA97" i="37"/>
  <c r="AB100" i="37"/>
  <c r="AB65" i="37"/>
  <c r="AB64" i="37"/>
  <c r="AB57" i="37"/>
  <c r="AB55" i="37"/>
  <c r="AB60" i="37"/>
  <c r="AB58" i="37"/>
  <c r="AB66" i="37"/>
  <c r="AB67" i="37"/>
  <c r="AB94" i="37"/>
  <c r="AB73" i="37"/>
  <c r="AB81" i="37"/>
  <c r="AB80" i="37"/>
  <c r="AB71" i="37"/>
  <c r="AB76" i="37"/>
  <c r="AB74" i="37"/>
  <c r="AB82" i="37"/>
  <c r="AB83" i="37"/>
  <c r="AB97" i="37"/>
  <c r="AC100" i="37"/>
  <c r="AC65" i="37"/>
  <c r="AC64" i="37"/>
  <c r="AC57" i="37"/>
  <c r="AC55" i="37"/>
  <c r="AC60" i="37"/>
  <c r="AC58" i="37"/>
  <c r="AC66" i="37"/>
  <c r="AC67" i="37"/>
  <c r="AC94" i="37"/>
  <c r="AC73" i="37"/>
  <c r="AC81" i="37"/>
  <c r="AC80" i="37"/>
  <c r="AC71" i="37"/>
  <c r="AC76" i="37"/>
  <c r="AC74" i="37"/>
  <c r="AC82" i="37"/>
  <c r="AC83" i="37"/>
  <c r="AC97" i="37"/>
  <c r="AD100" i="37"/>
  <c r="AD65" i="37"/>
  <c r="AD64" i="37"/>
  <c r="AD57" i="37"/>
  <c r="AD55" i="37"/>
  <c r="AD60" i="37"/>
  <c r="AD58" i="37"/>
  <c r="AD66" i="37"/>
  <c r="AD67" i="37"/>
  <c r="AD94" i="37"/>
  <c r="AD73" i="37"/>
  <c r="AD81" i="37"/>
  <c r="AD80" i="37"/>
  <c r="AD71" i="37"/>
  <c r="AD76" i="37"/>
  <c r="AD74" i="37"/>
  <c r="AD82" i="37"/>
  <c r="AD83" i="37"/>
  <c r="AD97" i="37"/>
  <c r="N120" i="37"/>
  <c r="O121" i="37"/>
  <c r="G38" i="50"/>
  <c r="G33" i="50"/>
  <c r="G28" i="50"/>
  <c r="G23" i="50"/>
  <c r="G18" i="50"/>
  <c r="G13" i="50"/>
  <c r="G8" i="50"/>
  <c r="G36" i="50"/>
  <c r="G31" i="50"/>
  <c r="G26" i="50"/>
  <c r="G21" i="50"/>
  <c r="G16" i="50"/>
  <c r="G37" i="50"/>
  <c r="G32" i="50"/>
  <c r="G27" i="50"/>
  <c r="G22" i="50"/>
  <c r="G17" i="50"/>
  <c r="G12" i="50"/>
  <c r="G11" i="50"/>
  <c r="G7" i="50"/>
  <c r="G6" i="50"/>
  <c r="C8" i="50"/>
  <c r="Q7" i="21"/>
  <c r="R7" i="21"/>
  <c r="S7" i="21"/>
  <c r="T7" i="21"/>
  <c r="U7" i="21"/>
  <c r="Q4" i="38"/>
  <c r="R5" i="29"/>
  <c r="V7" i="21"/>
  <c r="R4" i="38"/>
  <c r="S5" i="29"/>
  <c r="C99" i="38"/>
  <c r="G4" i="38"/>
  <c r="H5" i="29"/>
  <c r="I5" i="29"/>
  <c r="H6" i="38"/>
  <c r="K4" i="38"/>
  <c r="L5" i="29"/>
  <c r="L4" i="38"/>
  <c r="M5" i="29"/>
  <c r="L6" i="38"/>
  <c r="M4" i="38"/>
  <c r="N5" i="29"/>
  <c r="M6" i="38"/>
  <c r="N4" i="38"/>
  <c r="O5" i="29"/>
  <c r="N6" i="38"/>
  <c r="O4" i="38"/>
  <c r="P5" i="29"/>
  <c r="O6" i="38"/>
  <c r="P4" i="38"/>
  <c r="Q5" i="29"/>
  <c r="P6" i="38"/>
  <c r="Q6" i="38"/>
  <c r="R6" i="38"/>
  <c r="P104" i="20"/>
  <c r="P101" i="20"/>
  <c r="N122" i="37"/>
  <c r="O123" i="37"/>
  <c r="N138" i="37"/>
  <c r="O139" i="37"/>
  <c r="O160" i="37"/>
  <c r="X139" i="37"/>
  <c r="X160" i="37"/>
  <c r="AA137" i="37"/>
  <c r="AA136" i="37"/>
  <c r="AA123" i="37"/>
  <c r="AB137" i="37"/>
  <c r="AB136" i="37"/>
  <c r="AB123" i="37"/>
  <c r="AC137" i="37"/>
  <c r="AC136" i="37"/>
  <c r="AC123" i="37"/>
  <c r="AD137" i="37"/>
  <c r="AD136" i="37"/>
  <c r="AD123" i="37"/>
  <c r="N123" i="37"/>
  <c r="M138" i="37"/>
  <c r="N139" i="37"/>
  <c r="N160" i="37"/>
  <c r="M123" i="37"/>
  <c r="L123" i="37"/>
  <c r="N134" i="37"/>
  <c r="O134" i="37"/>
  <c r="P134" i="37"/>
  <c r="Q135" i="37"/>
  <c r="Q133" i="37"/>
  <c r="Q134" i="37"/>
  <c r="R135" i="37"/>
  <c r="R133" i="37"/>
  <c r="R134" i="37"/>
  <c r="S135" i="37"/>
  <c r="S133" i="37"/>
  <c r="S134" i="37"/>
  <c r="T134" i="37"/>
  <c r="U135" i="37"/>
  <c r="U133" i="37"/>
  <c r="U134" i="37"/>
  <c r="V135" i="37"/>
  <c r="V133" i="37"/>
  <c r="V134" i="37"/>
  <c r="W135" i="37"/>
  <c r="W133" i="37"/>
  <c r="W134" i="37"/>
  <c r="X135" i="37"/>
  <c r="X133" i="37"/>
  <c r="X134" i="37"/>
  <c r="Y135" i="37"/>
  <c r="Y133" i="37"/>
  <c r="Y134" i="37"/>
  <c r="Z135" i="37"/>
  <c r="Z133" i="37"/>
  <c r="Z134" i="37"/>
  <c r="AA135" i="37"/>
  <c r="AA133" i="37"/>
  <c r="AA134" i="37"/>
  <c r="AB135" i="37"/>
  <c r="AB133" i="37"/>
  <c r="AB134" i="37"/>
  <c r="AC135" i="37"/>
  <c r="AC133" i="37"/>
  <c r="AC134" i="37"/>
  <c r="AD135" i="37"/>
  <c r="AD133" i="37"/>
  <c r="AD134" i="37"/>
  <c r="M136" i="37"/>
  <c r="M135" i="37"/>
  <c r="N136" i="37"/>
  <c r="N135" i="37"/>
  <c r="O135" i="37"/>
  <c r="M134" i="37"/>
  <c r="L136" i="37"/>
  <c r="L135" i="37"/>
  <c r="L138" i="37"/>
  <c r="L80" i="21"/>
  <c r="M80" i="21"/>
  <c r="N80" i="21"/>
  <c r="O80" i="21"/>
  <c r="P80" i="21"/>
  <c r="Q80" i="21"/>
  <c r="R80" i="21"/>
  <c r="R8" i="21"/>
  <c r="R29" i="30"/>
  <c r="S29" i="30"/>
  <c r="T29" i="30"/>
  <c r="U29" i="30"/>
  <c r="V29" i="30"/>
  <c r="W29" i="30"/>
  <c r="X29" i="30"/>
  <c r="Y29" i="30"/>
  <c r="Z29" i="30"/>
  <c r="AA29" i="30"/>
  <c r="AB29" i="30"/>
  <c r="AC29" i="30"/>
  <c r="AD29" i="30"/>
  <c r="Q29" i="30"/>
  <c r="P29" i="30"/>
  <c r="M20" i="30"/>
  <c r="M65" i="20"/>
  <c r="M19" i="30"/>
  <c r="M21" i="30"/>
  <c r="M22" i="30"/>
  <c r="M23" i="30"/>
  <c r="M26" i="30"/>
  <c r="N20" i="30"/>
  <c r="N65" i="20"/>
  <c r="N19" i="30"/>
  <c r="N21" i="30"/>
  <c r="N22" i="30"/>
  <c r="N23" i="30"/>
  <c r="N26" i="30"/>
  <c r="O20" i="30"/>
  <c r="O65" i="20"/>
  <c r="O19" i="30"/>
  <c r="O21" i="30"/>
  <c r="O22" i="30"/>
  <c r="O23" i="30"/>
  <c r="O26" i="30"/>
  <c r="M27" i="30"/>
  <c r="N27" i="30"/>
  <c r="O27" i="30"/>
  <c r="M28" i="30"/>
  <c r="N28" i="30"/>
  <c r="O28" i="30"/>
  <c r="M29" i="30"/>
  <c r="N29" i="30"/>
  <c r="O29" i="30"/>
  <c r="N25" i="30"/>
  <c r="O25" i="30"/>
  <c r="M25" i="30"/>
  <c r="L20" i="30"/>
  <c r="L65" i="20"/>
  <c r="L19" i="30"/>
  <c r="L21" i="30"/>
  <c r="L22" i="30"/>
  <c r="L23" i="30"/>
  <c r="L26" i="30"/>
  <c r="L27" i="30"/>
  <c r="L28" i="30"/>
  <c r="L29" i="30"/>
  <c r="L25" i="30"/>
  <c r="G5" i="38"/>
  <c r="H4" i="38"/>
  <c r="S8" i="21"/>
  <c r="T8" i="21"/>
  <c r="U8" i="21"/>
  <c r="V8" i="21"/>
  <c r="AA15" i="11"/>
  <c r="AA12" i="11"/>
  <c r="AA89" i="20"/>
  <c r="P29" i="39"/>
  <c r="S6" i="38"/>
  <c r="AA9" i="37"/>
  <c r="AA17" i="37"/>
  <c r="AA16" i="37"/>
  <c r="AA7" i="37"/>
  <c r="AA12" i="37"/>
  <c r="AA10" i="37"/>
  <c r="AA18" i="37"/>
  <c r="AA19" i="37"/>
  <c r="AA25" i="37"/>
  <c r="AA33" i="37"/>
  <c r="AA32" i="37"/>
  <c r="AA23" i="37"/>
  <c r="AA28" i="37"/>
  <c r="AA26" i="37"/>
  <c r="AA34" i="37"/>
  <c r="AA35" i="37"/>
  <c r="AA88" i="37"/>
  <c r="AA41" i="37"/>
  <c r="AA49" i="37"/>
  <c r="AA48" i="37"/>
  <c r="AA39" i="37"/>
  <c r="AA44" i="37"/>
  <c r="AA42" i="37"/>
  <c r="AA50" i="37"/>
  <c r="AA51" i="37"/>
  <c r="AA91" i="37"/>
  <c r="P26" i="39"/>
  <c r="P27" i="39"/>
  <c r="P28" i="39"/>
  <c r="P30" i="39"/>
  <c r="P31" i="39"/>
  <c r="S4" i="38"/>
  <c r="T5" i="29"/>
  <c r="W8" i="21"/>
  <c r="W7" i="21"/>
  <c r="AA145" i="37"/>
  <c r="AA153" i="37"/>
  <c r="AA152" i="37"/>
  <c r="AA143" i="37"/>
  <c r="AA148" i="37"/>
  <c r="AA146" i="37"/>
  <c r="AA154" i="37"/>
  <c r="AA155" i="37"/>
  <c r="AA163" i="37"/>
  <c r="AA173" i="37"/>
  <c r="AB15" i="11"/>
  <c r="AB12" i="11"/>
  <c r="AB89" i="20"/>
  <c r="Q29" i="39"/>
  <c r="T6" i="38"/>
  <c r="AB9" i="37"/>
  <c r="AB17" i="37"/>
  <c r="AB16" i="37"/>
  <c r="AB7" i="37"/>
  <c r="AB12" i="37"/>
  <c r="AB10" i="37"/>
  <c r="AB18" i="37"/>
  <c r="AB19" i="37"/>
  <c r="AB25" i="37"/>
  <c r="AB33" i="37"/>
  <c r="AB32" i="37"/>
  <c r="AB23" i="37"/>
  <c r="AB28" i="37"/>
  <c r="AB26" i="37"/>
  <c r="AB34" i="37"/>
  <c r="AB35" i="37"/>
  <c r="AB88" i="37"/>
  <c r="AB41" i="37"/>
  <c r="AB49" i="37"/>
  <c r="AB48" i="37"/>
  <c r="AB39" i="37"/>
  <c r="AB44" i="37"/>
  <c r="AB42" i="37"/>
  <c r="AB50" i="37"/>
  <c r="AB51" i="37"/>
  <c r="AB91" i="37"/>
  <c r="Q26" i="39"/>
  <c r="Q27" i="39"/>
  <c r="Q28" i="39"/>
  <c r="Q30" i="39"/>
  <c r="Q31" i="39"/>
  <c r="T4" i="38"/>
  <c r="U5" i="29"/>
  <c r="X8" i="21"/>
  <c r="X7" i="21"/>
  <c r="AB145" i="37"/>
  <c r="AB153" i="37"/>
  <c r="AB152" i="37"/>
  <c r="AB143" i="37"/>
  <c r="AB148" i="37"/>
  <c r="AB146" i="37"/>
  <c r="AB154" i="37"/>
  <c r="AB155" i="37"/>
  <c r="AB163" i="37"/>
  <c r="AB173" i="37"/>
  <c r="AC15" i="11"/>
  <c r="AC12" i="11"/>
  <c r="AC89" i="20"/>
  <c r="R29" i="39"/>
  <c r="U6" i="38"/>
  <c r="AC9" i="37"/>
  <c r="AC17" i="37"/>
  <c r="AC16" i="37"/>
  <c r="AC7" i="37"/>
  <c r="AC12" i="37"/>
  <c r="AC10" i="37"/>
  <c r="AC18" i="37"/>
  <c r="AC19" i="37"/>
  <c r="AC25" i="37"/>
  <c r="AC33" i="37"/>
  <c r="AC32" i="37"/>
  <c r="AC23" i="37"/>
  <c r="AC28" i="37"/>
  <c r="AC26" i="37"/>
  <c r="AC34" i="37"/>
  <c r="AC35" i="37"/>
  <c r="AC88" i="37"/>
  <c r="AC41" i="37"/>
  <c r="AC49" i="37"/>
  <c r="AC48" i="37"/>
  <c r="AC39" i="37"/>
  <c r="AC44" i="37"/>
  <c r="AC42" i="37"/>
  <c r="AC50" i="37"/>
  <c r="AC51" i="37"/>
  <c r="AC91" i="37"/>
  <c r="R26" i="39"/>
  <c r="R27" i="39"/>
  <c r="R28" i="39"/>
  <c r="R30" i="39"/>
  <c r="R31" i="39"/>
  <c r="U4" i="38"/>
  <c r="V5" i="29"/>
  <c r="Y8" i="21"/>
  <c r="Y7" i="21"/>
  <c r="AC145" i="37"/>
  <c r="AC153" i="37"/>
  <c r="AC152" i="37"/>
  <c r="AC143" i="37"/>
  <c r="AC148" i="37"/>
  <c r="AC146" i="37"/>
  <c r="AC154" i="37"/>
  <c r="AC155" i="37"/>
  <c r="AC163" i="37"/>
  <c r="AC173" i="37"/>
  <c r="AD15" i="11"/>
  <c r="AD12" i="11"/>
  <c r="AD89" i="20"/>
  <c r="S29" i="39"/>
  <c r="V6" i="38"/>
  <c r="AD9" i="37"/>
  <c r="AD17" i="37"/>
  <c r="AD16" i="37"/>
  <c r="AD7" i="37"/>
  <c r="AD12" i="37"/>
  <c r="AD10" i="37"/>
  <c r="AD18" i="37"/>
  <c r="AD19" i="37"/>
  <c r="AD25" i="37"/>
  <c r="AD33" i="37"/>
  <c r="AD32" i="37"/>
  <c r="AD23" i="37"/>
  <c r="AD28" i="37"/>
  <c r="AD26" i="37"/>
  <c r="AD34" i="37"/>
  <c r="AD35" i="37"/>
  <c r="AD88" i="37"/>
  <c r="AD41" i="37"/>
  <c r="AD49" i="37"/>
  <c r="AD48" i="37"/>
  <c r="AD39" i="37"/>
  <c r="AD44" i="37"/>
  <c r="AD42" i="37"/>
  <c r="AD50" i="37"/>
  <c r="AD51" i="37"/>
  <c r="AD91" i="37"/>
  <c r="S26" i="39"/>
  <c r="S27" i="39"/>
  <c r="S28" i="39"/>
  <c r="S30" i="39"/>
  <c r="S31" i="39"/>
  <c r="V4" i="38"/>
  <c r="W5" i="29"/>
  <c r="Z8" i="21"/>
  <c r="Z7" i="21"/>
  <c r="AD145" i="37"/>
  <c r="AD153" i="37"/>
  <c r="AD152" i="37"/>
  <c r="AD143" i="37"/>
  <c r="AD148" i="37"/>
  <c r="AD146" i="37"/>
  <c r="AD154" i="37"/>
  <c r="AD155" i="37"/>
  <c r="AD163" i="37"/>
  <c r="AD173" i="37"/>
  <c r="P15" i="11"/>
  <c r="P12" i="11"/>
  <c r="P89" i="20"/>
  <c r="E29" i="39"/>
  <c r="E26" i="39"/>
  <c r="E28" i="39"/>
  <c r="E30" i="39"/>
  <c r="E31" i="39"/>
  <c r="F13" i="56"/>
  <c r="F16" i="56"/>
  <c r="G13" i="56"/>
  <c r="G16" i="56"/>
  <c r="F14" i="56"/>
  <c r="G14" i="56"/>
  <c r="L142" i="1"/>
  <c r="F22" i="56"/>
  <c r="F25" i="56"/>
  <c r="M142" i="1"/>
  <c r="F30" i="56"/>
  <c r="F33" i="56"/>
  <c r="G22" i="56"/>
  <c r="G25" i="56"/>
  <c r="N142" i="1"/>
  <c r="G30" i="56"/>
  <c r="G33" i="56"/>
  <c r="Q115" i="1"/>
  <c r="J30" i="56"/>
  <c r="R115" i="1"/>
  <c r="K22" i="56"/>
  <c r="K30" i="56"/>
  <c r="S115" i="1"/>
  <c r="L22" i="56"/>
  <c r="L30" i="56"/>
  <c r="T115" i="1"/>
  <c r="O142" i="1"/>
  <c r="F9" i="56"/>
  <c r="F24" i="56"/>
  <c r="F32" i="56"/>
  <c r="G9" i="56"/>
  <c r="G24" i="56"/>
  <c r="G32" i="56"/>
  <c r="F26" i="56"/>
  <c r="F34" i="56"/>
  <c r="G26" i="56"/>
  <c r="G34" i="56"/>
  <c r="F23" i="56"/>
  <c r="F31" i="56"/>
  <c r="G23" i="56"/>
  <c r="G31" i="56"/>
  <c r="F11" i="56"/>
  <c r="G11" i="56"/>
  <c r="F17" i="56"/>
  <c r="G17" i="56"/>
  <c r="L31" i="2"/>
  <c r="H124" i="39"/>
  <c r="H125" i="39"/>
  <c r="H126" i="39"/>
  <c r="H123" i="39"/>
  <c r="F124" i="39"/>
  <c r="F125" i="39"/>
  <c r="F126" i="39"/>
  <c r="F123" i="39"/>
  <c r="E126" i="39"/>
  <c r="E124" i="39"/>
  <c r="E125" i="39"/>
  <c r="E123" i="39"/>
  <c r="E37" i="39"/>
  <c r="S5" i="38"/>
  <c r="T5" i="38"/>
  <c r="U5" i="38"/>
  <c r="V5" i="38"/>
  <c r="P142" i="1"/>
  <c r="O136" i="1"/>
  <c r="L138" i="1"/>
  <c r="M138" i="1"/>
  <c r="N138" i="1"/>
  <c r="L140" i="1"/>
  <c r="N140" i="1"/>
  <c r="L139" i="1"/>
  <c r="M139" i="1"/>
  <c r="N139" i="1"/>
  <c r="O139" i="1"/>
  <c r="L130" i="1"/>
  <c r="M130" i="1"/>
  <c r="L136" i="1"/>
  <c r="M136" i="1"/>
  <c r="O138" i="1"/>
  <c r="N115" i="1"/>
  <c r="N114" i="1"/>
  <c r="N136" i="1"/>
  <c r="O68" i="1"/>
  <c r="O227" i="4"/>
  <c r="O249" i="4"/>
  <c r="O106" i="1"/>
  <c r="O123" i="1"/>
  <c r="N130" i="1"/>
  <c r="O130" i="1"/>
  <c r="U115" i="1"/>
  <c r="V115" i="1"/>
  <c r="W115" i="1"/>
  <c r="X115" i="1"/>
  <c r="Y115" i="1"/>
  <c r="Z115" i="1"/>
  <c r="AA115" i="1"/>
  <c r="AB115" i="1"/>
  <c r="AC115" i="1"/>
  <c r="AD115" i="1"/>
  <c r="O125" i="1"/>
  <c r="N121" i="1"/>
  <c r="O122" i="1"/>
  <c r="N122" i="1"/>
  <c r="M122" i="1"/>
  <c r="K115" i="1"/>
  <c r="K121" i="1"/>
  <c r="L122" i="1"/>
  <c r="J115" i="1"/>
  <c r="J121" i="1"/>
  <c r="K122" i="1"/>
  <c r="I115" i="1"/>
  <c r="I121" i="1"/>
  <c r="J122" i="1"/>
  <c r="H115" i="1"/>
  <c r="H121" i="1"/>
  <c r="I122" i="1"/>
  <c r="G115" i="1"/>
  <c r="G121" i="1"/>
  <c r="H122" i="1"/>
  <c r="F115" i="1"/>
  <c r="F121" i="1"/>
  <c r="G122" i="1"/>
  <c r="E115" i="1"/>
  <c r="E121" i="1"/>
  <c r="F122" i="1"/>
  <c r="N119" i="1"/>
  <c r="O120" i="1"/>
  <c r="N120" i="1"/>
  <c r="M120" i="1"/>
  <c r="K114" i="1"/>
  <c r="K119" i="1"/>
  <c r="L120" i="1"/>
  <c r="J114" i="1"/>
  <c r="J119" i="1"/>
  <c r="K120" i="1"/>
  <c r="I114" i="1"/>
  <c r="I119" i="1"/>
  <c r="J120" i="1"/>
  <c r="H114" i="1"/>
  <c r="H119" i="1"/>
  <c r="I120" i="1"/>
  <c r="G114" i="1"/>
  <c r="G119" i="1"/>
  <c r="H120" i="1"/>
  <c r="F114" i="1"/>
  <c r="F119" i="1"/>
  <c r="G120" i="1"/>
  <c r="E114" i="1"/>
  <c r="E119" i="1"/>
  <c r="F120" i="1"/>
  <c r="E227" i="4"/>
  <c r="E249" i="4"/>
  <c r="E106" i="1"/>
  <c r="E123" i="1"/>
  <c r="F227" i="4"/>
  <c r="F249" i="4"/>
  <c r="F106" i="1"/>
  <c r="F123" i="1"/>
  <c r="G227" i="4"/>
  <c r="G249" i="4"/>
  <c r="G106" i="1"/>
  <c r="G123" i="1"/>
  <c r="H227" i="4"/>
  <c r="H249" i="4"/>
  <c r="H106" i="1"/>
  <c r="H123" i="1"/>
  <c r="I227" i="4"/>
  <c r="I249" i="4"/>
  <c r="I106" i="1"/>
  <c r="I123" i="1"/>
  <c r="J227" i="4"/>
  <c r="J249" i="4"/>
  <c r="J106" i="1"/>
  <c r="J123" i="1"/>
  <c r="K227" i="4"/>
  <c r="K249" i="4"/>
  <c r="K106" i="1"/>
  <c r="K123" i="1"/>
  <c r="F124" i="1"/>
  <c r="G124" i="1"/>
  <c r="H124" i="1"/>
  <c r="I124" i="1"/>
  <c r="J124" i="1"/>
  <c r="K124" i="1"/>
  <c r="E125" i="1"/>
  <c r="F125" i="1"/>
  <c r="G125" i="1"/>
  <c r="H125" i="1"/>
  <c r="I125" i="1"/>
  <c r="J125" i="1"/>
  <c r="K125" i="1"/>
  <c r="F126" i="1"/>
  <c r="G126" i="1"/>
  <c r="H126" i="1"/>
  <c r="I126" i="1"/>
  <c r="J126" i="1"/>
  <c r="K126" i="1"/>
  <c r="J116" i="1"/>
  <c r="I116" i="1"/>
  <c r="H116" i="1"/>
  <c r="G116" i="1"/>
  <c r="F116" i="1"/>
  <c r="E116" i="1"/>
  <c r="K116" i="1"/>
  <c r="L119" i="1"/>
  <c r="M119" i="1"/>
  <c r="L121" i="1"/>
  <c r="M121" i="1"/>
  <c r="L227" i="4"/>
  <c r="L249" i="4"/>
  <c r="L106" i="1"/>
  <c r="L123" i="1"/>
  <c r="M227" i="4"/>
  <c r="M249" i="4"/>
  <c r="M106" i="1"/>
  <c r="M123" i="1"/>
  <c r="N227" i="4"/>
  <c r="N249" i="4"/>
  <c r="N106" i="1"/>
  <c r="N123" i="1"/>
  <c r="L124" i="1"/>
  <c r="M124" i="1"/>
  <c r="N124" i="1"/>
  <c r="L125" i="1"/>
  <c r="M125" i="1"/>
  <c r="N125" i="1"/>
  <c r="L126" i="1"/>
  <c r="M126" i="1"/>
  <c r="N126" i="1"/>
  <c r="O121" i="1"/>
  <c r="O119" i="1"/>
  <c r="R116" i="1"/>
  <c r="S116" i="1"/>
  <c r="T116" i="1"/>
  <c r="U116" i="1"/>
  <c r="V116" i="1"/>
  <c r="W116" i="1"/>
  <c r="X116" i="1"/>
  <c r="Y116" i="1"/>
  <c r="Z116" i="1"/>
  <c r="AA116" i="1"/>
  <c r="AB116" i="1"/>
  <c r="AC116" i="1"/>
  <c r="AD116" i="1"/>
  <c r="Q116" i="1"/>
  <c r="P114" i="1"/>
  <c r="L115" i="1"/>
  <c r="L114" i="1"/>
  <c r="M115" i="1"/>
  <c r="M114" i="1"/>
  <c r="O115" i="1"/>
  <c r="O114" i="1"/>
  <c r="L107" i="1"/>
  <c r="M107" i="1"/>
  <c r="N107" i="1"/>
  <c r="O59" i="1"/>
  <c r="P60" i="1"/>
  <c r="Q60" i="1"/>
  <c r="R60" i="1"/>
  <c r="S60" i="1"/>
  <c r="T60" i="1"/>
  <c r="U60" i="1"/>
  <c r="V60" i="1"/>
  <c r="W60" i="1"/>
  <c r="X60" i="1"/>
  <c r="Y60" i="1"/>
  <c r="Z60" i="1"/>
  <c r="AA60" i="1"/>
  <c r="AB60" i="1"/>
  <c r="AC60" i="1"/>
  <c r="AD60" i="1"/>
  <c r="Q114" i="1"/>
  <c r="R114" i="1"/>
  <c r="S114" i="1"/>
  <c r="T114" i="1"/>
  <c r="U114" i="1"/>
  <c r="V114" i="1"/>
  <c r="W114" i="1"/>
  <c r="X114" i="1"/>
  <c r="Y114" i="1"/>
  <c r="Z114" i="1"/>
  <c r="AA114" i="1"/>
  <c r="AB114" i="1"/>
  <c r="AC114" i="1"/>
  <c r="Y105" i="20"/>
  <c r="X105" i="20"/>
  <c r="Y107" i="20"/>
  <c r="Z105" i="20"/>
  <c r="Z107" i="20"/>
  <c r="AA93" i="20"/>
  <c r="AA17" i="13"/>
  <c r="AA14" i="13"/>
  <c r="AA97" i="20"/>
  <c r="AA104" i="20"/>
  <c r="AA101" i="20"/>
  <c r="AA105" i="20"/>
  <c r="AA107" i="20"/>
  <c r="AB93" i="20"/>
  <c r="AB17" i="13"/>
  <c r="AB14" i="13"/>
  <c r="AB97" i="20"/>
  <c r="AB104" i="20"/>
  <c r="AB101" i="20"/>
  <c r="AB105" i="20"/>
  <c r="AB107" i="20"/>
  <c r="AC93" i="20"/>
  <c r="AC17" i="13"/>
  <c r="AC14" i="13"/>
  <c r="AC97" i="20"/>
  <c r="AC104" i="20"/>
  <c r="AC101" i="20"/>
  <c r="AC105" i="20"/>
  <c r="AC107" i="20"/>
  <c r="AD93" i="20"/>
  <c r="AD17" i="13"/>
  <c r="AD14" i="13"/>
  <c r="AD97" i="20"/>
  <c r="AD104" i="20"/>
  <c r="AD101" i="20"/>
  <c r="AD105" i="20"/>
  <c r="AD107" i="20"/>
  <c r="Y102" i="20"/>
  <c r="Z102" i="20"/>
  <c r="AA102" i="20"/>
  <c r="AB102" i="20"/>
  <c r="AC102" i="20"/>
  <c r="AD102" i="20"/>
  <c r="Y103" i="20"/>
  <c r="Z103" i="20"/>
  <c r="AA103" i="20"/>
  <c r="AB103" i="20"/>
  <c r="AC103" i="20"/>
  <c r="AD103" i="20"/>
  <c r="Y98" i="20"/>
  <c r="Z98" i="20"/>
  <c r="AA98" i="20"/>
  <c r="AB98" i="20"/>
  <c r="AC98" i="20"/>
  <c r="AD98" i="20"/>
  <c r="Y99" i="20"/>
  <c r="Z99" i="20"/>
  <c r="AA99" i="20"/>
  <c r="AB99" i="20"/>
  <c r="AC99" i="20"/>
  <c r="AD99" i="20"/>
  <c r="Y94" i="20"/>
  <c r="Z94" i="20"/>
  <c r="AA94" i="20"/>
  <c r="AB94" i="20"/>
  <c r="AC94" i="20"/>
  <c r="AD94" i="20"/>
  <c r="Y90" i="20"/>
  <c r="Z90" i="20"/>
  <c r="AA90" i="20"/>
  <c r="AB90" i="20"/>
  <c r="AC90" i="20"/>
  <c r="AD90" i="20"/>
  <c r="Y91" i="20"/>
  <c r="Z91" i="20"/>
  <c r="AA91" i="20"/>
  <c r="AB91" i="20"/>
  <c r="AC91" i="20"/>
  <c r="AD91" i="20"/>
  <c r="X91" i="20"/>
  <c r="X90" i="20"/>
  <c r="M81" i="20"/>
  <c r="M85" i="20"/>
  <c r="N81" i="20"/>
  <c r="N85" i="20"/>
  <c r="P85" i="20"/>
  <c r="Q85" i="20"/>
  <c r="R85" i="20"/>
  <c r="S85" i="20"/>
  <c r="T85" i="20"/>
  <c r="U85" i="20"/>
  <c r="V85" i="20"/>
  <c r="W85" i="20"/>
  <c r="X85" i="20"/>
  <c r="Y85" i="20"/>
  <c r="Z85" i="20"/>
  <c r="AA85" i="20"/>
  <c r="AB85" i="20"/>
  <c r="AC85" i="20"/>
  <c r="AD85" i="20"/>
  <c r="L81" i="20"/>
  <c r="L85" i="20"/>
  <c r="Y72" i="20"/>
  <c r="Z72" i="20"/>
  <c r="AA72" i="20"/>
  <c r="AB72" i="20"/>
  <c r="AC72" i="20"/>
  <c r="AD72" i="20"/>
  <c r="Y68" i="20"/>
  <c r="Z68" i="20"/>
  <c r="AA68" i="20"/>
  <c r="AB68" i="20"/>
  <c r="AC68" i="20"/>
  <c r="AD68" i="20"/>
  <c r="U78" i="20"/>
  <c r="V78" i="20"/>
  <c r="W78" i="20"/>
  <c r="X78" i="20"/>
  <c r="Y78" i="20"/>
  <c r="Z78" i="20"/>
  <c r="AA78" i="20"/>
  <c r="AB78" i="20"/>
  <c r="AC78" i="20"/>
  <c r="AD78" i="20"/>
  <c r="U79" i="20"/>
  <c r="V79" i="20"/>
  <c r="W79" i="20"/>
  <c r="X79" i="20"/>
  <c r="Y79" i="20"/>
  <c r="Z79" i="20"/>
  <c r="AA79" i="20"/>
  <c r="AB79" i="20"/>
  <c r="AC79" i="20"/>
  <c r="AD79" i="20"/>
  <c r="U80" i="20"/>
  <c r="V80" i="20"/>
  <c r="W80" i="20"/>
  <c r="X80" i="20"/>
  <c r="Y80" i="20"/>
  <c r="Z80" i="20"/>
  <c r="AA80" i="20"/>
  <c r="AB80" i="20"/>
  <c r="AC80" i="20"/>
  <c r="AD80" i="20"/>
  <c r="M58" i="20"/>
  <c r="L58" i="20"/>
  <c r="M60" i="20"/>
  <c r="N58" i="20"/>
  <c r="N60" i="20"/>
  <c r="O58" i="20"/>
  <c r="O60" i="20"/>
  <c r="AD114" i="1"/>
  <c r="K136" i="1"/>
  <c r="K58" i="20"/>
  <c r="L60" i="20"/>
  <c r="AF44" i="20"/>
  <c r="AF39" i="20"/>
  <c r="AF17" i="20"/>
  <c r="AF13" i="20"/>
  <c r="AF5" i="20"/>
  <c r="O29" i="20"/>
  <c r="O51" i="20"/>
  <c r="L29" i="20"/>
  <c r="L51" i="20"/>
  <c r="AE51" i="20"/>
  <c r="O48" i="20"/>
  <c r="L48" i="20"/>
  <c r="AE48" i="20"/>
  <c r="AE39" i="20"/>
  <c r="AE34" i="20"/>
  <c r="O5" i="20"/>
  <c r="O22" i="20"/>
  <c r="L5" i="20"/>
  <c r="L22" i="20"/>
  <c r="AE22" i="20"/>
  <c r="O20" i="20"/>
  <c r="L20" i="20"/>
  <c r="AE20" i="20"/>
  <c r="AE13" i="20"/>
  <c r="AE9" i="20"/>
  <c r="AE5" i="20"/>
  <c r="AF29" i="20"/>
  <c r="AE29" i="20"/>
  <c r="L8" i="20"/>
  <c r="L12" i="20"/>
  <c r="L16" i="20"/>
  <c r="L42" i="20"/>
  <c r="L37" i="20"/>
  <c r="L32" i="20"/>
  <c r="K8" i="21"/>
  <c r="U36" i="30"/>
  <c r="P17" i="13"/>
  <c r="P14" i="13"/>
  <c r="AF37" i="27"/>
  <c r="AE37" i="27"/>
  <c r="AF32" i="27"/>
  <c r="AE32" i="27"/>
  <c r="L27" i="27"/>
  <c r="AE27" i="27"/>
  <c r="AE23" i="27"/>
  <c r="L9" i="11"/>
  <c r="L5" i="11"/>
  <c r="L11" i="11"/>
  <c r="M9" i="11"/>
  <c r="M5" i="11"/>
  <c r="M11" i="11"/>
  <c r="N9" i="11"/>
  <c r="N5" i="11"/>
  <c r="N11" i="11"/>
  <c r="O9" i="11"/>
  <c r="O5" i="11"/>
  <c r="O11" i="11"/>
  <c r="L10" i="11"/>
  <c r="M10" i="11"/>
  <c r="N10" i="11"/>
  <c r="O10" i="11"/>
  <c r="U172" i="37"/>
  <c r="U177" i="37"/>
  <c r="T177" i="37"/>
  <c r="U178" i="37"/>
  <c r="V172" i="37"/>
  <c r="V177" i="37"/>
  <c r="V178" i="37"/>
  <c r="W172" i="37"/>
  <c r="W177" i="37"/>
  <c r="W178" i="37"/>
  <c r="X172" i="37"/>
  <c r="X177" i="37"/>
  <c r="X178" i="37"/>
  <c r="Y172" i="37"/>
  <c r="Y177" i="37"/>
  <c r="Y178" i="37"/>
  <c r="Z172" i="37"/>
  <c r="Z177" i="37"/>
  <c r="Z178" i="37"/>
  <c r="AA172" i="37"/>
  <c r="AA177" i="37"/>
  <c r="AA178" i="37"/>
  <c r="AB172" i="37"/>
  <c r="AB177" i="37"/>
  <c r="AB178" i="37"/>
  <c r="AC172" i="37"/>
  <c r="AC177" i="37"/>
  <c r="AC178" i="37"/>
  <c r="AD172" i="37"/>
  <c r="AD177" i="37"/>
  <c r="AD178" i="37"/>
  <c r="N159" i="37"/>
  <c r="O159" i="37"/>
  <c r="O116" i="37"/>
  <c r="P116" i="37"/>
  <c r="Q116" i="37"/>
  <c r="O113" i="37"/>
  <c r="P113" i="37"/>
  <c r="Q113" i="37"/>
  <c r="Q119" i="37"/>
  <c r="R116" i="37"/>
  <c r="R113" i="37"/>
  <c r="R119" i="37"/>
  <c r="S116" i="37"/>
  <c r="S113" i="37"/>
  <c r="S119" i="37"/>
  <c r="T116" i="37"/>
  <c r="T113" i="37"/>
  <c r="T119" i="37"/>
  <c r="U116" i="37"/>
  <c r="U113" i="37"/>
  <c r="U119" i="37"/>
  <c r="V116" i="37"/>
  <c r="V113" i="37"/>
  <c r="V119" i="37"/>
  <c r="W116" i="37"/>
  <c r="W113" i="37"/>
  <c r="W119" i="37"/>
  <c r="X116" i="37"/>
  <c r="X113" i="37"/>
  <c r="X119" i="37"/>
  <c r="Y116" i="37"/>
  <c r="Y113" i="37"/>
  <c r="Y119" i="37"/>
  <c r="Z116" i="37"/>
  <c r="Z113" i="37"/>
  <c r="Z119" i="37"/>
  <c r="AA116" i="37"/>
  <c r="AA113" i="37"/>
  <c r="AA119" i="37"/>
  <c r="AB116" i="37"/>
  <c r="AB113" i="37"/>
  <c r="AB119" i="37"/>
  <c r="AC116" i="37"/>
  <c r="AC113" i="37"/>
  <c r="AC119" i="37"/>
  <c r="AD116" i="37"/>
  <c r="AD113" i="37"/>
  <c r="AD119" i="37"/>
  <c r="P119" i="37"/>
  <c r="L79" i="37"/>
  <c r="L76" i="37"/>
  <c r="Q79" i="37"/>
  <c r="R79" i="37"/>
  <c r="S79" i="37"/>
  <c r="T79" i="37"/>
  <c r="U79" i="37"/>
  <c r="V79" i="37"/>
  <c r="W79" i="37"/>
  <c r="X79" i="37"/>
  <c r="Y79" i="37"/>
  <c r="Z79" i="37"/>
  <c r="AA79" i="37"/>
  <c r="AB79" i="37"/>
  <c r="AC79" i="37"/>
  <c r="AD79" i="37"/>
  <c r="P79" i="37"/>
  <c r="U63" i="37"/>
  <c r="V63" i="37"/>
  <c r="W63" i="37"/>
  <c r="X63" i="37"/>
  <c r="Y63" i="37"/>
  <c r="Z63" i="37"/>
  <c r="AA63" i="37"/>
  <c r="AB63" i="37"/>
  <c r="AC63" i="37"/>
  <c r="AD63" i="37"/>
  <c r="Q47" i="37"/>
  <c r="R47" i="37"/>
  <c r="S47" i="37"/>
  <c r="T47" i="37"/>
  <c r="U47" i="37"/>
  <c r="V47" i="37"/>
  <c r="W47" i="37"/>
  <c r="X47" i="37"/>
  <c r="Y47" i="37"/>
  <c r="Z47" i="37"/>
  <c r="AA47" i="37"/>
  <c r="AB47" i="37"/>
  <c r="AC47" i="37"/>
  <c r="AD47" i="37"/>
  <c r="L28" i="37"/>
  <c r="Q31" i="37"/>
  <c r="R31" i="37"/>
  <c r="S31" i="37"/>
  <c r="T31" i="37"/>
  <c r="U31" i="37"/>
  <c r="V31" i="37"/>
  <c r="W31" i="37"/>
  <c r="X31" i="37"/>
  <c r="Y31" i="37"/>
  <c r="Z31" i="37"/>
  <c r="AA31" i="37"/>
  <c r="AB31" i="37"/>
  <c r="AC31" i="37"/>
  <c r="AD31" i="37"/>
  <c r="P36" i="37"/>
  <c r="P31" i="37"/>
  <c r="T10" i="54"/>
  <c r="O11" i="54"/>
  <c r="F11" i="54"/>
  <c r="G11" i="54"/>
  <c r="H11" i="54"/>
  <c r="I11" i="54"/>
  <c r="J11" i="54"/>
  <c r="K11" i="54"/>
  <c r="L11" i="54"/>
  <c r="M11" i="54"/>
  <c r="N11" i="54"/>
  <c r="P11" i="54"/>
  <c r="E11" i="54"/>
  <c r="Q47" i="1"/>
  <c r="R47" i="1"/>
  <c r="G7" i="39"/>
  <c r="G9" i="39"/>
  <c r="F7" i="39"/>
  <c r="F9" i="39"/>
  <c r="S47" i="1"/>
  <c r="H7" i="39"/>
  <c r="H9" i="39"/>
  <c r="T47" i="1"/>
  <c r="I7" i="39"/>
  <c r="I9" i="39"/>
  <c r="U47" i="1"/>
  <c r="J7" i="39"/>
  <c r="J9" i="39"/>
  <c r="V47" i="1"/>
  <c r="K7" i="39"/>
  <c r="K9" i="39"/>
  <c r="W47" i="1"/>
  <c r="L7" i="39"/>
  <c r="L9" i="39"/>
  <c r="X47" i="1"/>
  <c r="M7" i="39"/>
  <c r="M9" i="39"/>
  <c r="Y47" i="1"/>
  <c r="N7" i="39"/>
  <c r="N9" i="39"/>
  <c r="Z47" i="1"/>
  <c r="O7" i="39"/>
  <c r="O9" i="39"/>
  <c r="AA47" i="1"/>
  <c r="P7" i="39"/>
  <c r="P9" i="39"/>
  <c r="AB47" i="1"/>
  <c r="Q7" i="39"/>
  <c r="Q9" i="39"/>
  <c r="AC47" i="1"/>
  <c r="R7" i="39"/>
  <c r="R9" i="39"/>
  <c r="AD47" i="1"/>
  <c r="S7" i="39"/>
  <c r="S9" i="39"/>
  <c r="E7" i="39"/>
  <c r="E9" i="39"/>
  <c r="U8" i="30"/>
  <c r="V8" i="30"/>
  <c r="W8" i="30"/>
  <c r="X8" i="30"/>
  <c r="Y8" i="30"/>
  <c r="Z8" i="30"/>
  <c r="AA8" i="30"/>
  <c r="AB8" i="30"/>
  <c r="AC8" i="30"/>
  <c r="AD8" i="30"/>
  <c r="J41" i="52"/>
  <c r="D38" i="52"/>
  <c r="E38" i="52"/>
  <c r="D40" i="52"/>
  <c r="E40" i="52"/>
  <c r="D41" i="52"/>
  <c r="E41" i="52"/>
  <c r="F41" i="52"/>
  <c r="G41" i="52"/>
  <c r="H41" i="52"/>
  <c r="I41" i="52"/>
  <c r="N54" i="2"/>
  <c r="O54" i="2"/>
  <c r="C38" i="52"/>
  <c r="C40" i="52"/>
  <c r="C41" i="52"/>
  <c r="C42" i="52"/>
  <c r="M54" i="2"/>
  <c r="B43" i="52"/>
  <c r="B41" i="52"/>
  <c r="B42" i="52"/>
  <c r="B35" i="52"/>
  <c r="B37" i="52"/>
  <c r="B38" i="52"/>
  <c r="B39" i="52"/>
  <c r="B40" i="52"/>
  <c r="B34" i="52"/>
  <c r="B33" i="52"/>
  <c r="B32" i="52"/>
  <c r="B31" i="52"/>
  <c r="B29" i="52"/>
  <c r="B23" i="52"/>
  <c r="B24" i="52"/>
  <c r="B25" i="52"/>
  <c r="B26" i="52"/>
  <c r="B27" i="52"/>
  <c r="B22" i="52"/>
  <c r="B20" i="52"/>
  <c r="B19" i="52"/>
  <c r="D4" i="52"/>
  <c r="E4" i="52"/>
  <c r="N59" i="1"/>
  <c r="D5" i="52"/>
  <c r="E5" i="52"/>
  <c r="N58" i="1"/>
  <c r="D6" i="52"/>
  <c r="O58" i="1"/>
  <c r="E6" i="52"/>
  <c r="D7" i="52"/>
  <c r="E7" i="52"/>
  <c r="N64" i="1"/>
  <c r="D8" i="52"/>
  <c r="O64" i="1"/>
  <c r="E8" i="52"/>
  <c r="D9" i="52"/>
  <c r="E9" i="52"/>
  <c r="F9" i="52"/>
  <c r="D10" i="52"/>
  <c r="E10" i="52"/>
  <c r="F10" i="52"/>
  <c r="G10" i="52"/>
  <c r="H10" i="52"/>
  <c r="I10" i="52"/>
  <c r="J10" i="52"/>
  <c r="N43" i="1"/>
  <c r="D11" i="52"/>
  <c r="E11" i="52"/>
  <c r="D12" i="52"/>
  <c r="E12" i="52"/>
  <c r="N48" i="1"/>
  <c r="D13" i="52"/>
  <c r="E13" i="52"/>
  <c r="M43" i="1"/>
  <c r="M48" i="1"/>
  <c r="C13" i="52"/>
  <c r="C12" i="52"/>
  <c r="C11" i="52"/>
  <c r="C10" i="52"/>
  <c r="C9" i="52"/>
  <c r="C7" i="52"/>
  <c r="M59" i="1"/>
  <c r="C5" i="52"/>
  <c r="C4" i="52"/>
  <c r="L59" i="1"/>
  <c r="M64" i="1"/>
  <c r="C8" i="52"/>
  <c r="M58" i="1"/>
  <c r="C6" i="52"/>
  <c r="O65" i="1"/>
  <c r="O92" i="1"/>
  <c r="P92" i="1"/>
  <c r="Q92" i="1"/>
  <c r="Q104" i="1"/>
  <c r="R92" i="1"/>
  <c r="R104" i="1"/>
  <c r="R139" i="1"/>
  <c r="S92" i="1"/>
  <c r="S104" i="1"/>
  <c r="S139" i="1"/>
  <c r="T92" i="1"/>
  <c r="T104" i="1"/>
  <c r="U92" i="1"/>
  <c r="U104" i="1"/>
  <c r="U139" i="1"/>
  <c r="V92" i="1"/>
  <c r="V104" i="1"/>
  <c r="W92" i="1"/>
  <c r="W104" i="1"/>
  <c r="W139" i="1"/>
  <c r="X92" i="1"/>
  <c r="X104" i="1"/>
  <c r="X139" i="1"/>
  <c r="Y92" i="1"/>
  <c r="Y104" i="1"/>
  <c r="Y139" i="1"/>
  <c r="Z92" i="1"/>
  <c r="Z104" i="1"/>
  <c r="Z139" i="1"/>
  <c r="AA92" i="1"/>
  <c r="AA104" i="1"/>
  <c r="AA139" i="1"/>
  <c r="AB92" i="1"/>
  <c r="AB104" i="1"/>
  <c r="AB139" i="1"/>
  <c r="AC92" i="1"/>
  <c r="AC104" i="1"/>
  <c r="AC139" i="1"/>
  <c r="E59" i="1"/>
  <c r="E11" i="1"/>
  <c r="E26" i="1"/>
  <c r="E32" i="1"/>
  <c r="E38" i="1"/>
  <c r="E62" i="1"/>
  <c r="E56" i="1"/>
  <c r="E58" i="1"/>
  <c r="F59" i="1"/>
  <c r="F11" i="1"/>
  <c r="F26" i="1"/>
  <c r="F32" i="1"/>
  <c r="F38" i="1"/>
  <c r="F62" i="1"/>
  <c r="F56" i="1"/>
  <c r="F58" i="1"/>
  <c r="G59" i="1"/>
  <c r="G11" i="1"/>
  <c r="G26" i="1"/>
  <c r="G32" i="1"/>
  <c r="G38" i="1"/>
  <c r="G62" i="1"/>
  <c r="G56" i="1"/>
  <c r="G58" i="1"/>
  <c r="H59" i="1"/>
  <c r="H11" i="1"/>
  <c r="H26" i="1"/>
  <c r="H32" i="1"/>
  <c r="H38" i="1"/>
  <c r="H62" i="1"/>
  <c r="H56" i="1"/>
  <c r="H58" i="1"/>
  <c r="I59" i="1"/>
  <c r="I11" i="1"/>
  <c r="I26" i="1"/>
  <c r="I32" i="1"/>
  <c r="I38" i="1"/>
  <c r="I62" i="1"/>
  <c r="I56" i="1"/>
  <c r="I58" i="1"/>
  <c r="J59" i="1"/>
  <c r="J11" i="1"/>
  <c r="J26" i="1"/>
  <c r="J32" i="1"/>
  <c r="J38" i="1"/>
  <c r="J62" i="1"/>
  <c r="J56" i="1"/>
  <c r="J58" i="1"/>
  <c r="K59" i="1"/>
  <c r="K11" i="1"/>
  <c r="K26" i="1"/>
  <c r="K32" i="1"/>
  <c r="K38" i="1"/>
  <c r="K62" i="1"/>
  <c r="K56" i="1"/>
  <c r="K58" i="1"/>
  <c r="L58" i="1"/>
  <c r="E64" i="1"/>
  <c r="F64" i="1"/>
  <c r="G64" i="1"/>
  <c r="H64" i="1"/>
  <c r="I64" i="1"/>
  <c r="J64" i="1"/>
  <c r="K64" i="1"/>
  <c r="L64" i="1"/>
  <c r="E41" i="1"/>
  <c r="F41" i="1"/>
  <c r="G41" i="1"/>
  <c r="H41" i="1"/>
  <c r="I41" i="1"/>
  <c r="J41" i="1"/>
  <c r="E43" i="1"/>
  <c r="F43" i="1"/>
  <c r="G43" i="1"/>
  <c r="H43" i="1"/>
  <c r="I43" i="1"/>
  <c r="J43" i="1"/>
  <c r="K43" i="1"/>
  <c r="L43" i="1"/>
  <c r="E48" i="1"/>
  <c r="F48" i="1"/>
  <c r="G48" i="1"/>
  <c r="H48" i="1"/>
  <c r="I48" i="1"/>
  <c r="J48" i="1"/>
  <c r="K48" i="1"/>
  <c r="L48" i="1"/>
  <c r="B13" i="52"/>
  <c r="B12" i="52"/>
  <c r="B11" i="52"/>
  <c r="B10" i="52"/>
  <c r="B9" i="52"/>
  <c r="B8" i="52"/>
  <c r="B7" i="52"/>
  <c r="B6" i="52"/>
  <c r="B5" i="52"/>
  <c r="B4" i="52"/>
  <c r="O50" i="1"/>
  <c r="O34" i="1"/>
  <c r="O7" i="1"/>
  <c r="O8" i="31"/>
  <c r="O9" i="31"/>
  <c r="O10" i="31"/>
  <c r="A8" i="53"/>
  <c r="E201" i="39"/>
  <c r="B8" i="48"/>
  <c r="L89" i="20"/>
  <c r="L34" i="30"/>
  <c r="L35" i="30"/>
  <c r="L36" i="30"/>
  <c r="L37" i="30"/>
  <c r="L38" i="30"/>
  <c r="L40" i="30"/>
  <c r="AF11" i="30"/>
  <c r="AF6" i="30"/>
  <c r="AE11" i="30"/>
  <c r="AE6" i="30"/>
  <c r="L7" i="30"/>
  <c r="M7" i="30"/>
  <c r="N7" i="30"/>
  <c r="Q8" i="30"/>
  <c r="R8" i="30"/>
  <c r="S8" i="30"/>
  <c r="T8" i="30"/>
  <c r="L8" i="30"/>
  <c r="M8" i="30"/>
  <c r="N8" i="30"/>
  <c r="O70" i="30"/>
  <c r="P66" i="30"/>
  <c r="L5" i="13"/>
  <c r="K5" i="13"/>
  <c r="L6" i="13"/>
  <c r="L11" i="13"/>
  <c r="L13" i="13"/>
  <c r="M11" i="13"/>
  <c r="M5" i="13"/>
  <c r="M13" i="13"/>
  <c r="N11" i="13"/>
  <c r="N5" i="13"/>
  <c r="N13" i="13"/>
  <c r="M12" i="13"/>
  <c r="N12" i="13"/>
  <c r="M6" i="13"/>
  <c r="N6" i="13"/>
  <c r="O6" i="13"/>
  <c r="AF11" i="13"/>
  <c r="AF5" i="13"/>
  <c r="AE11" i="13"/>
  <c r="AE5" i="13"/>
  <c r="O174" i="37"/>
  <c r="AF177" i="37"/>
  <c r="AF172" i="37"/>
  <c r="O177" i="37"/>
  <c r="L177" i="37"/>
  <c r="AE177" i="37"/>
  <c r="AE172" i="37"/>
  <c r="AE159" i="37"/>
  <c r="N177" i="37"/>
  <c r="M177" i="37"/>
  <c r="N178" i="37"/>
  <c r="O178" i="37"/>
  <c r="P178" i="37"/>
  <c r="Q177" i="37"/>
  <c r="Q178" i="37"/>
  <c r="R177" i="37"/>
  <c r="R178" i="37"/>
  <c r="S177" i="37"/>
  <c r="S178" i="37"/>
  <c r="T178" i="37"/>
  <c r="M178" i="37"/>
  <c r="AF156" i="11"/>
  <c r="AF162" i="11"/>
  <c r="Q63" i="37"/>
  <c r="R63" i="37"/>
  <c r="S63" i="37"/>
  <c r="T63" i="37"/>
  <c r="P63" i="37"/>
  <c r="AE162" i="11"/>
  <c r="AE156" i="11"/>
  <c r="AE23" i="11"/>
  <c r="T77" i="37"/>
  <c r="AF77" i="37"/>
  <c r="AF74" i="37"/>
  <c r="AF71" i="37"/>
  <c r="AF66" i="37"/>
  <c r="AF64" i="37"/>
  <c r="T61" i="37"/>
  <c r="P61" i="37"/>
  <c r="AF61" i="37"/>
  <c r="AF58" i="37"/>
  <c r="AF55" i="37"/>
  <c r="N50" i="37"/>
  <c r="M50" i="37"/>
  <c r="N51" i="37"/>
  <c r="N91" i="37"/>
  <c r="N90" i="37"/>
  <c r="O51" i="37"/>
  <c r="O91" i="37"/>
  <c r="O90" i="37"/>
  <c r="O102" i="37"/>
  <c r="L102" i="37"/>
  <c r="AE102" i="37"/>
  <c r="AE99" i="37"/>
  <c r="AE93" i="37"/>
  <c r="AE80" i="37"/>
  <c r="AE77" i="37"/>
  <c r="AE74" i="37"/>
  <c r="AE71" i="37"/>
  <c r="L66" i="37"/>
  <c r="AE66" i="37"/>
  <c r="AE64" i="37"/>
  <c r="AE61" i="37"/>
  <c r="AE58" i="37"/>
  <c r="AE55" i="37"/>
  <c r="AF80" i="37"/>
  <c r="AF82" i="37"/>
  <c r="L82" i="37"/>
  <c r="AE82" i="37"/>
  <c r="G408" i="41"/>
  <c r="M11" i="27"/>
  <c r="N9" i="27"/>
  <c r="N5" i="27"/>
  <c r="N11" i="27"/>
  <c r="O11" i="27"/>
  <c r="N24" i="27"/>
  <c r="O165" i="37"/>
  <c r="L165" i="37"/>
  <c r="AE165" i="37"/>
  <c r="AF154" i="37"/>
  <c r="AF152" i="37"/>
  <c r="T151" i="37"/>
  <c r="T149" i="37"/>
  <c r="P151" i="37"/>
  <c r="P149" i="37"/>
  <c r="AF149" i="37"/>
  <c r="AF146" i="37"/>
  <c r="AF143" i="37"/>
  <c r="L154" i="37"/>
  <c r="AE154" i="37"/>
  <c r="AE152" i="37"/>
  <c r="AE149" i="37"/>
  <c r="AE146" i="37"/>
  <c r="AE143" i="37"/>
  <c r="AE138" i="37"/>
  <c r="AE136" i="37"/>
  <c r="AE127" i="37"/>
  <c r="P120" i="37"/>
  <c r="Q121" i="37"/>
  <c r="Q120" i="37"/>
  <c r="R121" i="37"/>
  <c r="R120" i="37"/>
  <c r="S121" i="37"/>
  <c r="S120" i="37"/>
  <c r="T121" i="37"/>
  <c r="T120" i="37"/>
  <c r="T111" i="37"/>
  <c r="P111" i="37"/>
  <c r="AF111" i="37"/>
  <c r="T114" i="37"/>
  <c r="T122" i="37"/>
  <c r="P114" i="37"/>
  <c r="P122" i="37"/>
  <c r="AF122" i="37"/>
  <c r="AF120" i="37"/>
  <c r="T117" i="37"/>
  <c r="P117" i="37"/>
  <c r="AF117" i="37"/>
  <c r="AF114" i="37"/>
  <c r="AE111" i="37"/>
  <c r="AF16" i="37"/>
  <c r="T15" i="37"/>
  <c r="T13" i="37"/>
  <c r="P15" i="37"/>
  <c r="P13" i="37"/>
  <c r="AF13" i="37"/>
  <c r="AF10" i="37"/>
  <c r="AF7" i="37"/>
  <c r="L120" i="37"/>
  <c r="AE120" i="37"/>
  <c r="Q111" i="37"/>
  <c r="Q114" i="37"/>
  <c r="Q122" i="37"/>
  <c r="R111" i="37"/>
  <c r="R114" i="37"/>
  <c r="R122" i="37"/>
  <c r="S111" i="37"/>
  <c r="S114" i="37"/>
  <c r="S122" i="37"/>
  <c r="AE114" i="37"/>
  <c r="O117" i="37"/>
  <c r="AE117" i="37"/>
  <c r="G6" i="29"/>
  <c r="Y6" i="29"/>
  <c r="Y12" i="29"/>
  <c r="X12" i="29"/>
  <c r="F6" i="29"/>
  <c r="X6" i="29"/>
  <c r="K18" i="21"/>
  <c r="K14" i="21"/>
  <c r="L6" i="21"/>
  <c r="L15" i="21"/>
  <c r="L14" i="21"/>
  <c r="M6" i="21"/>
  <c r="M15" i="21"/>
  <c r="M14" i="21"/>
  <c r="N14" i="21"/>
  <c r="O15" i="21"/>
  <c r="O14" i="21"/>
  <c r="P15" i="21"/>
  <c r="P14" i="21"/>
  <c r="AB14" i="21"/>
  <c r="P18" i="21"/>
  <c r="L18" i="21"/>
  <c r="AB18" i="21"/>
  <c r="P19" i="21"/>
  <c r="L19" i="21"/>
  <c r="O18" i="21"/>
  <c r="P20" i="21"/>
  <c r="L20" i="21"/>
  <c r="L22" i="21"/>
  <c r="K21" i="21"/>
  <c r="L21" i="21"/>
  <c r="M18" i="21"/>
  <c r="M20" i="21"/>
  <c r="M22" i="21"/>
  <c r="M21" i="21"/>
  <c r="N18" i="21"/>
  <c r="N20" i="21"/>
  <c r="N22" i="21"/>
  <c r="N21" i="21"/>
  <c r="O20" i="21"/>
  <c r="O22" i="21"/>
  <c r="O21" i="21"/>
  <c r="P22" i="21"/>
  <c r="P21" i="21"/>
  <c r="P23" i="21"/>
  <c r="L23" i="21"/>
  <c r="AB25" i="21"/>
  <c r="P27" i="21"/>
  <c r="L27" i="21"/>
  <c r="AB29" i="21"/>
  <c r="H13" i="21"/>
  <c r="AA14" i="21"/>
  <c r="K15" i="21"/>
  <c r="H17" i="21"/>
  <c r="AA18" i="21"/>
  <c r="H19" i="21"/>
  <c r="K20" i="21"/>
  <c r="K23" i="21"/>
  <c r="K24" i="21"/>
  <c r="AA25" i="21"/>
  <c r="H26" i="21"/>
  <c r="K27" i="21"/>
  <c r="AA29" i="21"/>
  <c r="AB5" i="21"/>
  <c r="AA5" i="21"/>
  <c r="I145" i="46"/>
  <c r="H145" i="46"/>
  <c r="G145" i="46"/>
  <c r="I143" i="46"/>
  <c r="I144" i="46"/>
  <c r="I136" i="46"/>
  <c r="J136" i="46"/>
  <c r="H136" i="46"/>
  <c r="O58" i="2"/>
  <c r="U121" i="37"/>
  <c r="U120" i="37"/>
  <c r="U111" i="37"/>
  <c r="U114" i="37"/>
  <c r="U122" i="37"/>
  <c r="V121" i="37"/>
  <c r="V120" i="37"/>
  <c r="V111" i="37"/>
  <c r="V114" i="37"/>
  <c r="V122" i="37"/>
  <c r="O61" i="2"/>
  <c r="O60" i="2"/>
  <c r="U12" i="30"/>
  <c r="U14" i="30"/>
  <c r="U7" i="2"/>
  <c r="U11" i="2"/>
  <c r="U12" i="2"/>
  <c r="U13" i="2"/>
  <c r="U14" i="2"/>
  <c r="U6" i="2"/>
  <c r="V12" i="30"/>
  <c r="V14" i="30"/>
  <c r="V7" i="2"/>
  <c r="V11" i="2"/>
  <c r="V12" i="2"/>
  <c r="V13" i="2"/>
  <c r="V14" i="2"/>
  <c r="V6" i="2"/>
  <c r="N60" i="2"/>
  <c r="N58" i="2"/>
  <c r="N59" i="2"/>
  <c r="S391" i="41"/>
  <c r="T391" i="41"/>
  <c r="U391" i="41"/>
  <c r="R391" i="41"/>
  <c r="L44" i="37"/>
  <c r="L47" i="37"/>
  <c r="AF18" i="37"/>
  <c r="O31" i="37"/>
  <c r="AF39" i="37"/>
  <c r="AF42" i="37"/>
  <c r="P47" i="37"/>
  <c r="T45" i="37"/>
  <c r="P45" i="37"/>
  <c r="AF45" i="37"/>
  <c r="AF48" i="37"/>
  <c r="AF50" i="37"/>
  <c r="AE10" i="37"/>
  <c r="O15" i="37"/>
  <c r="O13" i="37"/>
  <c r="AE13" i="37"/>
  <c r="L16" i="37"/>
  <c r="AE16" i="37"/>
  <c r="L18" i="37"/>
  <c r="AE18" i="37"/>
  <c r="AE23" i="37"/>
  <c r="AE26" i="37"/>
  <c r="O29" i="37"/>
  <c r="AE29" i="37"/>
  <c r="AE32" i="37"/>
  <c r="L34" i="37"/>
  <c r="AE34" i="37"/>
  <c r="AE39" i="37"/>
  <c r="AE42" i="37"/>
  <c r="AE45" i="37"/>
  <c r="AE48" i="37"/>
  <c r="AE7" i="37"/>
  <c r="E159" i="40"/>
  <c r="F159" i="40"/>
  <c r="G159" i="40"/>
  <c r="H159" i="40"/>
  <c r="I159" i="40"/>
  <c r="J159" i="40"/>
  <c r="K159" i="40"/>
  <c r="L159" i="40"/>
  <c r="M159" i="40"/>
  <c r="P96" i="37"/>
  <c r="Q96" i="37"/>
  <c r="R96" i="37"/>
  <c r="S96" i="37"/>
  <c r="T96" i="37"/>
  <c r="AF96" i="37"/>
  <c r="P90" i="37"/>
  <c r="Q90" i="37"/>
  <c r="R90" i="37"/>
  <c r="S90" i="37"/>
  <c r="T90" i="37"/>
  <c r="AF90" i="37"/>
  <c r="P93" i="37"/>
  <c r="Q93" i="37"/>
  <c r="R93" i="37"/>
  <c r="S93" i="37"/>
  <c r="T93" i="37"/>
  <c r="AF93" i="37"/>
  <c r="P99" i="37"/>
  <c r="Q99" i="37"/>
  <c r="R99" i="37"/>
  <c r="S99" i="37"/>
  <c r="T99" i="37"/>
  <c r="AF99" i="37"/>
  <c r="AE90" i="37"/>
  <c r="AE87" i="37"/>
  <c r="G46" i="46"/>
  <c r="E6" i="46"/>
  <c r="F7" i="45"/>
  <c r="F8" i="45"/>
  <c r="F9" i="45"/>
  <c r="F10" i="45"/>
  <c r="F6" i="45"/>
  <c r="E10" i="45"/>
  <c r="H145" i="44"/>
  <c r="I145" i="44"/>
  <c r="J145" i="44"/>
  <c r="K145" i="44"/>
  <c r="L145" i="44"/>
  <c r="M145" i="44"/>
  <c r="N145" i="44"/>
  <c r="O145" i="44"/>
  <c r="P145" i="44"/>
  <c r="Q145" i="44"/>
  <c r="R145" i="44"/>
  <c r="S145" i="44"/>
  <c r="T145" i="44"/>
  <c r="U145" i="44"/>
  <c r="V145" i="44"/>
  <c r="G145" i="44"/>
  <c r="H130" i="44"/>
  <c r="I130" i="44"/>
  <c r="J130" i="44"/>
  <c r="K130" i="44"/>
  <c r="L130" i="44"/>
  <c r="M130" i="44"/>
  <c r="N130" i="44"/>
  <c r="O130" i="44"/>
  <c r="P130" i="44"/>
  <c r="Q130" i="44"/>
  <c r="R130" i="44"/>
  <c r="S130" i="44"/>
  <c r="T130" i="44"/>
  <c r="U130" i="44"/>
  <c r="V130" i="44"/>
  <c r="G130" i="44"/>
  <c r="H119" i="44"/>
  <c r="I119" i="44"/>
  <c r="J119" i="44"/>
  <c r="K119" i="44"/>
  <c r="L119" i="44"/>
  <c r="M119" i="44"/>
  <c r="N119" i="44"/>
  <c r="O119" i="44"/>
  <c r="P119" i="44"/>
  <c r="Q119" i="44"/>
  <c r="R119" i="44"/>
  <c r="S119" i="44"/>
  <c r="T119" i="44"/>
  <c r="U119" i="44"/>
  <c r="V119" i="44"/>
  <c r="G119" i="44"/>
  <c r="H101" i="44"/>
  <c r="I101" i="44"/>
  <c r="J101" i="44"/>
  <c r="K101" i="44"/>
  <c r="L101" i="44"/>
  <c r="M101" i="44"/>
  <c r="N101" i="44"/>
  <c r="O101" i="44"/>
  <c r="P101" i="44"/>
  <c r="Q101" i="44"/>
  <c r="R101" i="44"/>
  <c r="S101" i="44"/>
  <c r="T101" i="44"/>
  <c r="U101" i="44"/>
  <c r="G101" i="44"/>
  <c r="H87" i="44"/>
  <c r="I87" i="44"/>
  <c r="J87" i="44"/>
  <c r="K87" i="44"/>
  <c r="L87" i="44"/>
  <c r="M87" i="44"/>
  <c r="N87" i="44"/>
  <c r="O87" i="44"/>
  <c r="P87" i="44"/>
  <c r="Q87" i="44"/>
  <c r="R87" i="44"/>
  <c r="S87" i="44"/>
  <c r="T87" i="44"/>
  <c r="U87" i="44"/>
  <c r="G87" i="44"/>
  <c r="H76" i="44"/>
  <c r="I76" i="44"/>
  <c r="J76" i="44"/>
  <c r="K76" i="44"/>
  <c r="L76" i="44"/>
  <c r="M76" i="44"/>
  <c r="N76" i="44"/>
  <c r="O76" i="44"/>
  <c r="P76" i="44"/>
  <c r="Q76" i="44"/>
  <c r="R76" i="44"/>
  <c r="S76" i="44"/>
  <c r="T76" i="44"/>
  <c r="U76" i="44"/>
  <c r="G76" i="44"/>
  <c r="I57" i="44"/>
  <c r="J57" i="44"/>
  <c r="K57" i="44"/>
  <c r="L57" i="44"/>
  <c r="M57" i="44"/>
  <c r="N57" i="44"/>
  <c r="O57" i="44"/>
  <c r="P57" i="44"/>
  <c r="Q57" i="44"/>
  <c r="R57" i="44"/>
  <c r="S57" i="44"/>
  <c r="T57" i="44"/>
  <c r="U57" i="44"/>
  <c r="V57" i="44"/>
  <c r="W57" i="44"/>
  <c r="H57" i="44"/>
  <c r="I47" i="44"/>
  <c r="J47" i="44"/>
  <c r="L47" i="44"/>
  <c r="M47" i="44"/>
  <c r="N47" i="44"/>
  <c r="P47" i="44"/>
  <c r="Q47" i="44"/>
  <c r="R47" i="44"/>
  <c r="T47" i="44"/>
  <c r="U47" i="44"/>
  <c r="V47" i="44"/>
  <c r="W47" i="44"/>
  <c r="H47" i="44"/>
  <c r="L41" i="44"/>
  <c r="M41" i="44"/>
  <c r="N41" i="44"/>
  <c r="P41" i="44"/>
  <c r="Q41" i="44"/>
  <c r="R41" i="44"/>
  <c r="T41" i="44"/>
  <c r="U41" i="44"/>
  <c r="V41" i="44"/>
  <c r="W41" i="44"/>
  <c r="I41" i="44"/>
  <c r="J41" i="44"/>
  <c r="H41" i="44"/>
  <c r="I29" i="44"/>
  <c r="J29" i="44"/>
  <c r="L29" i="44"/>
  <c r="M29" i="44"/>
  <c r="N29" i="44"/>
  <c r="P29" i="44"/>
  <c r="Q29" i="44"/>
  <c r="R29" i="44"/>
  <c r="T29" i="44"/>
  <c r="U29" i="44"/>
  <c r="V29" i="44"/>
  <c r="H29" i="44"/>
  <c r="L19" i="44"/>
  <c r="M19" i="44"/>
  <c r="N19" i="44"/>
  <c r="P19" i="44"/>
  <c r="Q19" i="44"/>
  <c r="R19" i="44"/>
  <c r="T19" i="44"/>
  <c r="U19" i="44"/>
  <c r="V19" i="44"/>
  <c r="I19" i="44"/>
  <c r="J19" i="44"/>
  <c r="H19" i="44"/>
  <c r="P13" i="44"/>
  <c r="Q13" i="44"/>
  <c r="R13" i="44"/>
  <c r="T13" i="44"/>
  <c r="U13" i="44"/>
  <c r="V13" i="44"/>
  <c r="L13" i="44"/>
  <c r="M13" i="44"/>
  <c r="N13" i="44"/>
  <c r="I13" i="44"/>
  <c r="J13" i="44"/>
  <c r="H13" i="44"/>
  <c r="W121" i="37"/>
  <c r="W120" i="37"/>
  <c r="W111" i="37"/>
  <c r="W114" i="37"/>
  <c r="W122" i="37"/>
  <c r="X121" i="37"/>
  <c r="X120" i="37"/>
  <c r="X111" i="37"/>
  <c r="X114" i="37"/>
  <c r="X122" i="37"/>
  <c r="Y121" i="37"/>
  <c r="Y120" i="37"/>
  <c r="Y111" i="37"/>
  <c r="Y114" i="37"/>
  <c r="Y122" i="37"/>
  <c r="Z121" i="37"/>
  <c r="Z120" i="37"/>
  <c r="Z111" i="37"/>
  <c r="Z114" i="37"/>
  <c r="Z122" i="37"/>
  <c r="AA121" i="37"/>
  <c r="AA120" i="37"/>
  <c r="AA111" i="37"/>
  <c r="AA114" i="37"/>
  <c r="AA122" i="37"/>
  <c r="AB121" i="37"/>
  <c r="AB120" i="37"/>
  <c r="AB111" i="37"/>
  <c r="AB114" i="37"/>
  <c r="AB122" i="37"/>
  <c r="AC121" i="37"/>
  <c r="AC120" i="37"/>
  <c r="AC111" i="37"/>
  <c r="AC114" i="37"/>
  <c r="AC122" i="37"/>
  <c r="AD121" i="37"/>
  <c r="AD120" i="37"/>
  <c r="AD111" i="37"/>
  <c r="AD114" i="37"/>
  <c r="AD122" i="37"/>
  <c r="P15" i="27"/>
  <c r="P12" i="27"/>
  <c r="P93" i="20"/>
  <c r="P35" i="30"/>
  <c r="P97" i="20"/>
  <c r="P36" i="30"/>
  <c r="Q34" i="30"/>
  <c r="Q35" i="30"/>
  <c r="Q36" i="30"/>
  <c r="Q37" i="30"/>
  <c r="Q38" i="30"/>
  <c r="R34" i="30"/>
  <c r="R35" i="30"/>
  <c r="R36" i="30"/>
  <c r="R37" i="30"/>
  <c r="R38" i="30"/>
  <c r="S34" i="30"/>
  <c r="S35" i="30"/>
  <c r="S36" i="30"/>
  <c r="S37" i="30"/>
  <c r="S38" i="30"/>
  <c r="T34" i="30"/>
  <c r="T35" i="30"/>
  <c r="T36" i="30"/>
  <c r="T37" i="30"/>
  <c r="T38" i="30"/>
  <c r="U34" i="30"/>
  <c r="U35" i="30"/>
  <c r="U37" i="30"/>
  <c r="U38" i="30"/>
  <c r="V34" i="30"/>
  <c r="V35" i="30"/>
  <c r="V36" i="30"/>
  <c r="V37" i="30"/>
  <c r="V38" i="30"/>
  <c r="W34" i="30"/>
  <c r="W35" i="30"/>
  <c r="W36" i="30"/>
  <c r="W37" i="30"/>
  <c r="W38" i="30"/>
  <c r="X34" i="30"/>
  <c r="X35" i="30"/>
  <c r="X36" i="30"/>
  <c r="X37" i="30"/>
  <c r="X38" i="30"/>
  <c r="Y34" i="30"/>
  <c r="Y35" i="30"/>
  <c r="Y36" i="30"/>
  <c r="Y37" i="30"/>
  <c r="Y38" i="30"/>
  <c r="Z34" i="30"/>
  <c r="Z35" i="30"/>
  <c r="Z36" i="30"/>
  <c r="Z37" i="30"/>
  <c r="Z38" i="30"/>
  <c r="AA34" i="30"/>
  <c r="AA35" i="30"/>
  <c r="AA36" i="30"/>
  <c r="AA37" i="30"/>
  <c r="AA38" i="30"/>
  <c r="AB34" i="30"/>
  <c r="AB35" i="30"/>
  <c r="AB36" i="30"/>
  <c r="AB37" i="30"/>
  <c r="AB38" i="30"/>
  <c r="AC34" i="30"/>
  <c r="AC35" i="30"/>
  <c r="AC36" i="30"/>
  <c r="AC37" i="30"/>
  <c r="AC38" i="30"/>
  <c r="AD34" i="30"/>
  <c r="AD35" i="30"/>
  <c r="AD36" i="30"/>
  <c r="AD37" i="30"/>
  <c r="AD38" i="30"/>
  <c r="O89" i="20"/>
  <c r="O105" i="20"/>
  <c r="O96" i="20"/>
  <c r="O100" i="20"/>
  <c r="O92" i="20"/>
  <c r="O104" i="20"/>
  <c r="J14" i="13"/>
  <c r="J17" i="13"/>
  <c r="K14" i="13"/>
  <c r="K17" i="13"/>
  <c r="L14" i="13"/>
  <c r="L17" i="13"/>
  <c r="M14" i="13"/>
  <c r="M17" i="13"/>
  <c r="N14" i="13"/>
  <c r="N17" i="13"/>
  <c r="O17" i="13"/>
  <c r="J12" i="27"/>
  <c r="J15" i="27"/>
  <c r="K12" i="27"/>
  <c r="K15" i="27"/>
  <c r="L15" i="27"/>
  <c r="M15" i="27"/>
  <c r="N12" i="27"/>
  <c r="N15" i="27"/>
  <c r="O12" i="27"/>
  <c r="O15" i="27"/>
  <c r="Q44" i="30"/>
  <c r="R44" i="30"/>
  <c r="S44" i="30"/>
  <c r="T44" i="30"/>
  <c r="U44" i="30"/>
  <c r="V44" i="30"/>
  <c r="W44" i="30"/>
  <c r="X44" i="30"/>
  <c r="Y44" i="30"/>
  <c r="Z44" i="30"/>
  <c r="AA44" i="30"/>
  <c r="AB44" i="30"/>
  <c r="AC44" i="30"/>
  <c r="AD44" i="30"/>
  <c r="P44" i="30"/>
  <c r="O35" i="30"/>
  <c r="O34" i="30"/>
  <c r="O36" i="30"/>
  <c r="O37" i="30"/>
  <c r="O38" i="30"/>
  <c r="O41" i="30"/>
  <c r="O42" i="30"/>
  <c r="O43" i="30"/>
  <c r="O40" i="30"/>
  <c r="N35" i="30"/>
  <c r="N89" i="20"/>
  <c r="N34" i="30"/>
  <c r="N36" i="30"/>
  <c r="N37" i="30"/>
  <c r="N38" i="30"/>
  <c r="N41" i="30"/>
  <c r="N42" i="30"/>
  <c r="N43" i="30"/>
  <c r="N40" i="30"/>
  <c r="M35" i="30"/>
  <c r="M89" i="20"/>
  <c r="M34" i="30"/>
  <c r="M36" i="30"/>
  <c r="M37" i="30"/>
  <c r="M38" i="30"/>
  <c r="M41" i="30"/>
  <c r="M42" i="30"/>
  <c r="M43" i="30"/>
  <c r="M40" i="30"/>
  <c r="J33" i="30"/>
  <c r="J34" i="30"/>
  <c r="J35" i="30"/>
  <c r="J36" i="30"/>
  <c r="J37" i="30"/>
  <c r="J39" i="30"/>
  <c r="J40" i="30"/>
  <c r="J41" i="30"/>
  <c r="J42" i="30"/>
  <c r="J43" i="30"/>
  <c r="L41" i="30"/>
  <c r="L42" i="30"/>
  <c r="L43" i="30"/>
  <c r="L44" i="30"/>
  <c r="M44" i="30"/>
  <c r="N44" i="30"/>
  <c r="O44" i="30"/>
  <c r="K89" i="20"/>
  <c r="K33" i="30"/>
  <c r="K34" i="30"/>
  <c r="K35" i="30"/>
  <c r="K36" i="30"/>
  <c r="K37" i="30"/>
  <c r="K39" i="30"/>
  <c r="K40" i="30"/>
  <c r="K41" i="30"/>
  <c r="K42" i="30"/>
  <c r="K43" i="30"/>
  <c r="J15" i="11"/>
  <c r="K15" i="11"/>
  <c r="L12" i="11"/>
  <c r="L15" i="11"/>
  <c r="M12" i="11"/>
  <c r="M15" i="11"/>
  <c r="N12" i="11"/>
  <c r="N15" i="11"/>
  <c r="O15" i="11"/>
  <c r="N14" i="30"/>
  <c r="P9" i="30"/>
  <c r="M14" i="30"/>
  <c r="O14" i="30"/>
  <c r="L12" i="30"/>
  <c r="L14" i="30"/>
  <c r="L10" i="30"/>
  <c r="M10" i="30"/>
  <c r="N10" i="30"/>
  <c r="M9" i="30"/>
  <c r="N9" i="30"/>
  <c r="O9" i="30"/>
  <c r="J12" i="30"/>
  <c r="K12" i="30"/>
  <c r="K14" i="30"/>
  <c r="K10" i="30"/>
  <c r="K9" i="30"/>
  <c r="J14" i="30"/>
  <c r="J10" i="30"/>
  <c r="M38" i="20"/>
  <c r="F412" i="41"/>
  <c r="N38" i="20"/>
  <c r="G412" i="41"/>
  <c r="O38" i="20"/>
  <c r="H412" i="41"/>
  <c r="L38" i="20"/>
  <c r="E412" i="41"/>
  <c r="J404" i="41"/>
  <c r="J401" i="41"/>
  <c r="J397" i="41"/>
  <c r="J394" i="41"/>
  <c r="J408" i="41"/>
  <c r="J409" i="41"/>
  <c r="J410" i="41"/>
  <c r="E401" i="41"/>
  <c r="E394" i="41"/>
  <c r="E408" i="41"/>
  <c r="J406" i="41"/>
  <c r="I406" i="41"/>
  <c r="H406" i="41"/>
  <c r="G406" i="41"/>
  <c r="F406" i="41"/>
  <c r="I404" i="41"/>
  <c r="H404" i="41"/>
  <c r="G404" i="41"/>
  <c r="F404" i="41"/>
  <c r="I401" i="41"/>
  <c r="J402" i="41"/>
  <c r="H401" i="41"/>
  <c r="I402" i="41"/>
  <c r="G401" i="41"/>
  <c r="H402" i="41"/>
  <c r="F401" i="41"/>
  <c r="G402" i="41"/>
  <c r="F402" i="41"/>
  <c r="J399" i="41"/>
  <c r="I399" i="41"/>
  <c r="H399" i="41"/>
  <c r="G399" i="41"/>
  <c r="F399" i="41"/>
  <c r="I397" i="41"/>
  <c r="H397" i="41"/>
  <c r="G397" i="41"/>
  <c r="F397" i="41"/>
  <c r="G394" i="41"/>
  <c r="F394" i="41"/>
  <c r="G395" i="41"/>
  <c r="H394" i="41"/>
  <c r="H395" i="41"/>
  <c r="I394" i="41"/>
  <c r="I395" i="41"/>
  <c r="J395" i="41"/>
  <c r="F395" i="41"/>
  <c r="I410" i="41"/>
  <c r="I409" i="41"/>
  <c r="I408" i="41"/>
  <c r="H410" i="41"/>
  <c r="G410" i="41"/>
  <c r="F410" i="41"/>
  <c r="E410" i="41"/>
  <c r="H409" i="41"/>
  <c r="G409" i="41"/>
  <c r="F409" i="41"/>
  <c r="E409" i="41"/>
  <c r="H408" i="41"/>
  <c r="F408" i="41"/>
  <c r="F386" i="41"/>
  <c r="G386" i="41"/>
  <c r="H386" i="41"/>
  <c r="F387" i="41"/>
  <c r="G387" i="41"/>
  <c r="H387" i="41"/>
  <c r="F388" i="41"/>
  <c r="G388" i="41"/>
  <c r="H388" i="41"/>
  <c r="E388" i="41"/>
  <c r="E387" i="41"/>
  <c r="E386" i="41"/>
  <c r="G384" i="41"/>
  <c r="H384" i="41"/>
  <c r="G382" i="41"/>
  <c r="H382" i="41"/>
  <c r="G380" i="41"/>
  <c r="H380" i="41"/>
  <c r="F384" i="41"/>
  <c r="F382" i="41"/>
  <c r="F380" i="41"/>
  <c r="G377" i="41"/>
  <c r="H377" i="41"/>
  <c r="G375" i="41"/>
  <c r="H375" i="41"/>
  <c r="G373" i="41"/>
  <c r="H373" i="41"/>
  <c r="F377" i="41"/>
  <c r="F375" i="41"/>
  <c r="F373" i="41"/>
  <c r="U383" i="41"/>
  <c r="U387" i="41"/>
  <c r="T383" i="41"/>
  <c r="T387" i="41"/>
  <c r="S383" i="41"/>
  <c r="S387" i="41"/>
  <c r="R383" i="41"/>
  <c r="R387" i="41"/>
  <c r="U385" i="41"/>
  <c r="T385" i="41"/>
  <c r="S385" i="41"/>
  <c r="R385" i="41"/>
  <c r="U379" i="41"/>
  <c r="T379" i="41"/>
  <c r="S379" i="41"/>
  <c r="R379" i="41"/>
  <c r="U375" i="41"/>
  <c r="T375" i="41"/>
  <c r="S375" i="41"/>
  <c r="R375" i="41"/>
  <c r="E421" i="41"/>
  <c r="F360" i="41"/>
  <c r="G360" i="41"/>
  <c r="H360" i="41"/>
  <c r="I360" i="41"/>
  <c r="J360" i="41"/>
  <c r="K360" i="41"/>
  <c r="L360" i="41"/>
  <c r="M360" i="41"/>
  <c r="N360" i="41"/>
  <c r="O360" i="41"/>
  <c r="P360" i="41"/>
  <c r="E360" i="41"/>
  <c r="F363" i="41"/>
  <c r="G363" i="41"/>
  <c r="H363" i="41"/>
  <c r="I363" i="41"/>
  <c r="J363" i="41"/>
  <c r="K363" i="41"/>
  <c r="L363" i="41"/>
  <c r="M363" i="41"/>
  <c r="N363" i="41"/>
  <c r="O363" i="41"/>
  <c r="P363" i="41"/>
  <c r="E363" i="41"/>
  <c r="J11" i="2"/>
  <c r="F356" i="41"/>
  <c r="K11" i="2"/>
  <c r="G356" i="41"/>
  <c r="H356" i="41"/>
  <c r="I356" i="41"/>
  <c r="J356" i="41"/>
  <c r="K356" i="41"/>
  <c r="L356" i="41"/>
  <c r="M356" i="41"/>
  <c r="N356" i="41"/>
  <c r="O356" i="41"/>
  <c r="P356" i="41"/>
  <c r="F357" i="41"/>
  <c r="G357" i="41"/>
  <c r="H357" i="41"/>
  <c r="I357" i="41"/>
  <c r="J357" i="41"/>
  <c r="K357" i="41"/>
  <c r="F358" i="41"/>
  <c r="G358" i="41"/>
  <c r="H358" i="41"/>
  <c r="I358" i="41"/>
  <c r="J358" i="41"/>
  <c r="K358" i="41"/>
  <c r="L358" i="41"/>
  <c r="M358" i="41"/>
  <c r="N358" i="41"/>
  <c r="O358" i="41"/>
  <c r="P358" i="41"/>
  <c r="F359" i="41"/>
  <c r="G359" i="41"/>
  <c r="H359" i="41"/>
  <c r="I359" i="41"/>
  <c r="J359" i="41"/>
  <c r="K359" i="41"/>
  <c r="L359" i="41"/>
  <c r="M359" i="41"/>
  <c r="N359" i="41"/>
  <c r="O359" i="41"/>
  <c r="P359" i="41"/>
  <c r="F361" i="41"/>
  <c r="G361" i="41"/>
  <c r="H361" i="41"/>
  <c r="I361" i="41"/>
  <c r="J361" i="41"/>
  <c r="K361" i="41"/>
  <c r="F362" i="41"/>
  <c r="G362" i="41"/>
  <c r="H362" i="41"/>
  <c r="I362" i="41"/>
  <c r="J362" i="41"/>
  <c r="K362" i="41"/>
  <c r="F364" i="41"/>
  <c r="G364" i="41"/>
  <c r="H364" i="41"/>
  <c r="I364" i="41"/>
  <c r="J364" i="41"/>
  <c r="K364" i="41"/>
  <c r="O14" i="27"/>
  <c r="P14" i="27"/>
  <c r="O16" i="13"/>
  <c r="P16" i="13"/>
  <c r="O16" i="11"/>
  <c r="O18" i="11"/>
  <c r="P18" i="11"/>
  <c r="O18" i="27"/>
  <c r="P18" i="27"/>
  <c r="O20" i="13"/>
  <c r="P20" i="13"/>
  <c r="Q14" i="27"/>
  <c r="Q16" i="13"/>
  <c r="Q18" i="11"/>
  <c r="Q18" i="27"/>
  <c r="Q20" i="13"/>
  <c r="R14" i="27"/>
  <c r="R16" i="13"/>
  <c r="R18" i="27"/>
  <c r="R20" i="13"/>
  <c r="S14" i="27"/>
  <c r="S16" i="13"/>
  <c r="R14" i="11"/>
  <c r="S14" i="11"/>
  <c r="S18" i="11"/>
  <c r="S18" i="27"/>
  <c r="S20" i="13"/>
  <c r="T14" i="27"/>
  <c r="T16" i="13"/>
  <c r="T18" i="11"/>
  <c r="T18" i="27"/>
  <c r="T20" i="13"/>
  <c r="F365" i="41"/>
  <c r="G365" i="41"/>
  <c r="H365" i="41"/>
  <c r="I365" i="41"/>
  <c r="J365" i="41"/>
  <c r="K365" i="41"/>
  <c r="J6" i="2"/>
  <c r="J18" i="2"/>
  <c r="J27" i="2"/>
  <c r="F366" i="41"/>
  <c r="K6" i="2"/>
  <c r="K18" i="2"/>
  <c r="K27" i="2"/>
  <c r="G366" i="41"/>
  <c r="H366" i="41"/>
  <c r="I366" i="41"/>
  <c r="J366" i="41"/>
  <c r="K366" i="41"/>
  <c r="I11" i="2"/>
  <c r="E356" i="41"/>
  <c r="E357" i="41"/>
  <c r="E358" i="41"/>
  <c r="E359" i="41"/>
  <c r="E361" i="41"/>
  <c r="E362" i="41"/>
  <c r="E364" i="41"/>
  <c r="E365" i="41"/>
  <c r="I6" i="2"/>
  <c r="I18" i="2"/>
  <c r="I27" i="2"/>
  <c r="E366" i="41"/>
  <c r="E341" i="41"/>
  <c r="I47" i="1"/>
  <c r="E342" i="41"/>
  <c r="E343" i="41"/>
  <c r="E344" i="41"/>
  <c r="E345" i="41"/>
  <c r="E346" i="41"/>
  <c r="E347" i="41"/>
  <c r="E349" i="41"/>
  <c r="F341" i="41"/>
  <c r="J47" i="1"/>
  <c r="F342" i="41"/>
  <c r="F343" i="41"/>
  <c r="F344" i="41"/>
  <c r="F345" i="41"/>
  <c r="F346" i="41"/>
  <c r="F347" i="41"/>
  <c r="F349" i="41"/>
  <c r="G341" i="41"/>
  <c r="K47" i="1"/>
  <c r="G342" i="41"/>
  <c r="G343" i="41"/>
  <c r="G344" i="41"/>
  <c r="G345" i="41"/>
  <c r="G346" i="41"/>
  <c r="G347" i="41"/>
  <c r="G349" i="41"/>
  <c r="H341" i="41"/>
  <c r="L47" i="1"/>
  <c r="H342" i="41"/>
  <c r="H343" i="41"/>
  <c r="H344" i="41"/>
  <c r="H345" i="41"/>
  <c r="H346" i="41"/>
  <c r="H347" i="41"/>
  <c r="H349" i="41"/>
  <c r="I341" i="41"/>
  <c r="M47" i="1"/>
  <c r="I342" i="41"/>
  <c r="I343" i="41"/>
  <c r="I344" i="41"/>
  <c r="I345" i="41"/>
  <c r="I346" i="41"/>
  <c r="I347" i="41"/>
  <c r="I349" i="41"/>
  <c r="J341" i="41"/>
  <c r="N47" i="1"/>
  <c r="J342" i="41"/>
  <c r="J343" i="41"/>
  <c r="J344" i="41"/>
  <c r="J345" i="41"/>
  <c r="J346" i="41"/>
  <c r="J347" i="41"/>
  <c r="J349" i="41"/>
  <c r="K341" i="41"/>
  <c r="O47" i="1"/>
  <c r="K342" i="41"/>
  <c r="K343" i="41"/>
  <c r="K344" i="41"/>
  <c r="K345" i="41"/>
  <c r="K346" i="41"/>
  <c r="K347" i="41"/>
  <c r="K349" i="41"/>
  <c r="L343" i="41"/>
  <c r="M343" i="41"/>
  <c r="N343" i="41"/>
  <c r="O343" i="41"/>
  <c r="P343" i="41"/>
  <c r="F348" i="41"/>
  <c r="G348" i="41"/>
  <c r="H348" i="41"/>
  <c r="I348" i="41"/>
  <c r="J348" i="41"/>
  <c r="K348" i="41"/>
  <c r="E348" i="41"/>
  <c r="J39" i="2"/>
  <c r="K39" i="2"/>
  <c r="U14" i="27"/>
  <c r="U16" i="13"/>
  <c r="U18" i="11"/>
  <c r="U20" i="13"/>
  <c r="V14" i="27"/>
  <c r="V16" i="13"/>
  <c r="V18" i="11"/>
  <c r="V20" i="13"/>
  <c r="W14" i="27"/>
  <c r="W16" i="13"/>
  <c r="W18" i="11"/>
  <c r="W20" i="13"/>
  <c r="X14" i="27"/>
  <c r="X16" i="13"/>
  <c r="X18" i="11"/>
  <c r="X20" i="13"/>
  <c r="Y14" i="27"/>
  <c r="Y16" i="13"/>
  <c r="Y18" i="11"/>
  <c r="Y20" i="13"/>
  <c r="Z14" i="27"/>
  <c r="Z16" i="13"/>
  <c r="Z18" i="11"/>
  <c r="Z20" i="13"/>
  <c r="AA14" i="27"/>
  <c r="AA16" i="13"/>
  <c r="AA18" i="11"/>
  <c r="AA20" i="13"/>
  <c r="AB14" i="27"/>
  <c r="AB16" i="13"/>
  <c r="AB18" i="11"/>
  <c r="AB20" i="13"/>
  <c r="AC14" i="27"/>
  <c r="AC16" i="13"/>
  <c r="AC18" i="11"/>
  <c r="AC20" i="13"/>
  <c r="AD92" i="1"/>
  <c r="AD104" i="1"/>
  <c r="AD139" i="1"/>
  <c r="I39" i="2"/>
  <c r="F332" i="41"/>
  <c r="G332" i="41"/>
  <c r="H332" i="41"/>
  <c r="I332" i="41"/>
  <c r="J332" i="41"/>
  <c r="K332" i="41"/>
  <c r="F333" i="41"/>
  <c r="G333" i="41"/>
  <c r="H333" i="41"/>
  <c r="I333" i="41"/>
  <c r="J333" i="41"/>
  <c r="K333" i="41"/>
  <c r="F334" i="41"/>
  <c r="G334" i="41"/>
  <c r="H334" i="41"/>
  <c r="I334" i="41"/>
  <c r="J334" i="41"/>
  <c r="K334" i="41"/>
  <c r="E334" i="41"/>
  <c r="H39" i="2"/>
  <c r="E333" i="41"/>
  <c r="H11" i="2"/>
  <c r="H6" i="2"/>
  <c r="H18" i="2"/>
  <c r="H27" i="2"/>
  <c r="E332" i="41"/>
  <c r="F327" i="41"/>
  <c r="F328" i="41"/>
  <c r="F329" i="41"/>
  <c r="G327" i="41"/>
  <c r="G328" i="41"/>
  <c r="G329" i="41"/>
  <c r="H327" i="41"/>
  <c r="H328" i="41"/>
  <c r="H329" i="41"/>
  <c r="I327" i="41"/>
  <c r="I328" i="41"/>
  <c r="I329" i="41"/>
  <c r="J327" i="41"/>
  <c r="J328" i="41"/>
  <c r="J329" i="41"/>
  <c r="K327" i="41"/>
  <c r="K328" i="41"/>
  <c r="K329" i="41"/>
  <c r="L327" i="41"/>
  <c r="L328" i="41"/>
  <c r="L329" i="41"/>
  <c r="M328" i="41"/>
  <c r="N328" i="41"/>
  <c r="O328" i="41"/>
  <c r="P328" i="41"/>
  <c r="E327" i="41"/>
  <c r="E328" i="41"/>
  <c r="E329" i="41"/>
  <c r="J136" i="1"/>
  <c r="F324" i="41"/>
  <c r="G324" i="41"/>
  <c r="H324" i="41"/>
  <c r="I324" i="41"/>
  <c r="J324" i="41"/>
  <c r="K324" i="41"/>
  <c r="I136" i="1"/>
  <c r="E324" i="41"/>
  <c r="H136" i="1"/>
  <c r="F322" i="41"/>
  <c r="F321" i="41"/>
  <c r="F323" i="41"/>
  <c r="G322" i="41"/>
  <c r="G321" i="41"/>
  <c r="G323" i="41"/>
  <c r="H322" i="41"/>
  <c r="H321" i="41"/>
  <c r="H323" i="41"/>
  <c r="I322" i="41"/>
  <c r="I321" i="41"/>
  <c r="I323" i="41"/>
  <c r="J322" i="41"/>
  <c r="J321" i="41"/>
  <c r="J323" i="41"/>
  <c r="K322" i="41"/>
  <c r="K321" i="41"/>
  <c r="K323" i="41"/>
  <c r="E322" i="41"/>
  <c r="E321" i="41"/>
  <c r="E323" i="41"/>
  <c r="F311" i="41"/>
  <c r="F310" i="41"/>
  <c r="F312" i="41"/>
  <c r="G311" i="41"/>
  <c r="G310" i="41"/>
  <c r="G312" i="41"/>
  <c r="H311" i="41"/>
  <c r="H310" i="41"/>
  <c r="H312" i="41"/>
  <c r="I311" i="41"/>
  <c r="I310" i="41"/>
  <c r="I312" i="41"/>
  <c r="J311" i="41"/>
  <c r="J310" i="41"/>
  <c r="J312" i="41"/>
  <c r="K311" i="41"/>
  <c r="K310" i="41"/>
  <c r="K312" i="41"/>
  <c r="E311" i="41"/>
  <c r="E310" i="41"/>
  <c r="E312" i="41"/>
  <c r="P47" i="20"/>
  <c r="Q47" i="20"/>
  <c r="R47" i="20"/>
  <c r="S47" i="20"/>
  <c r="F307" i="41"/>
  <c r="G307" i="41"/>
  <c r="H307" i="41"/>
  <c r="S43" i="20"/>
  <c r="F306" i="41"/>
  <c r="G306" i="41"/>
  <c r="P43" i="20"/>
  <c r="Q43" i="20"/>
  <c r="R43" i="20"/>
  <c r="H306" i="41"/>
  <c r="F305" i="41"/>
  <c r="G305" i="41"/>
  <c r="H305" i="41"/>
  <c r="G304" i="41"/>
  <c r="E307" i="41"/>
  <c r="E306" i="41"/>
  <c r="E305" i="41"/>
  <c r="E304" i="41"/>
  <c r="O50" i="20"/>
  <c r="K5" i="20"/>
  <c r="K22" i="20"/>
  <c r="K29" i="20"/>
  <c r="K51" i="20"/>
  <c r="K53" i="20"/>
  <c r="M5" i="20"/>
  <c r="M22" i="20"/>
  <c r="M29" i="20"/>
  <c r="M51" i="20"/>
  <c r="M53" i="20"/>
  <c r="N5" i="20"/>
  <c r="N22" i="20"/>
  <c r="N29" i="20"/>
  <c r="N51" i="20"/>
  <c r="N53" i="20"/>
  <c r="O53" i="20"/>
  <c r="L53" i="20"/>
  <c r="F301" i="41"/>
  <c r="F300" i="41"/>
  <c r="E301" i="41"/>
  <c r="E300" i="41"/>
  <c r="E299" i="41"/>
  <c r="E298" i="41"/>
  <c r="Q291" i="41"/>
  <c r="P291" i="41"/>
  <c r="Q292" i="41"/>
  <c r="R291" i="41"/>
  <c r="R292" i="41"/>
  <c r="S291" i="41"/>
  <c r="S292" i="41"/>
  <c r="T291" i="41"/>
  <c r="T292" i="41"/>
  <c r="Q289" i="41"/>
  <c r="Q293" i="41"/>
  <c r="R289" i="41"/>
  <c r="R293" i="41"/>
  <c r="S289" i="41"/>
  <c r="S293" i="41"/>
  <c r="T289" i="41"/>
  <c r="T293" i="41"/>
  <c r="P289" i="41"/>
  <c r="Q290" i="41"/>
  <c r="R290" i="41"/>
  <c r="S290" i="41"/>
  <c r="T290" i="41"/>
  <c r="P293" i="41"/>
  <c r="O291" i="41"/>
  <c r="P292" i="41"/>
  <c r="O289" i="41"/>
  <c r="P290" i="41"/>
  <c r="F291" i="41"/>
  <c r="G291" i="41"/>
  <c r="H291" i="41"/>
  <c r="I291" i="41"/>
  <c r="J291" i="41"/>
  <c r="K291" i="41"/>
  <c r="L291" i="41"/>
  <c r="M291" i="41"/>
  <c r="N291" i="41"/>
  <c r="F289" i="41"/>
  <c r="G289" i="41"/>
  <c r="H289" i="41"/>
  <c r="I289" i="41"/>
  <c r="J289" i="41"/>
  <c r="K289" i="41"/>
  <c r="L289" i="41"/>
  <c r="M289" i="41"/>
  <c r="N289" i="41"/>
  <c r="E291" i="41"/>
  <c r="E289" i="41"/>
  <c r="G284" i="41"/>
  <c r="F284" i="41"/>
  <c r="G285" i="41"/>
  <c r="H284" i="41"/>
  <c r="H285" i="41"/>
  <c r="I284" i="41"/>
  <c r="I285" i="41"/>
  <c r="J284" i="41"/>
  <c r="J285" i="41"/>
  <c r="K284" i="41"/>
  <c r="K285" i="41"/>
  <c r="L284" i="41"/>
  <c r="L285" i="41"/>
  <c r="M284" i="41"/>
  <c r="M285" i="41"/>
  <c r="N284" i="41"/>
  <c r="N285" i="41"/>
  <c r="O284" i="41"/>
  <c r="O285" i="41"/>
  <c r="P284" i="41"/>
  <c r="P285" i="41"/>
  <c r="Q284" i="41"/>
  <c r="Q285" i="41"/>
  <c r="R284" i="41"/>
  <c r="R285" i="41"/>
  <c r="S284" i="41"/>
  <c r="S285" i="41"/>
  <c r="T284" i="41"/>
  <c r="T285" i="41"/>
  <c r="G282" i="41"/>
  <c r="G286" i="41"/>
  <c r="H282" i="41"/>
  <c r="H286" i="41"/>
  <c r="I282" i="41"/>
  <c r="I286" i="41"/>
  <c r="J282" i="41"/>
  <c r="J286" i="41"/>
  <c r="K282" i="41"/>
  <c r="K286" i="41"/>
  <c r="L282" i="41"/>
  <c r="L286" i="41"/>
  <c r="M282" i="41"/>
  <c r="M286" i="41"/>
  <c r="N282" i="41"/>
  <c r="N286" i="41"/>
  <c r="O282" i="41"/>
  <c r="O286" i="41"/>
  <c r="P282" i="41"/>
  <c r="P286" i="41"/>
  <c r="Q282" i="41"/>
  <c r="Q286" i="41"/>
  <c r="R282" i="41"/>
  <c r="R286" i="41"/>
  <c r="S282" i="41"/>
  <c r="S286" i="41"/>
  <c r="T282" i="41"/>
  <c r="T286" i="41"/>
  <c r="T283" i="41"/>
  <c r="F282" i="41"/>
  <c r="G283" i="41"/>
  <c r="H283" i="41"/>
  <c r="I283" i="41"/>
  <c r="J283" i="41"/>
  <c r="K283" i="41"/>
  <c r="L283" i="41"/>
  <c r="M283" i="41"/>
  <c r="N283" i="41"/>
  <c r="O283" i="41"/>
  <c r="P283" i="41"/>
  <c r="Q283" i="41"/>
  <c r="R283" i="41"/>
  <c r="S283" i="41"/>
  <c r="F286" i="41"/>
  <c r="E284" i="41"/>
  <c r="F285" i="41"/>
  <c r="E282" i="41"/>
  <c r="F283" i="41"/>
  <c r="G277" i="41"/>
  <c r="G275" i="41"/>
  <c r="G279" i="41"/>
  <c r="H277" i="41"/>
  <c r="H275" i="41"/>
  <c r="H279" i="41"/>
  <c r="I277" i="41"/>
  <c r="I275" i="41"/>
  <c r="I279" i="41"/>
  <c r="J277" i="41"/>
  <c r="J275" i="41"/>
  <c r="J279" i="41"/>
  <c r="K277" i="41"/>
  <c r="K275" i="41"/>
  <c r="K279" i="41"/>
  <c r="L277" i="41"/>
  <c r="L275" i="41"/>
  <c r="L279" i="41"/>
  <c r="M277" i="41"/>
  <c r="M275" i="41"/>
  <c r="M279" i="41"/>
  <c r="N277" i="41"/>
  <c r="N275" i="41"/>
  <c r="N279" i="41"/>
  <c r="O277" i="41"/>
  <c r="O275" i="41"/>
  <c r="O279" i="41"/>
  <c r="F277" i="41"/>
  <c r="G278" i="41"/>
  <c r="H278" i="41"/>
  <c r="I278" i="41"/>
  <c r="J278" i="41"/>
  <c r="K278" i="41"/>
  <c r="L278" i="41"/>
  <c r="M278" i="41"/>
  <c r="N278" i="41"/>
  <c r="O278" i="41"/>
  <c r="F275" i="41"/>
  <c r="G276" i="41"/>
  <c r="H276" i="41"/>
  <c r="I276" i="41"/>
  <c r="J276" i="41"/>
  <c r="K276" i="41"/>
  <c r="L276" i="41"/>
  <c r="M276" i="41"/>
  <c r="N276" i="41"/>
  <c r="O276" i="41"/>
  <c r="F279" i="41"/>
  <c r="E277" i="41"/>
  <c r="F278" i="41"/>
  <c r="E275" i="41"/>
  <c r="F276" i="41"/>
  <c r="G270" i="41"/>
  <c r="G268" i="41"/>
  <c r="G272" i="41"/>
  <c r="H270" i="41"/>
  <c r="H268" i="41"/>
  <c r="H272" i="41"/>
  <c r="I270" i="41"/>
  <c r="I268" i="41"/>
  <c r="I272" i="41"/>
  <c r="J270" i="41"/>
  <c r="J268" i="41"/>
  <c r="J272" i="41"/>
  <c r="K270" i="41"/>
  <c r="K268" i="41"/>
  <c r="K272" i="41"/>
  <c r="L270" i="41"/>
  <c r="L268" i="41"/>
  <c r="L272" i="41"/>
  <c r="M270" i="41"/>
  <c r="M268" i="41"/>
  <c r="M272" i="41"/>
  <c r="N270" i="41"/>
  <c r="N268" i="41"/>
  <c r="N272" i="41"/>
  <c r="O270" i="41"/>
  <c r="O268" i="41"/>
  <c r="O272" i="41"/>
  <c r="F270" i="41"/>
  <c r="F268" i="41"/>
  <c r="F272" i="41"/>
  <c r="G271" i="41"/>
  <c r="H271" i="41"/>
  <c r="I271" i="41"/>
  <c r="J271" i="41"/>
  <c r="K271" i="41"/>
  <c r="L271" i="41"/>
  <c r="M271" i="41"/>
  <c r="N271" i="41"/>
  <c r="O271" i="41"/>
  <c r="G269" i="41"/>
  <c r="H269" i="41"/>
  <c r="I269" i="41"/>
  <c r="J269" i="41"/>
  <c r="K269" i="41"/>
  <c r="L269" i="41"/>
  <c r="M269" i="41"/>
  <c r="N269" i="41"/>
  <c r="O269" i="41"/>
  <c r="E270" i="41"/>
  <c r="F271" i="41"/>
  <c r="E268" i="41"/>
  <c r="F269" i="41"/>
  <c r="G258" i="41"/>
  <c r="H258" i="41"/>
  <c r="I258" i="41"/>
  <c r="G256" i="41"/>
  <c r="H256" i="41"/>
  <c r="I256" i="41"/>
  <c r="J256" i="41"/>
  <c r="K256" i="41"/>
  <c r="F258" i="41"/>
  <c r="F256" i="41"/>
  <c r="F243" i="41"/>
  <c r="G243" i="41"/>
  <c r="H243" i="41"/>
  <c r="M173" i="37"/>
  <c r="F244" i="41"/>
  <c r="N173" i="37"/>
  <c r="G244" i="41"/>
  <c r="O173" i="37"/>
  <c r="H244" i="41"/>
  <c r="M174" i="37"/>
  <c r="F245" i="41"/>
  <c r="N174" i="37"/>
  <c r="G245" i="41"/>
  <c r="H245" i="41"/>
  <c r="F246" i="41"/>
  <c r="G246" i="41"/>
  <c r="H246" i="41"/>
  <c r="M176" i="37"/>
  <c r="F247" i="41"/>
  <c r="N176" i="37"/>
  <c r="G247" i="41"/>
  <c r="O176" i="37"/>
  <c r="H247" i="41"/>
  <c r="F248" i="41"/>
  <c r="G248" i="41"/>
  <c r="H248" i="41"/>
  <c r="F249" i="41"/>
  <c r="G249" i="41"/>
  <c r="H249" i="41"/>
  <c r="L173" i="37"/>
  <c r="E244" i="41"/>
  <c r="L174" i="37"/>
  <c r="E245" i="41"/>
  <c r="E246" i="41"/>
  <c r="E247" i="41"/>
  <c r="E248" i="41"/>
  <c r="E249" i="41"/>
  <c r="E243" i="41"/>
  <c r="D244" i="41"/>
  <c r="D245" i="41"/>
  <c r="D246" i="41"/>
  <c r="D247" i="41"/>
  <c r="D248" i="41"/>
  <c r="D249" i="41"/>
  <c r="D243" i="41"/>
  <c r="F242" i="41"/>
  <c r="G242" i="41"/>
  <c r="H242" i="41"/>
  <c r="E242" i="41"/>
  <c r="D242" i="41"/>
  <c r="F233" i="41"/>
  <c r="G233" i="41"/>
  <c r="H233" i="41"/>
  <c r="M160" i="37"/>
  <c r="F234" i="41"/>
  <c r="G234" i="41"/>
  <c r="H234" i="41"/>
  <c r="M165" i="37"/>
  <c r="M161" i="37"/>
  <c r="F235" i="41"/>
  <c r="N165" i="37"/>
  <c r="N161" i="37"/>
  <c r="G235" i="41"/>
  <c r="O161" i="37"/>
  <c r="H235" i="41"/>
  <c r="F236" i="41"/>
  <c r="G236" i="41"/>
  <c r="H236" i="41"/>
  <c r="M163" i="37"/>
  <c r="F237" i="41"/>
  <c r="G237" i="41"/>
  <c r="H237" i="41"/>
  <c r="M164" i="37"/>
  <c r="F238" i="41"/>
  <c r="N164" i="37"/>
  <c r="G238" i="41"/>
  <c r="O164" i="37"/>
  <c r="H238" i="41"/>
  <c r="F239" i="41"/>
  <c r="G239" i="41"/>
  <c r="H239" i="41"/>
  <c r="M166" i="37"/>
  <c r="F240" i="41"/>
  <c r="N166" i="37"/>
  <c r="G240" i="41"/>
  <c r="O166" i="37"/>
  <c r="H240" i="41"/>
  <c r="E234" i="41"/>
  <c r="L161" i="37"/>
  <c r="E235" i="41"/>
  <c r="E236" i="41"/>
  <c r="E237" i="41"/>
  <c r="L164" i="37"/>
  <c r="E238" i="41"/>
  <c r="E239" i="41"/>
  <c r="E240" i="41"/>
  <c r="E233" i="41"/>
  <c r="D240" i="41"/>
  <c r="D239" i="41"/>
  <c r="D233" i="41"/>
  <c r="D234" i="41"/>
  <c r="D235" i="41"/>
  <c r="D236" i="41"/>
  <c r="D237" i="41"/>
  <c r="D238" i="41"/>
  <c r="D232" i="41"/>
  <c r="H214" i="41"/>
  <c r="O88" i="37"/>
  <c r="H215" i="41"/>
  <c r="O89" i="37"/>
  <c r="H216" i="41"/>
  <c r="H217" i="41"/>
  <c r="H218" i="41"/>
  <c r="O92" i="37"/>
  <c r="H219" i="41"/>
  <c r="H220" i="41"/>
  <c r="H221" i="41"/>
  <c r="O95" i="37"/>
  <c r="H222" i="41"/>
  <c r="H223" i="41"/>
  <c r="H224" i="41"/>
  <c r="O98" i="37"/>
  <c r="H225" i="41"/>
  <c r="H226" i="41"/>
  <c r="H227" i="41"/>
  <c r="O101" i="37"/>
  <c r="H228" i="41"/>
  <c r="H229" i="41"/>
  <c r="N102" i="37"/>
  <c r="O103" i="37"/>
  <c r="H230" i="41"/>
  <c r="G214" i="41"/>
  <c r="N88" i="37"/>
  <c r="G215" i="41"/>
  <c r="N89" i="37"/>
  <c r="G216" i="41"/>
  <c r="G217" i="41"/>
  <c r="G218" i="41"/>
  <c r="N92" i="37"/>
  <c r="G219" i="41"/>
  <c r="G220" i="41"/>
  <c r="G221" i="41"/>
  <c r="N95" i="37"/>
  <c r="G222" i="41"/>
  <c r="G223" i="41"/>
  <c r="G224" i="41"/>
  <c r="N98" i="37"/>
  <c r="G225" i="41"/>
  <c r="G226" i="41"/>
  <c r="N100" i="37"/>
  <c r="G227" i="41"/>
  <c r="N101" i="37"/>
  <c r="G228" i="41"/>
  <c r="G229" i="41"/>
  <c r="M102" i="37"/>
  <c r="N103" i="37"/>
  <c r="G230" i="41"/>
  <c r="F214" i="41"/>
  <c r="M88" i="37"/>
  <c r="F215" i="41"/>
  <c r="M89" i="37"/>
  <c r="F216" i="41"/>
  <c r="F217" i="41"/>
  <c r="M91" i="37"/>
  <c r="F218" i="41"/>
  <c r="M92" i="37"/>
  <c r="F219" i="41"/>
  <c r="F220" i="41"/>
  <c r="M94" i="37"/>
  <c r="F221" i="41"/>
  <c r="M95" i="37"/>
  <c r="F222" i="41"/>
  <c r="F223" i="41"/>
  <c r="M97" i="37"/>
  <c r="F224" i="41"/>
  <c r="M98" i="37"/>
  <c r="F225" i="41"/>
  <c r="F226" i="41"/>
  <c r="M100" i="37"/>
  <c r="F227" i="41"/>
  <c r="M101" i="37"/>
  <c r="F228" i="41"/>
  <c r="F229" i="41"/>
  <c r="M103" i="37"/>
  <c r="F230" i="41"/>
  <c r="E214" i="41"/>
  <c r="E215" i="41"/>
  <c r="L89" i="37"/>
  <c r="E216" i="41"/>
  <c r="E217" i="41"/>
  <c r="E218" i="41"/>
  <c r="L92" i="37"/>
  <c r="E219" i="41"/>
  <c r="E220" i="41"/>
  <c r="E221" i="41"/>
  <c r="L95" i="37"/>
  <c r="E222" i="41"/>
  <c r="E223" i="41"/>
  <c r="E224" i="41"/>
  <c r="L98" i="37"/>
  <c r="E225" i="41"/>
  <c r="E226" i="41"/>
  <c r="E227" i="41"/>
  <c r="L101" i="37"/>
  <c r="E228" i="41"/>
  <c r="E229" i="41"/>
  <c r="E230" i="41"/>
  <c r="F213" i="41"/>
  <c r="G213" i="41"/>
  <c r="H213" i="41"/>
  <c r="E213" i="41"/>
  <c r="D213" i="41"/>
  <c r="D215" i="41"/>
  <c r="D216" i="41"/>
  <c r="D217" i="41"/>
  <c r="D218" i="41"/>
  <c r="D219" i="41"/>
  <c r="D220" i="41"/>
  <c r="D221" i="41"/>
  <c r="D222" i="41"/>
  <c r="D223" i="41"/>
  <c r="D224" i="41"/>
  <c r="D225" i="41"/>
  <c r="D226" i="41"/>
  <c r="D227" i="41"/>
  <c r="D228" i="41"/>
  <c r="D229" i="41"/>
  <c r="D230" i="41"/>
  <c r="D214" i="41"/>
  <c r="O151" i="37"/>
  <c r="N151" i="37"/>
  <c r="N148" i="37"/>
  <c r="M132" i="37"/>
  <c r="N119" i="37"/>
  <c r="O119" i="37"/>
  <c r="M120" i="37"/>
  <c r="M119" i="37"/>
  <c r="N116" i="37"/>
  <c r="M116" i="37"/>
  <c r="F195" i="41"/>
  <c r="G195" i="41"/>
  <c r="N144" i="37"/>
  <c r="F196" i="41"/>
  <c r="O144" i="37"/>
  <c r="G196" i="41"/>
  <c r="N145" i="37"/>
  <c r="F197" i="41"/>
  <c r="G197" i="41"/>
  <c r="F198" i="41"/>
  <c r="G198" i="41"/>
  <c r="N147" i="37"/>
  <c r="F199" i="41"/>
  <c r="O147" i="37"/>
  <c r="G199" i="41"/>
  <c r="F200" i="41"/>
  <c r="G200" i="41"/>
  <c r="F201" i="41"/>
  <c r="G201" i="41"/>
  <c r="N150" i="37"/>
  <c r="F202" i="41"/>
  <c r="O150" i="37"/>
  <c r="G202" i="41"/>
  <c r="F203" i="41"/>
  <c r="G203" i="41"/>
  <c r="F204" i="41"/>
  <c r="G204" i="41"/>
  <c r="N153" i="37"/>
  <c r="F205" i="41"/>
  <c r="O153" i="37"/>
  <c r="G205" i="41"/>
  <c r="F206" i="41"/>
  <c r="G206" i="41"/>
  <c r="F207" i="41"/>
  <c r="G207" i="41"/>
  <c r="N156" i="37"/>
  <c r="F208" i="41"/>
  <c r="O156" i="37"/>
  <c r="G208" i="41"/>
  <c r="M144" i="37"/>
  <c r="E196" i="41"/>
  <c r="M145" i="37"/>
  <c r="E197" i="41"/>
  <c r="E198" i="41"/>
  <c r="M147" i="37"/>
  <c r="E199" i="41"/>
  <c r="M148" i="37"/>
  <c r="E200" i="41"/>
  <c r="E201" i="41"/>
  <c r="M150" i="37"/>
  <c r="E202" i="41"/>
  <c r="M151" i="37"/>
  <c r="E203" i="41"/>
  <c r="E204" i="41"/>
  <c r="M153" i="37"/>
  <c r="E205" i="41"/>
  <c r="E206" i="41"/>
  <c r="M155" i="37"/>
  <c r="E207" i="41"/>
  <c r="M156" i="37"/>
  <c r="E208" i="41"/>
  <c r="E195" i="41"/>
  <c r="D196" i="41"/>
  <c r="D197" i="41"/>
  <c r="D198" i="41"/>
  <c r="D199" i="41"/>
  <c r="D200" i="41"/>
  <c r="D201" i="41"/>
  <c r="D202" i="41"/>
  <c r="D203" i="41"/>
  <c r="D204" i="41"/>
  <c r="D205" i="41"/>
  <c r="D206" i="41"/>
  <c r="D207" i="41"/>
  <c r="D208" i="41"/>
  <c r="D195" i="41"/>
  <c r="F179" i="41"/>
  <c r="G179" i="41"/>
  <c r="N128" i="37"/>
  <c r="F180" i="41"/>
  <c r="O128" i="37"/>
  <c r="G180" i="41"/>
  <c r="N129" i="37"/>
  <c r="F181" i="41"/>
  <c r="G181" i="41"/>
  <c r="F182" i="41"/>
  <c r="G182" i="41"/>
  <c r="F183" i="41"/>
  <c r="G183" i="41"/>
  <c r="F184" i="41"/>
  <c r="G184" i="41"/>
  <c r="F185" i="41"/>
  <c r="G185" i="41"/>
  <c r="F186" i="41"/>
  <c r="G186" i="41"/>
  <c r="F187" i="41"/>
  <c r="G187" i="41"/>
  <c r="F188" i="41"/>
  <c r="G188" i="41"/>
  <c r="N137" i="37"/>
  <c r="F189" i="41"/>
  <c r="O137" i="37"/>
  <c r="G189" i="41"/>
  <c r="F190" i="41"/>
  <c r="G190" i="41"/>
  <c r="F191" i="41"/>
  <c r="G191" i="41"/>
  <c r="N140" i="37"/>
  <c r="F192" i="41"/>
  <c r="O140" i="37"/>
  <c r="G192" i="41"/>
  <c r="M128" i="37"/>
  <c r="E180" i="41"/>
  <c r="M129" i="37"/>
  <c r="E181" i="41"/>
  <c r="E182" i="41"/>
  <c r="M131" i="37"/>
  <c r="E183" i="41"/>
  <c r="E184" i="41"/>
  <c r="E185" i="41"/>
  <c r="E186" i="41"/>
  <c r="E187" i="41"/>
  <c r="E188" i="41"/>
  <c r="M137" i="37"/>
  <c r="E189" i="41"/>
  <c r="E190" i="41"/>
  <c r="M139" i="37"/>
  <c r="E191" i="41"/>
  <c r="M140" i="37"/>
  <c r="E192" i="41"/>
  <c r="E179" i="41"/>
  <c r="D180" i="41"/>
  <c r="D181" i="41"/>
  <c r="D182" i="41"/>
  <c r="D183" i="41"/>
  <c r="D184" i="41"/>
  <c r="D185" i="41"/>
  <c r="D186" i="41"/>
  <c r="D187" i="41"/>
  <c r="D188" i="41"/>
  <c r="D189" i="41"/>
  <c r="D190" i="41"/>
  <c r="D191" i="41"/>
  <c r="D192" i="41"/>
  <c r="D179" i="41"/>
  <c r="F163" i="41"/>
  <c r="G163" i="41"/>
  <c r="N112" i="37"/>
  <c r="F164" i="41"/>
  <c r="O112" i="37"/>
  <c r="G164" i="41"/>
  <c r="M113" i="37"/>
  <c r="N113" i="37"/>
  <c r="F165" i="41"/>
  <c r="G165" i="41"/>
  <c r="F166" i="41"/>
  <c r="G166" i="41"/>
  <c r="N115" i="37"/>
  <c r="F167" i="41"/>
  <c r="O115" i="37"/>
  <c r="G167" i="41"/>
  <c r="F168" i="41"/>
  <c r="G168" i="41"/>
  <c r="F169" i="41"/>
  <c r="G169" i="41"/>
  <c r="N118" i="37"/>
  <c r="F170" i="41"/>
  <c r="O118" i="37"/>
  <c r="G170" i="41"/>
  <c r="F171" i="41"/>
  <c r="G171" i="41"/>
  <c r="F172" i="41"/>
  <c r="G172" i="41"/>
  <c r="N121" i="37"/>
  <c r="F173" i="41"/>
  <c r="G173" i="41"/>
  <c r="F174" i="41"/>
  <c r="G174" i="41"/>
  <c r="F175" i="41"/>
  <c r="G175" i="41"/>
  <c r="N124" i="37"/>
  <c r="F176" i="41"/>
  <c r="O124" i="37"/>
  <c r="G176" i="41"/>
  <c r="M112" i="37"/>
  <c r="E164" i="41"/>
  <c r="E165" i="41"/>
  <c r="E166" i="41"/>
  <c r="M115" i="37"/>
  <c r="E167" i="41"/>
  <c r="E168" i="41"/>
  <c r="E169" i="41"/>
  <c r="M118" i="37"/>
  <c r="E170" i="41"/>
  <c r="E171" i="41"/>
  <c r="E172" i="41"/>
  <c r="M121" i="37"/>
  <c r="E173" i="41"/>
  <c r="E174" i="41"/>
  <c r="E175" i="41"/>
  <c r="M124" i="37"/>
  <c r="E176" i="41"/>
  <c r="E163" i="41"/>
  <c r="D164" i="41"/>
  <c r="D165" i="41"/>
  <c r="D166" i="41"/>
  <c r="D167" i="41"/>
  <c r="D168" i="41"/>
  <c r="D169" i="41"/>
  <c r="D170" i="41"/>
  <c r="D171" i="41"/>
  <c r="D172" i="41"/>
  <c r="D173" i="41"/>
  <c r="D174" i="41"/>
  <c r="D175" i="41"/>
  <c r="D176" i="41"/>
  <c r="D163" i="41"/>
  <c r="G125" i="41"/>
  <c r="G126" i="41"/>
  <c r="O52" i="37"/>
  <c r="G127" i="41"/>
  <c r="F125" i="41"/>
  <c r="F126" i="41"/>
  <c r="N52" i="37"/>
  <c r="F127" i="41"/>
  <c r="E125" i="41"/>
  <c r="M51" i="37"/>
  <c r="E126" i="41"/>
  <c r="M52" i="37"/>
  <c r="E127" i="41"/>
  <c r="D115" i="41"/>
  <c r="D116" i="41"/>
  <c r="D117" i="41"/>
  <c r="D118" i="41"/>
  <c r="D119" i="41"/>
  <c r="D120" i="41"/>
  <c r="D121" i="41"/>
  <c r="D122" i="41"/>
  <c r="D123" i="41"/>
  <c r="D124" i="41"/>
  <c r="D125" i="41"/>
  <c r="D126" i="41"/>
  <c r="D127" i="41"/>
  <c r="D114" i="41"/>
  <c r="G107" i="41"/>
  <c r="G108" i="41"/>
  <c r="O36" i="37"/>
  <c r="G109" i="41"/>
  <c r="N34" i="37"/>
  <c r="F107" i="41"/>
  <c r="M34" i="37"/>
  <c r="N35" i="37"/>
  <c r="F108" i="41"/>
  <c r="N36" i="37"/>
  <c r="F109" i="41"/>
  <c r="E107" i="41"/>
  <c r="M35" i="37"/>
  <c r="E108" i="41"/>
  <c r="M36" i="37"/>
  <c r="E109" i="41"/>
  <c r="D97" i="41"/>
  <c r="D98" i="41"/>
  <c r="D99" i="41"/>
  <c r="D100" i="41"/>
  <c r="D101" i="41"/>
  <c r="D102" i="41"/>
  <c r="D103" i="41"/>
  <c r="D104" i="41"/>
  <c r="D105" i="41"/>
  <c r="D106" i="41"/>
  <c r="D107" i="41"/>
  <c r="D108" i="41"/>
  <c r="D109" i="41"/>
  <c r="D96" i="41"/>
  <c r="G91" i="41"/>
  <c r="N7" i="37"/>
  <c r="N10" i="37"/>
  <c r="N18" i="37"/>
  <c r="O19" i="37"/>
  <c r="G92" i="41"/>
  <c r="O20" i="37"/>
  <c r="G93" i="41"/>
  <c r="F91" i="41"/>
  <c r="M18" i="37"/>
  <c r="N19" i="37"/>
  <c r="F92" i="41"/>
  <c r="N20" i="37"/>
  <c r="F93" i="41"/>
  <c r="E91" i="41"/>
  <c r="M19" i="37"/>
  <c r="E92" i="41"/>
  <c r="M16" i="37"/>
  <c r="M20" i="37"/>
  <c r="E93" i="41"/>
  <c r="D91" i="41"/>
  <c r="D92" i="41"/>
  <c r="D93" i="41"/>
  <c r="N65" i="37"/>
  <c r="F141" i="41"/>
  <c r="O65" i="37"/>
  <c r="G141" i="41"/>
  <c r="F142" i="41"/>
  <c r="G142" i="41"/>
  <c r="F143" i="41"/>
  <c r="G143" i="41"/>
  <c r="N68" i="37"/>
  <c r="F144" i="41"/>
  <c r="O68" i="37"/>
  <c r="G144" i="41"/>
  <c r="E142" i="41"/>
  <c r="M67" i="37"/>
  <c r="E143" i="41"/>
  <c r="M68" i="37"/>
  <c r="E144" i="41"/>
  <c r="D142" i="41"/>
  <c r="D143" i="41"/>
  <c r="D144" i="41"/>
  <c r="F147" i="41"/>
  <c r="G147" i="41"/>
  <c r="N72" i="37"/>
  <c r="F148" i="41"/>
  <c r="O72" i="37"/>
  <c r="G148" i="41"/>
  <c r="N73" i="37"/>
  <c r="F149" i="41"/>
  <c r="G149" i="41"/>
  <c r="F150" i="41"/>
  <c r="G150" i="41"/>
  <c r="N75" i="37"/>
  <c r="F151" i="41"/>
  <c r="O75" i="37"/>
  <c r="G151" i="41"/>
  <c r="N76" i="37"/>
  <c r="F152" i="41"/>
  <c r="G152" i="41"/>
  <c r="F153" i="41"/>
  <c r="G153" i="41"/>
  <c r="N78" i="37"/>
  <c r="F154" i="41"/>
  <c r="O78" i="37"/>
  <c r="G154" i="41"/>
  <c r="N79" i="37"/>
  <c r="F155" i="41"/>
  <c r="O79" i="37"/>
  <c r="G155" i="41"/>
  <c r="F156" i="41"/>
  <c r="G156" i="41"/>
  <c r="N81" i="37"/>
  <c r="F157" i="41"/>
  <c r="O81" i="37"/>
  <c r="G157" i="41"/>
  <c r="F158" i="41"/>
  <c r="G158" i="41"/>
  <c r="F159" i="41"/>
  <c r="G159" i="41"/>
  <c r="N84" i="37"/>
  <c r="F160" i="41"/>
  <c r="O84" i="37"/>
  <c r="G160" i="41"/>
  <c r="M72" i="37"/>
  <c r="E148" i="41"/>
  <c r="M73" i="37"/>
  <c r="E149" i="41"/>
  <c r="E150" i="41"/>
  <c r="M75" i="37"/>
  <c r="E151" i="41"/>
  <c r="M76" i="37"/>
  <c r="E152" i="41"/>
  <c r="E153" i="41"/>
  <c r="M78" i="37"/>
  <c r="E154" i="41"/>
  <c r="M79" i="37"/>
  <c r="E155" i="41"/>
  <c r="E156" i="41"/>
  <c r="M81" i="37"/>
  <c r="E157" i="41"/>
  <c r="E158" i="41"/>
  <c r="M83" i="37"/>
  <c r="E159" i="41"/>
  <c r="M84" i="37"/>
  <c r="E160" i="41"/>
  <c r="E147" i="41"/>
  <c r="D148" i="41"/>
  <c r="D149" i="41"/>
  <c r="D150" i="41"/>
  <c r="D151" i="41"/>
  <c r="D152" i="41"/>
  <c r="D153" i="41"/>
  <c r="D154" i="41"/>
  <c r="D155" i="41"/>
  <c r="D156" i="41"/>
  <c r="D157" i="41"/>
  <c r="D158" i="41"/>
  <c r="D159" i="41"/>
  <c r="D160" i="41"/>
  <c r="D147" i="41"/>
  <c r="F131" i="41"/>
  <c r="G131" i="41"/>
  <c r="N56" i="37"/>
  <c r="F132" i="41"/>
  <c r="O56" i="37"/>
  <c r="G132" i="41"/>
  <c r="N57" i="37"/>
  <c r="F133" i="41"/>
  <c r="G133" i="41"/>
  <c r="F134" i="41"/>
  <c r="G134" i="41"/>
  <c r="N59" i="37"/>
  <c r="F135" i="41"/>
  <c r="O59" i="37"/>
  <c r="G135" i="41"/>
  <c r="N60" i="37"/>
  <c r="F136" i="41"/>
  <c r="G136" i="41"/>
  <c r="F137" i="41"/>
  <c r="G137" i="41"/>
  <c r="N62" i="37"/>
  <c r="F138" i="41"/>
  <c r="O62" i="37"/>
  <c r="G138" i="41"/>
  <c r="N63" i="37"/>
  <c r="F139" i="41"/>
  <c r="O63" i="37"/>
  <c r="G139" i="41"/>
  <c r="F140" i="41"/>
  <c r="G140" i="41"/>
  <c r="M56" i="37"/>
  <c r="E132" i="41"/>
  <c r="M57" i="37"/>
  <c r="E133" i="41"/>
  <c r="E134" i="41"/>
  <c r="M59" i="37"/>
  <c r="E135" i="41"/>
  <c r="M60" i="37"/>
  <c r="E136" i="41"/>
  <c r="E137" i="41"/>
  <c r="M62" i="37"/>
  <c r="E138" i="41"/>
  <c r="M63" i="37"/>
  <c r="E139" i="41"/>
  <c r="E140" i="41"/>
  <c r="M65" i="37"/>
  <c r="E141" i="41"/>
  <c r="E131" i="41"/>
  <c r="L57" i="37"/>
  <c r="L63" i="37"/>
  <c r="L60" i="37"/>
  <c r="D141" i="41"/>
  <c r="D139" i="41"/>
  <c r="D140" i="41"/>
  <c r="D132" i="41"/>
  <c r="D133" i="41"/>
  <c r="D134" i="41"/>
  <c r="D135" i="41"/>
  <c r="D136" i="41"/>
  <c r="D137" i="41"/>
  <c r="D138" i="41"/>
  <c r="D131" i="41"/>
  <c r="F114" i="41"/>
  <c r="G114" i="41"/>
  <c r="N40" i="37"/>
  <c r="F115" i="41"/>
  <c r="O40" i="37"/>
  <c r="G115" i="41"/>
  <c r="N41" i="37"/>
  <c r="F116" i="41"/>
  <c r="G116" i="41"/>
  <c r="F117" i="41"/>
  <c r="G117" i="41"/>
  <c r="N43" i="37"/>
  <c r="F118" i="41"/>
  <c r="O43" i="37"/>
  <c r="G118" i="41"/>
  <c r="N44" i="37"/>
  <c r="F119" i="41"/>
  <c r="G119" i="41"/>
  <c r="F120" i="41"/>
  <c r="G120" i="41"/>
  <c r="N46" i="37"/>
  <c r="F121" i="41"/>
  <c r="O46" i="37"/>
  <c r="G121" i="41"/>
  <c r="N47" i="37"/>
  <c r="F122" i="41"/>
  <c r="O47" i="37"/>
  <c r="G122" i="41"/>
  <c r="F123" i="41"/>
  <c r="G123" i="41"/>
  <c r="N49" i="37"/>
  <c r="F124" i="41"/>
  <c r="O49" i="37"/>
  <c r="G124" i="41"/>
  <c r="M40" i="37"/>
  <c r="E115" i="41"/>
  <c r="M41" i="37"/>
  <c r="E116" i="41"/>
  <c r="E117" i="41"/>
  <c r="M43" i="37"/>
  <c r="E118" i="41"/>
  <c r="M44" i="37"/>
  <c r="E119" i="41"/>
  <c r="E120" i="41"/>
  <c r="M46" i="37"/>
  <c r="E121" i="41"/>
  <c r="M47" i="37"/>
  <c r="E122" i="41"/>
  <c r="E123" i="41"/>
  <c r="M49" i="37"/>
  <c r="E124" i="41"/>
  <c r="E114" i="41"/>
  <c r="D81" i="41"/>
  <c r="D82" i="41"/>
  <c r="D83" i="41"/>
  <c r="D84" i="41"/>
  <c r="D85" i="41"/>
  <c r="D86" i="41"/>
  <c r="D87" i="41"/>
  <c r="D88" i="41"/>
  <c r="D89" i="41"/>
  <c r="D90" i="41"/>
  <c r="D80" i="41"/>
  <c r="N25" i="37"/>
  <c r="M28" i="37"/>
  <c r="M25" i="37"/>
  <c r="M31" i="37"/>
  <c r="N28" i="37"/>
  <c r="N31" i="37"/>
  <c r="E96" i="41"/>
  <c r="M24" i="37"/>
  <c r="E97" i="41"/>
  <c r="E98" i="41"/>
  <c r="E99" i="41"/>
  <c r="M27" i="37"/>
  <c r="E100" i="41"/>
  <c r="E101" i="41"/>
  <c r="E102" i="41"/>
  <c r="M30" i="37"/>
  <c r="E103" i="41"/>
  <c r="E104" i="41"/>
  <c r="E105" i="41"/>
  <c r="M33" i="37"/>
  <c r="E106" i="41"/>
  <c r="E80" i="41"/>
  <c r="M8" i="37"/>
  <c r="E81" i="41"/>
  <c r="M9" i="37"/>
  <c r="E82" i="41"/>
  <c r="E83" i="41"/>
  <c r="M11" i="37"/>
  <c r="E84" i="41"/>
  <c r="M12" i="37"/>
  <c r="E85" i="41"/>
  <c r="E86" i="41"/>
  <c r="M14" i="37"/>
  <c r="E87" i="41"/>
  <c r="M15" i="37"/>
  <c r="E88" i="41"/>
  <c r="E89" i="41"/>
  <c r="M17" i="37"/>
  <c r="E90" i="41"/>
  <c r="F101" i="41"/>
  <c r="N24" i="37"/>
  <c r="F97" i="41"/>
  <c r="O24" i="37"/>
  <c r="G97" i="41"/>
  <c r="F98" i="41"/>
  <c r="G98" i="41"/>
  <c r="F99" i="41"/>
  <c r="G99" i="41"/>
  <c r="N27" i="37"/>
  <c r="F100" i="41"/>
  <c r="O27" i="37"/>
  <c r="G100" i="41"/>
  <c r="G101" i="41"/>
  <c r="F102" i="41"/>
  <c r="G102" i="41"/>
  <c r="N30" i="37"/>
  <c r="F103" i="41"/>
  <c r="O30" i="37"/>
  <c r="G103" i="41"/>
  <c r="F104" i="41"/>
  <c r="G104" i="41"/>
  <c r="F105" i="41"/>
  <c r="G105" i="41"/>
  <c r="N33" i="37"/>
  <c r="F106" i="41"/>
  <c r="O33" i="37"/>
  <c r="G106" i="41"/>
  <c r="G96" i="41"/>
  <c r="F96" i="41"/>
  <c r="O8" i="37"/>
  <c r="G81" i="41"/>
  <c r="G82" i="41"/>
  <c r="G83" i="41"/>
  <c r="O11" i="37"/>
  <c r="G84" i="41"/>
  <c r="G85" i="41"/>
  <c r="G86" i="41"/>
  <c r="N15" i="37"/>
  <c r="N13" i="37"/>
  <c r="O14" i="37"/>
  <c r="G87" i="41"/>
  <c r="G88" i="41"/>
  <c r="G89" i="41"/>
  <c r="O17" i="37"/>
  <c r="G90" i="41"/>
  <c r="G80" i="41"/>
  <c r="N8" i="37"/>
  <c r="F81" i="41"/>
  <c r="F82" i="41"/>
  <c r="F83" i="41"/>
  <c r="N11" i="37"/>
  <c r="F84" i="41"/>
  <c r="F85" i="41"/>
  <c r="F86" i="41"/>
  <c r="N14" i="37"/>
  <c r="F87" i="41"/>
  <c r="F88" i="41"/>
  <c r="F89" i="41"/>
  <c r="N17" i="37"/>
  <c r="F90" i="41"/>
  <c r="F80" i="41"/>
  <c r="E49" i="41"/>
  <c r="F42" i="41"/>
  <c r="F43" i="41"/>
  <c r="F44" i="41"/>
  <c r="F45" i="41"/>
  <c r="F46" i="41"/>
  <c r="F47" i="41"/>
  <c r="F48" i="41"/>
  <c r="F41" i="41"/>
  <c r="F49" i="41"/>
  <c r="U7" i="41"/>
  <c r="U14" i="41"/>
  <c r="U15" i="41"/>
  <c r="Q6" i="41"/>
  <c r="Q13" i="41"/>
  <c r="Q5" i="41"/>
  <c r="Q12" i="41"/>
  <c r="Q7" i="41"/>
  <c r="Q14" i="41"/>
  <c r="Q15" i="41"/>
  <c r="Q16" i="41"/>
  <c r="R13" i="41"/>
  <c r="R14" i="41"/>
  <c r="R15" i="41"/>
  <c r="R12" i="41"/>
  <c r="R16" i="41"/>
  <c r="Q8" i="41"/>
  <c r="R5" i="41"/>
  <c r="R6" i="41"/>
  <c r="R7" i="41"/>
  <c r="R8" i="41"/>
  <c r="L7" i="41"/>
  <c r="L14" i="41"/>
  <c r="L15" i="41"/>
  <c r="H5" i="41"/>
  <c r="H12" i="41"/>
  <c r="H6" i="41"/>
  <c r="H13" i="41"/>
  <c r="H7" i="41"/>
  <c r="H14" i="41"/>
  <c r="H15" i="41"/>
  <c r="H16" i="41"/>
  <c r="I12" i="41"/>
  <c r="I13" i="41"/>
  <c r="I14" i="41"/>
  <c r="I15" i="41"/>
  <c r="I16" i="41"/>
  <c r="H8" i="41"/>
  <c r="I6" i="41"/>
  <c r="I7" i="41"/>
  <c r="I5" i="41"/>
  <c r="I8" i="41"/>
  <c r="E17" i="41"/>
  <c r="E9" i="41"/>
  <c r="F109" i="40"/>
  <c r="F108" i="40"/>
  <c r="G109" i="40"/>
  <c r="G108" i="40"/>
  <c r="F47" i="40"/>
  <c r="G47" i="40"/>
  <c r="H47" i="40"/>
  <c r="E47" i="40"/>
  <c r="K49" i="2"/>
  <c r="K48" i="2"/>
  <c r="G60" i="40"/>
  <c r="F60" i="40"/>
  <c r="G61" i="40"/>
  <c r="H60" i="40"/>
  <c r="H61" i="40"/>
  <c r="G62" i="40"/>
  <c r="H45" i="40"/>
  <c r="H62" i="40"/>
  <c r="G55" i="40"/>
  <c r="F55" i="40"/>
  <c r="G56" i="40"/>
  <c r="H55" i="40"/>
  <c r="H56" i="40"/>
  <c r="G57" i="40"/>
  <c r="H57" i="40"/>
  <c r="G51" i="40"/>
  <c r="H50" i="40"/>
  <c r="H51" i="40"/>
  <c r="H52" i="40"/>
  <c r="G48" i="40"/>
  <c r="H48" i="40"/>
  <c r="G49" i="40"/>
  <c r="H49" i="40"/>
  <c r="G46" i="40"/>
  <c r="H46" i="40"/>
  <c r="F62" i="40"/>
  <c r="E60" i="40"/>
  <c r="F61" i="40"/>
  <c r="F57" i="40"/>
  <c r="E55" i="40"/>
  <c r="F56" i="40"/>
  <c r="F51" i="40"/>
  <c r="F49" i="40"/>
  <c r="F48" i="40"/>
  <c r="F46" i="40"/>
  <c r="F59" i="40"/>
  <c r="G59" i="40"/>
  <c r="H59" i="40"/>
  <c r="E59" i="40"/>
  <c r="F58" i="40"/>
  <c r="G58" i="40"/>
  <c r="H58" i="40"/>
  <c r="F53" i="40"/>
  <c r="G53" i="40"/>
  <c r="H53" i="40"/>
  <c r="I53" i="40"/>
  <c r="F54" i="40"/>
  <c r="G54" i="40"/>
  <c r="H54" i="40"/>
  <c r="I54" i="40"/>
  <c r="J54" i="40"/>
  <c r="K54" i="40"/>
  <c r="L54" i="40"/>
  <c r="M54" i="40"/>
  <c r="E58" i="40"/>
  <c r="E54" i="40"/>
  <c r="E53" i="40"/>
  <c r="N41" i="20"/>
  <c r="G29" i="40"/>
  <c r="O41" i="20"/>
  <c r="H29" i="40"/>
  <c r="N15" i="20"/>
  <c r="G26" i="40"/>
  <c r="O15" i="20"/>
  <c r="H26" i="40"/>
  <c r="M41" i="20"/>
  <c r="F29" i="40"/>
  <c r="M15" i="20"/>
  <c r="F26" i="40"/>
  <c r="N36" i="20"/>
  <c r="G19" i="40"/>
  <c r="O36" i="20"/>
  <c r="H19" i="40"/>
  <c r="N11" i="20"/>
  <c r="G16" i="40"/>
  <c r="O11" i="20"/>
  <c r="H16" i="40"/>
  <c r="M36" i="20"/>
  <c r="F19" i="40"/>
  <c r="M11" i="20"/>
  <c r="F16" i="40"/>
  <c r="N31" i="20"/>
  <c r="G9" i="40"/>
  <c r="O31" i="20"/>
  <c r="H9" i="40"/>
  <c r="N7" i="20"/>
  <c r="G6" i="40"/>
  <c r="O7" i="20"/>
  <c r="H6" i="40"/>
  <c r="M31" i="20"/>
  <c r="F9" i="40"/>
  <c r="M7" i="20"/>
  <c r="F6" i="40"/>
  <c r="H37" i="40"/>
  <c r="I37" i="40"/>
  <c r="J37" i="40"/>
  <c r="K37" i="40"/>
  <c r="L37" i="40"/>
  <c r="M37" i="40"/>
  <c r="H34" i="40"/>
  <c r="I34" i="40"/>
  <c r="J34" i="40"/>
  <c r="K34" i="40"/>
  <c r="L34" i="40"/>
  <c r="M34" i="40"/>
  <c r="F17" i="40"/>
  <c r="G17" i="40"/>
  <c r="H17" i="40"/>
  <c r="F27" i="40"/>
  <c r="G27" i="40"/>
  <c r="H27" i="40"/>
  <c r="I27" i="40"/>
  <c r="J27" i="40"/>
  <c r="K27" i="40"/>
  <c r="L27" i="40"/>
  <c r="M27" i="40"/>
  <c r="F24" i="40"/>
  <c r="G24" i="40"/>
  <c r="H24" i="40"/>
  <c r="I24" i="40"/>
  <c r="J24" i="40"/>
  <c r="K24" i="40"/>
  <c r="L24" i="40"/>
  <c r="M24" i="40"/>
  <c r="F14" i="40"/>
  <c r="G14" i="40"/>
  <c r="H14" i="40"/>
  <c r="E27" i="40"/>
  <c r="E24" i="40"/>
  <c r="E17" i="40"/>
  <c r="E14" i="40"/>
  <c r="F7" i="40"/>
  <c r="G7" i="40"/>
  <c r="H7" i="40"/>
  <c r="F4" i="40"/>
  <c r="G4" i="40"/>
  <c r="H4" i="40"/>
  <c r="E7" i="40"/>
  <c r="E4" i="40"/>
  <c r="M40" i="40"/>
  <c r="L40" i="40"/>
  <c r="K40" i="40"/>
  <c r="J40" i="40"/>
  <c r="I40" i="40"/>
  <c r="H40" i="40"/>
  <c r="M38" i="40"/>
  <c r="L38" i="40"/>
  <c r="K38" i="40"/>
  <c r="J38" i="40"/>
  <c r="M35" i="40"/>
  <c r="L35" i="40"/>
  <c r="K35" i="40"/>
  <c r="J35" i="40"/>
  <c r="M30" i="40"/>
  <c r="L30" i="40"/>
  <c r="K30" i="40"/>
  <c r="J30" i="40"/>
  <c r="I30" i="40"/>
  <c r="H30" i="40"/>
  <c r="G30" i="40"/>
  <c r="F30" i="40"/>
  <c r="E30" i="40"/>
  <c r="M28" i="40"/>
  <c r="L28" i="40"/>
  <c r="K28" i="40"/>
  <c r="J28" i="40"/>
  <c r="I28" i="40"/>
  <c r="H28" i="40"/>
  <c r="G28" i="40"/>
  <c r="F28" i="40"/>
  <c r="M25" i="40"/>
  <c r="L25" i="40"/>
  <c r="K25" i="40"/>
  <c r="J25" i="40"/>
  <c r="I25" i="40"/>
  <c r="H25" i="40"/>
  <c r="G25" i="40"/>
  <c r="F25" i="40"/>
  <c r="H20" i="40"/>
  <c r="G20" i="40"/>
  <c r="F20" i="40"/>
  <c r="E20" i="40"/>
  <c r="H18" i="40"/>
  <c r="G18" i="40"/>
  <c r="F18" i="40"/>
  <c r="H15" i="40"/>
  <c r="G15" i="40"/>
  <c r="F15" i="40"/>
  <c r="G5" i="40"/>
  <c r="H5" i="40"/>
  <c r="G8" i="40"/>
  <c r="H8" i="40"/>
  <c r="G10" i="40"/>
  <c r="H10" i="40"/>
  <c r="E10" i="40"/>
  <c r="F10" i="40"/>
  <c r="F8" i="40"/>
  <c r="F5" i="40"/>
  <c r="AD14" i="27"/>
  <c r="AD16" i="13"/>
  <c r="U21" i="2"/>
  <c r="U25" i="2"/>
  <c r="V21" i="2"/>
  <c r="V25" i="2"/>
  <c r="W11" i="2"/>
  <c r="W12" i="2"/>
  <c r="W13" i="2"/>
  <c r="W14" i="2"/>
  <c r="W21" i="2"/>
  <c r="W25" i="2"/>
  <c r="X11" i="2"/>
  <c r="X12" i="2"/>
  <c r="X13" i="2"/>
  <c r="X14" i="2"/>
  <c r="X21" i="2"/>
  <c r="X25" i="2"/>
  <c r="Y11" i="2"/>
  <c r="Y12" i="2"/>
  <c r="Y13" i="2"/>
  <c r="Y14" i="2"/>
  <c r="Y21" i="2"/>
  <c r="Y25" i="2"/>
  <c r="Z11" i="2"/>
  <c r="Z12" i="2"/>
  <c r="Z13" i="2"/>
  <c r="Z14" i="2"/>
  <c r="Z21" i="2"/>
  <c r="Z25" i="2"/>
  <c r="AA11" i="2"/>
  <c r="AA12" i="2"/>
  <c r="AA13" i="2"/>
  <c r="AA14" i="2"/>
  <c r="AA21" i="2"/>
  <c r="AA25" i="2"/>
  <c r="AB11" i="2"/>
  <c r="AB12" i="2"/>
  <c r="AB13" i="2"/>
  <c r="AB14" i="2"/>
  <c r="AB21" i="2"/>
  <c r="AB25" i="2"/>
  <c r="AC11" i="2"/>
  <c r="AC12" i="2"/>
  <c r="AC13" i="2"/>
  <c r="AC14" i="2"/>
  <c r="AC21" i="2"/>
  <c r="AC25" i="2"/>
  <c r="AD18" i="11"/>
  <c r="AD20" i="13"/>
  <c r="AD11" i="2"/>
  <c r="AD12" i="2"/>
  <c r="AD13" i="2"/>
  <c r="AD14" i="2"/>
  <c r="AD21" i="2"/>
  <c r="AD25" i="2"/>
  <c r="U52" i="2"/>
  <c r="V52" i="2"/>
  <c r="W52" i="2"/>
  <c r="X52" i="2"/>
  <c r="Y52" i="2"/>
  <c r="Z52" i="2"/>
  <c r="AA52" i="2"/>
  <c r="AB52" i="2"/>
  <c r="AC52" i="2"/>
  <c r="AD52" i="2"/>
  <c r="O134" i="1"/>
  <c r="U51" i="2"/>
  <c r="V51" i="2"/>
  <c r="W51" i="2"/>
  <c r="X51" i="2"/>
  <c r="Y51" i="2"/>
  <c r="Z51" i="2"/>
  <c r="AA51" i="2"/>
  <c r="AB51" i="2"/>
  <c r="AC51" i="2"/>
  <c r="AD51" i="2"/>
  <c r="E61" i="39"/>
  <c r="E53" i="39"/>
  <c r="E85" i="39"/>
  <c r="E74" i="39"/>
  <c r="E76" i="39"/>
  <c r="E77" i="39"/>
  <c r="E78" i="39"/>
  <c r="E109" i="39"/>
  <c r="E98" i="39"/>
  <c r="E100" i="39"/>
  <c r="G126" i="39"/>
  <c r="G125" i="39"/>
  <c r="G124" i="39"/>
  <c r="G123" i="39"/>
  <c r="S98" i="39"/>
  <c r="P98" i="39"/>
  <c r="Q98" i="39"/>
  <c r="R98" i="39"/>
  <c r="P108" i="39"/>
  <c r="Q108" i="39"/>
  <c r="R108" i="39"/>
  <c r="S108" i="39"/>
  <c r="S109" i="39"/>
  <c r="P99" i="39"/>
  <c r="Q99" i="39"/>
  <c r="R99" i="39"/>
  <c r="S99" i="39"/>
  <c r="S100" i="39"/>
  <c r="R109" i="39"/>
  <c r="R100" i="39"/>
  <c r="Q109" i="39"/>
  <c r="Q100" i="39"/>
  <c r="P109" i="39"/>
  <c r="P100" i="39"/>
  <c r="P77" i="39"/>
  <c r="Q77" i="39"/>
  <c r="R77" i="39"/>
  <c r="S77" i="39"/>
  <c r="P74" i="39"/>
  <c r="Q74" i="39"/>
  <c r="R74" i="39"/>
  <c r="S74" i="39"/>
  <c r="P84" i="39"/>
  <c r="Q84" i="39"/>
  <c r="R84" i="39"/>
  <c r="S84" i="39"/>
  <c r="S85" i="39"/>
  <c r="P75" i="39"/>
  <c r="Q75" i="39"/>
  <c r="R75" i="39"/>
  <c r="S75" i="39"/>
  <c r="S76" i="39"/>
  <c r="S78" i="39"/>
  <c r="R85" i="39"/>
  <c r="R76" i="39"/>
  <c r="R78" i="39"/>
  <c r="Q85" i="39"/>
  <c r="Q76" i="39"/>
  <c r="Q78" i="39"/>
  <c r="P85" i="39"/>
  <c r="P76" i="39"/>
  <c r="P78" i="39"/>
  <c r="P53" i="39"/>
  <c r="Q53" i="39"/>
  <c r="R53" i="39"/>
  <c r="S53" i="39"/>
  <c r="P60" i="39"/>
  <c r="Q60" i="39"/>
  <c r="R60" i="39"/>
  <c r="S60" i="39"/>
  <c r="S61" i="39"/>
  <c r="P51" i="39"/>
  <c r="Q51" i="39"/>
  <c r="R51" i="39"/>
  <c r="S51" i="39"/>
  <c r="R61" i="39"/>
  <c r="Q61" i="39"/>
  <c r="P61" i="39"/>
  <c r="P36" i="39"/>
  <c r="P37" i="39"/>
  <c r="Q36" i="39"/>
  <c r="Q37" i="39"/>
  <c r="R36" i="39"/>
  <c r="R37" i="39"/>
  <c r="S36" i="39"/>
  <c r="S37" i="39"/>
  <c r="N93" i="30"/>
  <c r="O93" i="30"/>
  <c r="Q93" i="30"/>
  <c r="R93" i="30"/>
  <c r="S93" i="30"/>
  <c r="T93" i="30"/>
  <c r="U93" i="30"/>
  <c r="V93" i="30"/>
  <c r="W93" i="30"/>
  <c r="X93" i="30"/>
  <c r="Y93" i="30"/>
  <c r="Z93" i="30"/>
  <c r="AA93" i="30"/>
  <c r="AB93" i="30"/>
  <c r="AC93" i="30"/>
  <c r="AD93" i="30"/>
  <c r="Q88" i="30"/>
  <c r="R88" i="30"/>
  <c r="S88" i="30"/>
  <c r="T88" i="30"/>
  <c r="U88" i="30"/>
  <c r="V88" i="30"/>
  <c r="W88" i="30"/>
  <c r="X88" i="30"/>
  <c r="Y88" i="30"/>
  <c r="Z88" i="30"/>
  <c r="AA88" i="30"/>
  <c r="AB88" i="30"/>
  <c r="AC88" i="30"/>
  <c r="AD88" i="30"/>
  <c r="O88" i="30"/>
  <c r="O53" i="1"/>
  <c r="S80" i="21"/>
  <c r="T80" i="21"/>
  <c r="U80" i="21"/>
  <c r="V80" i="21"/>
  <c r="W80" i="21"/>
  <c r="X80" i="21"/>
  <c r="Y80" i="21"/>
  <c r="Z80" i="21"/>
  <c r="N13" i="29"/>
  <c r="O13" i="29"/>
  <c r="P13" i="29"/>
  <c r="Q13" i="29"/>
  <c r="R13" i="29"/>
  <c r="S13" i="29"/>
  <c r="T13" i="29"/>
  <c r="U13" i="29"/>
  <c r="V13" i="29"/>
  <c r="W13" i="29"/>
  <c r="N14" i="29"/>
  <c r="O14" i="29"/>
  <c r="P14" i="29"/>
  <c r="Q14" i="29"/>
  <c r="R14" i="29"/>
  <c r="S14" i="29"/>
  <c r="T14" i="29"/>
  <c r="U14" i="29"/>
  <c r="V14" i="29"/>
  <c r="W14" i="29"/>
  <c r="Q33" i="21"/>
  <c r="N15" i="29"/>
  <c r="R33" i="21"/>
  <c r="O15" i="29"/>
  <c r="S33" i="21"/>
  <c r="P15" i="29"/>
  <c r="T33" i="21"/>
  <c r="Q15" i="29"/>
  <c r="U33" i="21"/>
  <c r="R15" i="29"/>
  <c r="V33" i="21"/>
  <c r="S15" i="29"/>
  <c r="W33" i="21"/>
  <c r="T15" i="29"/>
  <c r="X33" i="21"/>
  <c r="U15" i="29"/>
  <c r="Y33" i="21"/>
  <c r="V15" i="29"/>
  <c r="Z33" i="21"/>
  <c r="W15" i="29"/>
  <c r="Q32" i="21"/>
  <c r="N16" i="29"/>
  <c r="R32" i="21"/>
  <c r="O16" i="29"/>
  <c r="S32" i="21"/>
  <c r="P16" i="29"/>
  <c r="T32" i="21"/>
  <c r="Q16" i="29"/>
  <c r="U32" i="21"/>
  <c r="R16" i="29"/>
  <c r="V32" i="21"/>
  <c r="S16" i="29"/>
  <c r="W32" i="21"/>
  <c r="T16" i="29"/>
  <c r="X32" i="21"/>
  <c r="U16" i="29"/>
  <c r="Y32" i="21"/>
  <c r="V16" i="29"/>
  <c r="Z32" i="21"/>
  <c r="W16" i="29"/>
  <c r="L78" i="21"/>
  <c r="M78" i="21"/>
  <c r="N78" i="21"/>
  <c r="O78" i="21"/>
  <c r="P78" i="21"/>
  <c r="Q78" i="21"/>
  <c r="Q77" i="21"/>
  <c r="Q74" i="21"/>
  <c r="N8" i="29"/>
  <c r="P74" i="21"/>
  <c r="M8" i="29"/>
  <c r="N9" i="29"/>
  <c r="R78" i="21"/>
  <c r="R77" i="21"/>
  <c r="R74" i="21"/>
  <c r="O8" i="29"/>
  <c r="O9" i="29"/>
  <c r="S78" i="21"/>
  <c r="S77" i="21"/>
  <c r="S74" i="21"/>
  <c r="P8" i="29"/>
  <c r="P9" i="29"/>
  <c r="T78" i="21"/>
  <c r="T77" i="21"/>
  <c r="T74" i="21"/>
  <c r="Q8" i="29"/>
  <c r="Q9" i="29"/>
  <c r="U78" i="21"/>
  <c r="U77" i="21"/>
  <c r="U74" i="21"/>
  <c r="R8" i="29"/>
  <c r="R9" i="29"/>
  <c r="V78" i="21"/>
  <c r="V77" i="21"/>
  <c r="V74" i="21"/>
  <c r="S8" i="29"/>
  <c r="S9" i="29"/>
  <c r="W78" i="21"/>
  <c r="W77" i="21"/>
  <c r="W74" i="21"/>
  <c r="T8" i="29"/>
  <c r="T9" i="29"/>
  <c r="X78" i="21"/>
  <c r="X77" i="21"/>
  <c r="X74" i="21"/>
  <c r="U8" i="29"/>
  <c r="U9" i="29"/>
  <c r="Y78" i="21"/>
  <c r="Y77" i="21"/>
  <c r="Y74" i="21"/>
  <c r="V8" i="29"/>
  <c r="V9" i="29"/>
  <c r="Z78" i="21"/>
  <c r="Z77" i="21"/>
  <c r="Z74" i="21"/>
  <c r="W8" i="29"/>
  <c r="W9" i="29"/>
  <c r="N10" i="29"/>
  <c r="O10" i="29"/>
  <c r="P10" i="29"/>
  <c r="Q10" i="29"/>
  <c r="R10" i="29"/>
  <c r="S10" i="29"/>
  <c r="T10" i="29"/>
  <c r="U10" i="29"/>
  <c r="V10" i="29"/>
  <c r="W10" i="29"/>
  <c r="N11" i="29"/>
  <c r="O11" i="29"/>
  <c r="P11" i="29"/>
  <c r="Q11" i="29"/>
  <c r="R11" i="29"/>
  <c r="S11" i="29"/>
  <c r="T11" i="29"/>
  <c r="U11" i="29"/>
  <c r="V11" i="29"/>
  <c r="W11" i="29"/>
  <c r="N7" i="29"/>
  <c r="O7" i="29"/>
  <c r="P7" i="29"/>
  <c r="Q7" i="29"/>
  <c r="R7" i="29"/>
  <c r="S7" i="29"/>
  <c r="T7" i="29"/>
  <c r="U7" i="29"/>
  <c r="V7" i="29"/>
  <c r="W7" i="29"/>
  <c r="Q75" i="21"/>
  <c r="R75" i="21"/>
  <c r="S75" i="21"/>
  <c r="T75" i="21"/>
  <c r="U75" i="21"/>
  <c r="V75" i="21"/>
  <c r="W75" i="21"/>
  <c r="X75" i="21"/>
  <c r="Y75" i="21"/>
  <c r="Z75" i="21"/>
  <c r="Q76" i="21"/>
  <c r="R76" i="21"/>
  <c r="S76" i="21"/>
  <c r="T76" i="21"/>
  <c r="U76" i="21"/>
  <c r="V76" i="21"/>
  <c r="W76" i="21"/>
  <c r="X76" i="21"/>
  <c r="Y76" i="21"/>
  <c r="Z76" i="21"/>
  <c r="Q36" i="21"/>
  <c r="R36" i="21"/>
  <c r="S36" i="21"/>
  <c r="T36" i="21"/>
  <c r="U36" i="21"/>
  <c r="V36" i="21"/>
  <c r="W36" i="21"/>
  <c r="X36" i="21"/>
  <c r="Y36" i="21"/>
  <c r="Z36" i="21"/>
  <c r="R30" i="21"/>
  <c r="S30" i="21"/>
  <c r="T30" i="21"/>
  <c r="U30" i="21"/>
  <c r="V30" i="21"/>
  <c r="W30" i="21"/>
  <c r="X30" i="21"/>
  <c r="Y30" i="21"/>
  <c r="Z30" i="21"/>
  <c r="Q31" i="21"/>
  <c r="R31" i="21"/>
  <c r="S31" i="21"/>
  <c r="T31" i="21"/>
  <c r="U31" i="21"/>
  <c r="V31" i="21"/>
  <c r="W31" i="21"/>
  <c r="X31" i="21"/>
  <c r="Y31" i="21"/>
  <c r="Z31" i="21"/>
  <c r="J223" i="21"/>
  <c r="J222" i="21"/>
  <c r="J225" i="21"/>
  <c r="K225" i="21"/>
  <c r="J226" i="21"/>
  <c r="J228" i="21"/>
  <c r="K228" i="21"/>
  <c r="J229" i="21"/>
  <c r="J231" i="21"/>
  <c r="K231" i="21"/>
  <c r="J232" i="21"/>
  <c r="J277" i="21"/>
  <c r="K279" i="21"/>
  <c r="K32" i="21"/>
  <c r="J272" i="21"/>
  <c r="K266" i="21"/>
  <c r="K267" i="21"/>
  <c r="K33" i="21"/>
  <c r="J256" i="21"/>
  <c r="K144" i="21"/>
  <c r="K145" i="21"/>
  <c r="K157" i="21"/>
  <c r="K158" i="21"/>
  <c r="K155" i="21"/>
  <c r="K159" i="21"/>
  <c r="K162" i="21"/>
  <c r="K163" i="21"/>
  <c r="L225" i="21"/>
  <c r="L228" i="21"/>
  <c r="L231" i="21"/>
  <c r="K272" i="21"/>
  <c r="L266" i="21"/>
  <c r="L267" i="21"/>
  <c r="L33" i="21"/>
  <c r="L145" i="21"/>
  <c r="L157" i="21"/>
  <c r="L158" i="21"/>
  <c r="L155" i="21"/>
  <c r="L159" i="21"/>
  <c r="L163" i="21"/>
  <c r="M225" i="21"/>
  <c r="M228" i="21"/>
  <c r="M231" i="21"/>
  <c r="L272" i="21"/>
  <c r="M266" i="21"/>
  <c r="M267" i="21"/>
  <c r="M33" i="21"/>
  <c r="M145" i="21"/>
  <c r="M157" i="21"/>
  <c r="M158" i="21"/>
  <c r="M155" i="21"/>
  <c r="M159" i="21"/>
  <c r="M163" i="21"/>
  <c r="N225" i="21"/>
  <c r="N228" i="21"/>
  <c r="N231" i="21"/>
  <c r="M272" i="21"/>
  <c r="N266" i="21"/>
  <c r="N267" i="21"/>
  <c r="N33" i="21"/>
  <c r="N145" i="21"/>
  <c r="N157" i="21"/>
  <c r="N158" i="21"/>
  <c r="N155" i="21"/>
  <c r="N159" i="21"/>
  <c r="N163" i="21"/>
  <c r="O225" i="21"/>
  <c r="O228" i="21"/>
  <c r="O231" i="21"/>
  <c r="N272" i="21"/>
  <c r="O266" i="21"/>
  <c r="O267" i="21"/>
  <c r="O33" i="21"/>
  <c r="O145" i="21"/>
  <c r="O157" i="21"/>
  <c r="O158" i="21"/>
  <c r="O155" i="21"/>
  <c r="O159" i="21"/>
  <c r="O163" i="21"/>
  <c r="O272" i="21"/>
  <c r="P266" i="21"/>
  <c r="P267" i="21"/>
  <c r="P33" i="21"/>
  <c r="Q38" i="21"/>
  <c r="R38" i="21"/>
  <c r="S38" i="21"/>
  <c r="T38" i="21"/>
  <c r="U38" i="21"/>
  <c r="V38" i="21"/>
  <c r="W38" i="21"/>
  <c r="X38" i="21"/>
  <c r="Y38" i="21"/>
  <c r="Z38" i="21"/>
  <c r="Q27" i="21"/>
  <c r="R27" i="21"/>
  <c r="S27" i="21"/>
  <c r="T27" i="21"/>
  <c r="U27" i="21"/>
  <c r="V27" i="21"/>
  <c r="W27" i="21"/>
  <c r="X27" i="21"/>
  <c r="Y27" i="21"/>
  <c r="Z27" i="21"/>
  <c r="Q15" i="21"/>
  <c r="Q14" i="21"/>
  <c r="Q18" i="21"/>
  <c r="Q20" i="21"/>
  <c r="R15" i="21"/>
  <c r="R14" i="21"/>
  <c r="R18" i="21"/>
  <c r="R20" i="21"/>
  <c r="S15" i="21"/>
  <c r="S14" i="21"/>
  <c r="S18" i="21"/>
  <c r="S20" i="21"/>
  <c r="T15" i="21"/>
  <c r="T14" i="21"/>
  <c r="T18" i="21"/>
  <c r="T20" i="21"/>
  <c r="U15" i="21"/>
  <c r="U14" i="21"/>
  <c r="U18" i="21"/>
  <c r="U20" i="21"/>
  <c r="V15" i="21"/>
  <c r="V14" i="21"/>
  <c r="V18" i="21"/>
  <c r="V20" i="21"/>
  <c r="W15" i="21"/>
  <c r="W14" i="21"/>
  <c r="W18" i="21"/>
  <c r="W20" i="21"/>
  <c r="X15" i="21"/>
  <c r="X14" i="21"/>
  <c r="X18" i="21"/>
  <c r="X20" i="21"/>
  <c r="Y15" i="21"/>
  <c r="Y14" i="21"/>
  <c r="Y18" i="21"/>
  <c r="Y20" i="21"/>
  <c r="Z15" i="21"/>
  <c r="Z14" i="21"/>
  <c r="Z18" i="21"/>
  <c r="Z20" i="21"/>
  <c r="Q22" i="21"/>
  <c r="Q21" i="21"/>
  <c r="R22" i="21"/>
  <c r="R21" i="21"/>
  <c r="S22" i="21"/>
  <c r="S21" i="21"/>
  <c r="T22" i="21"/>
  <c r="T21" i="21"/>
  <c r="U22" i="21"/>
  <c r="U21" i="21"/>
  <c r="V22" i="21"/>
  <c r="V21" i="21"/>
  <c r="W22" i="21"/>
  <c r="W21" i="21"/>
  <c r="X22" i="21"/>
  <c r="X21" i="21"/>
  <c r="Y22" i="21"/>
  <c r="Y21" i="21"/>
  <c r="Z22" i="21"/>
  <c r="Z21" i="21"/>
  <c r="Q23" i="21"/>
  <c r="R23" i="21"/>
  <c r="S23" i="21"/>
  <c r="T23" i="21"/>
  <c r="U23" i="21"/>
  <c r="V23" i="21"/>
  <c r="W23" i="21"/>
  <c r="X23" i="21"/>
  <c r="Y23" i="21"/>
  <c r="Z23" i="21"/>
  <c r="Q19" i="21"/>
  <c r="R19" i="21"/>
  <c r="S19" i="21"/>
  <c r="T19" i="21"/>
  <c r="U19" i="21"/>
  <c r="V19" i="21"/>
  <c r="W19" i="21"/>
  <c r="X19" i="21"/>
  <c r="Y19" i="21"/>
  <c r="Z19" i="21"/>
  <c r="Q6" i="21"/>
  <c r="R6" i="21"/>
  <c r="S6" i="21"/>
  <c r="T6" i="21"/>
  <c r="U6" i="21"/>
  <c r="V6" i="21"/>
  <c r="W6" i="21"/>
  <c r="X6" i="21"/>
  <c r="Y6" i="21"/>
  <c r="Z6" i="21"/>
  <c r="Q12" i="13"/>
  <c r="R12" i="13"/>
  <c r="S12" i="13"/>
  <c r="T12" i="13"/>
  <c r="U12" i="13"/>
  <c r="V12" i="13"/>
  <c r="W12" i="13"/>
  <c r="X12" i="13"/>
  <c r="Y12" i="13"/>
  <c r="Z12" i="13"/>
  <c r="AA12" i="13"/>
  <c r="AB12" i="13"/>
  <c r="AC12" i="13"/>
  <c r="AD12" i="13"/>
  <c r="O12" i="13"/>
  <c r="T14" i="11"/>
  <c r="U14" i="11"/>
  <c r="V14" i="11"/>
  <c r="W14" i="11"/>
  <c r="X14" i="11"/>
  <c r="Y14" i="11"/>
  <c r="Z14" i="11"/>
  <c r="AA14" i="11"/>
  <c r="AB14" i="11"/>
  <c r="AC14" i="11"/>
  <c r="AD14" i="11"/>
  <c r="O14" i="11"/>
  <c r="F6" i="11"/>
  <c r="G6" i="11"/>
  <c r="H6" i="11"/>
  <c r="I6" i="11"/>
  <c r="J6" i="11"/>
  <c r="K6" i="11"/>
  <c r="L6" i="11"/>
  <c r="M6" i="11"/>
  <c r="N6" i="11"/>
  <c r="O6" i="11"/>
  <c r="N164" i="11"/>
  <c r="O164" i="11"/>
  <c r="M164" i="11"/>
  <c r="AD163" i="11"/>
  <c r="AC163" i="11"/>
  <c r="AB163" i="11"/>
  <c r="AA163" i="11"/>
  <c r="Z163" i="11"/>
  <c r="Y163" i="11"/>
  <c r="X163" i="11"/>
  <c r="W163" i="11"/>
  <c r="V163" i="11"/>
  <c r="U163" i="11"/>
  <c r="T163" i="11"/>
  <c r="S163" i="11"/>
  <c r="R163" i="11"/>
  <c r="Q163" i="11"/>
  <c r="P163" i="11"/>
  <c r="O163" i="11"/>
  <c r="N163" i="11"/>
  <c r="M163" i="11"/>
  <c r="V69" i="38"/>
  <c r="U69" i="38"/>
  <c r="T69" i="38"/>
  <c r="S69" i="38"/>
  <c r="R69" i="38"/>
  <c r="Q69" i="38"/>
  <c r="P69" i="38"/>
  <c r="O69" i="38"/>
  <c r="V68" i="38"/>
  <c r="U68" i="38"/>
  <c r="T68" i="38"/>
  <c r="S68" i="38"/>
  <c r="R68" i="38"/>
  <c r="Q68" i="38"/>
  <c r="P68" i="38"/>
  <c r="O68" i="38"/>
  <c r="V67" i="38"/>
  <c r="U67" i="38"/>
  <c r="T67" i="38"/>
  <c r="S67" i="38"/>
  <c r="R67" i="38"/>
  <c r="Q67" i="38"/>
  <c r="P67" i="38"/>
  <c r="O67" i="38"/>
  <c r="V66" i="38"/>
  <c r="U66" i="38"/>
  <c r="T66" i="38"/>
  <c r="S66" i="38"/>
  <c r="R66" i="38"/>
  <c r="Q66" i="38"/>
  <c r="P66" i="38"/>
  <c r="O66" i="38"/>
  <c r="M29" i="11"/>
  <c r="N29" i="11"/>
  <c r="Q122" i="11"/>
  <c r="R122" i="11"/>
  <c r="S122" i="11"/>
  <c r="T122" i="11"/>
  <c r="U122" i="11"/>
  <c r="V122" i="11"/>
  <c r="W122" i="11"/>
  <c r="X122" i="11"/>
  <c r="Y122" i="11"/>
  <c r="Z122" i="11"/>
  <c r="AA122" i="11"/>
  <c r="AB122" i="11"/>
  <c r="AC122" i="11"/>
  <c r="AD122" i="11"/>
  <c r="P122" i="11"/>
  <c r="U176" i="37"/>
  <c r="U175" i="37"/>
  <c r="U174" i="37"/>
  <c r="V176" i="37"/>
  <c r="V175" i="37"/>
  <c r="V174" i="37"/>
  <c r="W176" i="37"/>
  <c r="W175" i="37"/>
  <c r="W174" i="37"/>
  <c r="X176" i="37"/>
  <c r="X175" i="37"/>
  <c r="X174" i="37"/>
  <c r="Y176" i="37"/>
  <c r="Y175" i="37"/>
  <c r="Y174" i="37"/>
  <c r="Z176" i="37"/>
  <c r="Z175" i="37"/>
  <c r="Z174" i="37"/>
  <c r="AA176" i="37"/>
  <c r="AA175" i="37"/>
  <c r="AA174" i="37"/>
  <c r="AB176" i="37"/>
  <c r="AB175" i="37"/>
  <c r="AB174" i="37"/>
  <c r="AC176" i="37"/>
  <c r="AC175" i="37"/>
  <c r="AC174" i="37"/>
  <c r="AD176" i="37"/>
  <c r="AD175" i="37"/>
  <c r="AD174" i="37"/>
  <c r="K173" i="37"/>
  <c r="U162" i="37"/>
  <c r="V162" i="37"/>
  <c r="W162" i="37"/>
  <c r="X162" i="37"/>
  <c r="Y162" i="37"/>
  <c r="Z162" i="37"/>
  <c r="AA162" i="37"/>
  <c r="AB162" i="37"/>
  <c r="AC162" i="37"/>
  <c r="AD162" i="37"/>
  <c r="Q151" i="37"/>
  <c r="R151" i="37"/>
  <c r="S151" i="37"/>
  <c r="U151" i="37"/>
  <c r="V151" i="37"/>
  <c r="W151" i="37"/>
  <c r="X151" i="37"/>
  <c r="Y151" i="37"/>
  <c r="Z151" i="37"/>
  <c r="AA151" i="37"/>
  <c r="AB151" i="37"/>
  <c r="AC151" i="37"/>
  <c r="AD151" i="37"/>
  <c r="I149" i="37"/>
  <c r="AD156" i="37"/>
  <c r="AC156" i="37"/>
  <c r="AB156" i="37"/>
  <c r="AA156" i="37"/>
  <c r="Z156" i="37"/>
  <c r="Y156" i="37"/>
  <c r="X156" i="37"/>
  <c r="W156" i="37"/>
  <c r="V156" i="37"/>
  <c r="U156" i="37"/>
  <c r="T156" i="37"/>
  <c r="S156" i="37"/>
  <c r="R156" i="37"/>
  <c r="Q156" i="37"/>
  <c r="P156" i="37"/>
  <c r="L156" i="37"/>
  <c r="K154" i="37"/>
  <c r="K156" i="37"/>
  <c r="J154" i="37"/>
  <c r="J156" i="37"/>
  <c r="I154" i="37"/>
  <c r="I156" i="37"/>
  <c r="L155" i="37"/>
  <c r="K155" i="37"/>
  <c r="J155" i="37"/>
  <c r="I155" i="37"/>
  <c r="L153" i="37"/>
  <c r="K153" i="37"/>
  <c r="J153" i="37"/>
  <c r="I153" i="37"/>
  <c r="L151" i="37"/>
  <c r="K151" i="37"/>
  <c r="J151" i="37"/>
  <c r="I151" i="37"/>
  <c r="AD149" i="37"/>
  <c r="AC149" i="37"/>
  <c r="AD150" i="37"/>
  <c r="AB149" i="37"/>
  <c r="AC150" i="37"/>
  <c r="AA149" i="37"/>
  <c r="AB150" i="37"/>
  <c r="Z149" i="37"/>
  <c r="AA150" i="37"/>
  <c r="Y149" i="37"/>
  <c r="Z150" i="37"/>
  <c r="X149" i="37"/>
  <c r="Y150" i="37"/>
  <c r="W149" i="37"/>
  <c r="X150" i="37"/>
  <c r="V149" i="37"/>
  <c r="W150" i="37"/>
  <c r="U149" i="37"/>
  <c r="V150" i="37"/>
  <c r="U150" i="37"/>
  <c r="S149" i="37"/>
  <c r="T150" i="37"/>
  <c r="R149" i="37"/>
  <c r="S150" i="37"/>
  <c r="Q149" i="37"/>
  <c r="R150" i="37"/>
  <c r="Q150" i="37"/>
  <c r="P150" i="37"/>
  <c r="K150" i="37"/>
  <c r="J150" i="37"/>
  <c r="I150" i="37"/>
  <c r="L148" i="37"/>
  <c r="K148" i="37"/>
  <c r="J148" i="37"/>
  <c r="I148" i="37"/>
  <c r="AD147" i="37"/>
  <c r="AC147" i="37"/>
  <c r="AB147" i="37"/>
  <c r="AA147" i="37"/>
  <c r="Z147" i="37"/>
  <c r="Y147" i="37"/>
  <c r="X147" i="37"/>
  <c r="W147" i="37"/>
  <c r="V147" i="37"/>
  <c r="U147" i="37"/>
  <c r="T147" i="37"/>
  <c r="S147" i="37"/>
  <c r="R147" i="37"/>
  <c r="Q147" i="37"/>
  <c r="P147" i="37"/>
  <c r="K147" i="37"/>
  <c r="J147" i="37"/>
  <c r="I147" i="37"/>
  <c r="L145" i="37"/>
  <c r="K145" i="37"/>
  <c r="J145" i="37"/>
  <c r="I145" i="37"/>
  <c r="AD144" i="37"/>
  <c r="AC144" i="37"/>
  <c r="AB144" i="37"/>
  <c r="AA144" i="37"/>
  <c r="Z144" i="37"/>
  <c r="Y144" i="37"/>
  <c r="X144" i="37"/>
  <c r="W144" i="37"/>
  <c r="V144" i="37"/>
  <c r="U144" i="37"/>
  <c r="T144" i="37"/>
  <c r="S144" i="37"/>
  <c r="R144" i="37"/>
  <c r="Q144" i="37"/>
  <c r="P144" i="37"/>
  <c r="L144" i="37"/>
  <c r="K144" i="37"/>
  <c r="J144" i="37"/>
  <c r="L140" i="37"/>
  <c r="I138" i="37"/>
  <c r="I139" i="37"/>
  <c r="J138" i="37"/>
  <c r="J139" i="37"/>
  <c r="K138" i="37"/>
  <c r="K139" i="37"/>
  <c r="I136" i="37"/>
  <c r="I140" i="37"/>
  <c r="J136" i="37"/>
  <c r="J140" i="37"/>
  <c r="K136" i="37"/>
  <c r="K140" i="37"/>
  <c r="I137" i="37"/>
  <c r="J137" i="37"/>
  <c r="K137" i="37"/>
  <c r="I134" i="37"/>
  <c r="J134" i="37"/>
  <c r="K134" i="37"/>
  <c r="I135" i="37"/>
  <c r="J135" i="37"/>
  <c r="K135" i="37"/>
  <c r="I131" i="37"/>
  <c r="J131" i="37"/>
  <c r="K131" i="37"/>
  <c r="I132" i="37"/>
  <c r="J132" i="37"/>
  <c r="K132" i="37"/>
  <c r="L132" i="37"/>
  <c r="I129" i="37"/>
  <c r="J129" i="37"/>
  <c r="K129" i="37"/>
  <c r="L129" i="37"/>
  <c r="J128" i="37"/>
  <c r="K128" i="37"/>
  <c r="L139" i="37"/>
  <c r="L137" i="37"/>
  <c r="L131" i="37"/>
  <c r="L128" i="37"/>
  <c r="L119" i="37"/>
  <c r="L116" i="37"/>
  <c r="L113" i="37"/>
  <c r="L124" i="37"/>
  <c r="L121" i="37"/>
  <c r="L112" i="37"/>
  <c r="U99" i="37"/>
  <c r="V99" i="37"/>
  <c r="W99" i="37"/>
  <c r="X99" i="37"/>
  <c r="Y99" i="37"/>
  <c r="Z99" i="37"/>
  <c r="AA99" i="37"/>
  <c r="AB99" i="37"/>
  <c r="AC99" i="37"/>
  <c r="AD99" i="37"/>
  <c r="U96" i="37"/>
  <c r="V96" i="37"/>
  <c r="W96" i="37"/>
  <c r="X96" i="37"/>
  <c r="Y96" i="37"/>
  <c r="Z96" i="37"/>
  <c r="AA96" i="37"/>
  <c r="AB96" i="37"/>
  <c r="AC96" i="37"/>
  <c r="AD96" i="37"/>
  <c r="U93" i="37"/>
  <c r="V93" i="37"/>
  <c r="W93" i="37"/>
  <c r="X93" i="37"/>
  <c r="Y93" i="37"/>
  <c r="Z93" i="37"/>
  <c r="AA93" i="37"/>
  <c r="AB93" i="37"/>
  <c r="AC93" i="37"/>
  <c r="AD93" i="37"/>
  <c r="U90" i="37"/>
  <c r="V90" i="37"/>
  <c r="W90" i="37"/>
  <c r="X90" i="37"/>
  <c r="Y90" i="37"/>
  <c r="Z90" i="37"/>
  <c r="AA90" i="37"/>
  <c r="AB90" i="37"/>
  <c r="AC90" i="37"/>
  <c r="AD90" i="37"/>
  <c r="AD84" i="37"/>
  <c r="AC84" i="37"/>
  <c r="AB84" i="37"/>
  <c r="AA84" i="37"/>
  <c r="Z84" i="37"/>
  <c r="Y84" i="37"/>
  <c r="X84" i="37"/>
  <c r="W84" i="37"/>
  <c r="V84" i="37"/>
  <c r="U84" i="37"/>
  <c r="T84" i="37"/>
  <c r="S84" i="37"/>
  <c r="R84" i="37"/>
  <c r="Q84" i="37"/>
  <c r="P84" i="37"/>
  <c r="L84" i="37"/>
  <c r="L81" i="37"/>
  <c r="AD77" i="37"/>
  <c r="AC77" i="37"/>
  <c r="AD78" i="37"/>
  <c r="AB77" i="37"/>
  <c r="AC78" i="37"/>
  <c r="AA77" i="37"/>
  <c r="AB78" i="37"/>
  <c r="Z77" i="37"/>
  <c r="AA78" i="37"/>
  <c r="Y77" i="37"/>
  <c r="Z78" i="37"/>
  <c r="X77" i="37"/>
  <c r="Y78" i="37"/>
  <c r="W77" i="37"/>
  <c r="X78" i="37"/>
  <c r="V77" i="37"/>
  <c r="W78" i="37"/>
  <c r="U77" i="37"/>
  <c r="V78" i="37"/>
  <c r="U78" i="37"/>
  <c r="S77" i="37"/>
  <c r="T78" i="37"/>
  <c r="R77" i="37"/>
  <c r="S78" i="37"/>
  <c r="Q77" i="37"/>
  <c r="R78" i="37"/>
  <c r="Q78" i="37"/>
  <c r="P78" i="37"/>
  <c r="AD75" i="37"/>
  <c r="AC75" i="37"/>
  <c r="AB75" i="37"/>
  <c r="AA75" i="37"/>
  <c r="Z75" i="37"/>
  <c r="Y75" i="37"/>
  <c r="X75" i="37"/>
  <c r="W75" i="37"/>
  <c r="V75" i="37"/>
  <c r="U75" i="37"/>
  <c r="T75" i="37"/>
  <c r="S75" i="37"/>
  <c r="R75" i="37"/>
  <c r="Q75" i="37"/>
  <c r="P75" i="37"/>
  <c r="L73" i="37"/>
  <c r="AD72" i="37"/>
  <c r="AC72" i="37"/>
  <c r="AB72" i="37"/>
  <c r="AA72" i="37"/>
  <c r="Z72" i="37"/>
  <c r="Y72" i="37"/>
  <c r="X72" i="37"/>
  <c r="W72" i="37"/>
  <c r="V72" i="37"/>
  <c r="U72" i="37"/>
  <c r="T72" i="37"/>
  <c r="S72" i="37"/>
  <c r="R72" i="37"/>
  <c r="Q72" i="37"/>
  <c r="P72" i="37"/>
  <c r="L72" i="37"/>
  <c r="AD68" i="37"/>
  <c r="AC68" i="37"/>
  <c r="AB68" i="37"/>
  <c r="AA68" i="37"/>
  <c r="Z68" i="37"/>
  <c r="Y68" i="37"/>
  <c r="X68" i="37"/>
  <c r="W68" i="37"/>
  <c r="V68" i="37"/>
  <c r="U68" i="37"/>
  <c r="T68" i="37"/>
  <c r="S68" i="37"/>
  <c r="R68" i="37"/>
  <c r="Q68" i="37"/>
  <c r="P68" i="37"/>
  <c r="L68" i="37"/>
  <c r="L65" i="37"/>
  <c r="AD61" i="37"/>
  <c r="AC61" i="37"/>
  <c r="AD62" i="37"/>
  <c r="AB61" i="37"/>
  <c r="AC62" i="37"/>
  <c r="AA61" i="37"/>
  <c r="AB62" i="37"/>
  <c r="Z61" i="37"/>
  <c r="AA62" i="37"/>
  <c r="Y61" i="37"/>
  <c r="Z62" i="37"/>
  <c r="X61" i="37"/>
  <c r="Y62" i="37"/>
  <c r="W61" i="37"/>
  <c r="X62" i="37"/>
  <c r="V61" i="37"/>
  <c r="W62" i="37"/>
  <c r="U61" i="37"/>
  <c r="V62" i="37"/>
  <c r="U62" i="37"/>
  <c r="S61" i="37"/>
  <c r="T62" i="37"/>
  <c r="R61" i="37"/>
  <c r="S62" i="37"/>
  <c r="Q61" i="37"/>
  <c r="R62" i="37"/>
  <c r="Q62" i="37"/>
  <c r="P62" i="37"/>
  <c r="AD59" i="37"/>
  <c r="AC59" i="37"/>
  <c r="AB59" i="37"/>
  <c r="AA59" i="37"/>
  <c r="Z59" i="37"/>
  <c r="Y59" i="37"/>
  <c r="X59" i="37"/>
  <c r="W59" i="37"/>
  <c r="V59" i="37"/>
  <c r="U59" i="37"/>
  <c r="T59" i="37"/>
  <c r="S59" i="37"/>
  <c r="R59" i="37"/>
  <c r="Q59" i="37"/>
  <c r="P59" i="37"/>
  <c r="AD56" i="37"/>
  <c r="AC56" i="37"/>
  <c r="AB56" i="37"/>
  <c r="AA56" i="37"/>
  <c r="Z56" i="37"/>
  <c r="Y56" i="37"/>
  <c r="X56" i="37"/>
  <c r="W56" i="37"/>
  <c r="V56" i="37"/>
  <c r="U56" i="37"/>
  <c r="T56" i="37"/>
  <c r="S56" i="37"/>
  <c r="R56" i="37"/>
  <c r="Q56" i="37"/>
  <c r="P56" i="37"/>
  <c r="L56" i="37"/>
  <c r="AD52" i="37"/>
  <c r="AC52" i="37"/>
  <c r="AB52" i="37"/>
  <c r="AA52" i="37"/>
  <c r="Z52" i="37"/>
  <c r="Y52" i="37"/>
  <c r="X52" i="37"/>
  <c r="W52" i="37"/>
  <c r="V52" i="37"/>
  <c r="U52" i="37"/>
  <c r="T52" i="37"/>
  <c r="S52" i="37"/>
  <c r="R52" i="37"/>
  <c r="Q52" i="37"/>
  <c r="P52" i="37"/>
  <c r="L52" i="37"/>
  <c r="L49" i="37"/>
  <c r="AD45" i="37"/>
  <c r="AC45" i="37"/>
  <c r="AD46" i="37"/>
  <c r="AB45" i="37"/>
  <c r="AC46" i="37"/>
  <c r="AA45" i="37"/>
  <c r="AB46" i="37"/>
  <c r="Z45" i="37"/>
  <c r="AA46" i="37"/>
  <c r="Y45" i="37"/>
  <c r="Z46" i="37"/>
  <c r="X45" i="37"/>
  <c r="Y46" i="37"/>
  <c r="W45" i="37"/>
  <c r="X46" i="37"/>
  <c r="V45" i="37"/>
  <c r="W46" i="37"/>
  <c r="U45" i="37"/>
  <c r="V46" i="37"/>
  <c r="U46" i="37"/>
  <c r="S45" i="37"/>
  <c r="T46" i="37"/>
  <c r="R45" i="37"/>
  <c r="S46" i="37"/>
  <c r="Q45" i="37"/>
  <c r="R46" i="37"/>
  <c r="Q46" i="37"/>
  <c r="P46" i="37"/>
  <c r="AD43" i="37"/>
  <c r="AC43" i="37"/>
  <c r="AB43" i="37"/>
  <c r="AA43" i="37"/>
  <c r="Z43" i="37"/>
  <c r="Y43" i="37"/>
  <c r="X43" i="37"/>
  <c r="W43" i="37"/>
  <c r="V43" i="37"/>
  <c r="U43" i="37"/>
  <c r="T43" i="37"/>
  <c r="S43" i="37"/>
  <c r="R43" i="37"/>
  <c r="Q43" i="37"/>
  <c r="P43" i="37"/>
  <c r="L41" i="37"/>
  <c r="AD40" i="37"/>
  <c r="AC40" i="37"/>
  <c r="AB40" i="37"/>
  <c r="AA40" i="37"/>
  <c r="Z40" i="37"/>
  <c r="Y40" i="37"/>
  <c r="X40" i="37"/>
  <c r="W40" i="37"/>
  <c r="V40" i="37"/>
  <c r="U40" i="37"/>
  <c r="T40" i="37"/>
  <c r="S40" i="37"/>
  <c r="R40" i="37"/>
  <c r="Q40" i="37"/>
  <c r="P40" i="37"/>
  <c r="L40" i="37"/>
  <c r="L36" i="37"/>
  <c r="L33" i="37"/>
  <c r="L31" i="37"/>
  <c r="L25" i="37"/>
  <c r="L24" i="37"/>
  <c r="Q15" i="37"/>
  <c r="Q13" i="37"/>
  <c r="R15" i="37"/>
  <c r="R13" i="37"/>
  <c r="S15" i="37"/>
  <c r="S13" i="37"/>
  <c r="U15" i="37"/>
  <c r="U13" i="37"/>
  <c r="V15" i="37"/>
  <c r="V13" i="37"/>
  <c r="W15" i="37"/>
  <c r="W13" i="37"/>
  <c r="X15" i="37"/>
  <c r="X13" i="37"/>
  <c r="Y15" i="37"/>
  <c r="Y13" i="37"/>
  <c r="Z15" i="37"/>
  <c r="Z13" i="37"/>
  <c r="AA15" i="37"/>
  <c r="AA13" i="37"/>
  <c r="AB15" i="37"/>
  <c r="AB13" i="37"/>
  <c r="AC15" i="37"/>
  <c r="AC13" i="37"/>
  <c r="AD15" i="37"/>
  <c r="AD13" i="37"/>
  <c r="P14" i="37"/>
  <c r="Q14" i="37"/>
  <c r="R14" i="37"/>
  <c r="S14" i="37"/>
  <c r="T14" i="37"/>
  <c r="U14" i="37"/>
  <c r="V14" i="37"/>
  <c r="W14" i="37"/>
  <c r="X14" i="37"/>
  <c r="Y14" i="37"/>
  <c r="Z14" i="37"/>
  <c r="AA14" i="37"/>
  <c r="AB14" i="37"/>
  <c r="AC14" i="37"/>
  <c r="AD14" i="37"/>
  <c r="P11" i="37"/>
  <c r="Q11" i="37"/>
  <c r="R11" i="37"/>
  <c r="S11" i="37"/>
  <c r="T11" i="37"/>
  <c r="U11" i="37"/>
  <c r="V11" i="37"/>
  <c r="W11" i="37"/>
  <c r="X11" i="37"/>
  <c r="Y11" i="37"/>
  <c r="Z11" i="37"/>
  <c r="AA11" i="37"/>
  <c r="AB11" i="37"/>
  <c r="AC11" i="37"/>
  <c r="AD11" i="37"/>
  <c r="P8" i="37"/>
  <c r="Q8" i="37"/>
  <c r="R8" i="37"/>
  <c r="S8" i="37"/>
  <c r="T8" i="37"/>
  <c r="U8" i="37"/>
  <c r="V8" i="37"/>
  <c r="W8" i="37"/>
  <c r="X8" i="37"/>
  <c r="Y8" i="37"/>
  <c r="Z8" i="37"/>
  <c r="AA8" i="37"/>
  <c r="AB8" i="37"/>
  <c r="AC8" i="37"/>
  <c r="AD8" i="37"/>
  <c r="P20" i="37"/>
  <c r="Q20" i="37"/>
  <c r="R20" i="37"/>
  <c r="S20" i="37"/>
  <c r="T20" i="37"/>
  <c r="U20" i="37"/>
  <c r="V20" i="37"/>
  <c r="W20" i="37"/>
  <c r="X20" i="37"/>
  <c r="Y20" i="37"/>
  <c r="Z20" i="37"/>
  <c r="AA20" i="37"/>
  <c r="AB20" i="37"/>
  <c r="AC20" i="37"/>
  <c r="AD20" i="37"/>
  <c r="L20" i="37"/>
  <c r="L17" i="37"/>
  <c r="L15" i="37"/>
  <c r="L12" i="37"/>
  <c r="L9" i="37"/>
  <c r="L8" i="37"/>
  <c r="M6" i="27"/>
  <c r="N6" i="27"/>
  <c r="O6" i="27"/>
  <c r="P206" i="11"/>
  <c r="P205" i="11"/>
  <c r="Q209" i="11"/>
  <c r="Q206" i="11"/>
  <c r="Q205" i="11"/>
  <c r="R206" i="11"/>
  <c r="R205" i="11"/>
  <c r="S206" i="11"/>
  <c r="S205" i="11"/>
  <c r="T207" i="11"/>
  <c r="T208" i="11"/>
  <c r="T206" i="11"/>
  <c r="T205" i="11"/>
  <c r="P231" i="11"/>
  <c r="Q231" i="11"/>
  <c r="R232" i="11"/>
  <c r="R231" i="11"/>
  <c r="S232" i="11"/>
  <c r="S231" i="11"/>
  <c r="T232" i="11"/>
  <c r="T231" i="11"/>
  <c r="P121" i="11"/>
  <c r="P120" i="11"/>
  <c r="Q121" i="11"/>
  <c r="Q120" i="11"/>
  <c r="R121" i="11"/>
  <c r="R120" i="11"/>
  <c r="S121" i="11"/>
  <c r="S120" i="11"/>
  <c r="T121" i="11"/>
  <c r="T120" i="11"/>
  <c r="L11" i="29"/>
  <c r="M11" i="29"/>
  <c r="S226" i="11"/>
  <c r="T226" i="11"/>
  <c r="T224" i="11"/>
  <c r="O239" i="11"/>
  <c r="P239" i="11"/>
  <c r="Q239" i="11"/>
  <c r="R239" i="11"/>
  <c r="S239" i="11"/>
  <c r="T239" i="11"/>
  <c r="T237" i="11"/>
  <c r="R151" i="11"/>
  <c r="S151" i="11"/>
  <c r="T151" i="11"/>
  <c r="T149" i="11"/>
  <c r="H11" i="29"/>
  <c r="I11" i="29"/>
  <c r="P224" i="11"/>
  <c r="P237" i="11"/>
  <c r="P149" i="11"/>
  <c r="J11" i="29"/>
  <c r="Q226" i="11"/>
  <c r="Q224" i="11"/>
  <c r="Q237" i="11"/>
  <c r="Q149" i="11"/>
  <c r="K11" i="29"/>
  <c r="R224" i="11"/>
  <c r="R237" i="11"/>
  <c r="R149" i="11"/>
  <c r="S224" i="11"/>
  <c r="S237" i="11"/>
  <c r="S149" i="11"/>
  <c r="O28" i="11"/>
  <c r="N28" i="11"/>
  <c r="M28" i="11"/>
  <c r="I7" i="21"/>
  <c r="Q75" i="30"/>
  <c r="R75" i="30"/>
  <c r="S75" i="30"/>
  <c r="T75" i="30"/>
  <c r="U93" i="11"/>
  <c r="U123" i="11"/>
  <c r="U121" i="11"/>
  <c r="U120" i="11"/>
  <c r="U207" i="11"/>
  <c r="U209" i="11"/>
  <c r="U208" i="11"/>
  <c r="U206" i="11"/>
  <c r="U205" i="11"/>
  <c r="U232" i="11"/>
  <c r="U231" i="11"/>
  <c r="U149" i="11"/>
  <c r="U226" i="11"/>
  <c r="U224" i="11"/>
  <c r="U239" i="11"/>
  <c r="U237" i="11"/>
  <c r="U75" i="30"/>
  <c r="V93" i="11"/>
  <c r="V123" i="11"/>
  <c r="V121" i="11"/>
  <c r="V120" i="11"/>
  <c r="V207" i="11"/>
  <c r="V209" i="11"/>
  <c r="V208" i="11"/>
  <c r="V206" i="11"/>
  <c r="V205" i="11"/>
  <c r="V232" i="11"/>
  <c r="V231" i="11"/>
  <c r="V18" i="27"/>
  <c r="V151" i="11"/>
  <c r="V149" i="11"/>
  <c r="V226" i="11"/>
  <c r="V224" i="11"/>
  <c r="V239" i="11"/>
  <c r="V237" i="11"/>
  <c r="V75" i="30"/>
  <c r="W93" i="11"/>
  <c r="W123" i="11"/>
  <c r="W121" i="11"/>
  <c r="W120" i="11"/>
  <c r="W207" i="11"/>
  <c r="W209" i="11"/>
  <c r="W208" i="11"/>
  <c r="W206" i="11"/>
  <c r="W205" i="11"/>
  <c r="W232" i="11"/>
  <c r="W231" i="11"/>
  <c r="W18" i="27"/>
  <c r="W98" i="11"/>
  <c r="W151" i="11"/>
  <c r="W149" i="11"/>
  <c r="W226" i="11"/>
  <c r="W224" i="11"/>
  <c r="W239" i="11"/>
  <c r="W237" i="11"/>
  <c r="W75" i="30"/>
  <c r="X93" i="11"/>
  <c r="X123" i="11"/>
  <c r="X121" i="11"/>
  <c r="X120" i="11"/>
  <c r="X207" i="11"/>
  <c r="X209" i="11"/>
  <c r="X208" i="11"/>
  <c r="X206" i="11"/>
  <c r="X205" i="11"/>
  <c r="X232" i="11"/>
  <c r="X231" i="11"/>
  <c r="X18" i="27"/>
  <c r="X98" i="11"/>
  <c r="X151" i="11"/>
  <c r="X149" i="11"/>
  <c r="X226" i="11"/>
  <c r="X224" i="11"/>
  <c r="X239" i="11"/>
  <c r="X237" i="11"/>
  <c r="X75" i="30"/>
  <c r="Y123" i="11"/>
  <c r="Y121" i="11"/>
  <c r="Y120" i="11"/>
  <c r="Y209" i="11"/>
  <c r="Y206" i="11"/>
  <c r="Y205" i="11"/>
  <c r="Y232" i="11"/>
  <c r="Y231" i="11"/>
  <c r="Y18" i="27"/>
  <c r="Y98" i="11"/>
  <c r="Y149" i="11"/>
  <c r="Y224" i="11"/>
  <c r="Y237" i="11"/>
  <c r="Y75" i="30"/>
  <c r="Z93" i="11"/>
  <c r="Z121" i="11"/>
  <c r="Z120" i="11"/>
  <c r="Z209" i="11"/>
  <c r="Z207" i="11"/>
  <c r="Z208" i="11"/>
  <c r="Z206" i="11"/>
  <c r="Z205" i="11"/>
  <c r="Z231" i="11"/>
  <c r="Z18" i="27"/>
  <c r="Z98" i="11"/>
  <c r="Z151" i="11"/>
  <c r="Z149" i="11"/>
  <c r="Z226" i="11"/>
  <c r="Z224" i="11"/>
  <c r="Z239" i="11"/>
  <c r="Z237" i="11"/>
  <c r="Z75" i="30"/>
  <c r="AA93" i="11"/>
  <c r="AA121" i="11"/>
  <c r="AA120" i="11"/>
  <c r="AA209" i="11"/>
  <c r="AA207" i="11"/>
  <c r="AA208" i="11"/>
  <c r="AA206" i="11"/>
  <c r="AA205" i="11"/>
  <c r="AA232" i="11"/>
  <c r="AA231" i="11"/>
  <c r="AA18" i="27"/>
  <c r="AA98" i="11"/>
  <c r="AA151" i="11"/>
  <c r="AA149" i="11"/>
  <c r="AA226" i="11"/>
  <c r="AA224" i="11"/>
  <c r="AA239" i="11"/>
  <c r="AA237" i="11"/>
  <c r="AA75" i="30"/>
  <c r="AB93" i="11"/>
  <c r="AB121" i="11"/>
  <c r="AB120" i="11"/>
  <c r="AB209" i="11"/>
  <c r="AB207" i="11"/>
  <c r="AB208" i="11"/>
  <c r="AB206" i="11"/>
  <c r="AB205" i="11"/>
  <c r="AB232" i="11"/>
  <c r="AB231" i="11"/>
  <c r="AB18" i="27"/>
  <c r="AB98" i="11"/>
  <c r="AB151" i="11"/>
  <c r="AB149" i="11"/>
  <c r="AB226" i="11"/>
  <c r="AB224" i="11"/>
  <c r="AB239" i="11"/>
  <c r="AB237" i="11"/>
  <c r="AB75" i="30"/>
  <c r="AC93" i="11"/>
  <c r="AC121" i="11"/>
  <c r="AC120" i="11"/>
  <c r="AC209" i="11"/>
  <c r="AC207" i="11"/>
  <c r="AC208" i="11"/>
  <c r="AC206" i="11"/>
  <c r="AC205" i="11"/>
  <c r="AC232" i="11"/>
  <c r="AC231" i="11"/>
  <c r="AC18" i="27"/>
  <c r="AC98" i="11"/>
  <c r="AC151" i="11"/>
  <c r="AC149" i="11"/>
  <c r="AC226" i="11"/>
  <c r="AC224" i="11"/>
  <c r="AC239" i="11"/>
  <c r="AC237" i="11"/>
  <c r="AC75" i="30"/>
  <c r="AD93" i="11"/>
  <c r="AD121" i="11"/>
  <c r="AD120" i="11"/>
  <c r="AD209" i="11"/>
  <c r="AD207" i="11"/>
  <c r="AD206" i="11"/>
  <c r="AD205" i="11"/>
  <c r="AD232" i="11"/>
  <c r="AD231" i="11"/>
  <c r="AD18" i="27"/>
  <c r="AD98" i="11"/>
  <c r="AD151" i="11"/>
  <c r="AD149" i="11"/>
  <c r="AD226" i="11"/>
  <c r="AD224" i="11"/>
  <c r="AD239" i="11"/>
  <c r="AD237" i="11"/>
  <c r="AD75" i="30"/>
  <c r="N48" i="20"/>
  <c r="N42" i="20"/>
  <c r="O42" i="20"/>
  <c r="N37" i="20"/>
  <c r="O37" i="20"/>
  <c r="N32" i="20"/>
  <c r="O32" i="20"/>
  <c r="M48" i="20"/>
  <c r="M42" i="20"/>
  <c r="M37" i="20"/>
  <c r="M32" i="20"/>
  <c r="N20" i="20"/>
  <c r="N16" i="20"/>
  <c r="O16" i="20"/>
  <c r="M20" i="20"/>
  <c r="M16" i="20"/>
  <c r="N12" i="20"/>
  <c r="O12" i="20"/>
  <c r="M12" i="20"/>
  <c r="N8" i="20"/>
  <c r="O8" i="20"/>
  <c r="M8" i="20"/>
  <c r="O81" i="20"/>
  <c r="O60" i="30"/>
  <c r="F56" i="30"/>
  <c r="F49" i="30"/>
  <c r="F58" i="30"/>
  <c r="G56" i="30"/>
  <c r="G49" i="30"/>
  <c r="G58" i="30"/>
  <c r="H56" i="30"/>
  <c r="H49" i="30"/>
  <c r="H58" i="30"/>
  <c r="I56" i="30"/>
  <c r="I49" i="30"/>
  <c r="I58" i="30"/>
  <c r="J56" i="30"/>
  <c r="J49" i="30"/>
  <c r="J58" i="30"/>
  <c r="K56" i="30"/>
  <c r="K49" i="30"/>
  <c r="K58" i="30"/>
  <c r="L58" i="30"/>
  <c r="M58" i="30"/>
  <c r="N58" i="30"/>
  <c r="E56" i="30"/>
  <c r="E49" i="30"/>
  <c r="E58" i="30"/>
  <c r="F50" i="30"/>
  <c r="F52" i="30"/>
  <c r="G50" i="30"/>
  <c r="G52" i="30"/>
  <c r="H50" i="30"/>
  <c r="H52" i="30"/>
  <c r="I50" i="30"/>
  <c r="I52" i="30"/>
  <c r="J50" i="30"/>
  <c r="J52" i="30"/>
  <c r="K50" i="30"/>
  <c r="K52" i="30"/>
  <c r="L52" i="30"/>
  <c r="M52" i="30"/>
  <c r="N52" i="30"/>
  <c r="E50" i="30"/>
  <c r="E52" i="30"/>
  <c r="O5" i="3"/>
  <c r="O7" i="3"/>
  <c r="O6" i="3"/>
  <c r="O19" i="3"/>
  <c r="O21" i="3"/>
  <c r="O27" i="3"/>
  <c r="O63" i="3"/>
  <c r="O124" i="1"/>
  <c r="N60" i="30"/>
  <c r="N16" i="27"/>
  <c r="N18" i="13"/>
  <c r="H32" i="29"/>
  <c r="K90" i="21"/>
  <c r="H37" i="29"/>
  <c r="H71" i="29"/>
  <c r="K91" i="21"/>
  <c r="H38" i="29"/>
  <c r="H73" i="29"/>
  <c r="K114" i="21"/>
  <c r="H60" i="29"/>
  <c r="K116" i="21"/>
  <c r="H62" i="29"/>
  <c r="H75" i="29"/>
  <c r="H78" i="29"/>
  <c r="G37" i="29"/>
  <c r="G71" i="29"/>
  <c r="G38" i="29"/>
  <c r="G73" i="29"/>
  <c r="G60" i="29"/>
  <c r="G62" i="29"/>
  <c r="G75" i="29"/>
  <c r="G78" i="29"/>
  <c r="H79" i="29"/>
  <c r="I32" i="29"/>
  <c r="L90" i="21"/>
  <c r="I37" i="29"/>
  <c r="I71" i="29"/>
  <c r="L91" i="21"/>
  <c r="I38" i="29"/>
  <c r="I73" i="29"/>
  <c r="L114" i="21"/>
  <c r="I60" i="29"/>
  <c r="L116" i="21"/>
  <c r="I62" i="29"/>
  <c r="I75" i="29"/>
  <c r="I78" i="29"/>
  <c r="I79" i="29"/>
  <c r="J32" i="29"/>
  <c r="M90" i="21"/>
  <c r="J37" i="29"/>
  <c r="J71" i="29"/>
  <c r="M91" i="21"/>
  <c r="J38" i="29"/>
  <c r="J73" i="29"/>
  <c r="M114" i="21"/>
  <c r="J60" i="29"/>
  <c r="M116" i="21"/>
  <c r="J62" i="29"/>
  <c r="J75" i="29"/>
  <c r="J78" i="29"/>
  <c r="J79" i="29"/>
  <c r="K32" i="29"/>
  <c r="N90" i="21"/>
  <c r="K37" i="29"/>
  <c r="K71" i="29"/>
  <c r="N91" i="21"/>
  <c r="K38" i="29"/>
  <c r="K73" i="29"/>
  <c r="N114" i="21"/>
  <c r="K60" i="29"/>
  <c r="N116" i="21"/>
  <c r="K62" i="29"/>
  <c r="K75" i="29"/>
  <c r="K78" i="29"/>
  <c r="K79" i="29"/>
  <c r="L32" i="29"/>
  <c r="O90" i="21"/>
  <c r="L37" i="29"/>
  <c r="L71" i="29"/>
  <c r="O91" i="21"/>
  <c r="L38" i="29"/>
  <c r="L73" i="29"/>
  <c r="O114" i="21"/>
  <c r="L60" i="29"/>
  <c r="O116" i="21"/>
  <c r="L62" i="29"/>
  <c r="L75" i="29"/>
  <c r="L78" i="29"/>
  <c r="L79" i="29"/>
  <c r="M32" i="29"/>
  <c r="P225" i="21"/>
  <c r="P90" i="21"/>
  <c r="M37" i="29"/>
  <c r="M71" i="29"/>
  <c r="P228" i="21"/>
  <c r="P91" i="21"/>
  <c r="M38" i="29"/>
  <c r="M73" i="29"/>
  <c r="P231" i="21"/>
  <c r="P114" i="21"/>
  <c r="M60" i="29"/>
  <c r="P116" i="21"/>
  <c r="M62" i="29"/>
  <c r="M75" i="29"/>
  <c r="M78" i="29"/>
  <c r="M79" i="29"/>
  <c r="F37" i="29"/>
  <c r="F71" i="29"/>
  <c r="F38" i="29"/>
  <c r="F73" i="29"/>
  <c r="F60" i="29"/>
  <c r="F62" i="29"/>
  <c r="F75" i="29"/>
  <c r="F78" i="29"/>
  <c r="G79" i="29"/>
  <c r="H72" i="29"/>
  <c r="H74" i="29"/>
  <c r="H76" i="29"/>
  <c r="H77" i="29"/>
  <c r="I72" i="29"/>
  <c r="I74" i="29"/>
  <c r="I76" i="29"/>
  <c r="I77" i="29"/>
  <c r="J72" i="29"/>
  <c r="J74" i="29"/>
  <c r="J76" i="29"/>
  <c r="J77" i="29"/>
  <c r="K72" i="29"/>
  <c r="K74" i="29"/>
  <c r="K76" i="29"/>
  <c r="K77" i="29"/>
  <c r="L72" i="29"/>
  <c r="L74" i="29"/>
  <c r="L76" i="29"/>
  <c r="L77" i="29"/>
  <c r="M72" i="29"/>
  <c r="M74" i="29"/>
  <c r="M76" i="29"/>
  <c r="M77" i="29"/>
  <c r="G72" i="29"/>
  <c r="G74" i="29"/>
  <c r="G76" i="29"/>
  <c r="G77" i="29"/>
  <c r="T47" i="20"/>
  <c r="M20" i="29"/>
  <c r="M21" i="29"/>
  <c r="G12" i="29"/>
  <c r="J77" i="21"/>
  <c r="G11" i="29"/>
  <c r="G20" i="29"/>
  <c r="J34" i="21"/>
  <c r="G17" i="29"/>
  <c r="G21" i="29"/>
  <c r="H20" i="29"/>
  <c r="H17" i="29"/>
  <c r="H21" i="29"/>
  <c r="I20" i="29"/>
  <c r="I17" i="29"/>
  <c r="I21" i="29"/>
  <c r="J20" i="29"/>
  <c r="J17" i="29"/>
  <c r="J21" i="29"/>
  <c r="K20" i="29"/>
  <c r="K17" i="29"/>
  <c r="K21" i="29"/>
  <c r="L20" i="29"/>
  <c r="L17" i="29"/>
  <c r="L21" i="29"/>
  <c r="J79" i="21"/>
  <c r="G27" i="29"/>
  <c r="F12" i="29"/>
  <c r="I77" i="21"/>
  <c r="F11" i="29"/>
  <c r="F20" i="29"/>
  <c r="F17" i="29"/>
  <c r="F21" i="29"/>
  <c r="I79" i="21"/>
  <c r="F27" i="29"/>
  <c r="M60" i="30"/>
  <c r="M18" i="13"/>
  <c r="Q9" i="13"/>
  <c r="R9" i="13"/>
  <c r="S9" i="13"/>
  <c r="T9" i="13"/>
  <c r="U9" i="13"/>
  <c r="V9" i="13"/>
  <c r="W9" i="13"/>
  <c r="X9" i="13"/>
  <c r="Y9" i="13"/>
  <c r="Z9" i="13"/>
  <c r="AA9" i="13"/>
  <c r="AB9" i="13"/>
  <c r="AC9" i="13"/>
  <c r="P9" i="13"/>
  <c r="P12" i="13"/>
  <c r="M16" i="27"/>
  <c r="N16" i="11"/>
  <c r="M16" i="11"/>
  <c r="O72" i="1"/>
  <c r="F136" i="1"/>
  <c r="F139" i="1"/>
  <c r="F59" i="20"/>
  <c r="G136" i="1"/>
  <c r="G139" i="1"/>
  <c r="G59" i="20"/>
  <c r="H139" i="1"/>
  <c r="H59" i="20"/>
  <c r="I139" i="1"/>
  <c r="I59" i="20"/>
  <c r="J139" i="1"/>
  <c r="J59" i="20"/>
  <c r="K139" i="1"/>
  <c r="K59" i="20"/>
  <c r="L59" i="20"/>
  <c r="M59" i="20"/>
  <c r="N59" i="20"/>
  <c r="O59" i="20"/>
  <c r="P59" i="20"/>
  <c r="Q59" i="20"/>
  <c r="R59" i="20"/>
  <c r="S59" i="20"/>
  <c r="T59" i="20"/>
  <c r="U59" i="20"/>
  <c r="V59" i="20"/>
  <c r="W59" i="20"/>
  <c r="X59" i="20"/>
  <c r="Y59" i="20"/>
  <c r="Z59" i="20"/>
  <c r="AA59" i="20"/>
  <c r="AB59" i="20"/>
  <c r="AC59" i="20"/>
  <c r="AD59" i="20"/>
  <c r="F58" i="20"/>
  <c r="G58" i="20"/>
  <c r="H58" i="20"/>
  <c r="I58" i="20"/>
  <c r="J58" i="20"/>
  <c r="F56" i="20"/>
  <c r="G56" i="20"/>
  <c r="H56" i="20"/>
  <c r="I56" i="20"/>
  <c r="J56" i="20"/>
  <c r="K56" i="20"/>
  <c r="L56" i="20"/>
  <c r="M56" i="20"/>
  <c r="N56" i="20"/>
  <c r="O56" i="20"/>
  <c r="E136" i="1"/>
  <c r="E56" i="20"/>
  <c r="K60" i="20"/>
  <c r="J60" i="20"/>
  <c r="I60" i="20"/>
  <c r="H60" i="20"/>
  <c r="G60" i="20"/>
  <c r="O57" i="20"/>
  <c r="N57" i="20"/>
  <c r="M57" i="20"/>
  <c r="L57" i="20"/>
  <c r="K57" i="20"/>
  <c r="J57" i="20"/>
  <c r="I57" i="20"/>
  <c r="H57" i="20"/>
  <c r="G57" i="20"/>
  <c r="F57" i="20"/>
  <c r="P158" i="21"/>
  <c r="P157" i="21"/>
  <c r="M270" i="21"/>
  <c r="N270" i="21"/>
  <c r="O270" i="21"/>
  <c r="P270" i="21"/>
  <c r="L270" i="21"/>
  <c r="I266" i="21"/>
  <c r="I155" i="21"/>
  <c r="J138" i="21"/>
  <c r="J139" i="21"/>
  <c r="J140" i="21"/>
  <c r="J135" i="21"/>
  <c r="J134" i="21"/>
  <c r="J141" i="21"/>
  <c r="J143" i="21"/>
  <c r="I134" i="21"/>
  <c r="I138" i="21"/>
  <c r="I139" i="21"/>
  <c r="I140" i="21"/>
  <c r="I135" i="21"/>
  <c r="I141" i="21"/>
  <c r="I143" i="21"/>
  <c r="I267" i="21"/>
  <c r="P256" i="21"/>
  <c r="I223" i="21"/>
  <c r="I226" i="21"/>
  <c r="I229" i="21"/>
  <c r="I232" i="21"/>
  <c r="H223" i="21"/>
  <c r="H226" i="21"/>
  <c r="H229" i="21"/>
  <c r="H232" i="21"/>
  <c r="I233" i="21"/>
  <c r="O107" i="21"/>
  <c r="J69" i="21"/>
  <c r="K69" i="21"/>
  <c r="L69" i="21"/>
  <c r="M69" i="21"/>
  <c r="N69" i="21"/>
  <c r="O69" i="21"/>
  <c r="P69" i="21"/>
  <c r="I69" i="21"/>
  <c r="K54" i="21"/>
  <c r="K65" i="21"/>
  <c r="K62" i="21"/>
  <c r="K67" i="21"/>
  <c r="K68" i="21"/>
  <c r="J68" i="21"/>
  <c r="I68" i="21"/>
  <c r="K66" i="21"/>
  <c r="J66" i="21"/>
  <c r="I66" i="21"/>
  <c r="H69" i="21"/>
  <c r="H34" i="21"/>
  <c r="J13" i="21"/>
  <c r="J22" i="21"/>
  <c r="M19" i="21"/>
  <c r="N19" i="21"/>
  <c r="O19" i="21"/>
  <c r="K215" i="21"/>
  <c r="P272" i="21"/>
  <c r="J19" i="21"/>
  <c r="F5" i="27"/>
  <c r="E5" i="27"/>
  <c r="G5" i="27"/>
  <c r="H5" i="27"/>
  <c r="I5" i="27"/>
  <c r="J5" i="27"/>
  <c r="K5" i="27"/>
  <c r="F5" i="13"/>
  <c r="E5" i="13"/>
  <c r="G5" i="13"/>
  <c r="H5" i="13"/>
  <c r="I5" i="13"/>
  <c r="J5" i="13"/>
  <c r="E12" i="27"/>
  <c r="E14" i="27"/>
  <c r="F12" i="27"/>
  <c r="F14" i="27"/>
  <c r="G12" i="27"/>
  <c r="G14" i="27"/>
  <c r="H12" i="27"/>
  <c r="H14" i="27"/>
  <c r="I12" i="27"/>
  <c r="I14" i="27"/>
  <c r="J14" i="27"/>
  <c r="K14" i="27"/>
  <c r="L14" i="27"/>
  <c r="M14" i="27"/>
  <c r="N14" i="27"/>
  <c r="E14" i="13"/>
  <c r="E16" i="13"/>
  <c r="F14" i="13"/>
  <c r="F16" i="13"/>
  <c r="G14" i="13"/>
  <c r="G16" i="13"/>
  <c r="H14" i="13"/>
  <c r="H16" i="13"/>
  <c r="I14" i="13"/>
  <c r="I16" i="13"/>
  <c r="J16" i="13"/>
  <c r="K16" i="13"/>
  <c r="L16" i="13"/>
  <c r="M16" i="13"/>
  <c r="N16" i="13"/>
  <c r="E16" i="27"/>
  <c r="E18" i="27"/>
  <c r="F16" i="27"/>
  <c r="F18" i="27"/>
  <c r="G16" i="27"/>
  <c r="G18" i="27"/>
  <c r="H16" i="27"/>
  <c r="H18" i="27"/>
  <c r="I16" i="27"/>
  <c r="I18" i="27"/>
  <c r="J16" i="27"/>
  <c r="J18" i="27"/>
  <c r="K16" i="27"/>
  <c r="K18" i="27"/>
  <c r="L16" i="27"/>
  <c r="L18" i="27"/>
  <c r="M18" i="27"/>
  <c r="N18" i="27"/>
  <c r="E18" i="13"/>
  <c r="E20" i="13"/>
  <c r="F18" i="13"/>
  <c r="F20" i="13"/>
  <c r="G18" i="13"/>
  <c r="G20" i="13"/>
  <c r="H18" i="13"/>
  <c r="H20" i="13"/>
  <c r="I18" i="13"/>
  <c r="I20" i="13"/>
  <c r="J18" i="13"/>
  <c r="J20" i="13"/>
  <c r="K18" i="13"/>
  <c r="K20" i="13"/>
  <c r="L18" i="13"/>
  <c r="L20" i="13"/>
  <c r="M20" i="13"/>
  <c r="N20" i="13"/>
  <c r="N93" i="1"/>
  <c r="O93" i="1"/>
  <c r="Q142" i="1"/>
  <c r="R142" i="1"/>
  <c r="S142" i="1"/>
  <c r="T142" i="1"/>
  <c r="U142" i="1"/>
  <c r="V142" i="1"/>
  <c r="W142" i="1"/>
  <c r="X142" i="1"/>
  <c r="Y142" i="1"/>
  <c r="Z142" i="1"/>
  <c r="AA142" i="1"/>
  <c r="AB142" i="1"/>
  <c r="AC142" i="1"/>
  <c r="AD142" i="1"/>
  <c r="Q133" i="1"/>
  <c r="R133" i="1"/>
  <c r="S133" i="1"/>
  <c r="T133" i="1"/>
  <c r="U133" i="1"/>
  <c r="V133" i="1"/>
  <c r="W133" i="1"/>
  <c r="X133" i="1"/>
  <c r="Y133" i="1"/>
  <c r="Z133" i="1"/>
  <c r="AA133" i="1"/>
  <c r="AB133" i="1"/>
  <c r="AC133" i="1"/>
  <c r="AD133" i="1"/>
  <c r="O126" i="1"/>
  <c r="E252" i="4"/>
  <c r="F252" i="4"/>
  <c r="G252" i="4"/>
  <c r="H252" i="4"/>
  <c r="I252" i="4"/>
  <c r="J252" i="4"/>
  <c r="K252" i="4"/>
  <c r="L252" i="4"/>
  <c r="M252" i="4"/>
  <c r="N252" i="4"/>
  <c r="O252" i="4"/>
  <c r="E251" i="4"/>
  <c r="F251" i="4"/>
  <c r="G251" i="4"/>
  <c r="H251" i="4"/>
  <c r="I251" i="4"/>
  <c r="J251" i="4"/>
  <c r="K251" i="4"/>
  <c r="L251" i="4"/>
  <c r="M251" i="4"/>
  <c r="N251" i="4"/>
  <c r="O251" i="4"/>
  <c r="O103" i="1"/>
  <c r="O104" i="1"/>
  <c r="E11" i="13"/>
  <c r="F11" i="13"/>
  <c r="G11" i="13"/>
  <c r="H11" i="13"/>
  <c r="I11" i="13"/>
  <c r="J11" i="13"/>
  <c r="K11" i="13"/>
  <c r="E19" i="27"/>
  <c r="F19" i="27"/>
  <c r="G19" i="27"/>
  <c r="H19" i="27"/>
  <c r="I19" i="27"/>
  <c r="J19" i="27"/>
  <c r="K19" i="27"/>
  <c r="L19" i="27"/>
  <c r="M19" i="27"/>
  <c r="N19" i="27"/>
  <c r="O19" i="27"/>
  <c r="P19" i="27"/>
  <c r="Q19" i="27"/>
  <c r="R19" i="27"/>
  <c r="S19" i="27"/>
  <c r="T19" i="27"/>
  <c r="U19" i="27"/>
  <c r="V19" i="27"/>
  <c r="W19" i="27"/>
  <c r="X19" i="27"/>
  <c r="Y19" i="27"/>
  <c r="Z19" i="27"/>
  <c r="AA19" i="27"/>
  <c r="AB19" i="27"/>
  <c r="AC19" i="27"/>
  <c r="AD19" i="27"/>
  <c r="N27" i="27"/>
  <c r="M27" i="27"/>
  <c r="K9" i="27"/>
  <c r="K27" i="27"/>
  <c r="L39" i="27"/>
  <c r="K39" i="27"/>
  <c r="AD38" i="27"/>
  <c r="AC38" i="27"/>
  <c r="AB38" i="27"/>
  <c r="AA38" i="27"/>
  <c r="Z38" i="27"/>
  <c r="Y38" i="27"/>
  <c r="X38" i="27"/>
  <c r="W38" i="27"/>
  <c r="V38" i="27"/>
  <c r="U38" i="27"/>
  <c r="T38" i="27"/>
  <c r="S38" i="27"/>
  <c r="R38" i="27"/>
  <c r="Q38" i="27"/>
  <c r="P38" i="27"/>
  <c r="O38" i="27"/>
  <c r="N39" i="27"/>
  <c r="M39" i="27"/>
  <c r="J39" i="27"/>
  <c r="N38" i="27"/>
  <c r="M38" i="27"/>
  <c r="L38" i="27"/>
  <c r="K38" i="27"/>
  <c r="J38" i="27"/>
  <c r="O33" i="27"/>
  <c r="N33" i="27"/>
  <c r="M33" i="27"/>
  <c r="L33" i="27"/>
  <c r="K33" i="27"/>
  <c r="J33" i="27"/>
  <c r="K29" i="27"/>
  <c r="L29" i="27"/>
  <c r="M29" i="27"/>
  <c r="N29" i="27"/>
  <c r="J29" i="27"/>
  <c r="O28" i="27"/>
  <c r="N28" i="27"/>
  <c r="M28" i="27"/>
  <c r="L28" i="27"/>
  <c r="K28" i="27"/>
  <c r="J28" i="27"/>
  <c r="K24" i="27"/>
  <c r="L24" i="27"/>
  <c r="M24" i="27"/>
  <c r="O24" i="27"/>
  <c r="J24" i="27"/>
  <c r="E48" i="30"/>
  <c r="F48" i="30"/>
  <c r="G48" i="30"/>
  <c r="H48" i="30"/>
  <c r="I48" i="30"/>
  <c r="J48" i="30"/>
  <c r="K48" i="30"/>
  <c r="K53" i="30"/>
  <c r="K59" i="30"/>
  <c r="L60" i="30"/>
  <c r="J53" i="30"/>
  <c r="J59" i="30"/>
  <c r="K60" i="30"/>
  <c r="L16" i="11"/>
  <c r="E18" i="11"/>
  <c r="F18" i="11"/>
  <c r="G18" i="11"/>
  <c r="H18" i="11"/>
  <c r="I18" i="11"/>
  <c r="J18" i="11"/>
  <c r="K18" i="11"/>
  <c r="L18" i="11"/>
  <c r="M18" i="11"/>
  <c r="N18" i="11"/>
  <c r="E14" i="11"/>
  <c r="F14" i="11"/>
  <c r="G14" i="11"/>
  <c r="H14" i="11"/>
  <c r="I14" i="11"/>
  <c r="J14" i="11"/>
  <c r="K14" i="11"/>
  <c r="L14" i="11"/>
  <c r="M14" i="11"/>
  <c r="N14" i="11"/>
  <c r="P238" i="11"/>
  <c r="Q238" i="11"/>
  <c r="R238" i="11"/>
  <c r="S238" i="11"/>
  <c r="T238" i="11"/>
  <c r="U238" i="11"/>
  <c r="V238" i="11"/>
  <c r="W238" i="11"/>
  <c r="X238" i="11"/>
  <c r="Y238" i="11"/>
  <c r="Z238" i="11"/>
  <c r="AA238" i="11"/>
  <c r="AB238" i="11"/>
  <c r="AC238" i="11"/>
  <c r="AD238" i="11"/>
  <c r="P210" i="11"/>
  <c r="Q210" i="11"/>
  <c r="R210" i="11"/>
  <c r="S210" i="11"/>
  <c r="T210" i="11"/>
  <c r="U210" i="11"/>
  <c r="V210" i="11"/>
  <c r="W210" i="11"/>
  <c r="X210" i="11"/>
  <c r="Y210" i="11"/>
  <c r="Z210" i="11"/>
  <c r="AA210" i="11"/>
  <c r="AB210" i="11"/>
  <c r="AC210" i="11"/>
  <c r="AD210" i="11"/>
  <c r="P150" i="11"/>
  <c r="Q150" i="11"/>
  <c r="R150" i="11"/>
  <c r="S150" i="11"/>
  <c r="T150" i="11"/>
  <c r="U150" i="11"/>
  <c r="V150" i="11"/>
  <c r="W150" i="11"/>
  <c r="X150" i="11"/>
  <c r="Y150" i="11"/>
  <c r="Z150" i="11"/>
  <c r="AA150" i="11"/>
  <c r="AB150" i="11"/>
  <c r="AC150" i="11"/>
  <c r="AD150" i="11"/>
  <c r="P125" i="11"/>
  <c r="Q125" i="11"/>
  <c r="R125" i="11"/>
  <c r="S125" i="11"/>
  <c r="T125" i="11"/>
  <c r="U125" i="11"/>
  <c r="V125" i="11"/>
  <c r="W125" i="11"/>
  <c r="X125" i="11"/>
  <c r="Y125" i="11"/>
  <c r="Z125" i="11"/>
  <c r="AA125" i="11"/>
  <c r="AB125" i="11"/>
  <c r="AC125" i="11"/>
  <c r="AD125" i="11"/>
  <c r="J112" i="11"/>
  <c r="K112" i="11"/>
  <c r="L112" i="11"/>
  <c r="M112" i="11"/>
  <c r="N112" i="11"/>
  <c r="O112" i="11"/>
  <c r="P112" i="11"/>
  <c r="Q112" i="11"/>
  <c r="R112" i="11"/>
  <c r="S112" i="11"/>
  <c r="T112" i="11"/>
  <c r="U112" i="11"/>
  <c r="V112" i="11"/>
  <c r="W112" i="11"/>
  <c r="X112" i="11"/>
  <c r="Y112" i="11"/>
  <c r="Z112" i="11"/>
  <c r="AA112" i="11"/>
  <c r="AB112" i="11"/>
  <c r="AC112" i="11"/>
  <c r="AD112" i="11"/>
  <c r="J114" i="11"/>
  <c r="K114" i="11"/>
  <c r="L114" i="11"/>
  <c r="M114" i="11"/>
  <c r="N114" i="11"/>
  <c r="O114" i="11"/>
  <c r="P114" i="11"/>
  <c r="Q114" i="11"/>
  <c r="R114" i="11"/>
  <c r="S114" i="11"/>
  <c r="T114" i="11"/>
  <c r="U114" i="11"/>
  <c r="V114" i="11"/>
  <c r="W114" i="11"/>
  <c r="X114" i="11"/>
  <c r="Y114" i="11"/>
  <c r="Z114" i="11"/>
  <c r="AA114" i="11"/>
  <c r="AB114" i="11"/>
  <c r="AC114" i="11"/>
  <c r="AD114" i="11"/>
  <c r="J116" i="11"/>
  <c r="K116" i="11"/>
  <c r="L116" i="11"/>
  <c r="M116" i="11"/>
  <c r="N116" i="11"/>
  <c r="O116" i="11"/>
  <c r="P116" i="11"/>
  <c r="Q116" i="11"/>
  <c r="R116" i="11"/>
  <c r="S116" i="11"/>
  <c r="T116" i="11"/>
  <c r="U116" i="11"/>
  <c r="V116" i="11"/>
  <c r="W116" i="11"/>
  <c r="X116" i="11"/>
  <c r="Y116" i="11"/>
  <c r="Z116" i="11"/>
  <c r="AA116" i="11"/>
  <c r="AB116" i="11"/>
  <c r="AC116" i="11"/>
  <c r="AD116" i="11"/>
  <c r="P110" i="11"/>
  <c r="Q110" i="11"/>
  <c r="R110" i="11"/>
  <c r="S110" i="11"/>
  <c r="T110" i="11"/>
  <c r="U110" i="11"/>
  <c r="V110" i="11"/>
  <c r="W110" i="11"/>
  <c r="X110" i="11"/>
  <c r="Y110" i="11"/>
  <c r="Z110" i="11"/>
  <c r="AA110" i="11"/>
  <c r="AB110" i="11"/>
  <c r="AC110" i="11"/>
  <c r="AD110" i="11"/>
  <c r="P105" i="11"/>
  <c r="Q105" i="11"/>
  <c r="P106" i="11"/>
  <c r="Q106" i="11"/>
  <c r="P107" i="11"/>
  <c r="Q107" i="11"/>
  <c r="Q104" i="11"/>
  <c r="R105" i="11"/>
  <c r="R106" i="11"/>
  <c r="R107" i="11"/>
  <c r="R104" i="11"/>
  <c r="S105" i="11"/>
  <c r="S106" i="11"/>
  <c r="S107" i="11"/>
  <c r="S104" i="11"/>
  <c r="T105" i="11"/>
  <c r="T106" i="11"/>
  <c r="T107" i="11"/>
  <c r="T104" i="11"/>
  <c r="U105" i="11"/>
  <c r="U106" i="11"/>
  <c r="U107" i="11"/>
  <c r="U104" i="11"/>
  <c r="V105" i="11"/>
  <c r="V106" i="11"/>
  <c r="V107" i="11"/>
  <c r="V104" i="11"/>
  <c r="W105" i="11"/>
  <c r="W106" i="11"/>
  <c r="W107" i="11"/>
  <c r="W104" i="11"/>
  <c r="X105" i="11"/>
  <c r="X106" i="11"/>
  <c r="X107" i="11"/>
  <c r="X104" i="11"/>
  <c r="Y105" i="11"/>
  <c r="Y106" i="11"/>
  <c r="Y107" i="11"/>
  <c r="Y104" i="11"/>
  <c r="Z105" i="11"/>
  <c r="Z106" i="11"/>
  <c r="Z107" i="11"/>
  <c r="Z104" i="11"/>
  <c r="AA105" i="11"/>
  <c r="AA106" i="11"/>
  <c r="AA107" i="11"/>
  <c r="AA104" i="11"/>
  <c r="AB105" i="11"/>
  <c r="AB106" i="11"/>
  <c r="AB107" i="11"/>
  <c r="AB104" i="11"/>
  <c r="AC105" i="11"/>
  <c r="AC106" i="11"/>
  <c r="AC107" i="11"/>
  <c r="AC104" i="11"/>
  <c r="AD105" i="11"/>
  <c r="AD106" i="11"/>
  <c r="AD107" i="11"/>
  <c r="AD104" i="11"/>
  <c r="P104" i="11"/>
  <c r="O98" i="11"/>
  <c r="P99" i="11"/>
  <c r="Q99" i="11"/>
  <c r="R99" i="11"/>
  <c r="S99" i="11"/>
  <c r="T99" i="11"/>
  <c r="U99" i="11"/>
  <c r="V99" i="11"/>
  <c r="W99" i="11"/>
  <c r="X99" i="11"/>
  <c r="Y99" i="11"/>
  <c r="Z99" i="11"/>
  <c r="AA99" i="11"/>
  <c r="AB99" i="11"/>
  <c r="AC99" i="11"/>
  <c r="AD99" i="11"/>
  <c r="M98" i="11"/>
  <c r="M99" i="11"/>
  <c r="N98" i="11"/>
  <c r="N99" i="11"/>
  <c r="M97" i="11"/>
  <c r="N97" i="11"/>
  <c r="O91" i="11"/>
  <c r="O93" i="11"/>
  <c r="L238" i="11"/>
  <c r="I239" i="11"/>
  <c r="J239" i="11"/>
  <c r="K239" i="11"/>
  <c r="L239" i="11"/>
  <c r="M239" i="11"/>
  <c r="N239" i="11"/>
  <c r="J238" i="11"/>
  <c r="K238" i="11"/>
  <c r="M238" i="11"/>
  <c r="N238" i="11"/>
  <c r="O238" i="11"/>
  <c r="H239" i="11"/>
  <c r="I238" i="11"/>
  <c r="H235" i="11"/>
  <c r="I235" i="11"/>
  <c r="J235" i="11"/>
  <c r="K235" i="11"/>
  <c r="L235" i="11"/>
  <c r="M235" i="11"/>
  <c r="N235" i="11"/>
  <c r="O235" i="11"/>
  <c r="P235" i="11"/>
  <c r="Q235" i="11"/>
  <c r="R235" i="11"/>
  <c r="S235" i="11"/>
  <c r="T235" i="11"/>
  <c r="U235" i="11"/>
  <c r="V235" i="11"/>
  <c r="W235" i="11"/>
  <c r="X235" i="11"/>
  <c r="Y235" i="11"/>
  <c r="Z235" i="11"/>
  <c r="AA235" i="11"/>
  <c r="AB235" i="11"/>
  <c r="AC235" i="11"/>
  <c r="AD235" i="11"/>
  <c r="G235" i="11"/>
  <c r="I232" i="11"/>
  <c r="J232" i="11"/>
  <c r="K232" i="11"/>
  <c r="L232" i="11"/>
  <c r="M232" i="11"/>
  <c r="N232" i="11"/>
  <c r="O232" i="11"/>
  <c r="H232" i="11"/>
  <c r="P225" i="11"/>
  <c r="Q225" i="11"/>
  <c r="R225" i="11"/>
  <c r="S225" i="11"/>
  <c r="T225" i="11"/>
  <c r="U225" i="11"/>
  <c r="V225" i="11"/>
  <c r="W225" i="11"/>
  <c r="X225" i="11"/>
  <c r="Y225" i="11"/>
  <c r="Z225" i="11"/>
  <c r="AA225" i="11"/>
  <c r="AB225" i="11"/>
  <c r="AC225" i="11"/>
  <c r="AD225" i="11"/>
  <c r="J225" i="11"/>
  <c r="K225" i="11"/>
  <c r="L225" i="11"/>
  <c r="M225" i="11"/>
  <c r="N225" i="11"/>
  <c r="O225" i="11"/>
  <c r="I226" i="11"/>
  <c r="J226" i="11"/>
  <c r="K226" i="11"/>
  <c r="L226" i="11"/>
  <c r="M226" i="11"/>
  <c r="N226" i="11"/>
  <c r="O226" i="11"/>
  <c r="H226" i="11"/>
  <c r="I225" i="11"/>
  <c r="J222" i="11"/>
  <c r="K222" i="11"/>
  <c r="H220" i="11"/>
  <c r="H219" i="11"/>
  <c r="I220" i="11"/>
  <c r="I219" i="11"/>
  <c r="J220" i="11"/>
  <c r="J219" i="11"/>
  <c r="K220" i="11"/>
  <c r="K219" i="11"/>
  <c r="K221" i="11"/>
  <c r="L222" i="11"/>
  <c r="L220" i="11"/>
  <c r="L219" i="11"/>
  <c r="L221" i="11"/>
  <c r="M222" i="11"/>
  <c r="M220" i="11"/>
  <c r="M219" i="11"/>
  <c r="M221" i="11"/>
  <c r="N222" i="11"/>
  <c r="N220" i="11"/>
  <c r="N219" i="11"/>
  <c r="N221" i="11"/>
  <c r="O222" i="11"/>
  <c r="O220" i="11"/>
  <c r="O219" i="11"/>
  <c r="O221" i="11"/>
  <c r="P222" i="11"/>
  <c r="P220" i="11"/>
  <c r="P219" i="11"/>
  <c r="P221" i="11"/>
  <c r="Q222" i="11"/>
  <c r="Q220" i="11"/>
  <c r="Q219" i="11"/>
  <c r="Q221" i="11"/>
  <c r="R222" i="11"/>
  <c r="R220" i="11"/>
  <c r="R219" i="11"/>
  <c r="R221" i="11"/>
  <c r="S222" i="11"/>
  <c r="S220" i="11"/>
  <c r="S219" i="11"/>
  <c r="S221" i="11"/>
  <c r="T222" i="11"/>
  <c r="T220" i="11"/>
  <c r="T219" i="11"/>
  <c r="T221" i="11"/>
  <c r="U222" i="11"/>
  <c r="U220" i="11"/>
  <c r="U219" i="11"/>
  <c r="U221" i="11"/>
  <c r="V222" i="11"/>
  <c r="V220" i="11"/>
  <c r="V219" i="11"/>
  <c r="V221" i="11"/>
  <c r="W222" i="11"/>
  <c r="W220" i="11"/>
  <c r="W219" i="11"/>
  <c r="W221" i="11"/>
  <c r="X222" i="11"/>
  <c r="X220" i="11"/>
  <c r="X219" i="11"/>
  <c r="X221" i="11"/>
  <c r="Y222" i="11"/>
  <c r="Y220" i="11"/>
  <c r="Y219" i="11"/>
  <c r="Y221" i="11"/>
  <c r="Z222" i="11"/>
  <c r="Z220" i="11"/>
  <c r="Z219" i="11"/>
  <c r="Z221" i="11"/>
  <c r="AA222" i="11"/>
  <c r="AA220" i="11"/>
  <c r="AA219" i="11"/>
  <c r="AA221" i="11"/>
  <c r="AB222" i="11"/>
  <c r="AB220" i="11"/>
  <c r="AB219" i="11"/>
  <c r="AB221" i="11"/>
  <c r="AC222" i="11"/>
  <c r="AC220" i="11"/>
  <c r="AC219" i="11"/>
  <c r="AC221" i="11"/>
  <c r="AD222" i="11"/>
  <c r="AD220" i="11"/>
  <c r="AD219" i="11"/>
  <c r="AD221" i="11"/>
  <c r="J221" i="11"/>
  <c r="I221" i="11"/>
  <c r="G222" i="11"/>
  <c r="H222" i="11"/>
  <c r="H221" i="11"/>
  <c r="L216" i="11"/>
  <c r="M216" i="11"/>
  <c r="N216" i="11"/>
  <c r="M213" i="11"/>
  <c r="N213" i="11"/>
  <c r="N215" i="11"/>
  <c r="O216" i="11"/>
  <c r="O213" i="11"/>
  <c r="O215" i="11"/>
  <c r="P216" i="11"/>
  <c r="P213" i="11"/>
  <c r="P215" i="11"/>
  <c r="Q216" i="11"/>
  <c r="Q213" i="11"/>
  <c r="Q215" i="11"/>
  <c r="R216" i="11"/>
  <c r="R213" i="11"/>
  <c r="R215" i="11"/>
  <c r="S216" i="11"/>
  <c r="S213" i="11"/>
  <c r="S215" i="11"/>
  <c r="T216" i="11"/>
  <c r="T213" i="11"/>
  <c r="T215" i="11"/>
  <c r="U216" i="11"/>
  <c r="U213" i="11"/>
  <c r="U215" i="11"/>
  <c r="V216" i="11"/>
  <c r="V213" i="11"/>
  <c r="V215" i="11"/>
  <c r="W216" i="11"/>
  <c r="W213" i="11"/>
  <c r="W215" i="11"/>
  <c r="X216" i="11"/>
  <c r="X213" i="11"/>
  <c r="X215" i="11"/>
  <c r="Y216" i="11"/>
  <c r="Y213" i="11"/>
  <c r="Y215" i="11"/>
  <c r="Z216" i="11"/>
  <c r="Z213" i="11"/>
  <c r="Z215" i="11"/>
  <c r="AA216" i="11"/>
  <c r="AA213" i="11"/>
  <c r="AA215" i="11"/>
  <c r="AB216" i="11"/>
  <c r="AB213" i="11"/>
  <c r="AB215" i="11"/>
  <c r="AC216" i="11"/>
  <c r="AC213" i="11"/>
  <c r="AC215" i="11"/>
  <c r="AD216" i="11"/>
  <c r="AD213" i="11"/>
  <c r="AD215" i="11"/>
  <c r="M215" i="11"/>
  <c r="J215" i="11"/>
  <c r="J213" i="11"/>
  <c r="J216" i="11"/>
  <c r="K216" i="11"/>
  <c r="I215" i="11"/>
  <c r="I213" i="11"/>
  <c r="I216" i="11"/>
  <c r="H215" i="11"/>
  <c r="H216" i="11"/>
  <c r="G213" i="11"/>
  <c r="G215" i="11"/>
  <c r="F215" i="11"/>
  <c r="F213" i="11"/>
  <c r="F216" i="11"/>
  <c r="H214" i="11"/>
  <c r="I214" i="11"/>
  <c r="J214" i="11"/>
  <c r="K214" i="11"/>
  <c r="L214" i="11"/>
  <c r="M214" i="11"/>
  <c r="N214" i="11"/>
  <c r="O214" i="11"/>
  <c r="P214" i="11"/>
  <c r="Q214" i="11"/>
  <c r="R214" i="11"/>
  <c r="S214" i="11"/>
  <c r="T214" i="11"/>
  <c r="U214" i="11"/>
  <c r="V214" i="11"/>
  <c r="W214" i="11"/>
  <c r="X214" i="11"/>
  <c r="Y214" i="11"/>
  <c r="Z214" i="11"/>
  <c r="AA214" i="11"/>
  <c r="AB214" i="11"/>
  <c r="AC214" i="11"/>
  <c r="AD214" i="11"/>
  <c r="G214" i="11"/>
  <c r="H210" i="11"/>
  <c r="I210" i="11"/>
  <c r="J210" i="11"/>
  <c r="K210" i="11"/>
  <c r="L210" i="11"/>
  <c r="M210" i="11"/>
  <c r="N210" i="11"/>
  <c r="O210" i="11"/>
  <c r="G210" i="11"/>
  <c r="J209" i="11"/>
  <c r="K209" i="11"/>
  <c r="L209" i="11"/>
  <c r="M209" i="11"/>
  <c r="N209" i="11"/>
  <c r="I115" i="11"/>
  <c r="I209" i="11"/>
  <c r="I206" i="11"/>
  <c r="J206" i="11"/>
  <c r="K206" i="11"/>
  <c r="L206" i="11"/>
  <c r="M206" i="11"/>
  <c r="N206" i="11"/>
  <c r="O206" i="11"/>
  <c r="H206" i="11"/>
  <c r="J150" i="11"/>
  <c r="K150" i="11"/>
  <c r="L150" i="11"/>
  <c r="M150" i="11"/>
  <c r="N150" i="11"/>
  <c r="O150" i="11"/>
  <c r="I151" i="11"/>
  <c r="J151" i="11"/>
  <c r="K151" i="11"/>
  <c r="L151" i="11"/>
  <c r="M151" i="11"/>
  <c r="N151" i="11"/>
  <c r="O151" i="11"/>
  <c r="H113" i="11"/>
  <c r="H124" i="11"/>
  <c r="H121" i="11"/>
  <c r="H120" i="11"/>
  <c r="H151" i="11"/>
  <c r="I150" i="11"/>
  <c r="M135" i="11"/>
  <c r="N135" i="11"/>
  <c r="O135" i="11"/>
  <c r="P135" i="11"/>
  <c r="Q135" i="11"/>
  <c r="R135" i="11"/>
  <c r="S135" i="11"/>
  <c r="T135" i="11"/>
  <c r="U135" i="11"/>
  <c r="V135" i="11"/>
  <c r="W135" i="11"/>
  <c r="X135" i="11"/>
  <c r="Y135" i="11"/>
  <c r="Z135" i="11"/>
  <c r="AA135" i="11"/>
  <c r="AB135" i="11"/>
  <c r="AC135" i="11"/>
  <c r="AD135" i="11"/>
  <c r="H136" i="11"/>
  <c r="I136" i="11"/>
  <c r="J136" i="11"/>
  <c r="G136" i="11"/>
  <c r="AD143" i="11"/>
  <c r="AC143" i="11"/>
  <c r="AB143" i="11"/>
  <c r="AA143" i="11"/>
  <c r="Z143" i="11"/>
  <c r="Y143" i="11"/>
  <c r="X143" i="11"/>
  <c r="W143" i="11"/>
  <c r="V143" i="11"/>
  <c r="U143" i="11"/>
  <c r="T143" i="11"/>
  <c r="S143" i="11"/>
  <c r="R143" i="11"/>
  <c r="Q143" i="11"/>
  <c r="P143" i="11"/>
  <c r="O143" i="11"/>
  <c r="N143" i="11"/>
  <c r="M143" i="11"/>
  <c r="L143" i="11"/>
  <c r="K143" i="11"/>
  <c r="J143" i="11"/>
  <c r="I143" i="11"/>
  <c r="H143" i="11"/>
  <c r="G143" i="11"/>
  <c r="AD141" i="11"/>
  <c r="AC141" i="11"/>
  <c r="AB141" i="11"/>
  <c r="AA141" i="11"/>
  <c r="Z141" i="11"/>
  <c r="Y141" i="11"/>
  <c r="X141" i="11"/>
  <c r="W141" i="11"/>
  <c r="V141" i="11"/>
  <c r="U141" i="11"/>
  <c r="T141" i="11"/>
  <c r="S141" i="11"/>
  <c r="R141" i="11"/>
  <c r="Q141" i="11"/>
  <c r="P141" i="11"/>
  <c r="O141" i="11"/>
  <c r="N141" i="11"/>
  <c r="M141" i="11"/>
  <c r="L141" i="11"/>
  <c r="K141" i="11"/>
  <c r="J141" i="11"/>
  <c r="I141" i="11"/>
  <c r="H141" i="11"/>
  <c r="G141" i="11"/>
  <c r="AD139" i="11"/>
  <c r="AC139" i="11"/>
  <c r="AB139" i="11"/>
  <c r="AA139" i="11"/>
  <c r="Z139" i="11"/>
  <c r="Y139" i="11"/>
  <c r="X139" i="11"/>
  <c r="W139" i="11"/>
  <c r="V139" i="11"/>
  <c r="U139" i="11"/>
  <c r="T139" i="11"/>
  <c r="S139" i="11"/>
  <c r="R139" i="11"/>
  <c r="Q139" i="11"/>
  <c r="P139" i="11"/>
  <c r="O139" i="11"/>
  <c r="N139" i="11"/>
  <c r="M139" i="11"/>
  <c r="L139" i="11"/>
  <c r="K139" i="11"/>
  <c r="J139" i="11"/>
  <c r="I139" i="11"/>
  <c r="H139" i="11"/>
  <c r="G139" i="11"/>
  <c r="AD136" i="11"/>
  <c r="AC136" i="11"/>
  <c r="AB136" i="11"/>
  <c r="AA136" i="11"/>
  <c r="Z136" i="11"/>
  <c r="Y136" i="11"/>
  <c r="X136" i="11"/>
  <c r="W136" i="11"/>
  <c r="V136" i="11"/>
  <c r="U136" i="11"/>
  <c r="T136" i="11"/>
  <c r="S136" i="11"/>
  <c r="R136" i="11"/>
  <c r="Q136" i="11"/>
  <c r="P136" i="11"/>
  <c r="O136" i="11"/>
  <c r="N136" i="11"/>
  <c r="M136" i="11"/>
  <c r="L136" i="11"/>
  <c r="K136" i="11"/>
  <c r="G131" i="11"/>
  <c r="H131" i="11"/>
  <c r="I129" i="11"/>
  <c r="I131" i="11"/>
  <c r="J129" i="11"/>
  <c r="J131" i="11"/>
  <c r="K129" i="11"/>
  <c r="K131" i="11"/>
  <c r="L129" i="11"/>
  <c r="L131" i="11"/>
  <c r="M129" i="11"/>
  <c r="M131" i="11"/>
  <c r="N129" i="11"/>
  <c r="N131" i="11"/>
  <c r="O129" i="11"/>
  <c r="O132" i="11"/>
  <c r="O131" i="11"/>
  <c r="P129" i="11"/>
  <c r="P132" i="11"/>
  <c r="P131" i="11"/>
  <c r="Q129" i="11"/>
  <c r="Q132" i="11"/>
  <c r="Q131" i="11"/>
  <c r="R129" i="11"/>
  <c r="R132" i="11"/>
  <c r="R131" i="11"/>
  <c r="S129" i="11"/>
  <c r="S132" i="11"/>
  <c r="S131" i="11"/>
  <c r="T129" i="11"/>
  <c r="T132" i="11"/>
  <c r="T131" i="11"/>
  <c r="U129" i="11"/>
  <c r="U132" i="11"/>
  <c r="U131" i="11"/>
  <c r="V129" i="11"/>
  <c r="V132" i="11"/>
  <c r="V131" i="11"/>
  <c r="W129" i="11"/>
  <c r="W132" i="11"/>
  <c r="W131" i="11"/>
  <c r="X129" i="11"/>
  <c r="X132" i="11"/>
  <c r="X131" i="11"/>
  <c r="Y129" i="11"/>
  <c r="Y132" i="11"/>
  <c r="Y131" i="11"/>
  <c r="Z129" i="11"/>
  <c r="Z132" i="11"/>
  <c r="Z131" i="11"/>
  <c r="AA129" i="11"/>
  <c r="AA132" i="11"/>
  <c r="AA131" i="11"/>
  <c r="AB129" i="11"/>
  <c r="AB132" i="11"/>
  <c r="AB131" i="11"/>
  <c r="AC129" i="11"/>
  <c r="AC132" i="11"/>
  <c r="AC131" i="11"/>
  <c r="AD129" i="11"/>
  <c r="AD132" i="11"/>
  <c r="AD131" i="11"/>
  <c r="F131" i="11"/>
  <c r="H130" i="11"/>
  <c r="I130" i="11"/>
  <c r="J130" i="11"/>
  <c r="K130" i="11"/>
  <c r="L130" i="11"/>
  <c r="M130" i="11"/>
  <c r="N130" i="11"/>
  <c r="O130" i="11"/>
  <c r="P130" i="11"/>
  <c r="Q130" i="11"/>
  <c r="R130" i="11"/>
  <c r="S130" i="11"/>
  <c r="T130" i="11"/>
  <c r="U130" i="11"/>
  <c r="V130" i="11"/>
  <c r="W130" i="11"/>
  <c r="X130" i="11"/>
  <c r="Y130" i="11"/>
  <c r="Z130" i="11"/>
  <c r="AA130" i="11"/>
  <c r="AB130" i="11"/>
  <c r="AC130" i="11"/>
  <c r="AD130" i="11"/>
  <c r="G130" i="11"/>
  <c r="J121" i="11"/>
  <c r="K121" i="11"/>
  <c r="L121" i="11"/>
  <c r="I113" i="11"/>
  <c r="I124" i="11"/>
  <c r="J124" i="11"/>
  <c r="K124" i="11"/>
  <c r="L124" i="11"/>
  <c r="M124" i="11"/>
  <c r="N124" i="11"/>
  <c r="O124" i="11"/>
  <c r="G113" i="11"/>
  <c r="G124" i="11"/>
  <c r="I125" i="11"/>
  <c r="J125" i="11"/>
  <c r="K125" i="11"/>
  <c r="L125" i="11"/>
  <c r="M125" i="11"/>
  <c r="N125" i="11"/>
  <c r="O125" i="11"/>
  <c r="H125" i="11"/>
  <c r="I121" i="11"/>
  <c r="G115" i="11"/>
  <c r="H115" i="11"/>
  <c r="F115" i="11"/>
  <c r="F113" i="11"/>
  <c r="J110" i="11"/>
  <c r="I110" i="11"/>
  <c r="L104" i="11"/>
  <c r="K104" i="11"/>
  <c r="J104" i="11"/>
  <c r="H91" i="11"/>
  <c r="I91" i="11"/>
  <c r="J91" i="11"/>
  <c r="K91" i="11"/>
  <c r="L91" i="11"/>
  <c r="M94" i="11"/>
  <c r="N94" i="11"/>
  <c r="O94" i="11"/>
  <c r="N121" i="11"/>
  <c r="N122" i="11"/>
  <c r="N123" i="11"/>
  <c r="O121" i="11"/>
  <c r="O122" i="11"/>
  <c r="M121" i="11"/>
  <c r="O104" i="11"/>
  <c r="O99" i="11"/>
  <c r="O97" i="11"/>
  <c r="M91" i="11"/>
  <c r="N91" i="11"/>
  <c r="E9" i="27"/>
  <c r="F9" i="27"/>
  <c r="G9" i="27"/>
  <c r="H9" i="27"/>
  <c r="I9" i="27"/>
  <c r="J9" i="27"/>
  <c r="E53" i="30"/>
  <c r="E55" i="30"/>
  <c r="F53" i="30"/>
  <c r="F55" i="30"/>
  <c r="G53" i="30"/>
  <c r="G55" i="30"/>
  <c r="H53" i="30"/>
  <c r="H55" i="30"/>
  <c r="I53" i="30"/>
  <c r="I55" i="30"/>
  <c r="J55" i="30"/>
  <c r="K55" i="30"/>
  <c r="L55" i="30"/>
  <c r="M55" i="30"/>
  <c r="N55" i="30"/>
  <c r="U43" i="2"/>
  <c r="V43" i="2"/>
  <c r="W43" i="2"/>
  <c r="X43" i="2"/>
  <c r="Y43" i="2"/>
  <c r="Z43" i="2"/>
  <c r="AA43" i="2"/>
  <c r="AB43" i="2"/>
  <c r="U45" i="2"/>
  <c r="V45" i="2"/>
  <c r="W45" i="2"/>
  <c r="X45" i="2"/>
  <c r="Y45" i="2"/>
  <c r="Z45" i="2"/>
  <c r="AA45" i="2"/>
  <c r="AB45" i="2"/>
  <c r="U46" i="2"/>
  <c r="V46" i="2"/>
  <c r="W46" i="2"/>
  <c r="X46" i="2"/>
  <c r="Y46" i="2"/>
  <c r="Z46" i="2"/>
  <c r="AA46" i="2"/>
  <c r="AB46" i="2"/>
  <c r="AB42" i="2"/>
  <c r="AA42" i="2"/>
  <c r="Z42" i="2"/>
  <c r="AC43" i="2"/>
  <c r="AC45" i="2"/>
  <c r="AC46" i="2"/>
  <c r="AC42" i="2"/>
  <c r="AD43" i="2"/>
  <c r="AD45" i="2"/>
  <c r="AD46" i="2"/>
  <c r="AD42" i="2"/>
  <c r="Y42" i="2"/>
  <c r="X12" i="6"/>
  <c r="W12" i="6"/>
  <c r="V12" i="6"/>
  <c r="U12" i="6"/>
  <c r="T12" i="6"/>
  <c r="S12" i="6"/>
  <c r="R12" i="6"/>
  <c r="Q12" i="6"/>
  <c r="U42" i="2"/>
  <c r="V42" i="2"/>
  <c r="W42" i="2"/>
  <c r="X42" i="2"/>
  <c r="O8" i="3"/>
  <c r="O10" i="3"/>
  <c r="O13" i="3"/>
  <c r="O15" i="3"/>
  <c r="O18" i="3"/>
  <c r="O23" i="3"/>
  <c r="O24" i="3"/>
  <c r="O26" i="3"/>
  <c r="O36" i="3"/>
  <c r="O43" i="3"/>
  <c r="O47" i="3"/>
  <c r="O52" i="3"/>
  <c r="O60" i="3"/>
  <c r="O65" i="3"/>
  <c r="O107" i="1"/>
  <c r="F92" i="1"/>
  <c r="G92" i="1"/>
  <c r="H92" i="1"/>
  <c r="I92" i="1"/>
  <c r="J92" i="1"/>
  <c r="K92" i="1"/>
  <c r="L92" i="1"/>
  <c r="M92" i="1"/>
  <c r="N92" i="1"/>
  <c r="E92" i="1"/>
  <c r="N5" i="31"/>
  <c r="N7" i="31"/>
  <c r="N8" i="31"/>
  <c r="N9" i="31"/>
  <c r="N10" i="31"/>
  <c r="N6" i="31"/>
  <c r="N20" i="31"/>
  <c r="O75" i="30"/>
  <c r="O87" i="30"/>
  <c r="N88" i="30"/>
  <c r="N75" i="30"/>
  <c r="N87" i="30"/>
  <c r="J70" i="30"/>
  <c r="K66" i="30"/>
  <c r="K67" i="30"/>
  <c r="K70" i="30"/>
  <c r="K68" i="30"/>
  <c r="L66" i="30"/>
  <c r="L67" i="30"/>
  <c r="L70" i="30"/>
  <c r="L68" i="30"/>
  <c r="M66" i="30"/>
  <c r="M67" i="30"/>
  <c r="M70" i="30"/>
  <c r="M68" i="30"/>
  <c r="N66" i="30"/>
  <c r="N67" i="30"/>
  <c r="N70" i="30"/>
  <c r="N68" i="30"/>
  <c r="O66" i="30"/>
  <c r="O67" i="30"/>
  <c r="O68" i="30"/>
  <c r="I70" i="30"/>
  <c r="J66" i="30"/>
  <c r="J67" i="30"/>
  <c r="J68" i="30"/>
  <c r="J247" i="21"/>
  <c r="J240" i="21"/>
  <c r="J248" i="21"/>
  <c r="J249" i="21"/>
  <c r="J250" i="21"/>
  <c r="J257" i="21"/>
  <c r="J255" i="21"/>
  <c r="K65" i="20"/>
  <c r="K81" i="20"/>
  <c r="K105" i="20"/>
  <c r="L105" i="20"/>
  <c r="M105" i="20"/>
  <c r="N105" i="20"/>
  <c r="J81" i="20"/>
  <c r="J105" i="20"/>
  <c r="F59" i="30"/>
  <c r="F61" i="30"/>
  <c r="G59" i="30"/>
  <c r="G61" i="30"/>
  <c r="H59" i="30"/>
  <c r="H61" i="30"/>
  <c r="I59" i="30"/>
  <c r="I61" i="30"/>
  <c r="J61" i="30"/>
  <c r="K61" i="30"/>
  <c r="E59" i="30"/>
  <c r="E61" i="30"/>
  <c r="G60" i="30"/>
  <c r="H60" i="30"/>
  <c r="I60" i="30"/>
  <c r="J60" i="30"/>
  <c r="F60" i="30"/>
  <c r="G57" i="30"/>
  <c r="H57" i="30"/>
  <c r="I57" i="30"/>
  <c r="J57" i="30"/>
  <c r="K57" i="30"/>
  <c r="L57" i="30"/>
  <c r="M57" i="30"/>
  <c r="N57" i="30"/>
  <c r="O57" i="30"/>
  <c r="F57" i="30"/>
  <c r="G54" i="30"/>
  <c r="H54" i="30"/>
  <c r="I54" i="30"/>
  <c r="J54" i="30"/>
  <c r="K54" i="30"/>
  <c r="L54" i="30"/>
  <c r="M54" i="30"/>
  <c r="N54" i="30"/>
  <c r="O54" i="30"/>
  <c r="F54" i="30"/>
  <c r="G51" i="30"/>
  <c r="H51" i="30"/>
  <c r="I51" i="30"/>
  <c r="J51" i="30"/>
  <c r="K51" i="30"/>
  <c r="L51" i="30"/>
  <c r="M51" i="30"/>
  <c r="N51" i="30"/>
  <c r="O51" i="30"/>
  <c r="F51" i="30"/>
  <c r="I224" i="21"/>
  <c r="V47" i="20"/>
  <c r="W47" i="20"/>
  <c r="X47" i="20"/>
  <c r="Y47" i="20"/>
  <c r="Z47" i="20"/>
  <c r="AA47" i="20"/>
  <c r="AB47" i="20"/>
  <c r="AC47" i="20"/>
  <c r="AD47" i="20"/>
  <c r="V45" i="20"/>
  <c r="W45" i="20"/>
  <c r="X45" i="20"/>
  <c r="Y45" i="20"/>
  <c r="Z45" i="20"/>
  <c r="AA45" i="20"/>
  <c r="AB45" i="20"/>
  <c r="AC45" i="20"/>
  <c r="AD45" i="20"/>
  <c r="T40" i="20"/>
  <c r="U40" i="20"/>
  <c r="V40" i="20"/>
  <c r="W40" i="20"/>
  <c r="X40" i="20"/>
  <c r="Y40" i="20"/>
  <c r="Z40" i="20"/>
  <c r="AA40" i="20"/>
  <c r="AB40" i="20"/>
  <c r="AC40" i="20"/>
  <c r="AD40" i="20"/>
  <c r="T43" i="20"/>
  <c r="U43" i="20"/>
  <c r="V43" i="20"/>
  <c r="W43" i="20"/>
  <c r="X43" i="20"/>
  <c r="Y43" i="20"/>
  <c r="Z43" i="20"/>
  <c r="AA43" i="20"/>
  <c r="AB43" i="20"/>
  <c r="AC43" i="20"/>
  <c r="AD43" i="20"/>
  <c r="V18" i="20"/>
  <c r="W18" i="20"/>
  <c r="X18" i="20"/>
  <c r="Y18" i="20"/>
  <c r="Z18" i="20"/>
  <c r="AA18" i="20"/>
  <c r="AB18" i="20"/>
  <c r="AC18" i="20"/>
  <c r="AD18" i="20"/>
  <c r="S14" i="20"/>
  <c r="T18" i="20"/>
  <c r="T14" i="20"/>
  <c r="U14" i="20"/>
  <c r="V14" i="20"/>
  <c r="W14" i="20"/>
  <c r="X14" i="20"/>
  <c r="Y14" i="20"/>
  <c r="Z14" i="20"/>
  <c r="AA14" i="20"/>
  <c r="AB14" i="20"/>
  <c r="AC14" i="20"/>
  <c r="AD14" i="20"/>
  <c r="F39" i="29"/>
  <c r="F40" i="29"/>
  <c r="F36" i="29"/>
  <c r="F34" i="29"/>
  <c r="F33" i="29"/>
  <c r="F42" i="29"/>
  <c r="F61" i="29"/>
  <c r="F63" i="29"/>
  <c r="F64" i="29"/>
  <c r="F59" i="29"/>
  <c r="F53" i="29"/>
  <c r="F54" i="29"/>
  <c r="F55" i="29"/>
  <c r="F56" i="29"/>
  <c r="F57" i="29"/>
  <c r="F52" i="29"/>
  <c r="F46" i="29"/>
  <c r="F47" i="29"/>
  <c r="F48" i="29"/>
  <c r="F49" i="29"/>
  <c r="F50" i="29"/>
  <c r="F45" i="29"/>
  <c r="F65" i="29"/>
  <c r="F66" i="29"/>
  <c r="G39" i="29"/>
  <c r="G40" i="29"/>
  <c r="G36" i="29"/>
  <c r="G34" i="29"/>
  <c r="G33" i="29"/>
  <c r="G42" i="29"/>
  <c r="G61" i="29"/>
  <c r="G63" i="29"/>
  <c r="G64" i="29"/>
  <c r="G59" i="29"/>
  <c r="G53" i="29"/>
  <c r="G54" i="29"/>
  <c r="G55" i="29"/>
  <c r="G56" i="29"/>
  <c r="G57" i="29"/>
  <c r="G52" i="29"/>
  <c r="G46" i="29"/>
  <c r="G47" i="29"/>
  <c r="G48" i="29"/>
  <c r="G49" i="29"/>
  <c r="G50" i="29"/>
  <c r="G45" i="29"/>
  <c r="G65" i="29"/>
  <c r="G66" i="29"/>
  <c r="P107" i="21"/>
  <c r="M53" i="29"/>
  <c r="K108" i="21"/>
  <c r="L108" i="21"/>
  <c r="M108" i="21"/>
  <c r="N108" i="21"/>
  <c r="O108" i="21"/>
  <c r="P108" i="21"/>
  <c r="M54" i="29"/>
  <c r="K109" i="21"/>
  <c r="L109" i="21"/>
  <c r="M109" i="21"/>
  <c r="N109" i="21"/>
  <c r="O109" i="21"/>
  <c r="P109" i="21"/>
  <c r="M55" i="29"/>
  <c r="K110" i="21"/>
  <c r="L110" i="21"/>
  <c r="M110" i="21"/>
  <c r="N110" i="21"/>
  <c r="O110" i="21"/>
  <c r="P110" i="21"/>
  <c r="M56" i="29"/>
  <c r="K111" i="21"/>
  <c r="L111" i="21"/>
  <c r="M111" i="21"/>
  <c r="N111" i="21"/>
  <c r="O111" i="21"/>
  <c r="P111" i="21"/>
  <c r="M57" i="29"/>
  <c r="M52" i="29"/>
  <c r="K115" i="21"/>
  <c r="H61" i="29"/>
  <c r="L115" i="21"/>
  <c r="I61" i="29"/>
  <c r="M115" i="21"/>
  <c r="J61" i="29"/>
  <c r="N115" i="21"/>
  <c r="K61" i="29"/>
  <c r="O115" i="21"/>
  <c r="L61" i="29"/>
  <c r="P115" i="21"/>
  <c r="M61" i="29"/>
  <c r="K118" i="21"/>
  <c r="H64" i="29"/>
  <c r="L118" i="21"/>
  <c r="I64" i="29"/>
  <c r="M118" i="21"/>
  <c r="J64" i="29"/>
  <c r="N118" i="21"/>
  <c r="K64" i="29"/>
  <c r="O118" i="21"/>
  <c r="L64" i="29"/>
  <c r="P118" i="21"/>
  <c r="M64" i="29"/>
  <c r="K107" i="21"/>
  <c r="H53" i="29"/>
  <c r="L107" i="21"/>
  <c r="I53" i="29"/>
  <c r="M107" i="21"/>
  <c r="J53" i="29"/>
  <c r="N107" i="21"/>
  <c r="K53" i="29"/>
  <c r="L53" i="29"/>
  <c r="H54" i="29"/>
  <c r="I54" i="29"/>
  <c r="J54" i="29"/>
  <c r="K54" i="29"/>
  <c r="L54" i="29"/>
  <c r="H55" i="29"/>
  <c r="I55" i="29"/>
  <c r="J55" i="29"/>
  <c r="K55" i="29"/>
  <c r="L55" i="29"/>
  <c r="H56" i="29"/>
  <c r="I56" i="29"/>
  <c r="J56" i="29"/>
  <c r="K56" i="29"/>
  <c r="L56" i="29"/>
  <c r="H57" i="29"/>
  <c r="I57" i="29"/>
  <c r="J57" i="29"/>
  <c r="K57" i="29"/>
  <c r="L57" i="29"/>
  <c r="K100" i="21"/>
  <c r="L100" i="21"/>
  <c r="I46" i="29"/>
  <c r="M100" i="21"/>
  <c r="J46" i="29"/>
  <c r="N100" i="21"/>
  <c r="K46" i="29"/>
  <c r="O100" i="21"/>
  <c r="L46" i="29"/>
  <c r="P100" i="21"/>
  <c r="M46" i="29"/>
  <c r="H46" i="29"/>
  <c r="K101" i="21"/>
  <c r="H47" i="29"/>
  <c r="L101" i="21"/>
  <c r="I47" i="29"/>
  <c r="M101" i="21"/>
  <c r="J47" i="29"/>
  <c r="N101" i="21"/>
  <c r="K47" i="29"/>
  <c r="O101" i="21"/>
  <c r="L47" i="29"/>
  <c r="P101" i="21"/>
  <c r="M47" i="29"/>
  <c r="K102" i="21"/>
  <c r="H48" i="29"/>
  <c r="L102" i="21"/>
  <c r="I48" i="29"/>
  <c r="M102" i="21"/>
  <c r="J48" i="29"/>
  <c r="N102" i="21"/>
  <c r="K48" i="29"/>
  <c r="O102" i="21"/>
  <c r="L48" i="29"/>
  <c r="P102" i="21"/>
  <c r="M48" i="29"/>
  <c r="K92" i="21"/>
  <c r="H40" i="29"/>
  <c r="L92" i="21"/>
  <c r="I40" i="29"/>
  <c r="M92" i="21"/>
  <c r="J40" i="29"/>
  <c r="N92" i="21"/>
  <c r="K40" i="29"/>
  <c r="O92" i="21"/>
  <c r="L40" i="29"/>
  <c r="P92" i="21"/>
  <c r="M40" i="29"/>
  <c r="K214" i="21"/>
  <c r="K216" i="21"/>
  <c r="K218" i="21"/>
  <c r="K87" i="21"/>
  <c r="H34" i="29"/>
  <c r="L214" i="21"/>
  <c r="L215" i="21"/>
  <c r="L216" i="21"/>
  <c r="L218" i="21"/>
  <c r="L87" i="21"/>
  <c r="I34" i="29"/>
  <c r="M214" i="21"/>
  <c r="M215" i="21"/>
  <c r="M216" i="21"/>
  <c r="M218" i="21"/>
  <c r="M87" i="21"/>
  <c r="J34" i="29"/>
  <c r="N214" i="21"/>
  <c r="N215" i="21"/>
  <c r="N216" i="21"/>
  <c r="N218" i="21"/>
  <c r="N87" i="21"/>
  <c r="K34" i="29"/>
  <c r="O214" i="21"/>
  <c r="O215" i="21"/>
  <c r="O216" i="21"/>
  <c r="O218" i="21"/>
  <c r="O87" i="21"/>
  <c r="L34" i="29"/>
  <c r="P214" i="21"/>
  <c r="P215" i="21"/>
  <c r="P216" i="21"/>
  <c r="P218" i="21"/>
  <c r="P87" i="21"/>
  <c r="M34" i="29"/>
  <c r="E36" i="29"/>
  <c r="E33" i="29"/>
  <c r="E42" i="29"/>
  <c r="E59" i="29"/>
  <c r="E52" i="29"/>
  <c r="E45" i="29"/>
  <c r="E65" i="29"/>
  <c r="E66" i="29"/>
  <c r="H52" i="29"/>
  <c r="I52" i="29"/>
  <c r="J52" i="29"/>
  <c r="K52" i="29"/>
  <c r="L52" i="29"/>
  <c r="H33" i="29"/>
  <c r="I33" i="29"/>
  <c r="J33" i="29"/>
  <c r="K33" i="29"/>
  <c r="L33" i="29"/>
  <c r="M33" i="29"/>
  <c r="F28" i="29"/>
  <c r="J31" i="21"/>
  <c r="J37" i="21"/>
  <c r="G22" i="29"/>
  <c r="I31" i="21"/>
  <c r="G24" i="29"/>
  <c r="G23" i="29"/>
  <c r="G16" i="29"/>
  <c r="H16" i="29"/>
  <c r="F16" i="29"/>
  <c r="G15" i="29"/>
  <c r="H15" i="29"/>
  <c r="I15" i="29"/>
  <c r="J15" i="29"/>
  <c r="K15" i="29"/>
  <c r="L15" i="29"/>
  <c r="M15" i="29"/>
  <c r="F15" i="29"/>
  <c r="G19" i="29"/>
  <c r="F19" i="29"/>
  <c r="G18" i="29"/>
  <c r="G14" i="29"/>
  <c r="F14" i="29"/>
  <c r="G13" i="29"/>
  <c r="J74" i="21"/>
  <c r="G8" i="29"/>
  <c r="G10" i="29"/>
  <c r="I74" i="21"/>
  <c r="F8" i="29"/>
  <c r="F10" i="29"/>
  <c r="G9" i="29"/>
  <c r="H7" i="29"/>
  <c r="I7" i="29"/>
  <c r="J7" i="29"/>
  <c r="K7" i="29"/>
  <c r="L7" i="29"/>
  <c r="M7" i="29"/>
  <c r="G7" i="29"/>
  <c r="O7" i="11"/>
  <c r="R13" i="11"/>
  <c r="S13" i="11"/>
  <c r="T13" i="11"/>
  <c r="U13" i="11"/>
  <c r="V13" i="11"/>
  <c r="W13" i="11"/>
  <c r="X13" i="11"/>
  <c r="Y13" i="11"/>
  <c r="Z13" i="11"/>
  <c r="AA13" i="11"/>
  <c r="AB13" i="11"/>
  <c r="AC13" i="11"/>
  <c r="AD13" i="11"/>
  <c r="O19" i="11"/>
  <c r="L17" i="11"/>
  <c r="M17" i="11"/>
  <c r="N17" i="11"/>
  <c r="O17" i="11"/>
  <c r="L19" i="11"/>
  <c r="M19" i="11"/>
  <c r="N19" i="11"/>
  <c r="L13" i="11"/>
  <c r="M13" i="11"/>
  <c r="N13" i="11"/>
  <c r="O13" i="11"/>
  <c r="E7" i="11"/>
  <c r="F7" i="11"/>
  <c r="G7" i="11"/>
  <c r="H7" i="11"/>
  <c r="I7" i="11"/>
  <c r="J7" i="11"/>
  <c r="K7" i="11"/>
  <c r="L7" i="11"/>
  <c r="M7" i="11"/>
  <c r="N7" i="11"/>
  <c r="E48" i="20"/>
  <c r="E49" i="20"/>
  <c r="F48" i="20"/>
  <c r="F49" i="20"/>
  <c r="G48" i="20"/>
  <c r="G49" i="20"/>
  <c r="H48" i="20"/>
  <c r="H49" i="20"/>
  <c r="I48" i="20"/>
  <c r="I49" i="20"/>
  <c r="J48" i="20"/>
  <c r="J49" i="20"/>
  <c r="K48" i="20"/>
  <c r="K49" i="20"/>
  <c r="L49" i="20"/>
  <c r="M49" i="20"/>
  <c r="N49" i="20"/>
  <c r="E20" i="20"/>
  <c r="E50" i="20"/>
  <c r="F20" i="20"/>
  <c r="F50" i="20"/>
  <c r="G20" i="20"/>
  <c r="G50" i="20"/>
  <c r="H20" i="20"/>
  <c r="H50" i="20"/>
  <c r="I20" i="20"/>
  <c r="I50" i="20"/>
  <c r="J20" i="20"/>
  <c r="J50" i="20"/>
  <c r="K20" i="20"/>
  <c r="K50" i="20"/>
  <c r="L50" i="20"/>
  <c r="M50" i="20"/>
  <c r="N50" i="20"/>
  <c r="E21" i="20"/>
  <c r="F21" i="20"/>
  <c r="G21" i="20"/>
  <c r="H21" i="20"/>
  <c r="I21" i="20"/>
  <c r="J21" i="20"/>
  <c r="K21" i="20"/>
  <c r="L21" i="20"/>
  <c r="M21" i="20"/>
  <c r="N21" i="20"/>
  <c r="N83" i="20"/>
  <c r="O52" i="20"/>
  <c r="N52" i="20"/>
  <c r="M52" i="20"/>
  <c r="L52" i="20"/>
  <c r="J51" i="20"/>
  <c r="K52" i="20"/>
  <c r="I51" i="20"/>
  <c r="J52" i="20"/>
  <c r="H51" i="20"/>
  <c r="I52" i="20"/>
  <c r="G51" i="20"/>
  <c r="H52" i="20"/>
  <c r="F51" i="20"/>
  <c r="G52" i="20"/>
  <c r="E51" i="20"/>
  <c r="F52" i="20"/>
  <c r="O21" i="20"/>
  <c r="O49" i="20"/>
  <c r="O23" i="20"/>
  <c r="N23" i="20"/>
  <c r="M23" i="20"/>
  <c r="L23" i="20"/>
  <c r="P196" i="21"/>
  <c r="K205" i="21"/>
  <c r="L205" i="21"/>
  <c r="M205" i="21"/>
  <c r="N205" i="21"/>
  <c r="O205" i="21"/>
  <c r="P205" i="21"/>
  <c r="K204" i="21"/>
  <c r="L204" i="21"/>
  <c r="M204" i="21"/>
  <c r="N204" i="21"/>
  <c r="O204" i="21"/>
  <c r="P204" i="21"/>
  <c r="K203" i="21"/>
  <c r="L203" i="21"/>
  <c r="M203" i="21"/>
  <c r="N203" i="21"/>
  <c r="O203" i="21"/>
  <c r="P203" i="21"/>
  <c r="K198" i="21"/>
  <c r="L198" i="21"/>
  <c r="M198" i="21"/>
  <c r="N198" i="21"/>
  <c r="O198" i="21"/>
  <c r="P198" i="21"/>
  <c r="K197" i="21"/>
  <c r="L197" i="21"/>
  <c r="M197" i="21"/>
  <c r="N197" i="21"/>
  <c r="O197" i="21"/>
  <c r="P197" i="21"/>
  <c r="K196" i="21"/>
  <c r="L196" i="21"/>
  <c r="M196" i="21"/>
  <c r="N196" i="21"/>
  <c r="O196" i="21"/>
  <c r="K191" i="21"/>
  <c r="L191" i="21"/>
  <c r="M191" i="21"/>
  <c r="N191" i="21"/>
  <c r="O191" i="21"/>
  <c r="P191" i="21"/>
  <c r="K188" i="21"/>
  <c r="L188" i="21"/>
  <c r="M188" i="21"/>
  <c r="N188" i="21"/>
  <c r="O188" i="21"/>
  <c r="P188" i="21"/>
  <c r="K187" i="21"/>
  <c r="L187" i="21"/>
  <c r="M187" i="21"/>
  <c r="N187" i="21"/>
  <c r="O187" i="21"/>
  <c r="P187" i="21"/>
  <c r="K186" i="21"/>
  <c r="L186" i="21"/>
  <c r="M186" i="21"/>
  <c r="N186" i="21"/>
  <c r="O186" i="21"/>
  <c r="P186" i="21"/>
  <c r="K184" i="21"/>
  <c r="K179" i="21"/>
  <c r="L179" i="21"/>
  <c r="M179" i="21"/>
  <c r="N179" i="21"/>
  <c r="O179" i="21"/>
  <c r="P179" i="21"/>
  <c r="K224" i="21"/>
  <c r="K176" i="21"/>
  <c r="K227" i="21"/>
  <c r="K177" i="21"/>
  <c r="L224" i="21"/>
  <c r="L176" i="21"/>
  <c r="L227" i="21"/>
  <c r="L177" i="21"/>
  <c r="M224" i="21"/>
  <c r="M176" i="21"/>
  <c r="M227" i="21"/>
  <c r="M177" i="21"/>
  <c r="N224" i="21"/>
  <c r="N176" i="21"/>
  <c r="N227" i="21"/>
  <c r="N177" i="21"/>
  <c r="O224" i="21"/>
  <c r="O176" i="21"/>
  <c r="O227" i="21"/>
  <c r="O177" i="21"/>
  <c r="P224" i="21"/>
  <c r="P176" i="21"/>
  <c r="P227" i="21"/>
  <c r="P177" i="21"/>
  <c r="L174" i="21"/>
  <c r="M174" i="21"/>
  <c r="N174" i="21"/>
  <c r="O174" i="21"/>
  <c r="P174" i="21"/>
  <c r="K174" i="21"/>
  <c r="L173" i="21"/>
  <c r="M173" i="21"/>
  <c r="N173" i="21"/>
  <c r="O173" i="21"/>
  <c r="P173" i="21"/>
  <c r="K173" i="21"/>
  <c r="I113" i="21"/>
  <c r="I106" i="21"/>
  <c r="I99" i="21"/>
  <c r="I119" i="21"/>
  <c r="I89" i="21"/>
  <c r="I86" i="21"/>
  <c r="I95" i="21"/>
  <c r="I121" i="21"/>
  <c r="J113" i="21"/>
  <c r="J106" i="21"/>
  <c r="J99" i="21"/>
  <c r="J119" i="21"/>
  <c r="J89" i="21"/>
  <c r="J86" i="21"/>
  <c r="J95" i="21"/>
  <c r="J121" i="21"/>
  <c r="K247" i="21"/>
  <c r="K255" i="21"/>
  <c r="J20" i="21"/>
  <c r="K106" i="21"/>
  <c r="K86" i="21"/>
  <c r="L106" i="21"/>
  <c r="L86" i="21"/>
  <c r="M106" i="21"/>
  <c r="M86" i="21"/>
  <c r="N106" i="21"/>
  <c r="N86" i="21"/>
  <c r="O106" i="21"/>
  <c r="O86" i="21"/>
  <c r="P106" i="21"/>
  <c r="P155" i="21"/>
  <c r="P159" i="21"/>
  <c r="P150" i="21"/>
  <c r="P152" i="21"/>
  <c r="P136" i="21"/>
  <c r="P135" i="21"/>
  <c r="P145" i="21"/>
  <c r="P163" i="21"/>
  <c r="P86" i="21"/>
  <c r="H113" i="21"/>
  <c r="H106" i="21"/>
  <c r="H99" i="21"/>
  <c r="H119" i="21"/>
  <c r="H89" i="21"/>
  <c r="H86" i="21"/>
  <c r="H95" i="21"/>
  <c r="H121" i="21"/>
  <c r="M273" i="21"/>
  <c r="N273" i="21"/>
  <c r="O273" i="21"/>
  <c r="P273" i="21"/>
  <c r="L273" i="21"/>
  <c r="J258" i="21"/>
  <c r="N6" i="21"/>
  <c r="O6" i="21"/>
  <c r="P6" i="21"/>
  <c r="J155" i="21"/>
  <c r="J159" i="21"/>
  <c r="J146" i="21"/>
  <c r="J233" i="21"/>
  <c r="I59" i="21"/>
  <c r="I62" i="21"/>
  <c r="H59" i="21"/>
  <c r="H62" i="21"/>
  <c r="I63" i="21"/>
  <c r="J59" i="21"/>
  <c r="J62" i="21"/>
  <c r="J63" i="21"/>
  <c r="I19" i="21"/>
  <c r="I20" i="21"/>
  <c r="I22" i="21"/>
  <c r="J275" i="21"/>
  <c r="K275" i="21"/>
  <c r="K273" i="21"/>
  <c r="J266" i="21"/>
  <c r="J273" i="21"/>
  <c r="I272" i="21"/>
  <c r="J267" i="21"/>
  <c r="I271" i="21"/>
  <c r="J269" i="21"/>
  <c r="J270" i="21"/>
  <c r="I269" i="21"/>
  <c r="J268" i="21"/>
  <c r="H155" i="21"/>
  <c r="H159" i="21"/>
  <c r="I159" i="21"/>
  <c r="I279" i="21"/>
  <c r="I277" i="21"/>
  <c r="I278" i="21"/>
  <c r="J279" i="21"/>
  <c r="J278" i="21"/>
  <c r="H279" i="21"/>
  <c r="H277" i="21"/>
  <c r="H278" i="21"/>
  <c r="K6" i="21"/>
  <c r="I80" i="21"/>
  <c r="J80" i="21"/>
  <c r="I78" i="21"/>
  <c r="J78" i="21"/>
  <c r="H79" i="21"/>
  <c r="H80" i="21"/>
  <c r="H77" i="21"/>
  <c r="H78" i="21"/>
  <c r="H74" i="21"/>
  <c r="I76" i="21"/>
  <c r="J76" i="21"/>
  <c r="I75" i="21"/>
  <c r="J75" i="21"/>
  <c r="H75" i="21"/>
  <c r="I13" i="21"/>
  <c r="J12" i="21"/>
  <c r="I12" i="21"/>
  <c r="J10" i="21"/>
  <c r="I10" i="21"/>
  <c r="H7" i="21"/>
  <c r="I8" i="21"/>
  <c r="J8" i="21"/>
  <c r="J43" i="21"/>
  <c r="J44" i="21"/>
  <c r="J199" i="21"/>
  <c r="J162" i="21"/>
  <c r="J151" i="21"/>
  <c r="J152" i="21"/>
  <c r="J144" i="21"/>
  <c r="J145" i="21"/>
  <c r="J147" i="21"/>
  <c r="J161" i="21"/>
  <c r="J164" i="21"/>
  <c r="J170" i="21"/>
  <c r="I275" i="21"/>
  <c r="I270" i="21"/>
  <c r="I162" i="21"/>
  <c r="I268" i="21"/>
  <c r="I247" i="21"/>
  <c r="H233" i="21"/>
  <c r="I222" i="21"/>
  <c r="I231" i="21"/>
  <c r="I228" i="21"/>
  <c r="I225" i="21"/>
  <c r="H222" i="21"/>
  <c r="H231" i="21"/>
  <c r="H228" i="21"/>
  <c r="H225" i="21"/>
  <c r="I51" i="21"/>
  <c r="I50" i="21"/>
  <c r="J51" i="21"/>
  <c r="J50" i="21"/>
  <c r="H51" i="21"/>
  <c r="H50" i="21"/>
  <c r="H37" i="21"/>
  <c r="I38" i="21"/>
  <c r="J38" i="21"/>
  <c r="I36" i="21"/>
  <c r="J36" i="21"/>
  <c r="H36" i="21"/>
  <c r="I26" i="21"/>
  <c r="J26" i="21"/>
  <c r="J27" i="21"/>
  <c r="I27" i="21"/>
  <c r="J24" i="21"/>
  <c r="I24" i="21"/>
  <c r="I17" i="21"/>
  <c r="J17" i="21"/>
  <c r="J15" i="21"/>
  <c r="I15" i="21"/>
  <c r="J6" i="21"/>
  <c r="I6" i="21"/>
  <c r="K43" i="11"/>
  <c r="L178" i="11"/>
  <c r="L179" i="11"/>
  <c r="L68" i="11"/>
  <c r="L70" i="11"/>
  <c r="L65" i="11"/>
  <c r="M179" i="11"/>
  <c r="M178" i="11"/>
  <c r="M176" i="11"/>
  <c r="M177" i="11"/>
  <c r="M65" i="11"/>
  <c r="L43" i="11"/>
  <c r="N178" i="11"/>
  <c r="N175" i="11"/>
  <c r="M69" i="11"/>
  <c r="N72" i="11"/>
  <c r="N65" i="11"/>
  <c r="M50" i="11"/>
  <c r="M47" i="11"/>
  <c r="M42" i="11"/>
  <c r="M39" i="11"/>
  <c r="N39" i="11"/>
  <c r="O254" i="11"/>
  <c r="P197" i="11"/>
  <c r="P201" i="11"/>
  <c r="Q197" i="11"/>
  <c r="Q201" i="11"/>
  <c r="R197" i="11"/>
  <c r="R201" i="11"/>
  <c r="S197" i="11"/>
  <c r="S201" i="11"/>
  <c r="T197" i="11"/>
  <c r="T201" i="11"/>
  <c r="U197" i="11"/>
  <c r="U201" i="11"/>
  <c r="V197" i="11"/>
  <c r="V201" i="11"/>
  <c r="W197" i="11"/>
  <c r="W201" i="11"/>
  <c r="X197" i="11"/>
  <c r="X201" i="11"/>
  <c r="Y197" i="11"/>
  <c r="Y201" i="11"/>
  <c r="Z197" i="11"/>
  <c r="Z201" i="11"/>
  <c r="AA197" i="11"/>
  <c r="AA201" i="11"/>
  <c r="AB197" i="11"/>
  <c r="AB201" i="11"/>
  <c r="AC197" i="11"/>
  <c r="AC201" i="11"/>
  <c r="AD197" i="11"/>
  <c r="AD201" i="11"/>
  <c r="M157" i="11"/>
  <c r="N157" i="11"/>
  <c r="E82" i="11"/>
  <c r="E86" i="11"/>
  <c r="E197" i="11"/>
  <c r="E201" i="11"/>
  <c r="F82" i="11"/>
  <c r="F86" i="11"/>
  <c r="F197" i="11"/>
  <c r="F201" i="11"/>
  <c r="G82" i="11"/>
  <c r="G86" i="11"/>
  <c r="G197" i="11"/>
  <c r="G201" i="11"/>
  <c r="H82" i="11"/>
  <c r="H86" i="11"/>
  <c r="H197" i="11"/>
  <c r="H201" i="11"/>
  <c r="I82" i="11"/>
  <c r="I86" i="11"/>
  <c r="I197" i="11"/>
  <c r="I201" i="11"/>
  <c r="J82" i="11"/>
  <c r="J86" i="11"/>
  <c r="J197" i="11"/>
  <c r="J201" i="11"/>
  <c r="K82" i="11"/>
  <c r="K86" i="11"/>
  <c r="K197" i="11"/>
  <c r="K201" i="11"/>
  <c r="L82" i="11"/>
  <c r="L86" i="11"/>
  <c r="L197" i="11"/>
  <c r="L201" i="11"/>
  <c r="N197" i="11"/>
  <c r="N201" i="11"/>
  <c r="O157" i="11"/>
  <c r="O197" i="11"/>
  <c r="O201" i="11"/>
  <c r="M197" i="11"/>
  <c r="M24" i="11"/>
  <c r="M82" i="11"/>
  <c r="M86" i="11"/>
  <c r="M201" i="11"/>
  <c r="F96" i="27"/>
  <c r="F100" i="27"/>
  <c r="N82" i="11"/>
  <c r="O82" i="11"/>
  <c r="P82" i="11"/>
  <c r="Q82" i="11"/>
  <c r="R82" i="11"/>
  <c r="S82" i="11"/>
  <c r="T82" i="11"/>
  <c r="U82" i="11"/>
  <c r="V82" i="11"/>
  <c r="W82" i="11"/>
  <c r="X82" i="11"/>
  <c r="Y82" i="11"/>
  <c r="Z82" i="11"/>
  <c r="AA82" i="11"/>
  <c r="AB82" i="11"/>
  <c r="AC82" i="11"/>
  <c r="AD82" i="11"/>
  <c r="N24" i="11"/>
  <c r="N86" i="11"/>
  <c r="O24" i="11"/>
  <c r="O86" i="11"/>
  <c r="O176" i="11"/>
  <c r="O178" i="11"/>
  <c r="O72" i="11"/>
  <c r="N69" i="11"/>
  <c r="O69" i="11"/>
  <c r="O65" i="11"/>
  <c r="N50" i="11"/>
  <c r="O50" i="11"/>
  <c r="O47" i="11"/>
  <c r="N47" i="11"/>
  <c r="O43" i="11"/>
  <c r="N43" i="11"/>
  <c r="O39" i="11"/>
  <c r="L161" i="11"/>
  <c r="M161" i="11"/>
  <c r="N161" i="11"/>
  <c r="O161" i="11"/>
  <c r="N76" i="27"/>
  <c r="N63" i="27"/>
  <c r="N52" i="27"/>
  <c r="K79" i="27"/>
  <c r="P97" i="27"/>
  <c r="P98" i="27"/>
  <c r="P96" i="27"/>
  <c r="Q97" i="27"/>
  <c r="Q98" i="27"/>
  <c r="Q96" i="27"/>
  <c r="R97" i="27"/>
  <c r="R98" i="27"/>
  <c r="R96" i="27"/>
  <c r="S97" i="27"/>
  <c r="S98" i="27"/>
  <c r="S96" i="27"/>
  <c r="T97" i="27"/>
  <c r="T98" i="27"/>
  <c r="T96" i="27"/>
  <c r="U97" i="27"/>
  <c r="U98" i="27"/>
  <c r="U96" i="27"/>
  <c r="V97" i="27"/>
  <c r="V98" i="27"/>
  <c r="V96" i="27"/>
  <c r="W97" i="27"/>
  <c r="W98" i="27"/>
  <c r="W96" i="27"/>
  <c r="X97" i="27"/>
  <c r="X98" i="27"/>
  <c r="X96" i="27"/>
  <c r="Y97" i="27"/>
  <c r="Y98" i="27"/>
  <c r="Y96" i="27"/>
  <c r="Z97" i="27"/>
  <c r="Z98" i="27"/>
  <c r="Z96" i="27"/>
  <c r="AA97" i="27"/>
  <c r="AA98" i="27"/>
  <c r="AA96" i="27"/>
  <c r="AB97" i="27"/>
  <c r="AB98" i="27"/>
  <c r="AB96" i="27"/>
  <c r="AC97" i="27"/>
  <c r="AC98" i="27"/>
  <c r="AC96" i="27"/>
  <c r="AD97" i="27"/>
  <c r="AD98" i="27"/>
  <c r="AD96" i="27"/>
  <c r="O17" i="27"/>
  <c r="N17" i="27"/>
  <c r="M17" i="27"/>
  <c r="L17" i="27"/>
  <c r="K17" i="27"/>
  <c r="J17" i="27"/>
  <c r="I17" i="27"/>
  <c r="H17" i="27"/>
  <c r="G17" i="27"/>
  <c r="F17" i="27"/>
  <c r="AD13" i="27"/>
  <c r="AC13" i="27"/>
  <c r="AB13" i="27"/>
  <c r="AA13" i="27"/>
  <c r="Z13" i="27"/>
  <c r="Y13" i="27"/>
  <c r="X13" i="27"/>
  <c r="W13" i="27"/>
  <c r="V13" i="27"/>
  <c r="U13" i="27"/>
  <c r="T13" i="27"/>
  <c r="S13" i="27"/>
  <c r="R13" i="27"/>
  <c r="Q13" i="27"/>
  <c r="P13" i="27"/>
  <c r="O13" i="27"/>
  <c r="N13" i="27"/>
  <c r="M13" i="27"/>
  <c r="L13" i="27"/>
  <c r="K13" i="27"/>
  <c r="J13" i="27"/>
  <c r="I13" i="27"/>
  <c r="H13" i="27"/>
  <c r="G13" i="27"/>
  <c r="F13" i="27"/>
  <c r="O7" i="27"/>
  <c r="N7" i="27"/>
  <c r="O8" i="27"/>
  <c r="N8" i="27"/>
  <c r="K7" i="27"/>
  <c r="L8" i="27"/>
  <c r="J7" i="27"/>
  <c r="K8" i="27"/>
  <c r="I7" i="27"/>
  <c r="J8" i="27"/>
  <c r="H7" i="27"/>
  <c r="I8" i="27"/>
  <c r="G7" i="27"/>
  <c r="H8" i="27"/>
  <c r="F7" i="27"/>
  <c r="G8" i="27"/>
  <c r="E7" i="27"/>
  <c r="F8" i="27"/>
  <c r="AD100" i="27"/>
  <c r="AC100" i="27"/>
  <c r="AB100" i="27"/>
  <c r="AA100" i="27"/>
  <c r="Z100" i="27"/>
  <c r="Y100" i="27"/>
  <c r="X100" i="27"/>
  <c r="W100" i="27"/>
  <c r="V100" i="27"/>
  <c r="U100" i="27"/>
  <c r="T100" i="27"/>
  <c r="S100" i="27"/>
  <c r="R100" i="27"/>
  <c r="Q100" i="27"/>
  <c r="P100" i="27"/>
  <c r="O96" i="27"/>
  <c r="O100" i="27"/>
  <c r="N96" i="27"/>
  <c r="N100" i="27"/>
  <c r="M96" i="27"/>
  <c r="M100" i="27"/>
  <c r="L96" i="27"/>
  <c r="L100" i="27"/>
  <c r="K96" i="27"/>
  <c r="K100" i="27"/>
  <c r="J96" i="27"/>
  <c r="J100" i="27"/>
  <c r="I96" i="27"/>
  <c r="I100" i="27"/>
  <c r="H96" i="27"/>
  <c r="H100" i="27"/>
  <c r="G96" i="27"/>
  <c r="G100" i="27"/>
  <c r="N9" i="13"/>
  <c r="O9" i="13"/>
  <c r="AD9" i="13"/>
  <c r="F9" i="13"/>
  <c r="G9" i="13"/>
  <c r="H9" i="13"/>
  <c r="I9" i="13"/>
  <c r="J9" i="13"/>
  <c r="K9" i="13"/>
  <c r="L9" i="13"/>
  <c r="M9" i="13"/>
  <c r="F21" i="13"/>
  <c r="G21" i="13"/>
  <c r="H21" i="13"/>
  <c r="I21" i="13"/>
  <c r="J21" i="13"/>
  <c r="K21" i="13"/>
  <c r="L21" i="13"/>
  <c r="M21" i="13"/>
  <c r="N21" i="13"/>
  <c r="E21" i="13"/>
  <c r="R15" i="13"/>
  <c r="S15" i="13"/>
  <c r="T15" i="13"/>
  <c r="U15" i="13"/>
  <c r="V15" i="13"/>
  <c r="W15" i="13"/>
  <c r="X15" i="13"/>
  <c r="Y15" i="13"/>
  <c r="Z15" i="13"/>
  <c r="AA15" i="13"/>
  <c r="AB15" i="13"/>
  <c r="AC15" i="13"/>
  <c r="AD15" i="13"/>
  <c r="P31" i="13"/>
  <c r="Q31" i="13"/>
  <c r="R31" i="13"/>
  <c r="S31" i="13"/>
  <c r="T31" i="13"/>
  <c r="P32" i="13"/>
  <c r="Q32" i="13"/>
  <c r="R32" i="13"/>
  <c r="S32" i="13"/>
  <c r="T32" i="13"/>
  <c r="T30" i="13"/>
  <c r="T34" i="13"/>
  <c r="U31" i="13"/>
  <c r="U32" i="13"/>
  <c r="U30" i="13"/>
  <c r="U34" i="13"/>
  <c r="V31" i="13"/>
  <c r="V32" i="13"/>
  <c r="V30" i="13"/>
  <c r="V34" i="13"/>
  <c r="W31" i="13"/>
  <c r="W32" i="13"/>
  <c r="W30" i="13"/>
  <c r="W34" i="13"/>
  <c r="X31" i="13"/>
  <c r="X32" i="13"/>
  <c r="X30" i="13"/>
  <c r="X34" i="13"/>
  <c r="Y31" i="13"/>
  <c r="Y32" i="13"/>
  <c r="Y30" i="13"/>
  <c r="Y34" i="13"/>
  <c r="Z31" i="13"/>
  <c r="Z32" i="13"/>
  <c r="Z30" i="13"/>
  <c r="Z34" i="13"/>
  <c r="AA31" i="13"/>
  <c r="AA32" i="13"/>
  <c r="AA30" i="13"/>
  <c r="AA34" i="13"/>
  <c r="AB31" i="13"/>
  <c r="AB32" i="13"/>
  <c r="AB30" i="13"/>
  <c r="AB34" i="13"/>
  <c r="AC31" i="13"/>
  <c r="AC32" i="13"/>
  <c r="AC30" i="13"/>
  <c r="AC34" i="13"/>
  <c r="AD31" i="13"/>
  <c r="AD32" i="13"/>
  <c r="AD30" i="13"/>
  <c r="AD34" i="13"/>
  <c r="R30" i="13"/>
  <c r="S30" i="13"/>
  <c r="P30" i="13"/>
  <c r="G30" i="13"/>
  <c r="G34" i="13"/>
  <c r="H30" i="13"/>
  <c r="H34" i="13"/>
  <c r="I30" i="13"/>
  <c r="I34" i="13"/>
  <c r="J30" i="13"/>
  <c r="J34" i="13"/>
  <c r="K30" i="13"/>
  <c r="K34" i="13"/>
  <c r="L30" i="13"/>
  <c r="L34" i="13"/>
  <c r="M30" i="13"/>
  <c r="M34" i="13"/>
  <c r="N30" i="13"/>
  <c r="N34" i="13"/>
  <c r="O30" i="13"/>
  <c r="O34" i="13"/>
  <c r="P34" i="13"/>
  <c r="Q30" i="13"/>
  <c r="Q34" i="13"/>
  <c r="R34" i="13"/>
  <c r="S34" i="13"/>
  <c r="F30" i="13"/>
  <c r="F34" i="13"/>
  <c r="O106" i="20"/>
  <c r="N106" i="20"/>
  <c r="M106" i="20"/>
  <c r="J106" i="20"/>
  <c r="K106" i="20"/>
  <c r="L106" i="20"/>
  <c r="G105" i="20"/>
  <c r="G106" i="20"/>
  <c r="H105" i="20"/>
  <c r="H106" i="20"/>
  <c r="I105" i="20"/>
  <c r="I106" i="20"/>
  <c r="F105" i="20"/>
  <c r="F106" i="20"/>
  <c r="F11" i="2"/>
  <c r="F6" i="2"/>
  <c r="G11" i="2"/>
  <c r="G6" i="2"/>
  <c r="E11" i="2"/>
  <c r="E6" i="2"/>
  <c r="F22" i="20"/>
  <c r="G22" i="20"/>
  <c r="H22" i="20"/>
  <c r="I22" i="20"/>
  <c r="J22" i="20"/>
  <c r="E22" i="20"/>
  <c r="F42" i="2"/>
  <c r="F48" i="2"/>
  <c r="G42" i="2"/>
  <c r="G48" i="2"/>
  <c r="H42" i="2"/>
  <c r="H48" i="2"/>
  <c r="I42" i="2"/>
  <c r="I48" i="2"/>
  <c r="J42" i="2"/>
  <c r="J48" i="2"/>
  <c r="K42" i="2"/>
  <c r="E42" i="2"/>
  <c r="F18" i="2"/>
  <c r="F27" i="2"/>
  <c r="G18" i="2"/>
  <c r="G27" i="2"/>
  <c r="E27" i="2"/>
  <c r="F108" i="20"/>
  <c r="G108" i="20"/>
  <c r="H108" i="20"/>
  <c r="I108" i="20"/>
  <c r="J108" i="20"/>
  <c r="K108" i="20"/>
  <c r="L108" i="20"/>
  <c r="M108" i="20"/>
  <c r="N108" i="20"/>
  <c r="O108" i="20"/>
  <c r="F103" i="20"/>
  <c r="G103" i="20"/>
  <c r="H103" i="20"/>
  <c r="I103" i="20"/>
  <c r="J103" i="20"/>
  <c r="K103" i="20"/>
  <c r="O103" i="20"/>
  <c r="F99" i="20"/>
  <c r="G99" i="20"/>
  <c r="H99" i="20"/>
  <c r="I99" i="20"/>
  <c r="J99" i="20"/>
  <c r="K99" i="20"/>
  <c r="L99" i="20"/>
  <c r="M99" i="20"/>
  <c r="N99" i="20"/>
  <c r="O99" i="20"/>
  <c r="P99" i="20"/>
  <c r="Q99" i="20"/>
  <c r="R99" i="20"/>
  <c r="S99" i="20"/>
  <c r="T99" i="20"/>
  <c r="U99" i="20"/>
  <c r="V99" i="20"/>
  <c r="W99" i="20"/>
  <c r="X99" i="20"/>
  <c r="F95" i="20"/>
  <c r="G95" i="20"/>
  <c r="H95" i="20"/>
  <c r="I95" i="20"/>
  <c r="J95" i="20"/>
  <c r="K95" i="20"/>
  <c r="L95" i="20"/>
  <c r="M95" i="20"/>
  <c r="N95" i="20"/>
  <c r="O95" i="20"/>
  <c r="E95" i="20"/>
  <c r="F91" i="20"/>
  <c r="G91" i="20"/>
  <c r="H91" i="20"/>
  <c r="I91" i="20"/>
  <c r="J91" i="20"/>
  <c r="K91" i="20"/>
  <c r="L91" i="20"/>
  <c r="M91" i="20"/>
  <c r="N91" i="20"/>
  <c r="O91" i="20"/>
  <c r="E91" i="20"/>
  <c r="E105" i="20"/>
  <c r="E108" i="20"/>
  <c r="E103" i="20"/>
  <c r="E99" i="20"/>
  <c r="O107" i="20"/>
  <c r="N107" i="20"/>
  <c r="M107" i="20"/>
  <c r="L107" i="20"/>
  <c r="K107" i="20"/>
  <c r="J107" i="20"/>
  <c r="I107" i="20"/>
  <c r="H107" i="20"/>
  <c r="G107" i="20"/>
  <c r="F107" i="20"/>
  <c r="K102" i="20"/>
  <c r="J102" i="20"/>
  <c r="I102" i="20"/>
  <c r="H102" i="20"/>
  <c r="G102" i="20"/>
  <c r="F102" i="20"/>
  <c r="X98" i="20"/>
  <c r="W98" i="20"/>
  <c r="V98" i="20"/>
  <c r="U98" i="20"/>
  <c r="T98" i="20"/>
  <c r="S98" i="20"/>
  <c r="R98" i="20"/>
  <c r="Q98" i="20"/>
  <c r="P98" i="20"/>
  <c r="O98" i="20"/>
  <c r="N98" i="20"/>
  <c r="M98" i="20"/>
  <c r="L98" i="20"/>
  <c r="K98" i="20"/>
  <c r="J98" i="20"/>
  <c r="I98" i="20"/>
  <c r="H98" i="20"/>
  <c r="G98" i="20"/>
  <c r="F98" i="20"/>
  <c r="X94" i="20"/>
  <c r="W94" i="20"/>
  <c r="V94" i="20"/>
  <c r="U94" i="20"/>
  <c r="T94" i="20"/>
  <c r="S94" i="20"/>
  <c r="R94" i="20"/>
  <c r="Q94" i="20"/>
  <c r="P94" i="20"/>
  <c r="O94" i="20"/>
  <c r="N94" i="20"/>
  <c r="M94" i="20"/>
  <c r="L94" i="20"/>
  <c r="K94" i="20"/>
  <c r="J94" i="20"/>
  <c r="I94" i="20"/>
  <c r="H94" i="20"/>
  <c r="G94" i="20"/>
  <c r="F94" i="20"/>
  <c r="G90" i="20"/>
  <c r="H90" i="20"/>
  <c r="I90" i="20"/>
  <c r="J90" i="20"/>
  <c r="K90" i="20"/>
  <c r="L90" i="20"/>
  <c r="M90" i="20"/>
  <c r="N90" i="20"/>
  <c r="O90" i="20"/>
  <c r="R90" i="20"/>
  <c r="S90" i="20"/>
  <c r="T90" i="20"/>
  <c r="U90" i="20"/>
  <c r="V90" i="20"/>
  <c r="W90" i="20"/>
  <c r="F90" i="20"/>
  <c r="F81" i="20"/>
  <c r="F84" i="20"/>
  <c r="G81" i="20"/>
  <c r="H81" i="20"/>
  <c r="H84" i="20"/>
  <c r="I81" i="20"/>
  <c r="I84" i="20"/>
  <c r="J84" i="20"/>
  <c r="K84" i="20"/>
  <c r="L84" i="20"/>
  <c r="M84" i="20"/>
  <c r="N84" i="20"/>
  <c r="O84" i="20"/>
  <c r="E81" i="20"/>
  <c r="E84" i="20"/>
  <c r="F80" i="20"/>
  <c r="G80" i="20"/>
  <c r="H80" i="20"/>
  <c r="I80" i="20"/>
  <c r="J80" i="20"/>
  <c r="K80" i="20"/>
  <c r="O80" i="20"/>
  <c r="E80" i="20"/>
  <c r="F76" i="20"/>
  <c r="G76" i="20"/>
  <c r="H76" i="20"/>
  <c r="I76" i="20"/>
  <c r="J76" i="20"/>
  <c r="K76" i="20"/>
  <c r="L76" i="20"/>
  <c r="M76" i="20"/>
  <c r="N76" i="20"/>
  <c r="O76" i="20"/>
  <c r="E76" i="20"/>
  <c r="F72" i="20"/>
  <c r="G72" i="20"/>
  <c r="H72" i="20"/>
  <c r="I72" i="20"/>
  <c r="J72" i="20"/>
  <c r="K72" i="20"/>
  <c r="L72" i="20"/>
  <c r="M72" i="20"/>
  <c r="N72" i="20"/>
  <c r="O72" i="20"/>
  <c r="E72" i="20"/>
  <c r="F68" i="20"/>
  <c r="G68" i="20"/>
  <c r="H68" i="20"/>
  <c r="I68" i="20"/>
  <c r="J68" i="20"/>
  <c r="K68" i="20"/>
  <c r="L68" i="20"/>
  <c r="M68" i="20"/>
  <c r="N68" i="20"/>
  <c r="O68" i="20"/>
  <c r="E68" i="20"/>
  <c r="E67" i="20"/>
  <c r="E38" i="20"/>
  <c r="E36" i="20"/>
  <c r="E33" i="20"/>
  <c r="E31" i="20"/>
  <c r="E41" i="20"/>
  <c r="E43" i="20"/>
  <c r="E15" i="20"/>
  <c r="E11" i="20"/>
  <c r="E7" i="20"/>
  <c r="E9" i="13"/>
  <c r="I99" i="1"/>
  <c r="E85" i="1"/>
  <c r="E86" i="1"/>
  <c r="L22" i="26"/>
  <c r="K22" i="26"/>
  <c r="H44" i="26"/>
  <c r="I44" i="26"/>
  <c r="J44" i="26"/>
  <c r="K44" i="26"/>
  <c r="L44" i="26"/>
  <c r="M44" i="26"/>
  <c r="N44" i="26"/>
  <c r="H45" i="26"/>
  <c r="I45" i="26"/>
  <c r="J45" i="26"/>
  <c r="M45" i="26"/>
  <c r="N45" i="26"/>
  <c r="H46" i="26"/>
  <c r="I46" i="26"/>
  <c r="J46" i="26"/>
  <c r="K46" i="26"/>
  <c r="L46" i="26"/>
  <c r="M46" i="26"/>
  <c r="N46" i="26"/>
  <c r="H47" i="26"/>
  <c r="I47" i="26"/>
  <c r="J47" i="26"/>
  <c r="K47" i="26"/>
  <c r="L47" i="26"/>
  <c r="M47" i="26"/>
  <c r="N47" i="26"/>
  <c r="H48" i="26"/>
  <c r="I48" i="26"/>
  <c r="J48" i="26"/>
  <c r="K48" i="26"/>
  <c r="L48" i="26"/>
  <c r="M48" i="26"/>
  <c r="N48" i="26"/>
  <c r="H31" i="2"/>
  <c r="G39" i="2"/>
  <c r="G31" i="2"/>
  <c r="H85" i="1"/>
  <c r="H86" i="1"/>
  <c r="H49" i="26"/>
  <c r="I31" i="2"/>
  <c r="I85" i="1"/>
  <c r="I86" i="1"/>
  <c r="I49" i="26"/>
  <c r="J31" i="2"/>
  <c r="J85" i="1"/>
  <c r="J86" i="1"/>
  <c r="J49" i="26"/>
  <c r="K31" i="2"/>
  <c r="K85" i="1"/>
  <c r="K86" i="1"/>
  <c r="K49" i="26"/>
  <c r="L85" i="1"/>
  <c r="L86" i="1"/>
  <c r="L49" i="26"/>
  <c r="M85" i="1"/>
  <c r="M86" i="1"/>
  <c r="M49" i="26"/>
  <c r="N85" i="1"/>
  <c r="N86" i="1"/>
  <c r="N49" i="26"/>
  <c r="H50" i="26"/>
  <c r="I50" i="26"/>
  <c r="J50" i="26"/>
  <c r="K50" i="26"/>
  <c r="L50" i="26"/>
  <c r="M50" i="26"/>
  <c r="N50" i="26"/>
  <c r="H52" i="26"/>
  <c r="I52" i="26"/>
  <c r="J52" i="26"/>
  <c r="K52" i="26"/>
  <c r="L52" i="26"/>
  <c r="M52" i="26"/>
  <c r="N52" i="26"/>
  <c r="H53" i="26"/>
  <c r="I53" i="26"/>
  <c r="J53" i="26"/>
  <c r="K53" i="26"/>
  <c r="L53" i="26"/>
  <c r="M53" i="26"/>
  <c r="N53" i="26"/>
  <c r="H54" i="26"/>
  <c r="I54" i="26"/>
  <c r="J54" i="26"/>
  <c r="K54" i="26"/>
  <c r="L54" i="26"/>
  <c r="M54" i="26"/>
  <c r="N54" i="26"/>
  <c r="H55" i="26"/>
  <c r="I55" i="26"/>
  <c r="J55" i="26"/>
  <c r="K55" i="26"/>
  <c r="L55" i="26"/>
  <c r="M55" i="26"/>
  <c r="N55" i="26"/>
  <c r="H56" i="26"/>
  <c r="I56" i="26"/>
  <c r="J56" i="26"/>
  <c r="K56" i="26"/>
  <c r="L56" i="26"/>
  <c r="M56" i="26"/>
  <c r="N56" i="26"/>
  <c r="H57" i="26"/>
  <c r="I57" i="26"/>
  <c r="J57" i="26"/>
  <c r="K57" i="26"/>
  <c r="L57" i="26"/>
  <c r="M57" i="26"/>
  <c r="N57" i="26"/>
  <c r="H58" i="26"/>
  <c r="I58" i="26"/>
  <c r="J58" i="26"/>
  <c r="K58" i="26"/>
  <c r="L58" i="26"/>
  <c r="M58" i="26"/>
  <c r="N58" i="26"/>
  <c r="H59" i="26"/>
  <c r="I59" i="26"/>
  <c r="J59" i="26"/>
  <c r="K59" i="26"/>
  <c r="L59" i="26"/>
  <c r="M59" i="26"/>
  <c r="N59" i="26"/>
  <c r="H60" i="26"/>
  <c r="I60" i="26"/>
  <c r="J60" i="26"/>
  <c r="K60" i="26"/>
  <c r="L60" i="26"/>
  <c r="M60" i="26"/>
  <c r="N60" i="26"/>
  <c r="H61" i="26"/>
  <c r="I61" i="26"/>
  <c r="J61" i="26"/>
  <c r="K61" i="26"/>
  <c r="L61" i="26"/>
  <c r="M61" i="26"/>
  <c r="N61" i="26"/>
  <c r="H36" i="26"/>
  <c r="H37" i="26"/>
  <c r="H38" i="26"/>
  <c r="H35" i="26"/>
  <c r="I36" i="26"/>
  <c r="I37" i="26"/>
  <c r="I38" i="26"/>
  <c r="I35" i="26"/>
  <c r="J36" i="26"/>
  <c r="J37" i="26"/>
  <c r="J38" i="26"/>
  <c r="J35" i="26"/>
  <c r="K36" i="26"/>
  <c r="K37" i="26"/>
  <c r="K38" i="26"/>
  <c r="K35" i="26"/>
  <c r="L36" i="26"/>
  <c r="L37" i="26"/>
  <c r="L38" i="26"/>
  <c r="L35" i="26"/>
  <c r="M36" i="26"/>
  <c r="M37" i="26"/>
  <c r="M38" i="26"/>
  <c r="M35" i="26"/>
  <c r="N36" i="26"/>
  <c r="N37" i="26"/>
  <c r="N38" i="26"/>
  <c r="N35" i="26"/>
  <c r="K25" i="26"/>
  <c r="K26" i="26"/>
  <c r="K7" i="26"/>
  <c r="K5" i="26"/>
  <c r="K6" i="26"/>
  <c r="J25" i="26"/>
  <c r="J26" i="26"/>
  <c r="J7" i="26"/>
  <c r="J5" i="26"/>
  <c r="J6" i="26"/>
  <c r="I25" i="26"/>
  <c r="I26" i="26"/>
  <c r="I7" i="26"/>
  <c r="I5" i="26"/>
  <c r="I6" i="26"/>
  <c r="H25" i="26"/>
  <c r="H26" i="26"/>
  <c r="H7" i="26"/>
  <c r="H5" i="26"/>
  <c r="H6" i="26"/>
  <c r="G25" i="26"/>
  <c r="G26" i="26"/>
  <c r="G7" i="26"/>
  <c r="G5" i="26"/>
  <c r="G6" i="26"/>
  <c r="F25" i="26"/>
  <c r="F26" i="26"/>
  <c r="F7" i="26"/>
  <c r="F5" i="26"/>
  <c r="F6" i="26"/>
  <c r="O11" i="26"/>
  <c r="O12" i="26"/>
  <c r="O14" i="26"/>
  <c r="O15" i="26"/>
  <c r="O16" i="26"/>
  <c r="O17" i="26"/>
  <c r="O18" i="26"/>
  <c r="O19" i="26"/>
  <c r="O13" i="26"/>
  <c r="O21" i="26"/>
  <c r="O22" i="26"/>
  <c r="O20" i="26"/>
  <c r="O5" i="26"/>
  <c r="O6" i="26"/>
  <c r="O7" i="26"/>
  <c r="O8" i="26"/>
  <c r="O23" i="26"/>
  <c r="O28" i="26"/>
  <c r="O29" i="26"/>
  <c r="O30" i="26"/>
  <c r="O31" i="26"/>
  <c r="O32" i="26"/>
  <c r="O25" i="26"/>
  <c r="O26" i="26"/>
  <c r="O27" i="26"/>
  <c r="O33" i="26"/>
  <c r="O36" i="26"/>
  <c r="O37" i="26"/>
  <c r="O38" i="26"/>
  <c r="O35" i="26"/>
  <c r="O40" i="26"/>
  <c r="O42" i="26"/>
  <c r="L5" i="26"/>
  <c r="M5" i="26"/>
  <c r="N5" i="26"/>
  <c r="F8" i="26"/>
  <c r="F11" i="26"/>
  <c r="F12" i="26"/>
  <c r="F14" i="26"/>
  <c r="F15" i="26"/>
  <c r="F17" i="26"/>
  <c r="F18" i="26"/>
  <c r="F19" i="26"/>
  <c r="F13" i="26"/>
  <c r="F21" i="26"/>
  <c r="F22" i="26"/>
  <c r="F20" i="26"/>
  <c r="F23" i="26"/>
  <c r="F27" i="26"/>
  <c r="F28" i="26"/>
  <c r="F29" i="26"/>
  <c r="F30" i="26"/>
  <c r="F31" i="26"/>
  <c r="F32" i="26"/>
  <c r="F33" i="26"/>
  <c r="F42" i="26"/>
  <c r="G8" i="26"/>
  <c r="G11" i="26"/>
  <c r="G12" i="26"/>
  <c r="G14" i="26"/>
  <c r="G15" i="26"/>
  <c r="G16" i="26"/>
  <c r="G17" i="26"/>
  <c r="G18" i="26"/>
  <c r="G19" i="26"/>
  <c r="G13" i="26"/>
  <c r="G21" i="26"/>
  <c r="G22" i="26"/>
  <c r="G20" i="26"/>
  <c r="G23" i="26"/>
  <c r="G27" i="26"/>
  <c r="G28" i="26"/>
  <c r="G29" i="26"/>
  <c r="G30" i="26"/>
  <c r="G31" i="26"/>
  <c r="G32" i="26"/>
  <c r="G33" i="26"/>
  <c r="G42" i="26"/>
  <c r="H8" i="26"/>
  <c r="H11" i="26"/>
  <c r="H12" i="26"/>
  <c r="H14" i="26"/>
  <c r="H15" i="26"/>
  <c r="H16" i="26"/>
  <c r="H17" i="26"/>
  <c r="H18" i="26"/>
  <c r="H19" i="26"/>
  <c r="H13" i="26"/>
  <c r="H21" i="26"/>
  <c r="H22" i="26"/>
  <c r="H20" i="26"/>
  <c r="H23" i="26"/>
  <c r="H27" i="26"/>
  <c r="H28" i="26"/>
  <c r="H29" i="26"/>
  <c r="H30" i="26"/>
  <c r="H31" i="26"/>
  <c r="H32" i="26"/>
  <c r="H33" i="26"/>
  <c r="H40" i="26"/>
  <c r="H42" i="26"/>
  <c r="I8" i="26"/>
  <c r="I11" i="26"/>
  <c r="I12" i="26"/>
  <c r="I14" i="26"/>
  <c r="I15" i="26"/>
  <c r="I16" i="26"/>
  <c r="I17" i="26"/>
  <c r="I18" i="26"/>
  <c r="I19" i="26"/>
  <c r="I13" i="26"/>
  <c r="I21" i="26"/>
  <c r="I22" i="26"/>
  <c r="I20" i="26"/>
  <c r="I23" i="26"/>
  <c r="I27" i="26"/>
  <c r="I28" i="26"/>
  <c r="I29" i="26"/>
  <c r="I30" i="26"/>
  <c r="I31" i="26"/>
  <c r="I32" i="26"/>
  <c r="I33" i="26"/>
  <c r="I40" i="26"/>
  <c r="I42" i="26"/>
  <c r="J8" i="26"/>
  <c r="J11" i="26"/>
  <c r="J12" i="26"/>
  <c r="J14" i="26"/>
  <c r="J15" i="26"/>
  <c r="J16" i="26"/>
  <c r="J17" i="26"/>
  <c r="J18" i="26"/>
  <c r="J19" i="26"/>
  <c r="J13" i="26"/>
  <c r="J21" i="26"/>
  <c r="J22" i="26"/>
  <c r="J20" i="26"/>
  <c r="J23" i="26"/>
  <c r="J27" i="26"/>
  <c r="J28" i="26"/>
  <c r="J29" i="26"/>
  <c r="J30" i="26"/>
  <c r="J31" i="26"/>
  <c r="J32" i="26"/>
  <c r="J33" i="26"/>
  <c r="J40" i="26"/>
  <c r="J42" i="26"/>
  <c r="K8" i="26"/>
  <c r="K11" i="26"/>
  <c r="K12" i="26"/>
  <c r="K14" i="26"/>
  <c r="K15" i="26"/>
  <c r="K16" i="26"/>
  <c r="K17" i="26"/>
  <c r="K18" i="26"/>
  <c r="K19" i="26"/>
  <c r="K13" i="26"/>
  <c r="K21" i="26"/>
  <c r="K20" i="26"/>
  <c r="K23" i="26"/>
  <c r="K27" i="26"/>
  <c r="K28" i="26"/>
  <c r="K29" i="26"/>
  <c r="K30" i="26"/>
  <c r="K31" i="26"/>
  <c r="K32" i="26"/>
  <c r="K33" i="26"/>
  <c r="K40" i="26"/>
  <c r="K42" i="26"/>
  <c r="L6" i="26"/>
  <c r="L7" i="26"/>
  <c r="L8" i="26"/>
  <c r="L11" i="26"/>
  <c r="L12" i="26"/>
  <c r="L14" i="26"/>
  <c r="L15" i="26"/>
  <c r="L16" i="26"/>
  <c r="L17" i="26"/>
  <c r="L18" i="26"/>
  <c r="L19" i="26"/>
  <c r="L13" i="26"/>
  <c r="L21" i="26"/>
  <c r="L20" i="26"/>
  <c r="L23" i="26"/>
  <c r="L40" i="26"/>
  <c r="L28" i="26"/>
  <c r="L29" i="26"/>
  <c r="L30" i="26"/>
  <c r="L31" i="26"/>
  <c r="L32" i="26"/>
  <c r="L25" i="26"/>
  <c r="L26" i="26"/>
  <c r="L27" i="26"/>
  <c r="L33" i="26"/>
  <c r="L42" i="26"/>
  <c r="M6" i="26"/>
  <c r="M7" i="26"/>
  <c r="M8" i="26"/>
  <c r="M11" i="26"/>
  <c r="M12" i="26"/>
  <c r="M14" i="26"/>
  <c r="M15" i="26"/>
  <c r="M16" i="26"/>
  <c r="M17" i="26"/>
  <c r="M18" i="26"/>
  <c r="M19" i="26"/>
  <c r="M13" i="26"/>
  <c r="M21" i="26"/>
  <c r="M22" i="26"/>
  <c r="M20" i="26"/>
  <c r="M23" i="26"/>
  <c r="M40" i="26"/>
  <c r="M28" i="26"/>
  <c r="M29" i="26"/>
  <c r="M30" i="26"/>
  <c r="M31" i="26"/>
  <c r="M32" i="26"/>
  <c r="M25" i="26"/>
  <c r="M26" i="26"/>
  <c r="M27" i="26"/>
  <c r="M33" i="26"/>
  <c r="M42" i="26"/>
  <c r="N6" i="26"/>
  <c r="N7" i="26"/>
  <c r="N8" i="26"/>
  <c r="N11" i="26"/>
  <c r="N12" i="26"/>
  <c r="N14" i="26"/>
  <c r="N15" i="26"/>
  <c r="N16" i="26"/>
  <c r="N17" i="26"/>
  <c r="N18" i="26"/>
  <c r="N19" i="26"/>
  <c r="N13" i="26"/>
  <c r="N21" i="26"/>
  <c r="N22" i="26"/>
  <c r="N20" i="26"/>
  <c r="N23" i="26"/>
  <c r="N40" i="26"/>
  <c r="N28" i="26"/>
  <c r="N29" i="26"/>
  <c r="N30" i="26"/>
  <c r="N31" i="26"/>
  <c r="N32" i="26"/>
  <c r="N25" i="26"/>
  <c r="N26" i="26"/>
  <c r="N27" i="26"/>
  <c r="N33" i="26"/>
  <c r="N42" i="26"/>
  <c r="F40" i="26"/>
  <c r="G40" i="26"/>
  <c r="O58" i="23"/>
  <c r="O36" i="23"/>
  <c r="O35" i="23"/>
  <c r="N36" i="23"/>
  <c r="N35" i="23"/>
  <c r="N65" i="23"/>
  <c r="O44" i="23"/>
  <c r="O61" i="23"/>
  <c r="O62" i="23"/>
  <c r="O63" i="23"/>
  <c r="O60" i="23"/>
  <c r="O65" i="23"/>
  <c r="O9" i="26"/>
  <c r="O10" i="26"/>
  <c r="O44" i="26"/>
  <c r="O45" i="26"/>
  <c r="O46" i="26"/>
  <c r="O47" i="26"/>
  <c r="O48" i="26"/>
  <c r="O85" i="1"/>
  <c r="O86" i="1"/>
  <c r="O49" i="26"/>
  <c r="O50" i="26"/>
  <c r="O66" i="26"/>
  <c r="O68" i="26"/>
  <c r="N9" i="26"/>
  <c r="N10" i="26"/>
  <c r="N66" i="26"/>
  <c r="N68" i="26"/>
  <c r="M9" i="26"/>
  <c r="M10" i="26"/>
  <c r="M66" i="26"/>
  <c r="M68" i="26"/>
  <c r="L9" i="26"/>
  <c r="L10" i="26"/>
  <c r="L66" i="26"/>
  <c r="L68" i="26"/>
  <c r="K9" i="26"/>
  <c r="K10" i="26"/>
  <c r="K66" i="26"/>
  <c r="K68" i="26"/>
  <c r="J9" i="26"/>
  <c r="J66" i="26"/>
  <c r="J68" i="26"/>
  <c r="I9" i="26"/>
  <c r="I66" i="26"/>
  <c r="I68" i="26"/>
  <c r="H9" i="26"/>
  <c r="H66" i="26"/>
  <c r="H68" i="26"/>
  <c r="G9" i="26"/>
  <c r="G44" i="26"/>
  <c r="G45" i="26"/>
  <c r="G46" i="26"/>
  <c r="G47" i="26"/>
  <c r="G48" i="26"/>
  <c r="F39" i="2"/>
  <c r="F31" i="2"/>
  <c r="G49" i="26"/>
  <c r="G50" i="26"/>
  <c r="G66" i="26"/>
  <c r="G68" i="26"/>
  <c r="F9" i="26"/>
  <c r="F44" i="26"/>
  <c r="F45" i="26"/>
  <c r="F46" i="26"/>
  <c r="F47" i="26"/>
  <c r="F48" i="26"/>
  <c r="E39" i="2"/>
  <c r="E31" i="2"/>
  <c r="F49" i="26"/>
  <c r="F50" i="26"/>
  <c r="F66" i="26"/>
  <c r="F52" i="26"/>
  <c r="F65" i="1"/>
  <c r="F66" i="1"/>
  <c r="F69" i="1"/>
  <c r="F72" i="1"/>
  <c r="F74" i="1"/>
  <c r="F53" i="26"/>
  <c r="F54" i="26"/>
  <c r="F55" i="26"/>
  <c r="F56" i="26"/>
  <c r="F57" i="26"/>
  <c r="F58" i="26"/>
  <c r="F59" i="26"/>
  <c r="F60" i="26"/>
  <c r="F61" i="26"/>
  <c r="F68" i="26"/>
  <c r="O52" i="26"/>
  <c r="O53" i="26"/>
  <c r="O54" i="26"/>
  <c r="O55" i="26"/>
  <c r="O56" i="26"/>
  <c r="O57" i="26"/>
  <c r="O58" i="26"/>
  <c r="O59" i="26"/>
  <c r="O60" i="26"/>
  <c r="O61" i="26"/>
  <c r="O65" i="26"/>
  <c r="N65" i="26"/>
  <c r="M65" i="26"/>
  <c r="L65" i="26"/>
  <c r="K65" i="26"/>
  <c r="J65" i="26"/>
  <c r="I65" i="26"/>
  <c r="H65" i="26"/>
  <c r="G52" i="26"/>
  <c r="G65" i="1"/>
  <c r="G66" i="1"/>
  <c r="G69" i="1"/>
  <c r="G72" i="1"/>
  <c r="G74" i="1"/>
  <c r="G53" i="26"/>
  <c r="G54" i="26"/>
  <c r="G55" i="26"/>
  <c r="G56" i="26"/>
  <c r="G57" i="26"/>
  <c r="G58" i="26"/>
  <c r="G59" i="26"/>
  <c r="G60" i="26"/>
  <c r="G61" i="26"/>
  <c r="G65" i="26"/>
  <c r="F65" i="26"/>
  <c r="O14" i="23"/>
  <c r="O15" i="23"/>
  <c r="O16" i="23"/>
  <c r="O17" i="23"/>
  <c r="O18" i="23"/>
  <c r="O19" i="23"/>
  <c r="O13" i="23"/>
  <c r="O5" i="23"/>
  <c r="G5" i="23"/>
  <c r="H5" i="23"/>
  <c r="I5" i="23"/>
  <c r="J5" i="23"/>
  <c r="K5" i="23"/>
  <c r="L5" i="23"/>
  <c r="M5" i="23"/>
  <c r="N5" i="23"/>
  <c r="G6" i="23"/>
  <c r="H6" i="23"/>
  <c r="I6" i="23"/>
  <c r="J6" i="23"/>
  <c r="K6" i="23"/>
  <c r="L6" i="23"/>
  <c r="M6" i="23"/>
  <c r="N6" i="23"/>
  <c r="G7" i="23"/>
  <c r="H7" i="23"/>
  <c r="I7" i="23"/>
  <c r="J7" i="23"/>
  <c r="K7" i="23"/>
  <c r="L7" i="23"/>
  <c r="M7" i="23"/>
  <c r="N7" i="23"/>
  <c r="G8" i="23"/>
  <c r="H8" i="23"/>
  <c r="I8" i="23"/>
  <c r="J8" i="23"/>
  <c r="K8" i="23"/>
  <c r="L8" i="23"/>
  <c r="M8" i="23"/>
  <c r="N8" i="23"/>
  <c r="G9" i="23"/>
  <c r="H9" i="23"/>
  <c r="I9" i="23"/>
  <c r="J9" i="23"/>
  <c r="K9" i="23"/>
  <c r="L9" i="23"/>
  <c r="M9" i="23"/>
  <c r="N9" i="23"/>
  <c r="K10" i="23"/>
  <c r="L10" i="23"/>
  <c r="M10" i="23"/>
  <c r="N10" i="23"/>
  <c r="G11" i="23"/>
  <c r="H11" i="23"/>
  <c r="I11" i="23"/>
  <c r="J11" i="23"/>
  <c r="K11" i="23"/>
  <c r="L11" i="23"/>
  <c r="M11" i="23"/>
  <c r="N11" i="23"/>
  <c r="G12" i="23"/>
  <c r="H12" i="23"/>
  <c r="I12" i="23"/>
  <c r="J12" i="23"/>
  <c r="K12" i="23"/>
  <c r="L12" i="23"/>
  <c r="M12" i="23"/>
  <c r="N12" i="23"/>
  <c r="G14" i="23"/>
  <c r="G15" i="23"/>
  <c r="G16" i="23"/>
  <c r="G17" i="23"/>
  <c r="G18" i="23"/>
  <c r="G19" i="23"/>
  <c r="G13" i="23"/>
  <c r="H14" i="23"/>
  <c r="H15" i="23"/>
  <c r="H16" i="23"/>
  <c r="H17" i="23"/>
  <c r="H18" i="23"/>
  <c r="H19" i="23"/>
  <c r="H13" i="23"/>
  <c r="I14" i="23"/>
  <c r="I15" i="23"/>
  <c r="I16" i="23"/>
  <c r="I17" i="23"/>
  <c r="I18" i="23"/>
  <c r="I19" i="23"/>
  <c r="I13" i="23"/>
  <c r="J14" i="23"/>
  <c r="J15" i="23"/>
  <c r="J16" i="23"/>
  <c r="J17" i="23"/>
  <c r="J18" i="23"/>
  <c r="J19" i="23"/>
  <c r="J13" i="23"/>
  <c r="K14" i="23"/>
  <c r="K15" i="23"/>
  <c r="K16" i="23"/>
  <c r="K17" i="23"/>
  <c r="K18" i="23"/>
  <c r="K19" i="23"/>
  <c r="K13" i="23"/>
  <c r="L14" i="23"/>
  <c r="L15" i="23"/>
  <c r="L16" i="23"/>
  <c r="L17" i="23"/>
  <c r="L18" i="23"/>
  <c r="L19" i="23"/>
  <c r="L13" i="23"/>
  <c r="M14" i="23"/>
  <c r="M15" i="23"/>
  <c r="M16" i="23"/>
  <c r="M17" i="23"/>
  <c r="M18" i="23"/>
  <c r="M19" i="23"/>
  <c r="M13" i="23"/>
  <c r="N14" i="23"/>
  <c r="N15" i="23"/>
  <c r="N16" i="23"/>
  <c r="N17" i="23"/>
  <c r="N18" i="23"/>
  <c r="N19" i="23"/>
  <c r="N13" i="23"/>
  <c r="G21" i="23"/>
  <c r="G22" i="23"/>
  <c r="G20" i="23"/>
  <c r="H21" i="23"/>
  <c r="H22" i="23"/>
  <c r="H20" i="23"/>
  <c r="I21" i="23"/>
  <c r="I22" i="23"/>
  <c r="I20" i="23"/>
  <c r="J21" i="23"/>
  <c r="J22" i="23"/>
  <c r="J20" i="23"/>
  <c r="K21" i="23"/>
  <c r="K22" i="23"/>
  <c r="K20" i="23"/>
  <c r="L21" i="23"/>
  <c r="L22" i="23"/>
  <c r="L20" i="23"/>
  <c r="M21" i="23"/>
  <c r="M22" i="23"/>
  <c r="M20" i="23"/>
  <c r="N21" i="23"/>
  <c r="N22" i="23"/>
  <c r="N20" i="23"/>
  <c r="G23" i="23"/>
  <c r="H23" i="23"/>
  <c r="I23" i="23"/>
  <c r="J23" i="23"/>
  <c r="K23" i="23"/>
  <c r="L23" i="23"/>
  <c r="M23" i="23"/>
  <c r="N23" i="23"/>
  <c r="G25" i="23"/>
  <c r="H25" i="23"/>
  <c r="I25" i="23"/>
  <c r="J25" i="23"/>
  <c r="K25" i="23"/>
  <c r="L25" i="23"/>
  <c r="M25" i="23"/>
  <c r="N25" i="23"/>
  <c r="G26" i="23"/>
  <c r="H26" i="23"/>
  <c r="I26" i="23"/>
  <c r="J26" i="23"/>
  <c r="K26" i="23"/>
  <c r="L26" i="23"/>
  <c r="M26" i="23"/>
  <c r="N26" i="23"/>
  <c r="G27" i="23"/>
  <c r="H27" i="23"/>
  <c r="I27" i="23"/>
  <c r="J27" i="23"/>
  <c r="K27" i="23"/>
  <c r="L27" i="23"/>
  <c r="M27" i="23"/>
  <c r="N27" i="23"/>
  <c r="G28" i="23"/>
  <c r="H28" i="23"/>
  <c r="I28" i="23"/>
  <c r="J28" i="23"/>
  <c r="K28" i="23"/>
  <c r="L28" i="23"/>
  <c r="M28" i="23"/>
  <c r="N28" i="23"/>
  <c r="G29" i="23"/>
  <c r="H29" i="23"/>
  <c r="I29" i="23"/>
  <c r="J29" i="23"/>
  <c r="K29" i="23"/>
  <c r="L29" i="23"/>
  <c r="M29" i="23"/>
  <c r="N29" i="23"/>
  <c r="G30" i="23"/>
  <c r="H30" i="23"/>
  <c r="I30" i="23"/>
  <c r="J30" i="23"/>
  <c r="K30" i="23"/>
  <c r="L30" i="23"/>
  <c r="M30" i="23"/>
  <c r="N30" i="23"/>
  <c r="G31" i="23"/>
  <c r="H31" i="23"/>
  <c r="I31" i="23"/>
  <c r="J31" i="23"/>
  <c r="K31" i="23"/>
  <c r="L31" i="23"/>
  <c r="M31" i="23"/>
  <c r="N31" i="23"/>
  <c r="G32" i="23"/>
  <c r="H32" i="23"/>
  <c r="I32" i="23"/>
  <c r="J32" i="23"/>
  <c r="K32" i="23"/>
  <c r="L32" i="23"/>
  <c r="M32" i="23"/>
  <c r="N32" i="23"/>
  <c r="G33" i="23"/>
  <c r="H33" i="23"/>
  <c r="I33" i="23"/>
  <c r="J33" i="23"/>
  <c r="K33" i="23"/>
  <c r="L33" i="23"/>
  <c r="M33" i="23"/>
  <c r="N33" i="23"/>
  <c r="G36" i="23"/>
  <c r="G37" i="23"/>
  <c r="G38" i="23"/>
  <c r="G40" i="23"/>
  <c r="G42" i="23"/>
  <c r="G43" i="23"/>
  <c r="G35" i="23"/>
  <c r="H36" i="23"/>
  <c r="H37" i="23"/>
  <c r="H38" i="23"/>
  <c r="H40" i="23"/>
  <c r="H42" i="23"/>
  <c r="H43" i="23"/>
  <c r="H35" i="23"/>
  <c r="I36" i="23"/>
  <c r="I37" i="23"/>
  <c r="I38" i="23"/>
  <c r="I40" i="23"/>
  <c r="I42" i="23"/>
  <c r="I43" i="23"/>
  <c r="I35" i="23"/>
  <c r="J36" i="23"/>
  <c r="J37" i="23"/>
  <c r="J38" i="23"/>
  <c r="J40" i="23"/>
  <c r="J42" i="23"/>
  <c r="J43" i="23"/>
  <c r="J35" i="23"/>
  <c r="K36" i="23"/>
  <c r="K37" i="23"/>
  <c r="K38" i="23"/>
  <c r="K40" i="23"/>
  <c r="K42" i="23"/>
  <c r="K43" i="23"/>
  <c r="K35" i="23"/>
  <c r="L36" i="23"/>
  <c r="L37" i="23"/>
  <c r="L38" i="23"/>
  <c r="L40" i="23"/>
  <c r="L42" i="23"/>
  <c r="L43" i="23"/>
  <c r="L35" i="23"/>
  <c r="M36" i="23"/>
  <c r="M37" i="23"/>
  <c r="M38" i="23"/>
  <c r="M40" i="23"/>
  <c r="M42" i="23"/>
  <c r="M43" i="23"/>
  <c r="M35" i="23"/>
  <c r="N37" i="23"/>
  <c r="N38" i="23"/>
  <c r="N39" i="23"/>
  <c r="N40" i="23"/>
  <c r="N42" i="23"/>
  <c r="N43" i="23"/>
  <c r="G46" i="23"/>
  <c r="G47" i="23"/>
  <c r="G48" i="23"/>
  <c r="G50" i="23"/>
  <c r="G51" i="23"/>
  <c r="G52" i="23"/>
  <c r="G53" i="23"/>
  <c r="G54" i="23"/>
  <c r="G57" i="23"/>
  <c r="G59" i="23"/>
  <c r="G44" i="23"/>
  <c r="H46" i="23"/>
  <c r="H48" i="23"/>
  <c r="H50" i="23"/>
  <c r="H52" i="23"/>
  <c r="H54" i="23"/>
  <c r="H55" i="23"/>
  <c r="H56" i="23"/>
  <c r="H44" i="23"/>
  <c r="I46" i="23"/>
  <c r="I48" i="23"/>
  <c r="I50" i="23"/>
  <c r="I51" i="23"/>
  <c r="I52" i="23"/>
  <c r="I54" i="23"/>
  <c r="I55" i="23"/>
  <c r="I57" i="23"/>
  <c r="I59" i="23"/>
  <c r="I44" i="23"/>
  <c r="J46" i="23"/>
  <c r="J48" i="23"/>
  <c r="J59" i="23"/>
  <c r="J44" i="23"/>
  <c r="K46" i="23"/>
  <c r="K48" i="23"/>
  <c r="K59" i="23"/>
  <c r="K44" i="23"/>
  <c r="L46" i="23"/>
  <c r="L48" i="23"/>
  <c r="L59" i="23"/>
  <c r="L44" i="23"/>
  <c r="M46" i="23"/>
  <c r="M48" i="23"/>
  <c r="M59" i="23"/>
  <c r="M44" i="23"/>
  <c r="N46" i="23"/>
  <c r="N48" i="23"/>
  <c r="N58" i="23"/>
  <c r="N59" i="23"/>
  <c r="N44" i="23"/>
  <c r="J45" i="23"/>
  <c r="N61" i="23"/>
  <c r="N62" i="23"/>
  <c r="N63" i="23"/>
  <c r="G65" i="23"/>
  <c r="H65" i="23"/>
  <c r="I65" i="23"/>
  <c r="J65" i="23"/>
  <c r="K65" i="23"/>
  <c r="L65" i="23"/>
  <c r="M65" i="23"/>
  <c r="G67" i="23"/>
  <c r="H67" i="23"/>
  <c r="I67" i="23"/>
  <c r="J67" i="23"/>
  <c r="K67" i="23"/>
  <c r="L67" i="23"/>
  <c r="M67" i="23"/>
  <c r="N67" i="23"/>
  <c r="G69" i="23"/>
  <c r="H69" i="23"/>
  <c r="I69" i="23"/>
  <c r="J69" i="23"/>
  <c r="K69" i="23"/>
  <c r="L69" i="23"/>
  <c r="M69" i="23"/>
  <c r="N69" i="23"/>
  <c r="G70" i="23"/>
  <c r="H70" i="23"/>
  <c r="I70" i="23"/>
  <c r="J70" i="23"/>
  <c r="K70" i="23"/>
  <c r="L70" i="23"/>
  <c r="M70" i="23"/>
  <c r="N70" i="23"/>
  <c r="G71" i="23"/>
  <c r="H71" i="23"/>
  <c r="I71" i="23"/>
  <c r="J71" i="23"/>
  <c r="K71" i="23"/>
  <c r="L71" i="23"/>
  <c r="M71" i="23"/>
  <c r="N71" i="23"/>
  <c r="G72" i="23"/>
  <c r="H72" i="23"/>
  <c r="I72" i="23"/>
  <c r="J72" i="23"/>
  <c r="K72" i="23"/>
  <c r="L72" i="23"/>
  <c r="M72" i="23"/>
  <c r="N72" i="23"/>
  <c r="G73" i="23"/>
  <c r="H73" i="23"/>
  <c r="I73" i="23"/>
  <c r="J73" i="23"/>
  <c r="K73" i="23"/>
  <c r="L73" i="23"/>
  <c r="M73" i="23"/>
  <c r="N73" i="23"/>
  <c r="G74" i="23"/>
  <c r="H74" i="23"/>
  <c r="I74" i="23"/>
  <c r="J74" i="23"/>
  <c r="K74" i="23"/>
  <c r="L74" i="23"/>
  <c r="M74" i="23"/>
  <c r="N74" i="23"/>
  <c r="G75" i="23"/>
  <c r="H75" i="23"/>
  <c r="I75" i="23"/>
  <c r="J75" i="23"/>
  <c r="K75" i="23"/>
  <c r="L75" i="23"/>
  <c r="M75" i="23"/>
  <c r="N75" i="23"/>
  <c r="G77" i="23"/>
  <c r="H77" i="23"/>
  <c r="I77" i="23"/>
  <c r="J77" i="23"/>
  <c r="K77" i="23"/>
  <c r="L77" i="23"/>
  <c r="M77" i="23"/>
  <c r="N77" i="23"/>
  <c r="G78" i="23"/>
  <c r="H65" i="1"/>
  <c r="H66" i="1"/>
  <c r="H69" i="1"/>
  <c r="H72" i="1"/>
  <c r="H74" i="1"/>
  <c r="H78" i="23"/>
  <c r="I65" i="1"/>
  <c r="I66" i="1"/>
  <c r="I69" i="1"/>
  <c r="I72" i="1"/>
  <c r="I74" i="1"/>
  <c r="I78" i="23"/>
  <c r="J65" i="1"/>
  <c r="J66" i="1"/>
  <c r="J69" i="1"/>
  <c r="J72" i="1"/>
  <c r="J74" i="1"/>
  <c r="J78" i="23"/>
  <c r="K65" i="1"/>
  <c r="K66" i="1"/>
  <c r="K69" i="1"/>
  <c r="K72" i="1"/>
  <c r="K74" i="1"/>
  <c r="K78" i="23"/>
  <c r="L65" i="1"/>
  <c r="L66" i="1"/>
  <c r="L72" i="1"/>
  <c r="L78" i="23"/>
  <c r="M65" i="1"/>
  <c r="M66" i="1"/>
  <c r="M72" i="1"/>
  <c r="M78" i="23"/>
  <c r="N78" i="23"/>
  <c r="G79" i="23"/>
  <c r="H79" i="23"/>
  <c r="I79" i="23"/>
  <c r="J79" i="23"/>
  <c r="K79" i="23"/>
  <c r="L79" i="23"/>
  <c r="M79" i="23"/>
  <c r="N79" i="23"/>
  <c r="G80" i="23"/>
  <c r="H80" i="23"/>
  <c r="I80" i="23"/>
  <c r="J80" i="23"/>
  <c r="K80" i="23"/>
  <c r="L80" i="23"/>
  <c r="M80" i="23"/>
  <c r="N80" i="23"/>
  <c r="G81" i="23"/>
  <c r="H81" i="23"/>
  <c r="I81" i="23"/>
  <c r="J81" i="23"/>
  <c r="K81" i="23"/>
  <c r="L81" i="23"/>
  <c r="M81" i="23"/>
  <c r="N81" i="23"/>
  <c r="G82" i="23"/>
  <c r="H82" i="23"/>
  <c r="I82" i="23"/>
  <c r="J82" i="23"/>
  <c r="K82" i="23"/>
  <c r="L82" i="23"/>
  <c r="M82" i="23"/>
  <c r="N82" i="23"/>
  <c r="G83" i="23"/>
  <c r="H83" i="23"/>
  <c r="I83" i="23"/>
  <c r="J83" i="23"/>
  <c r="K83" i="23"/>
  <c r="L83" i="23"/>
  <c r="M83" i="23"/>
  <c r="N83" i="23"/>
  <c r="G84" i="23"/>
  <c r="H84" i="23"/>
  <c r="I84" i="23"/>
  <c r="J84" i="23"/>
  <c r="K84" i="23"/>
  <c r="L84" i="23"/>
  <c r="M84" i="23"/>
  <c r="N84" i="23"/>
  <c r="G85" i="23"/>
  <c r="H85" i="23"/>
  <c r="I85" i="23"/>
  <c r="J85" i="23"/>
  <c r="K85" i="23"/>
  <c r="L85" i="23"/>
  <c r="M85" i="23"/>
  <c r="N85" i="23"/>
  <c r="G86" i="23"/>
  <c r="H86" i="23"/>
  <c r="I86" i="23"/>
  <c r="J86" i="23"/>
  <c r="K86" i="23"/>
  <c r="L86" i="23"/>
  <c r="M86" i="23"/>
  <c r="N86" i="23"/>
  <c r="G91" i="23"/>
  <c r="G93" i="23"/>
  <c r="H91" i="23"/>
  <c r="H93" i="23"/>
  <c r="I91" i="23"/>
  <c r="I93" i="23"/>
  <c r="J91" i="23"/>
  <c r="J93" i="23"/>
  <c r="K91" i="23"/>
  <c r="K93" i="23"/>
  <c r="L91" i="23"/>
  <c r="L93" i="23"/>
  <c r="M91" i="23"/>
  <c r="M93" i="23"/>
  <c r="N91" i="23"/>
  <c r="N93" i="23"/>
  <c r="O6" i="23"/>
  <c r="O7" i="23"/>
  <c r="O8" i="23"/>
  <c r="O9" i="23"/>
  <c r="O10" i="23"/>
  <c r="O11" i="23"/>
  <c r="O12" i="23"/>
  <c r="O21" i="23"/>
  <c r="O22" i="23"/>
  <c r="O20" i="23"/>
  <c r="O23" i="23"/>
  <c r="O25" i="23"/>
  <c r="O26" i="23"/>
  <c r="O27" i="23"/>
  <c r="O28" i="23"/>
  <c r="O29" i="23"/>
  <c r="O30" i="23"/>
  <c r="O31" i="23"/>
  <c r="O32" i="23"/>
  <c r="O33" i="23"/>
  <c r="O37" i="23"/>
  <c r="O38" i="23"/>
  <c r="O40" i="23"/>
  <c r="O42" i="23"/>
  <c r="O43" i="23"/>
  <c r="O67" i="23"/>
  <c r="O69" i="23"/>
  <c r="O70" i="23"/>
  <c r="O71" i="23"/>
  <c r="O72" i="23"/>
  <c r="O73" i="23"/>
  <c r="O74" i="23"/>
  <c r="O75" i="23"/>
  <c r="O91" i="23"/>
  <c r="O93" i="23"/>
  <c r="O78" i="23"/>
  <c r="O77" i="23"/>
  <c r="O79" i="23"/>
  <c r="O80" i="23"/>
  <c r="O81" i="23"/>
  <c r="O82" i="23"/>
  <c r="O83" i="23"/>
  <c r="O84" i="23"/>
  <c r="O85" i="23"/>
  <c r="O86" i="23"/>
  <c r="F78" i="23"/>
  <c r="N65" i="1"/>
  <c r="N72" i="1"/>
  <c r="F5" i="23"/>
  <c r="F6" i="23"/>
  <c r="F7" i="23"/>
  <c r="F8" i="23"/>
  <c r="F9" i="23"/>
  <c r="F11" i="23"/>
  <c r="F12" i="23"/>
  <c r="F14" i="23"/>
  <c r="F15" i="23"/>
  <c r="F17" i="23"/>
  <c r="F18" i="23"/>
  <c r="F19" i="23"/>
  <c r="F13" i="23"/>
  <c r="F21" i="23"/>
  <c r="F22" i="23"/>
  <c r="F20" i="23"/>
  <c r="F23" i="23"/>
  <c r="F25" i="23"/>
  <c r="F26" i="23"/>
  <c r="F27" i="23"/>
  <c r="F28" i="23"/>
  <c r="F29" i="23"/>
  <c r="F30" i="23"/>
  <c r="F31" i="23"/>
  <c r="F32" i="23"/>
  <c r="F33" i="23"/>
  <c r="F36" i="23"/>
  <c r="F37" i="23"/>
  <c r="F38" i="23"/>
  <c r="F40" i="23"/>
  <c r="F42" i="23"/>
  <c r="F43" i="23"/>
  <c r="F35" i="23"/>
  <c r="F46" i="23"/>
  <c r="F47" i="23"/>
  <c r="F49" i="23"/>
  <c r="F59" i="23"/>
  <c r="F44" i="23"/>
  <c r="F67" i="23"/>
  <c r="F69" i="23"/>
  <c r="F70" i="23"/>
  <c r="F71" i="23"/>
  <c r="F72" i="23"/>
  <c r="F73" i="23"/>
  <c r="F74" i="23"/>
  <c r="F75" i="23"/>
  <c r="F91" i="23"/>
  <c r="F77" i="23"/>
  <c r="F79" i="23"/>
  <c r="F80" i="23"/>
  <c r="F81" i="23"/>
  <c r="F82" i="23"/>
  <c r="F83" i="23"/>
  <c r="F84" i="23"/>
  <c r="F85" i="23"/>
  <c r="F86" i="23"/>
  <c r="F93" i="23"/>
  <c r="N23" i="6"/>
  <c r="N28" i="6"/>
  <c r="O23" i="6"/>
  <c r="O28" i="6"/>
  <c r="O24" i="6"/>
  <c r="H249" i="21"/>
  <c r="J186" i="21"/>
  <c r="I180" i="21"/>
  <c r="I181" i="21"/>
  <c r="I179" i="21"/>
  <c r="J180" i="21"/>
  <c r="J181" i="21"/>
  <c r="J179" i="21"/>
  <c r="J196" i="21"/>
  <c r="J197" i="21"/>
  <c r="J198" i="21"/>
  <c r="J200" i="21"/>
  <c r="J184" i="21"/>
  <c r="J185" i="21"/>
  <c r="J187" i="21"/>
  <c r="J188" i="21"/>
  <c r="J189" i="21"/>
  <c r="J191" i="21"/>
  <c r="J171" i="21"/>
  <c r="J172" i="21"/>
  <c r="J174" i="21"/>
  <c r="J224" i="21"/>
  <c r="J176" i="21"/>
  <c r="J227" i="21"/>
  <c r="J177" i="21"/>
  <c r="J230" i="21"/>
  <c r="J178" i="21"/>
  <c r="J175" i="21"/>
  <c r="I196" i="21"/>
  <c r="I197" i="21"/>
  <c r="I198" i="21"/>
  <c r="I43" i="21"/>
  <c r="I44" i="21"/>
  <c r="I199" i="21"/>
  <c r="I200" i="21"/>
  <c r="I184" i="21"/>
  <c r="I185" i="21"/>
  <c r="I186" i="21"/>
  <c r="I187" i="21"/>
  <c r="I188" i="21"/>
  <c r="I189" i="21"/>
  <c r="I191" i="21"/>
  <c r="I170" i="21"/>
  <c r="I240" i="21"/>
  <c r="I248" i="21"/>
  <c r="I249" i="21"/>
  <c r="I250" i="21"/>
  <c r="I171" i="21"/>
  <c r="I172" i="21"/>
  <c r="I174" i="21"/>
  <c r="I176" i="21"/>
  <c r="I227" i="21"/>
  <c r="I177" i="21"/>
  <c r="I230" i="21"/>
  <c r="I178" i="21"/>
  <c r="I175" i="21"/>
  <c r="I203" i="21"/>
  <c r="I204" i="21"/>
  <c r="I205" i="21"/>
  <c r="I206" i="21"/>
  <c r="I207" i="21"/>
  <c r="I208" i="21"/>
  <c r="I209" i="21"/>
  <c r="J203" i="21"/>
  <c r="J204" i="21"/>
  <c r="J205" i="21"/>
  <c r="J206" i="21"/>
  <c r="J207" i="21"/>
  <c r="J208" i="21"/>
  <c r="J209" i="21"/>
  <c r="H191" i="21"/>
  <c r="H184" i="21"/>
  <c r="H240" i="21"/>
  <c r="H248" i="21"/>
  <c r="H250" i="21"/>
  <c r="H171" i="21"/>
  <c r="H170" i="21"/>
  <c r="H179" i="21"/>
  <c r="H176" i="21"/>
  <c r="H177" i="21"/>
  <c r="H178" i="21"/>
  <c r="H175" i="21"/>
  <c r="H172" i="21"/>
  <c r="H146" i="21"/>
  <c r="F65" i="23"/>
  <c r="F90" i="23"/>
  <c r="G90" i="23"/>
  <c r="H90" i="23"/>
  <c r="I90" i="23"/>
  <c r="J90" i="23"/>
  <c r="K90" i="23"/>
  <c r="L90" i="23"/>
  <c r="M90" i="23"/>
  <c r="N90" i="23"/>
  <c r="O90" i="23"/>
  <c r="O140" i="4"/>
  <c r="O117" i="4"/>
  <c r="N195" i="4"/>
  <c r="O195" i="4"/>
  <c r="O32" i="6"/>
  <c r="O37" i="6"/>
  <c r="O22" i="6"/>
  <c r="H152" i="21"/>
  <c r="H134" i="21"/>
  <c r="H137" i="21"/>
  <c r="H135" i="21"/>
  <c r="H141" i="21"/>
  <c r="H142" i="21"/>
  <c r="H143" i="21"/>
  <c r="H144" i="21"/>
  <c r="H145" i="21"/>
  <c r="H147" i="21"/>
  <c r="H161" i="21"/>
  <c r="H164" i="21"/>
  <c r="I152" i="21"/>
  <c r="I144" i="21"/>
  <c r="I145" i="21"/>
  <c r="I146" i="21"/>
  <c r="I147" i="21"/>
  <c r="I161" i="21"/>
  <c r="I164" i="21"/>
  <c r="I165" i="21"/>
  <c r="J165" i="21"/>
  <c r="H165" i="21"/>
  <c r="I244" i="21"/>
  <c r="I245" i="21"/>
  <c r="I246" i="21"/>
  <c r="J244" i="21"/>
  <c r="J245" i="21"/>
  <c r="J246" i="21"/>
  <c r="H244" i="21"/>
  <c r="H245" i="21"/>
  <c r="H246" i="21"/>
  <c r="H127" i="21"/>
  <c r="H43" i="21"/>
  <c r="H128" i="21"/>
  <c r="H126" i="21"/>
  <c r="H129" i="21"/>
  <c r="I125" i="21"/>
  <c r="I127" i="21"/>
  <c r="I128" i="21"/>
  <c r="I126" i="21"/>
  <c r="I129" i="21"/>
  <c r="J125" i="21"/>
  <c r="J127" i="21"/>
  <c r="J128" i="21"/>
  <c r="J126" i="21"/>
  <c r="J129" i="21"/>
  <c r="I130" i="21"/>
  <c r="J130" i="21"/>
  <c r="H130" i="21"/>
  <c r="H120" i="21"/>
  <c r="I120" i="21"/>
  <c r="J120" i="21"/>
  <c r="I56" i="21"/>
  <c r="J56" i="21"/>
  <c r="H56" i="21"/>
  <c r="H44" i="21"/>
  <c r="F65" i="3"/>
  <c r="G83" i="20"/>
  <c r="F75" i="20"/>
  <c r="E71" i="20"/>
  <c r="F70" i="20"/>
  <c r="O83" i="20"/>
  <c r="M83" i="20"/>
  <c r="L83" i="20"/>
  <c r="K83" i="20"/>
  <c r="J83" i="20"/>
  <c r="I83" i="20"/>
  <c r="H83" i="20"/>
  <c r="F83" i="20"/>
  <c r="E83" i="20"/>
  <c r="O82" i="20"/>
  <c r="N82" i="20"/>
  <c r="M82" i="20"/>
  <c r="L82" i="20"/>
  <c r="K82" i="20"/>
  <c r="J82" i="20"/>
  <c r="I82" i="20"/>
  <c r="H82" i="20"/>
  <c r="G82" i="20"/>
  <c r="F82" i="20"/>
  <c r="O79" i="20"/>
  <c r="K79" i="20"/>
  <c r="J79" i="20"/>
  <c r="I79" i="20"/>
  <c r="H79" i="20"/>
  <c r="G79" i="20"/>
  <c r="F79" i="20"/>
  <c r="E79" i="20"/>
  <c r="K78" i="20"/>
  <c r="J78" i="20"/>
  <c r="I78" i="20"/>
  <c r="H78" i="20"/>
  <c r="G78" i="20"/>
  <c r="F78" i="20"/>
  <c r="O75" i="20"/>
  <c r="N75" i="20"/>
  <c r="M75" i="20"/>
  <c r="L75" i="20"/>
  <c r="K75" i="20"/>
  <c r="J75" i="20"/>
  <c r="I75" i="20"/>
  <c r="H75" i="20"/>
  <c r="G75" i="20"/>
  <c r="E75" i="20"/>
  <c r="O74" i="20"/>
  <c r="N74" i="20"/>
  <c r="M74" i="20"/>
  <c r="L74" i="20"/>
  <c r="K74" i="20"/>
  <c r="J74" i="20"/>
  <c r="I74" i="20"/>
  <c r="H74" i="20"/>
  <c r="G74" i="20"/>
  <c r="F74" i="20"/>
  <c r="O71" i="20"/>
  <c r="N71" i="20"/>
  <c r="M71" i="20"/>
  <c r="L71" i="20"/>
  <c r="K71" i="20"/>
  <c r="J71" i="20"/>
  <c r="I71" i="20"/>
  <c r="H71" i="20"/>
  <c r="G71" i="20"/>
  <c r="F71" i="20"/>
  <c r="O70" i="20"/>
  <c r="N70" i="20"/>
  <c r="M70" i="20"/>
  <c r="L70" i="20"/>
  <c r="K70" i="20"/>
  <c r="J70" i="20"/>
  <c r="I70" i="20"/>
  <c r="H70" i="20"/>
  <c r="G70" i="20"/>
  <c r="F67" i="20"/>
  <c r="G67" i="20"/>
  <c r="H67" i="20"/>
  <c r="I67" i="20"/>
  <c r="J67" i="20"/>
  <c r="K67" i="20"/>
  <c r="L67" i="20"/>
  <c r="M67" i="20"/>
  <c r="N67" i="20"/>
  <c r="O67" i="20"/>
  <c r="O66" i="20"/>
  <c r="N66" i="20"/>
  <c r="M66" i="20"/>
  <c r="L66" i="20"/>
  <c r="K66" i="20"/>
  <c r="J66" i="20"/>
  <c r="I66" i="20"/>
  <c r="H66" i="20"/>
  <c r="G66" i="20"/>
  <c r="F66" i="20"/>
  <c r="F53" i="20"/>
  <c r="G53" i="20"/>
  <c r="H53" i="20"/>
  <c r="I53" i="20"/>
  <c r="J53" i="20"/>
  <c r="E53" i="20"/>
  <c r="F47" i="20"/>
  <c r="G47" i="20"/>
  <c r="H47" i="20"/>
  <c r="I47" i="20"/>
  <c r="J47" i="20"/>
  <c r="K47" i="20"/>
  <c r="O47" i="20"/>
  <c r="F43" i="20"/>
  <c r="G43" i="20"/>
  <c r="H43" i="20"/>
  <c r="I43" i="20"/>
  <c r="J43" i="20"/>
  <c r="K43" i="20"/>
  <c r="L43" i="20"/>
  <c r="M43" i="20"/>
  <c r="N43" i="20"/>
  <c r="O43" i="20"/>
  <c r="F38" i="20"/>
  <c r="G38" i="20"/>
  <c r="H38" i="20"/>
  <c r="I38" i="20"/>
  <c r="J38" i="20"/>
  <c r="K38" i="20"/>
  <c r="F33" i="20"/>
  <c r="G33" i="20"/>
  <c r="H33" i="20"/>
  <c r="I33" i="20"/>
  <c r="J33" i="20"/>
  <c r="K33" i="20"/>
  <c r="L33" i="20"/>
  <c r="M33" i="20"/>
  <c r="N33" i="20"/>
  <c r="O33" i="20"/>
  <c r="E47" i="20"/>
  <c r="F46" i="20"/>
  <c r="G46" i="20"/>
  <c r="H46" i="20"/>
  <c r="I46" i="20"/>
  <c r="J46" i="20"/>
  <c r="K46" i="20"/>
  <c r="O46" i="20"/>
  <c r="F41" i="20"/>
  <c r="G41" i="20"/>
  <c r="H41" i="20"/>
  <c r="I41" i="20"/>
  <c r="J41" i="20"/>
  <c r="K41" i="20"/>
  <c r="L41" i="20"/>
  <c r="F36" i="20"/>
  <c r="G36" i="20"/>
  <c r="H36" i="20"/>
  <c r="I36" i="20"/>
  <c r="J36" i="20"/>
  <c r="K36" i="20"/>
  <c r="L36" i="20"/>
  <c r="F31" i="20"/>
  <c r="G31" i="20"/>
  <c r="H31" i="20"/>
  <c r="I31" i="20"/>
  <c r="J31" i="20"/>
  <c r="K31" i="20"/>
  <c r="L31" i="20"/>
  <c r="E46" i="20"/>
  <c r="F54" i="20"/>
  <c r="G54" i="20"/>
  <c r="H54" i="20"/>
  <c r="I54" i="20"/>
  <c r="J54" i="20"/>
  <c r="K54" i="20"/>
  <c r="L54" i="20"/>
  <c r="M54" i="20"/>
  <c r="N54" i="20"/>
  <c r="O54" i="20"/>
  <c r="E54" i="20"/>
  <c r="K45" i="20"/>
  <c r="J45" i="20"/>
  <c r="I45" i="20"/>
  <c r="H45" i="20"/>
  <c r="G45" i="20"/>
  <c r="F45" i="20"/>
  <c r="S40" i="20"/>
  <c r="R40" i="20"/>
  <c r="Q40" i="20"/>
  <c r="P40" i="20"/>
  <c r="O40" i="20"/>
  <c r="N40" i="20"/>
  <c r="M40" i="20"/>
  <c r="L40" i="20"/>
  <c r="K40" i="20"/>
  <c r="J40" i="20"/>
  <c r="I40" i="20"/>
  <c r="H40" i="20"/>
  <c r="G40" i="20"/>
  <c r="F40" i="20"/>
  <c r="O35" i="20"/>
  <c r="N35" i="20"/>
  <c r="M35" i="20"/>
  <c r="L35" i="20"/>
  <c r="K35" i="20"/>
  <c r="J35" i="20"/>
  <c r="I35" i="20"/>
  <c r="H35" i="20"/>
  <c r="G35" i="20"/>
  <c r="F35" i="20"/>
  <c r="O30" i="20"/>
  <c r="N30" i="20"/>
  <c r="M30" i="20"/>
  <c r="L30" i="20"/>
  <c r="K30" i="20"/>
  <c r="J30" i="20"/>
  <c r="I30" i="20"/>
  <c r="H30" i="20"/>
  <c r="G30" i="20"/>
  <c r="F30" i="20"/>
  <c r="F19" i="20"/>
  <c r="G19" i="20"/>
  <c r="H19" i="20"/>
  <c r="I19" i="20"/>
  <c r="J19" i="20"/>
  <c r="K19" i="20"/>
  <c r="O19" i="20"/>
  <c r="F15" i="20"/>
  <c r="G15" i="20"/>
  <c r="H15" i="20"/>
  <c r="I15" i="20"/>
  <c r="J15" i="20"/>
  <c r="K15" i="20"/>
  <c r="L15" i="20"/>
  <c r="F11" i="20"/>
  <c r="G11" i="20"/>
  <c r="H11" i="20"/>
  <c r="I11" i="20"/>
  <c r="J11" i="20"/>
  <c r="K11" i="20"/>
  <c r="L11" i="20"/>
  <c r="E19" i="20"/>
  <c r="S18" i="20"/>
  <c r="R18" i="20"/>
  <c r="Q18" i="20"/>
  <c r="P18" i="20"/>
  <c r="K18" i="20"/>
  <c r="J18" i="20"/>
  <c r="I18" i="20"/>
  <c r="H18" i="20"/>
  <c r="G18" i="20"/>
  <c r="F18" i="20"/>
  <c r="R14" i="20"/>
  <c r="Q14" i="20"/>
  <c r="P14" i="20"/>
  <c r="O14" i="20"/>
  <c r="N14" i="20"/>
  <c r="M14" i="20"/>
  <c r="L14" i="20"/>
  <c r="K14" i="20"/>
  <c r="J14" i="20"/>
  <c r="I14" i="20"/>
  <c r="H14" i="20"/>
  <c r="G14" i="20"/>
  <c r="F14" i="20"/>
  <c r="O10" i="20"/>
  <c r="N10" i="20"/>
  <c r="M10" i="20"/>
  <c r="L10" i="20"/>
  <c r="K10" i="20"/>
  <c r="J10" i="20"/>
  <c r="I10" i="20"/>
  <c r="H10" i="20"/>
  <c r="G10" i="20"/>
  <c r="F10" i="20"/>
  <c r="G6" i="20"/>
  <c r="H6" i="20"/>
  <c r="I6" i="20"/>
  <c r="J6" i="20"/>
  <c r="K6" i="20"/>
  <c r="L6" i="20"/>
  <c r="M6" i="20"/>
  <c r="N6" i="20"/>
  <c r="O6" i="20"/>
  <c r="F7" i="20"/>
  <c r="G7" i="20"/>
  <c r="H7" i="20"/>
  <c r="I7" i="20"/>
  <c r="J7" i="20"/>
  <c r="K7" i="20"/>
  <c r="L7" i="20"/>
  <c r="F6" i="20"/>
  <c r="F24" i="20"/>
  <c r="G24" i="20"/>
  <c r="H24" i="20"/>
  <c r="I24" i="20"/>
  <c r="J24" i="20"/>
  <c r="K24" i="20"/>
  <c r="L24" i="20"/>
  <c r="M24" i="20"/>
  <c r="N24" i="20"/>
  <c r="O24" i="20"/>
  <c r="E24" i="20"/>
  <c r="G19" i="13"/>
  <c r="H19" i="13"/>
  <c r="I19" i="13"/>
  <c r="J19" i="13"/>
  <c r="K19" i="13"/>
  <c r="L19" i="13"/>
  <c r="M19" i="13"/>
  <c r="N19" i="13"/>
  <c r="F19" i="13"/>
  <c r="G15" i="13"/>
  <c r="H15" i="13"/>
  <c r="I15" i="13"/>
  <c r="J15" i="13"/>
  <c r="K15" i="13"/>
  <c r="L15" i="13"/>
  <c r="M15" i="13"/>
  <c r="N15" i="13"/>
  <c r="O15" i="13"/>
  <c r="P15" i="13"/>
  <c r="Q15" i="13"/>
  <c r="F15" i="13"/>
  <c r="G10" i="13"/>
  <c r="H10" i="13"/>
  <c r="I10" i="13"/>
  <c r="J10" i="13"/>
  <c r="K10" i="13"/>
  <c r="L10" i="13"/>
  <c r="M10" i="13"/>
  <c r="N10" i="13"/>
  <c r="O10" i="13"/>
  <c r="P10" i="13"/>
  <c r="Q10" i="13"/>
  <c r="R10" i="13"/>
  <c r="S10" i="13"/>
  <c r="F10" i="13"/>
  <c r="H17" i="11"/>
  <c r="I17" i="11"/>
  <c r="J17" i="11"/>
  <c r="K17" i="11"/>
  <c r="H19" i="11"/>
  <c r="I19" i="11"/>
  <c r="J19" i="11"/>
  <c r="K19" i="11"/>
  <c r="H13" i="11"/>
  <c r="I13" i="11"/>
  <c r="J13" i="11"/>
  <c r="K13" i="11"/>
  <c r="G8" i="11"/>
  <c r="H8" i="11"/>
  <c r="I8" i="11"/>
  <c r="J8" i="11"/>
  <c r="K8" i="11"/>
  <c r="G17" i="11"/>
  <c r="G19" i="11"/>
  <c r="G13" i="11"/>
  <c r="F19" i="11"/>
  <c r="E19" i="11"/>
  <c r="F17" i="11"/>
  <c r="F8" i="11"/>
  <c r="F13" i="11"/>
  <c r="F73" i="1"/>
  <c r="G73" i="1"/>
  <c r="H73" i="1"/>
  <c r="I73" i="1"/>
  <c r="J73" i="1"/>
  <c r="K73" i="1"/>
  <c r="L73" i="1"/>
  <c r="M73" i="1"/>
  <c r="N137" i="4"/>
  <c r="N73" i="1"/>
  <c r="O137" i="4"/>
  <c r="O73" i="1"/>
  <c r="E65" i="1"/>
  <c r="E66" i="1"/>
  <c r="E69" i="1"/>
  <c r="E72" i="1"/>
  <c r="E73" i="1"/>
  <c r="F103" i="1"/>
  <c r="G103" i="1"/>
  <c r="H103" i="1"/>
  <c r="I103" i="1"/>
  <c r="J103" i="1"/>
  <c r="K103" i="1"/>
  <c r="L103" i="1"/>
  <c r="M103" i="1"/>
  <c r="N103" i="1"/>
  <c r="E103" i="1"/>
  <c r="N23" i="3"/>
  <c r="M23" i="3"/>
  <c r="N7" i="3"/>
  <c r="N8" i="3"/>
  <c r="N6" i="3"/>
  <c r="N5" i="3"/>
  <c r="N19" i="3"/>
  <c r="N21" i="3"/>
  <c r="N24" i="3"/>
  <c r="N32" i="6"/>
  <c r="N37" i="6"/>
  <c r="N26" i="3"/>
  <c r="N27" i="3"/>
  <c r="N52" i="3"/>
  <c r="N60" i="3"/>
  <c r="N63" i="3"/>
  <c r="N65" i="3"/>
  <c r="N67" i="3"/>
  <c r="N68" i="3"/>
  <c r="F75" i="1"/>
  <c r="G75" i="1"/>
  <c r="H75" i="1"/>
  <c r="I75" i="1"/>
  <c r="J75" i="1"/>
  <c r="K75" i="1"/>
  <c r="L75" i="1"/>
  <c r="M75" i="1"/>
  <c r="N75" i="1"/>
  <c r="O75" i="1"/>
  <c r="E74" i="1"/>
  <c r="E75" i="1"/>
  <c r="F107" i="1"/>
  <c r="I104" i="1"/>
  <c r="J104" i="1"/>
  <c r="K104" i="1"/>
  <c r="L104" i="1"/>
  <c r="M104" i="1"/>
  <c r="N104" i="1"/>
  <c r="E104" i="1"/>
  <c r="F104" i="1"/>
  <c r="G104" i="1"/>
  <c r="H104" i="1"/>
  <c r="E53" i="1"/>
  <c r="F53" i="1"/>
  <c r="G53" i="1"/>
  <c r="H53" i="1"/>
  <c r="I53" i="1"/>
  <c r="J53" i="1"/>
  <c r="K53" i="1"/>
  <c r="L53" i="1"/>
  <c r="M153" i="4"/>
  <c r="M53" i="1"/>
  <c r="F71" i="1"/>
  <c r="G71" i="1"/>
  <c r="H71" i="1"/>
  <c r="I71" i="1"/>
  <c r="J71" i="1"/>
  <c r="K71" i="1"/>
  <c r="L71" i="1"/>
  <c r="M71" i="1"/>
  <c r="N71" i="1"/>
  <c r="O71" i="1"/>
  <c r="F50" i="1"/>
  <c r="G50" i="1"/>
  <c r="H50" i="1"/>
  <c r="I50" i="1"/>
  <c r="J50" i="1"/>
  <c r="K50" i="1"/>
  <c r="L50" i="1"/>
  <c r="M50" i="1"/>
  <c r="N50" i="1"/>
  <c r="E50" i="1"/>
  <c r="F47" i="1"/>
  <c r="G47" i="1"/>
  <c r="H47" i="1"/>
  <c r="E47" i="1"/>
  <c r="F45" i="1"/>
  <c r="G45" i="1"/>
  <c r="H45" i="1"/>
  <c r="I45" i="1"/>
  <c r="J45" i="1"/>
  <c r="K45" i="1"/>
  <c r="L45" i="1"/>
  <c r="M45" i="1"/>
  <c r="N45" i="1"/>
  <c r="O45" i="1"/>
  <c r="E45" i="1"/>
  <c r="O44" i="1"/>
  <c r="N44" i="1"/>
  <c r="M44" i="1"/>
  <c r="L44" i="1"/>
  <c r="K44" i="1"/>
  <c r="J44" i="1"/>
  <c r="I44" i="1"/>
  <c r="H44" i="1"/>
  <c r="G44" i="1"/>
  <c r="F44" i="1"/>
  <c r="F40" i="1"/>
  <c r="G40" i="1"/>
  <c r="H40" i="1"/>
  <c r="I40" i="1"/>
  <c r="J40" i="1"/>
  <c r="K40" i="1"/>
  <c r="L40" i="1"/>
  <c r="M40" i="1"/>
  <c r="N40" i="1"/>
  <c r="O40" i="1"/>
  <c r="E40" i="1"/>
  <c r="F39" i="1"/>
  <c r="E37" i="1"/>
  <c r="O16" i="1"/>
  <c r="N16" i="1"/>
  <c r="M16" i="1"/>
  <c r="L16" i="1"/>
  <c r="K16" i="1"/>
  <c r="J16" i="1"/>
  <c r="I16" i="1"/>
  <c r="H16" i="1"/>
  <c r="G16" i="1"/>
  <c r="F16" i="1"/>
  <c r="E16" i="1"/>
  <c r="O49" i="1"/>
  <c r="N49" i="1"/>
  <c r="M49" i="1"/>
  <c r="L49" i="1"/>
  <c r="K49" i="1"/>
  <c r="J49" i="1"/>
  <c r="I49" i="1"/>
  <c r="H49" i="1"/>
  <c r="G49" i="1"/>
  <c r="F49" i="1"/>
  <c r="O39" i="1"/>
  <c r="N39" i="1"/>
  <c r="M39" i="1"/>
  <c r="L39" i="1"/>
  <c r="K39" i="1"/>
  <c r="J39" i="1"/>
  <c r="I39" i="1"/>
  <c r="H39" i="1"/>
  <c r="G39" i="1"/>
  <c r="E71" i="1"/>
  <c r="O13" i="1"/>
  <c r="N13" i="1"/>
  <c r="M13" i="1"/>
  <c r="L13" i="1"/>
  <c r="K13" i="1"/>
  <c r="J13" i="1"/>
  <c r="I13" i="1"/>
  <c r="H13" i="1"/>
  <c r="G13" i="1"/>
  <c r="F13" i="1"/>
  <c r="O70" i="1"/>
  <c r="N70" i="1"/>
  <c r="M70" i="1"/>
  <c r="L70" i="1"/>
  <c r="K70" i="1"/>
  <c r="J70" i="1"/>
  <c r="I70" i="1"/>
  <c r="H70" i="1"/>
  <c r="G70" i="1"/>
  <c r="F70" i="1"/>
  <c r="O63" i="1"/>
  <c r="N63" i="1"/>
  <c r="M63" i="1"/>
  <c r="L63" i="1"/>
  <c r="K63" i="1"/>
  <c r="J63" i="1"/>
  <c r="I63" i="1"/>
  <c r="H63" i="1"/>
  <c r="G63" i="1"/>
  <c r="F63" i="1"/>
  <c r="F61" i="1"/>
  <c r="G61" i="1"/>
  <c r="H61" i="1"/>
  <c r="I61" i="1"/>
  <c r="J61" i="1"/>
  <c r="K61" i="1"/>
  <c r="L61" i="1"/>
  <c r="M61" i="1"/>
  <c r="N61" i="1"/>
  <c r="O61" i="1"/>
  <c r="E61" i="1"/>
  <c r="O60" i="1"/>
  <c r="N60" i="1"/>
  <c r="M60" i="1"/>
  <c r="L60" i="1"/>
  <c r="K60" i="1"/>
  <c r="J60" i="1"/>
  <c r="I60" i="1"/>
  <c r="H60" i="1"/>
  <c r="G60" i="1"/>
  <c r="F60" i="1"/>
  <c r="O57" i="1"/>
  <c r="N57" i="1"/>
  <c r="M57" i="1"/>
  <c r="L57" i="1"/>
  <c r="K57" i="1"/>
  <c r="J57" i="1"/>
  <c r="I57" i="1"/>
  <c r="H57" i="1"/>
  <c r="G57" i="1"/>
  <c r="F57" i="1"/>
  <c r="F55" i="1"/>
  <c r="G55" i="1"/>
  <c r="H55" i="1"/>
  <c r="I55" i="1"/>
  <c r="J55" i="1"/>
  <c r="K55" i="1"/>
  <c r="L55" i="1"/>
  <c r="M55" i="1"/>
  <c r="N53" i="1"/>
  <c r="N55" i="1"/>
  <c r="O55" i="1"/>
  <c r="E55" i="1"/>
  <c r="O54" i="1"/>
  <c r="N54" i="1"/>
  <c r="M54" i="1"/>
  <c r="L54" i="1"/>
  <c r="K54" i="1"/>
  <c r="J54" i="1"/>
  <c r="I54" i="1"/>
  <c r="H54" i="1"/>
  <c r="G54" i="1"/>
  <c r="F54" i="1"/>
  <c r="F37" i="1"/>
  <c r="G37" i="1"/>
  <c r="H37" i="1"/>
  <c r="I37" i="1"/>
  <c r="J37" i="1"/>
  <c r="K37" i="1"/>
  <c r="O37" i="1"/>
  <c r="G36" i="1"/>
  <c r="H36" i="1"/>
  <c r="I36" i="1"/>
  <c r="J36" i="1"/>
  <c r="K36" i="1"/>
  <c r="F34" i="1"/>
  <c r="G34" i="1"/>
  <c r="H34" i="1"/>
  <c r="I34" i="1"/>
  <c r="J34" i="1"/>
  <c r="K34" i="1"/>
  <c r="L34" i="1"/>
  <c r="M34" i="1"/>
  <c r="N34" i="1"/>
  <c r="G33" i="1"/>
  <c r="H33" i="1"/>
  <c r="I33" i="1"/>
  <c r="J33" i="1"/>
  <c r="K33" i="1"/>
  <c r="L33" i="1"/>
  <c r="M33" i="1"/>
  <c r="N33" i="1"/>
  <c r="O33" i="1"/>
  <c r="F31" i="1"/>
  <c r="G31" i="1"/>
  <c r="H31" i="1"/>
  <c r="I31" i="1"/>
  <c r="J31" i="1"/>
  <c r="K31" i="1"/>
  <c r="L31" i="1"/>
  <c r="M31" i="1"/>
  <c r="N31" i="1"/>
  <c r="O31" i="1"/>
  <c r="G30" i="1"/>
  <c r="H30" i="1"/>
  <c r="I30" i="1"/>
  <c r="J30" i="1"/>
  <c r="K30" i="1"/>
  <c r="N30" i="1"/>
  <c r="O30" i="1"/>
  <c r="F28" i="1"/>
  <c r="G28" i="1"/>
  <c r="H28" i="1"/>
  <c r="I28" i="1"/>
  <c r="J28" i="1"/>
  <c r="K28" i="1"/>
  <c r="L28" i="1"/>
  <c r="M28" i="1"/>
  <c r="N28" i="1"/>
  <c r="O28" i="1"/>
  <c r="G27" i="1"/>
  <c r="H27" i="1"/>
  <c r="I27" i="1"/>
  <c r="J27" i="1"/>
  <c r="K27" i="1"/>
  <c r="L27" i="1"/>
  <c r="M27" i="1"/>
  <c r="N27" i="1"/>
  <c r="O27" i="1"/>
  <c r="F27" i="1"/>
  <c r="E34" i="1"/>
  <c r="E31" i="1"/>
  <c r="E28" i="1"/>
  <c r="F36" i="1"/>
  <c r="F33" i="1"/>
  <c r="F30" i="1"/>
  <c r="F25" i="1"/>
  <c r="G25" i="1"/>
  <c r="H25" i="1"/>
  <c r="I25" i="1"/>
  <c r="J25" i="1"/>
  <c r="K25" i="1"/>
  <c r="L25" i="1"/>
  <c r="M25" i="1"/>
  <c r="N25" i="1"/>
  <c r="O25" i="1"/>
  <c r="G24" i="1"/>
  <c r="H24" i="1"/>
  <c r="I24" i="1"/>
  <c r="J24" i="1"/>
  <c r="K24" i="1"/>
  <c r="N24" i="1"/>
  <c r="O24" i="1"/>
  <c r="F22" i="1"/>
  <c r="G22" i="1"/>
  <c r="H22" i="1"/>
  <c r="I22" i="1"/>
  <c r="J22" i="1"/>
  <c r="K22" i="1"/>
  <c r="L22" i="1"/>
  <c r="M22" i="1"/>
  <c r="N22" i="1"/>
  <c r="O22" i="1"/>
  <c r="G21" i="1"/>
  <c r="H21" i="1"/>
  <c r="I21" i="1"/>
  <c r="J21" i="1"/>
  <c r="K21" i="1"/>
  <c r="L21" i="1"/>
  <c r="M21" i="1"/>
  <c r="N21" i="1"/>
  <c r="O21" i="1"/>
  <c r="F19" i="1"/>
  <c r="G19" i="1"/>
  <c r="H19" i="1"/>
  <c r="I19" i="1"/>
  <c r="J19" i="1"/>
  <c r="K19" i="1"/>
  <c r="L19" i="1"/>
  <c r="M19" i="1"/>
  <c r="N19" i="1"/>
  <c r="O19" i="1"/>
  <c r="E19" i="1"/>
  <c r="G18" i="1"/>
  <c r="H18" i="1"/>
  <c r="I18" i="1"/>
  <c r="J18" i="1"/>
  <c r="K18" i="1"/>
  <c r="L18" i="1"/>
  <c r="M18" i="1"/>
  <c r="N18" i="1"/>
  <c r="O18" i="1"/>
  <c r="F18" i="1"/>
  <c r="G15" i="1"/>
  <c r="H15" i="1"/>
  <c r="I15" i="1"/>
  <c r="J15" i="1"/>
  <c r="K15" i="1"/>
  <c r="L15" i="1"/>
  <c r="M15" i="1"/>
  <c r="N15" i="1"/>
  <c r="O15" i="1"/>
  <c r="F15" i="1"/>
  <c r="G12" i="1"/>
  <c r="H12" i="1"/>
  <c r="I12" i="1"/>
  <c r="J12" i="1"/>
  <c r="K12" i="1"/>
  <c r="L12" i="1"/>
  <c r="M12" i="1"/>
  <c r="N12" i="1"/>
  <c r="O12" i="1"/>
  <c r="F12" i="1"/>
  <c r="G10" i="1"/>
  <c r="H10" i="1"/>
  <c r="I10" i="1"/>
  <c r="J10" i="1"/>
  <c r="K10" i="1"/>
  <c r="L10" i="1"/>
  <c r="M10" i="1"/>
  <c r="N10" i="1"/>
  <c r="O10" i="1"/>
  <c r="F10" i="1"/>
  <c r="G9" i="1"/>
  <c r="H9" i="1"/>
  <c r="I9" i="1"/>
  <c r="J9" i="1"/>
  <c r="K9" i="1"/>
  <c r="L9" i="1"/>
  <c r="M9" i="1"/>
  <c r="N9" i="1"/>
  <c r="O9" i="1"/>
  <c r="F9" i="1"/>
  <c r="G7" i="1"/>
  <c r="H7" i="1"/>
  <c r="I7" i="1"/>
  <c r="J7" i="1"/>
  <c r="K7" i="1"/>
  <c r="L7" i="1"/>
  <c r="M7" i="1"/>
  <c r="N7" i="1"/>
  <c r="F21" i="1"/>
  <c r="E25" i="1"/>
  <c r="E22" i="1"/>
  <c r="F24" i="1"/>
  <c r="E13" i="1"/>
  <c r="E10" i="1"/>
  <c r="F7" i="1"/>
  <c r="M67" i="3"/>
  <c r="M5" i="3"/>
  <c r="M7" i="3"/>
  <c r="M8" i="3"/>
  <c r="M17" i="3"/>
  <c r="M6" i="3"/>
  <c r="M19" i="3"/>
  <c r="M21" i="3"/>
  <c r="M23" i="6"/>
  <c r="M28" i="6"/>
  <c r="M24" i="3"/>
  <c r="M32" i="6"/>
  <c r="M37" i="6"/>
  <c r="M26" i="3"/>
  <c r="M27" i="3"/>
  <c r="M36" i="3"/>
  <c r="M43" i="3"/>
  <c r="M45" i="3"/>
  <c r="M52" i="3"/>
  <c r="M60" i="3"/>
  <c r="M63" i="3"/>
  <c r="M68" i="3"/>
  <c r="N153" i="4"/>
  <c r="O85" i="6"/>
  <c r="O90" i="6"/>
  <c r="O92" i="6"/>
  <c r="O86" i="6"/>
  <c r="O87" i="6"/>
  <c r="M100" i="6"/>
  <c r="M110" i="6"/>
  <c r="E117" i="6"/>
  <c r="F117" i="6"/>
  <c r="G117" i="6"/>
  <c r="H117" i="6"/>
  <c r="I117" i="6"/>
  <c r="J117" i="6"/>
  <c r="K117" i="6"/>
  <c r="L117" i="6"/>
  <c r="M117" i="6"/>
  <c r="N117" i="6"/>
  <c r="O117" i="6"/>
  <c r="E118" i="6"/>
  <c r="F118" i="6"/>
  <c r="G118" i="6"/>
  <c r="H118" i="6"/>
  <c r="I118" i="6"/>
  <c r="J118" i="6"/>
  <c r="K118" i="6"/>
  <c r="L118" i="6"/>
  <c r="M118" i="6"/>
  <c r="N118" i="6"/>
  <c r="O118" i="6"/>
  <c r="P118" i="6"/>
  <c r="Q118" i="6"/>
  <c r="R118" i="6"/>
  <c r="S118" i="6"/>
  <c r="T118" i="6"/>
  <c r="U118" i="6"/>
  <c r="V118" i="6"/>
  <c r="W118" i="6"/>
  <c r="X118" i="6"/>
  <c r="E119" i="6"/>
  <c r="F119" i="6"/>
  <c r="G119" i="6"/>
  <c r="H119" i="6"/>
  <c r="I119" i="6"/>
  <c r="J119" i="6"/>
  <c r="K119" i="6"/>
  <c r="L119" i="6"/>
  <c r="M119" i="6"/>
  <c r="N119" i="6"/>
  <c r="O119" i="6"/>
  <c r="O57" i="6"/>
  <c r="O62" i="6"/>
  <c r="O64" i="6"/>
  <c r="E67" i="3"/>
  <c r="M57" i="6"/>
  <c r="M58" i="6"/>
  <c r="M59" i="6"/>
  <c r="M22" i="6"/>
  <c r="L57" i="6"/>
  <c r="L58" i="6"/>
  <c r="L59" i="6"/>
  <c r="L36" i="3"/>
  <c r="K57" i="6"/>
  <c r="K58" i="6"/>
  <c r="K59" i="6"/>
  <c r="K36" i="3"/>
  <c r="L32" i="6"/>
  <c r="L37" i="6"/>
  <c r="L26" i="3"/>
  <c r="K32" i="6"/>
  <c r="K37" i="6"/>
  <c r="K26" i="3"/>
  <c r="L23" i="6"/>
  <c r="L22" i="6"/>
  <c r="L28" i="6"/>
  <c r="L24" i="3"/>
  <c r="L23" i="3"/>
  <c r="L22" i="3"/>
  <c r="G7" i="6"/>
  <c r="G8" i="6"/>
  <c r="G11" i="6"/>
  <c r="G12" i="6"/>
  <c r="G18" i="6"/>
  <c r="H7" i="6"/>
  <c r="H8" i="6"/>
  <c r="H11" i="6"/>
  <c r="H12" i="6"/>
  <c r="H18" i="6"/>
  <c r="I7" i="6"/>
  <c r="I8" i="6"/>
  <c r="I11" i="6"/>
  <c r="I12" i="6"/>
  <c r="I18" i="6"/>
  <c r="J7" i="6"/>
  <c r="J8" i="6"/>
  <c r="J11" i="6"/>
  <c r="J12" i="6"/>
  <c r="J18" i="6"/>
  <c r="K7" i="6"/>
  <c r="K8" i="6"/>
  <c r="K11" i="6"/>
  <c r="K12" i="6"/>
  <c r="K18" i="6"/>
  <c r="L7" i="6"/>
  <c r="L8" i="6"/>
  <c r="L11" i="6"/>
  <c r="L12" i="6"/>
  <c r="L18" i="6"/>
  <c r="M7" i="6"/>
  <c r="M8" i="6"/>
  <c r="M11" i="6"/>
  <c r="M12" i="6"/>
  <c r="M18" i="6"/>
  <c r="N7" i="6"/>
  <c r="N8" i="6"/>
  <c r="N11" i="6"/>
  <c r="N12" i="6"/>
  <c r="N18" i="6"/>
  <c r="O7" i="6"/>
  <c r="O8" i="6"/>
  <c r="O11" i="6"/>
  <c r="O12" i="6"/>
  <c r="O18" i="6"/>
  <c r="P12" i="6"/>
  <c r="F7" i="6"/>
  <c r="F8" i="6"/>
  <c r="F11" i="6"/>
  <c r="F12" i="6"/>
  <c r="F18" i="6"/>
  <c r="L18" i="3"/>
  <c r="L10" i="3"/>
  <c r="L8" i="3"/>
  <c r="K23" i="6"/>
  <c r="K22" i="6"/>
  <c r="K28" i="6"/>
  <c r="K24" i="3"/>
  <c r="K23" i="3"/>
  <c r="K22" i="3"/>
  <c r="K10" i="3"/>
  <c r="K8" i="3"/>
  <c r="J32" i="6"/>
  <c r="J37" i="6"/>
  <c r="J26" i="3"/>
  <c r="J23" i="6"/>
  <c r="J22" i="6"/>
  <c r="J28" i="6"/>
  <c r="J24" i="3"/>
  <c r="J23" i="3"/>
  <c r="J22" i="3"/>
  <c r="J10" i="3"/>
  <c r="I32" i="6"/>
  <c r="I37" i="6"/>
  <c r="I26" i="3"/>
  <c r="I23" i="6"/>
  <c r="I22" i="6"/>
  <c r="I28" i="6"/>
  <c r="I24" i="3"/>
  <c r="I23" i="3"/>
  <c r="I22" i="3"/>
  <c r="I10" i="3"/>
  <c r="I8" i="3"/>
  <c r="I7" i="3"/>
  <c r="H57" i="6"/>
  <c r="H58" i="6"/>
  <c r="H59" i="6"/>
  <c r="H37" i="3"/>
  <c r="H32" i="6"/>
  <c r="H37" i="6"/>
  <c r="H26" i="3"/>
  <c r="H23" i="6"/>
  <c r="H22" i="6"/>
  <c r="H28" i="6"/>
  <c r="H24" i="3"/>
  <c r="H23" i="3"/>
  <c r="H22" i="3"/>
  <c r="H8" i="3"/>
  <c r="H10" i="3"/>
  <c r="F57" i="6"/>
  <c r="F58" i="6"/>
  <c r="F59" i="6"/>
  <c r="F37" i="3"/>
  <c r="G57" i="6"/>
  <c r="G58" i="6"/>
  <c r="G59" i="6"/>
  <c r="G37" i="3"/>
  <c r="G32" i="6"/>
  <c r="G37" i="6"/>
  <c r="G26" i="3"/>
  <c r="G23" i="6"/>
  <c r="G22" i="6"/>
  <c r="G28" i="6"/>
  <c r="G24" i="3"/>
  <c r="G23" i="3"/>
  <c r="E22" i="3"/>
  <c r="F22" i="3"/>
  <c r="G22" i="3"/>
  <c r="E10" i="3"/>
  <c r="G10" i="3"/>
  <c r="F10" i="3"/>
  <c r="G8" i="3"/>
  <c r="F48" i="3"/>
  <c r="E40" i="3"/>
  <c r="E57" i="6"/>
  <c r="E58" i="6"/>
  <c r="E59" i="6"/>
  <c r="E37" i="3"/>
  <c r="F32" i="6"/>
  <c r="F37" i="6"/>
  <c r="F26" i="3"/>
  <c r="F23" i="6"/>
  <c r="F22" i="6"/>
  <c r="F28" i="6"/>
  <c r="F24" i="3"/>
  <c r="F23" i="3"/>
  <c r="F8" i="3"/>
  <c r="O153" i="4"/>
  <c r="E7" i="3"/>
  <c r="F7" i="3"/>
  <c r="G7" i="3"/>
  <c r="H7" i="3"/>
  <c r="K7" i="3"/>
  <c r="E8" i="3"/>
  <c r="O91" i="4"/>
  <c r="P88" i="4"/>
  <c r="P51" i="4"/>
  <c r="P90" i="4"/>
  <c r="Q88" i="4"/>
  <c r="Q51" i="4"/>
  <c r="Q90" i="4"/>
  <c r="R88" i="4"/>
  <c r="R51" i="4"/>
  <c r="R90" i="4"/>
  <c r="S88" i="4"/>
  <c r="S51" i="4"/>
  <c r="S90" i="4"/>
  <c r="T88" i="4"/>
  <c r="T51" i="4"/>
  <c r="T90" i="4"/>
  <c r="U88" i="4"/>
  <c r="U51" i="4"/>
  <c r="U90" i="4"/>
  <c r="V88" i="4"/>
  <c r="V51" i="4"/>
  <c r="V90" i="4"/>
  <c r="W88" i="4"/>
  <c r="W51" i="4"/>
  <c r="W90" i="4"/>
  <c r="X88" i="4"/>
  <c r="X51" i="4"/>
  <c r="X90" i="4"/>
  <c r="Y88" i="4"/>
  <c r="Y51" i="4"/>
  <c r="Y90" i="4"/>
  <c r="E90" i="4"/>
  <c r="F88" i="4"/>
  <c r="F51" i="4"/>
  <c r="F90" i="4"/>
  <c r="G88" i="4"/>
  <c r="G51" i="4"/>
  <c r="G90" i="4"/>
  <c r="H88" i="4"/>
  <c r="H51" i="4"/>
  <c r="H90" i="4"/>
  <c r="I88" i="4"/>
  <c r="I51" i="4"/>
  <c r="I90" i="4"/>
  <c r="J88" i="4"/>
  <c r="J51" i="4"/>
  <c r="J90" i="4"/>
  <c r="K88" i="4"/>
  <c r="K51" i="4"/>
  <c r="K90" i="4"/>
  <c r="L88" i="4"/>
  <c r="L51" i="4"/>
  <c r="L90" i="4"/>
  <c r="M88" i="4"/>
  <c r="M51" i="4"/>
  <c r="M90" i="4"/>
  <c r="N88" i="4"/>
  <c r="N45" i="4"/>
  <c r="N51" i="4"/>
  <c r="N90" i="4"/>
  <c r="O45" i="4"/>
  <c r="O51" i="4"/>
  <c r="O90" i="4"/>
  <c r="O88" i="4"/>
  <c r="E51" i="4"/>
  <c r="E59" i="4"/>
  <c r="O71" i="4"/>
  <c r="O65" i="4"/>
  <c r="O59" i="4"/>
  <c r="E71" i="4"/>
  <c r="E65" i="4"/>
  <c r="E88" i="4"/>
  <c r="O118" i="4"/>
  <c r="F117" i="4"/>
  <c r="F118" i="4"/>
  <c r="G117" i="4"/>
  <c r="G118" i="4"/>
  <c r="H117" i="4"/>
  <c r="H118" i="4"/>
  <c r="I117" i="4"/>
  <c r="I118" i="4"/>
  <c r="J117" i="4"/>
  <c r="J118" i="4"/>
  <c r="K117" i="4"/>
  <c r="K118" i="4"/>
  <c r="L117" i="4"/>
  <c r="L118" i="4"/>
  <c r="M117" i="4"/>
  <c r="M118" i="4"/>
  <c r="N117" i="4"/>
  <c r="N118" i="4"/>
  <c r="P117" i="4"/>
  <c r="P118" i="4"/>
  <c r="Q117" i="4"/>
  <c r="Q118" i="4"/>
  <c r="R117" i="4"/>
  <c r="R118" i="4"/>
  <c r="S117" i="4"/>
  <c r="S118" i="4"/>
  <c r="T117" i="4"/>
  <c r="T118" i="4"/>
  <c r="U117" i="4"/>
  <c r="U118" i="4"/>
  <c r="V117" i="4"/>
  <c r="V118" i="4"/>
  <c r="W117" i="4"/>
  <c r="W118" i="4"/>
  <c r="X117" i="4"/>
  <c r="X118" i="4"/>
  <c r="Y117" i="4"/>
  <c r="Y118" i="4"/>
  <c r="E117" i="4"/>
  <c r="E118" i="4"/>
  <c r="E258" i="4"/>
  <c r="E32" i="6"/>
  <c r="E37" i="6"/>
  <c r="E26" i="3"/>
  <c r="E162" i="4"/>
  <c r="E167" i="4"/>
  <c r="E23" i="6"/>
  <c r="E28" i="6"/>
  <c r="E24" i="3"/>
  <c r="E11" i="3"/>
  <c r="E6" i="3"/>
  <c r="K37" i="4"/>
  <c r="L37" i="4"/>
  <c r="M37" i="4"/>
  <c r="N37" i="4"/>
  <c r="O37" i="4"/>
  <c r="F37" i="4"/>
  <c r="F8" i="4"/>
  <c r="F14" i="4"/>
  <c r="F17" i="4"/>
  <c r="F26" i="4"/>
  <c r="F28" i="4"/>
  <c r="G37" i="4"/>
  <c r="G8" i="4"/>
  <c r="G14" i="4"/>
  <c r="G17" i="4"/>
  <c r="G26" i="4"/>
  <c r="G28" i="4"/>
  <c r="H37" i="4"/>
  <c r="H8" i="4"/>
  <c r="H14" i="4"/>
  <c r="H17" i="4"/>
  <c r="H26" i="4"/>
  <c r="H28" i="4"/>
  <c r="I37" i="4"/>
  <c r="I8" i="4"/>
  <c r="I17" i="4"/>
  <c r="I26" i="4"/>
  <c r="I28" i="4"/>
  <c r="J37" i="4"/>
  <c r="J8" i="4"/>
  <c r="J17" i="4"/>
  <c r="J26" i="4"/>
  <c r="J28" i="4"/>
  <c r="K26" i="4"/>
  <c r="K28" i="4"/>
  <c r="L26" i="4"/>
  <c r="L28" i="4"/>
  <c r="M26" i="4"/>
  <c r="M28" i="4"/>
  <c r="N26" i="4"/>
  <c r="N28" i="4"/>
  <c r="O26" i="4"/>
  <c r="O28" i="4"/>
  <c r="E37" i="4"/>
  <c r="E8" i="4"/>
  <c r="E14" i="4"/>
  <c r="E17" i="4"/>
  <c r="E26" i="4"/>
  <c r="E28" i="4"/>
  <c r="O57" i="7"/>
  <c r="O54" i="7"/>
  <c r="O52" i="7"/>
  <c r="E37" i="7"/>
  <c r="E44" i="7"/>
  <c r="F32" i="7"/>
  <c r="F37" i="7"/>
  <c r="F44" i="7"/>
  <c r="G32" i="7"/>
  <c r="G37" i="7"/>
  <c r="G44" i="7"/>
  <c r="H32" i="7"/>
  <c r="H37" i="7"/>
  <c r="H44" i="7"/>
  <c r="I32" i="7"/>
  <c r="I37" i="7"/>
  <c r="I44" i="7"/>
  <c r="J32" i="7"/>
  <c r="J37" i="7"/>
  <c r="J44" i="7"/>
  <c r="K32" i="7"/>
  <c r="K37" i="7"/>
  <c r="K44" i="7"/>
  <c r="L32" i="7"/>
  <c r="L37" i="7"/>
  <c r="L44" i="7"/>
  <c r="M32" i="7"/>
  <c r="M37" i="7"/>
  <c r="M44" i="7"/>
  <c r="N32" i="7"/>
  <c r="N37" i="7"/>
  <c r="N44" i="7"/>
  <c r="O32" i="7"/>
  <c r="O37" i="7"/>
  <c r="O44" i="7"/>
  <c r="O9" i="7"/>
  <c r="N59" i="4"/>
  <c r="O30" i="4"/>
  <c r="O33" i="4"/>
  <c r="N33" i="4"/>
  <c r="N30" i="4"/>
  <c r="G62" i="7"/>
  <c r="H62" i="7"/>
  <c r="I62" i="7"/>
  <c r="J62" i="7"/>
  <c r="K62" i="7"/>
  <c r="L62" i="7"/>
  <c r="M62" i="7"/>
  <c r="N62" i="7"/>
  <c r="N81" i="7"/>
  <c r="N88" i="7"/>
  <c r="N90" i="7"/>
  <c r="O62" i="7"/>
  <c r="O81" i="7"/>
  <c r="O88" i="7"/>
  <c r="O90" i="7"/>
  <c r="P62" i="7"/>
  <c r="Q62" i="7"/>
  <c r="R62" i="7"/>
  <c r="S62" i="7"/>
  <c r="T62" i="7"/>
  <c r="U62" i="7"/>
  <c r="V62" i="7"/>
  <c r="W62" i="7"/>
  <c r="X62" i="7"/>
  <c r="Y62" i="7"/>
  <c r="F62" i="7"/>
  <c r="N50" i="7"/>
  <c r="N53" i="7"/>
  <c r="N14" i="7"/>
  <c r="N9" i="7"/>
  <c r="M9" i="7"/>
  <c r="M136" i="4"/>
  <c r="M33" i="4"/>
  <c r="M30" i="4"/>
  <c r="L9" i="7"/>
  <c r="L136" i="4"/>
  <c r="L33" i="4"/>
  <c r="L30" i="4"/>
  <c r="K9" i="7"/>
  <c r="K136" i="4"/>
  <c r="K59" i="4"/>
  <c r="J8" i="7"/>
  <c r="J25" i="7"/>
  <c r="J9" i="7"/>
  <c r="J136" i="4"/>
  <c r="J26" i="7"/>
  <c r="J28" i="7"/>
  <c r="K8" i="7"/>
  <c r="K25" i="7"/>
  <c r="K26" i="7"/>
  <c r="K28" i="7"/>
  <c r="L8" i="7"/>
  <c r="L25" i="7"/>
  <c r="L26" i="7"/>
  <c r="L28" i="7"/>
  <c r="M8" i="7"/>
  <c r="M25" i="7"/>
  <c r="M26" i="7"/>
  <c r="M28" i="7"/>
  <c r="N8" i="7"/>
  <c r="N25" i="7"/>
  <c r="N27" i="7"/>
  <c r="N26" i="7"/>
  <c r="N28" i="7"/>
  <c r="O8" i="7"/>
  <c r="O25" i="7"/>
  <c r="O26" i="7"/>
  <c r="O28" i="7"/>
  <c r="P25" i="7"/>
  <c r="P28" i="7"/>
  <c r="Q25" i="7"/>
  <c r="Q28" i="7"/>
  <c r="R25" i="7"/>
  <c r="R28" i="7"/>
  <c r="S25" i="7"/>
  <c r="S28" i="7"/>
  <c r="T25" i="7"/>
  <c r="T28" i="7"/>
  <c r="U25" i="7"/>
  <c r="U28" i="7"/>
  <c r="V25" i="7"/>
  <c r="V28" i="7"/>
  <c r="W25" i="7"/>
  <c r="W28" i="7"/>
  <c r="X25" i="7"/>
  <c r="X28" i="7"/>
  <c r="Y25" i="7"/>
  <c r="Y28" i="7"/>
  <c r="J27" i="7"/>
  <c r="K27" i="7"/>
  <c r="L27" i="7"/>
  <c r="M27" i="7"/>
  <c r="O27" i="7"/>
  <c r="P27" i="7"/>
  <c r="Q27" i="7"/>
  <c r="R27" i="7"/>
  <c r="S27" i="7"/>
  <c r="T27" i="7"/>
  <c r="U27" i="7"/>
  <c r="V27" i="7"/>
  <c r="W27" i="7"/>
  <c r="X27" i="7"/>
  <c r="Y27" i="7"/>
  <c r="P26" i="7"/>
  <c r="Q26" i="7"/>
  <c r="R26" i="7"/>
  <c r="S26" i="7"/>
  <c r="T26" i="7"/>
  <c r="U26" i="7"/>
  <c r="V26" i="7"/>
  <c r="W26" i="7"/>
  <c r="X26" i="7"/>
  <c r="Y26" i="7"/>
  <c r="E28" i="7"/>
  <c r="F27" i="7"/>
  <c r="F28" i="7"/>
  <c r="G27" i="7"/>
  <c r="G28" i="7"/>
  <c r="H27" i="7"/>
  <c r="H28" i="7"/>
  <c r="I28" i="7"/>
  <c r="E27" i="7"/>
  <c r="I27" i="7"/>
  <c r="E26" i="7"/>
  <c r="F26" i="7"/>
  <c r="G26" i="7"/>
  <c r="H26" i="7"/>
  <c r="E25" i="7"/>
  <c r="F25" i="7"/>
  <c r="G25" i="7"/>
  <c r="H25" i="7"/>
  <c r="I26" i="7"/>
  <c r="I25" i="7"/>
  <c r="I16" i="7"/>
  <c r="I10" i="7"/>
  <c r="I9" i="7"/>
  <c r="I8" i="7"/>
  <c r="I136" i="4"/>
  <c r="H136" i="4"/>
  <c r="I71" i="4"/>
  <c r="H88" i="7"/>
  <c r="H81" i="7"/>
  <c r="H90" i="7"/>
  <c r="I81" i="7"/>
  <c r="I88" i="7"/>
  <c r="I90" i="7"/>
  <c r="J81" i="7"/>
  <c r="J88" i="7"/>
  <c r="J90" i="7"/>
  <c r="K81" i="7"/>
  <c r="K88" i="7"/>
  <c r="K90" i="7"/>
  <c r="L81" i="7"/>
  <c r="L88" i="7"/>
  <c r="L90" i="7"/>
  <c r="M81" i="7"/>
  <c r="M88" i="7"/>
  <c r="M90" i="7"/>
  <c r="P81" i="7"/>
  <c r="P88" i="7"/>
  <c r="P90" i="7"/>
  <c r="Q81" i="7"/>
  <c r="Q88" i="7"/>
  <c r="Q90" i="7"/>
  <c r="R81" i="7"/>
  <c r="R88" i="7"/>
  <c r="R90" i="7"/>
  <c r="S81" i="7"/>
  <c r="S88" i="7"/>
  <c r="S90" i="7"/>
  <c r="T81" i="7"/>
  <c r="T88" i="7"/>
  <c r="T90" i="7"/>
  <c r="U81" i="7"/>
  <c r="U88" i="7"/>
  <c r="U90" i="7"/>
  <c r="V81" i="7"/>
  <c r="V88" i="7"/>
  <c r="V90" i="7"/>
  <c r="W81" i="7"/>
  <c r="W88" i="7"/>
  <c r="W90" i="7"/>
  <c r="X81" i="7"/>
  <c r="X88" i="7"/>
  <c r="X90" i="7"/>
  <c r="Y81" i="7"/>
  <c r="Y88" i="7"/>
  <c r="Y90" i="7"/>
  <c r="F81" i="7"/>
  <c r="F88" i="7"/>
  <c r="F90" i="7"/>
  <c r="G81" i="7"/>
  <c r="G88" i="7"/>
  <c r="G90" i="7"/>
  <c r="E81" i="7"/>
  <c r="E88" i="7"/>
  <c r="E90" i="7"/>
  <c r="P32" i="7"/>
  <c r="P37" i="7"/>
  <c r="P44" i="7"/>
  <c r="Q32" i="7"/>
  <c r="Q37" i="7"/>
  <c r="Q44" i="7"/>
  <c r="R32" i="7"/>
  <c r="R37" i="7"/>
  <c r="R44" i="7"/>
  <c r="S32" i="7"/>
  <c r="S37" i="7"/>
  <c r="S44" i="7"/>
  <c r="T32" i="7"/>
  <c r="T37" i="7"/>
  <c r="T44" i="7"/>
  <c r="U32" i="7"/>
  <c r="U37" i="7"/>
  <c r="U44" i="7"/>
  <c r="V32" i="7"/>
  <c r="V37" i="7"/>
  <c r="V44" i="7"/>
  <c r="W32" i="7"/>
  <c r="W37" i="7"/>
  <c r="W44" i="7"/>
  <c r="X32" i="7"/>
  <c r="X37" i="7"/>
  <c r="X44" i="7"/>
  <c r="Y32" i="7"/>
  <c r="Y37" i="7"/>
  <c r="H137" i="4"/>
  <c r="H125" i="4"/>
  <c r="H127" i="4"/>
  <c r="H145" i="4"/>
  <c r="I125" i="4"/>
  <c r="I127" i="4"/>
  <c r="I137" i="4"/>
  <c r="I145" i="4"/>
  <c r="J125" i="4"/>
  <c r="J127" i="4"/>
  <c r="J137" i="4"/>
  <c r="J145" i="4"/>
  <c r="K125" i="4"/>
  <c r="K127" i="4"/>
  <c r="K137" i="4"/>
  <c r="K145" i="4"/>
  <c r="L137" i="4"/>
  <c r="L125" i="4"/>
  <c r="L127" i="4"/>
  <c r="L145" i="4"/>
  <c r="M137" i="4"/>
  <c r="M125" i="4"/>
  <c r="M127" i="4"/>
  <c r="M145" i="4"/>
  <c r="N125" i="4"/>
  <c r="N127" i="4"/>
  <c r="N145" i="4"/>
  <c r="O125" i="4"/>
  <c r="O127" i="4"/>
  <c r="O145" i="4"/>
  <c r="P125" i="4"/>
  <c r="P127" i="4"/>
  <c r="P137" i="4"/>
  <c r="P145" i="4"/>
  <c r="Q125" i="4"/>
  <c r="Q127" i="4"/>
  <c r="Q137" i="4"/>
  <c r="Q145" i="4"/>
  <c r="R125" i="4"/>
  <c r="R127" i="4"/>
  <c r="R137" i="4"/>
  <c r="R145" i="4"/>
  <c r="S125" i="4"/>
  <c r="S127" i="4"/>
  <c r="S137" i="4"/>
  <c r="S145" i="4"/>
  <c r="T125" i="4"/>
  <c r="T127" i="4"/>
  <c r="T137" i="4"/>
  <c r="T145" i="4"/>
  <c r="U125" i="4"/>
  <c r="U127" i="4"/>
  <c r="U137" i="4"/>
  <c r="U145" i="4"/>
  <c r="V125" i="4"/>
  <c r="V127" i="4"/>
  <c r="V137" i="4"/>
  <c r="V145" i="4"/>
  <c r="W125" i="4"/>
  <c r="W127" i="4"/>
  <c r="W137" i="4"/>
  <c r="W145" i="4"/>
  <c r="X125" i="4"/>
  <c r="X127" i="4"/>
  <c r="X137" i="4"/>
  <c r="X145" i="4"/>
  <c r="Y125" i="4"/>
  <c r="Y127" i="4"/>
  <c r="Y137" i="4"/>
  <c r="Y145" i="4"/>
  <c r="F139" i="7"/>
  <c r="G139" i="7"/>
  <c r="H139" i="7"/>
  <c r="I139" i="7"/>
  <c r="J139" i="7"/>
  <c r="K139" i="7"/>
  <c r="L139" i="7"/>
  <c r="M139" i="7"/>
  <c r="N139" i="7"/>
  <c r="O139" i="7"/>
  <c r="P139" i="7"/>
  <c r="Q139" i="7"/>
  <c r="R139" i="7"/>
  <c r="S139" i="7"/>
  <c r="T139" i="7"/>
  <c r="U139" i="7"/>
  <c r="V139" i="7"/>
  <c r="W139" i="7"/>
  <c r="X139" i="7"/>
  <c r="Y139" i="7"/>
  <c r="F129" i="7"/>
  <c r="G129" i="7"/>
  <c r="H129" i="7"/>
  <c r="I129" i="7"/>
  <c r="J129" i="7"/>
  <c r="K129" i="7"/>
  <c r="L129" i="7"/>
  <c r="M129" i="7"/>
  <c r="N129" i="7"/>
  <c r="O129" i="7"/>
  <c r="P129" i="7"/>
  <c r="Q129" i="7"/>
  <c r="R129" i="7"/>
  <c r="S129" i="7"/>
  <c r="T129" i="7"/>
  <c r="U129" i="7"/>
  <c r="V129" i="7"/>
  <c r="W129" i="7"/>
  <c r="X129" i="7"/>
  <c r="Y129" i="7"/>
  <c r="E129" i="7"/>
  <c r="F119" i="7"/>
  <c r="F121" i="7"/>
  <c r="G119" i="7"/>
  <c r="G121" i="7"/>
  <c r="H119" i="7"/>
  <c r="H121" i="7"/>
  <c r="I119" i="7"/>
  <c r="I121" i="7"/>
  <c r="J119" i="7"/>
  <c r="J121" i="7"/>
  <c r="K119" i="7"/>
  <c r="K121" i="7"/>
  <c r="L119" i="7"/>
  <c r="L121" i="7"/>
  <c r="M119" i="7"/>
  <c r="M121" i="7"/>
  <c r="N119" i="7"/>
  <c r="N121" i="7"/>
  <c r="O119" i="7"/>
  <c r="O121" i="7"/>
  <c r="P119" i="7"/>
  <c r="P121" i="7"/>
  <c r="Q119" i="7"/>
  <c r="Q121" i="7"/>
  <c r="R119" i="7"/>
  <c r="R121" i="7"/>
  <c r="S119" i="7"/>
  <c r="S121" i="7"/>
  <c r="T119" i="7"/>
  <c r="T121" i="7"/>
  <c r="U119" i="7"/>
  <c r="U121" i="7"/>
  <c r="V119" i="7"/>
  <c r="V121" i="7"/>
  <c r="W119" i="7"/>
  <c r="W121" i="7"/>
  <c r="X119" i="7"/>
  <c r="X121" i="7"/>
  <c r="Y119" i="7"/>
  <c r="Y121" i="7"/>
  <c r="F110" i="7"/>
  <c r="G110" i="7"/>
  <c r="H110" i="7"/>
  <c r="I110" i="7"/>
  <c r="J110" i="7"/>
  <c r="K110" i="7"/>
  <c r="L110" i="7"/>
  <c r="M110" i="7"/>
  <c r="N110" i="7"/>
  <c r="O110" i="7"/>
  <c r="P110" i="7"/>
  <c r="Q110" i="7"/>
  <c r="R110" i="7"/>
  <c r="S110" i="7"/>
  <c r="T110" i="7"/>
  <c r="U110" i="7"/>
  <c r="V110" i="7"/>
  <c r="W110" i="7"/>
  <c r="X110" i="7"/>
  <c r="Y110" i="7"/>
  <c r="F99" i="7"/>
  <c r="F102" i="7"/>
  <c r="G99" i="7"/>
  <c r="G102" i="7"/>
  <c r="H99" i="7"/>
  <c r="H102" i="7"/>
  <c r="I99" i="7"/>
  <c r="I102" i="7"/>
  <c r="J99" i="7"/>
  <c r="J102" i="7"/>
  <c r="K99" i="7"/>
  <c r="K102" i="7"/>
  <c r="L99" i="7"/>
  <c r="L102" i="7"/>
  <c r="M99" i="7"/>
  <c r="M102" i="7"/>
  <c r="N99" i="7"/>
  <c r="N102" i="7"/>
  <c r="O99" i="7"/>
  <c r="O102" i="7"/>
  <c r="P99" i="7"/>
  <c r="P102" i="7"/>
  <c r="Q99" i="7"/>
  <c r="Q102" i="7"/>
  <c r="R99" i="7"/>
  <c r="R102" i="7"/>
  <c r="S99" i="7"/>
  <c r="S102" i="7"/>
  <c r="T99" i="7"/>
  <c r="T102" i="7"/>
  <c r="U99" i="7"/>
  <c r="U102" i="7"/>
  <c r="V99" i="7"/>
  <c r="V102" i="7"/>
  <c r="W99" i="7"/>
  <c r="W102" i="7"/>
  <c r="X99" i="7"/>
  <c r="X102" i="7"/>
  <c r="Y99" i="7"/>
  <c r="Y102" i="7"/>
  <c r="E71" i="7"/>
  <c r="F71" i="7"/>
  <c r="G71" i="7"/>
  <c r="H71" i="7"/>
  <c r="I71" i="7"/>
  <c r="J71" i="7"/>
  <c r="K71" i="7"/>
  <c r="L71" i="7"/>
  <c r="M71" i="7"/>
  <c r="N71" i="7"/>
  <c r="O71" i="7"/>
  <c r="P71" i="7"/>
  <c r="Q71" i="7"/>
  <c r="R71" i="7"/>
  <c r="S71" i="7"/>
  <c r="T71" i="7"/>
  <c r="U71" i="7"/>
  <c r="V71" i="7"/>
  <c r="W71" i="7"/>
  <c r="X71" i="7"/>
  <c r="Y71" i="7"/>
  <c r="E58" i="7"/>
  <c r="F49" i="7"/>
  <c r="F58" i="7"/>
  <c r="G49" i="7"/>
  <c r="G58" i="7"/>
  <c r="H49" i="7"/>
  <c r="H58" i="7"/>
  <c r="I49" i="7"/>
  <c r="I58" i="7"/>
  <c r="J49" i="7"/>
  <c r="J58" i="7"/>
  <c r="K49" i="7"/>
  <c r="K58" i="7"/>
  <c r="L49" i="7"/>
  <c r="L58" i="7"/>
  <c r="M49" i="7"/>
  <c r="M58" i="7"/>
  <c r="N49" i="7"/>
  <c r="N58" i="7"/>
  <c r="O49" i="7"/>
  <c r="O58" i="7"/>
  <c r="P49" i="7"/>
  <c r="P58" i="7"/>
  <c r="Q49" i="7"/>
  <c r="Q58" i="7"/>
  <c r="R49" i="7"/>
  <c r="R58" i="7"/>
  <c r="S49" i="7"/>
  <c r="S58" i="7"/>
  <c r="T49" i="7"/>
  <c r="T58" i="7"/>
  <c r="U49" i="7"/>
  <c r="U58" i="7"/>
  <c r="V49" i="7"/>
  <c r="V58" i="7"/>
  <c r="W49" i="7"/>
  <c r="W58" i="7"/>
  <c r="X49" i="7"/>
  <c r="X58" i="7"/>
  <c r="Y49" i="7"/>
  <c r="Y58" i="7"/>
  <c r="F8" i="7"/>
  <c r="F10" i="7"/>
  <c r="F16" i="7"/>
  <c r="F22" i="7"/>
  <c r="F46" i="7"/>
  <c r="G8" i="7"/>
  <c r="G10" i="7"/>
  <c r="G16" i="7"/>
  <c r="G22" i="7"/>
  <c r="G46" i="7"/>
  <c r="H8" i="7"/>
  <c r="H10" i="7"/>
  <c r="H16" i="7"/>
  <c r="H22" i="7"/>
  <c r="H46" i="7"/>
  <c r="I22" i="7"/>
  <c r="I46" i="7"/>
  <c r="J10" i="7"/>
  <c r="J16" i="7"/>
  <c r="J22" i="7"/>
  <c r="J46" i="7"/>
  <c r="K10" i="7"/>
  <c r="K16" i="7"/>
  <c r="K22" i="7"/>
  <c r="K46" i="7"/>
  <c r="L10" i="7"/>
  <c r="L16" i="7"/>
  <c r="L22" i="7"/>
  <c r="L46" i="7"/>
  <c r="M10" i="7"/>
  <c r="M16" i="7"/>
  <c r="M22" i="7"/>
  <c r="M46" i="7"/>
  <c r="N10" i="7"/>
  <c r="N16" i="7"/>
  <c r="N22" i="7"/>
  <c r="N46" i="7"/>
  <c r="O10" i="7"/>
  <c r="O16" i="7"/>
  <c r="O22" i="7"/>
  <c r="O46" i="7"/>
  <c r="P8" i="7"/>
  <c r="P10" i="7"/>
  <c r="P16" i="7"/>
  <c r="P22" i="7"/>
  <c r="P46" i="7"/>
  <c r="Q8" i="7"/>
  <c r="Q10" i="7"/>
  <c r="Q16" i="7"/>
  <c r="Q22" i="7"/>
  <c r="Q46" i="7"/>
  <c r="R8" i="7"/>
  <c r="R10" i="7"/>
  <c r="R16" i="7"/>
  <c r="R22" i="7"/>
  <c r="R46" i="7"/>
  <c r="S8" i="7"/>
  <c r="S10" i="7"/>
  <c r="S16" i="7"/>
  <c r="S22" i="7"/>
  <c r="S46" i="7"/>
  <c r="T8" i="7"/>
  <c r="T10" i="7"/>
  <c r="T16" i="7"/>
  <c r="T22" i="7"/>
  <c r="T46" i="7"/>
  <c r="U8" i="7"/>
  <c r="U10" i="7"/>
  <c r="U16" i="7"/>
  <c r="U22" i="7"/>
  <c r="U46" i="7"/>
  <c r="V8" i="7"/>
  <c r="V10" i="7"/>
  <c r="V16" i="7"/>
  <c r="V22" i="7"/>
  <c r="V46" i="7"/>
  <c r="W8" i="7"/>
  <c r="W10" i="7"/>
  <c r="W16" i="7"/>
  <c r="W22" i="7"/>
  <c r="W46" i="7"/>
  <c r="X8" i="7"/>
  <c r="X10" i="7"/>
  <c r="X16" i="7"/>
  <c r="X22" i="7"/>
  <c r="X46" i="7"/>
  <c r="Y44" i="7"/>
  <c r="Y8" i="7"/>
  <c r="Y10" i="7"/>
  <c r="Y16" i="7"/>
  <c r="Y22" i="7"/>
  <c r="Y46" i="7"/>
  <c r="E8" i="7"/>
  <c r="E10" i="7"/>
  <c r="E16" i="7"/>
  <c r="E22" i="7"/>
  <c r="E46" i="7"/>
  <c r="F125" i="4"/>
  <c r="F127" i="4"/>
  <c r="F137" i="4"/>
  <c r="F145" i="4"/>
  <c r="G125" i="4"/>
  <c r="G127" i="4"/>
  <c r="G137" i="4"/>
  <c r="G145" i="4"/>
  <c r="E125" i="4"/>
  <c r="E127" i="4"/>
  <c r="E137" i="4"/>
  <c r="E145" i="4"/>
  <c r="E139" i="7"/>
  <c r="E119" i="7"/>
  <c r="E121" i="7"/>
  <c r="E110" i="7"/>
  <c r="E99" i="7"/>
  <c r="E102" i="7"/>
  <c r="I58" i="6"/>
  <c r="J58" i="6"/>
  <c r="N58" i="6"/>
  <c r="O58" i="6"/>
  <c r="P58" i="6"/>
  <c r="Q58" i="6"/>
  <c r="R58" i="6"/>
  <c r="S58" i="6"/>
  <c r="T58" i="6"/>
  <c r="U58" i="6"/>
  <c r="V58" i="6"/>
  <c r="W58" i="6"/>
  <c r="X58" i="6"/>
  <c r="N22" i="6"/>
  <c r="P22" i="6"/>
  <c r="Q22" i="6"/>
  <c r="R22" i="6"/>
  <c r="S22" i="6"/>
  <c r="T22" i="6"/>
  <c r="U22" i="6"/>
  <c r="V22" i="6"/>
  <c r="W22" i="6"/>
  <c r="X22" i="6"/>
  <c r="I57" i="6"/>
  <c r="I59" i="6"/>
  <c r="J57" i="6"/>
  <c r="J59" i="6"/>
  <c r="N57" i="6"/>
  <c r="N59" i="6"/>
  <c r="O59" i="6"/>
  <c r="P57" i="6"/>
  <c r="P59" i="6"/>
  <c r="Q57" i="6"/>
  <c r="Q59" i="6"/>
  <c r="R57" i="6"/>
  <c r="R59" i="6"/>
  <c r="S57" i="6"/>
  <c r="S59" i="6"/>
  <c r="T57" i="6"/>
  <c r="T59" i="6"/>
  <c r="U57" i="6"/>
  <c r="U59" i="6"/>
  <c r="V57" i="6"/>
  <c r="V59" i="6"/>
  <c r="W57" i="6"/>
  <c r="W59" i="6"/>
  <c r="X57" i="6"/>
  <c r="X59" i="6"/>
  <c r="F258" i="4"/>
  <c r="G258" i="4"/>
  <c r="H258" i="4"/>
  <c r="I258" i="4"/>
  <c r="J258" i="4"/>
  <c r="K258" i="4"/>
  <c r="L258" i="4"/>
  <c r="M258" i="4"/>
  <c r="N258" i="4"/>
  <c r="O258" i="4"/>
  <c r="P32" i="6"/>
  <c r="P37" i="6"/>
  <c r="Q32" i="6"/>
  <c r="Q37" i="6"/>
  <c r="R32" i="6"/>
  <c r="R37" i="6"/>
  <c r="S32" i="6"/>
  <c r="S37" i="6"/>
  <c r="T32" i="6"/>
  <c r="T37" i="6"/>
  <c r="U32" i="6"/>
  <c r="U37" i="6"/>
  <c r="V32" i="6"/>
  <c r="V37" i="6"/>
  <c r="W32" i="6"/>
  <c r="W37" i="6"/>
  <c r="X32" i="6"/>
  <c r="X37" i="6"/>
  <c r="G162" i="4"/>
  <c r="G167" i="4"/>
  <c r="H162" i="4"/>
  <c r="H167" i="4"/>
  <c r="I162" i="4"/>
  <c r="I167" i="4"/>
  <c r="J162" i="4"/>
  <c r="J167" i="4"/>
  <c r="K162" i="4"/>
  <c r="K167" i="4"/>
  <c r="L162" i="4"/>
  <c r="L167" i="4"/>
  <c r="M162" i="4"/>
  <c r="M167" i="4"/>
  <c r="N162" i="4"/>
  <c r="N167" i="4"/>
  <c r="O162" i="4"/>
  <c r="O167" i="4"/>
  <c r="P23" i="6"/>
  <c r="P28" i="6"/>
  <c r="Q23" i="6"/>
  <c r="Q28" i="6"/>
  <c r="R23" i="6"/>
  <c r="R28" i="6"/>
  <c r="S23" i="6"/>
  <c r="S28" i="6"/>
  <c r="T23" i="6"/>
  <c r="T28" i="6"/>
  <c r="U23" i="6"/>
  <c r="U28" i="6"/>
  <c r="V23" i="6"/>
  <c r="V28" i="6"/>
  <c r="W23" i="6"/>
  <c r="W28" i="6"/>
  <c r="X23" i="6"/>
  <c r="X28" i="6"/>
  <c r="F162" i="4"/>
  <c r="F167" i="4"/>
  <c r="G9" i="6"/>
  <c r="H9" i="6"/>
  <c r="I9" i="6"/>
  <c r="J9" i="6"/>
  <c r="K9" i="6"/>
  <c r="L9" i="6"/>
  <c r="M9" i="6"/>
  <c r="N9" i="6"/>
  <c r="O9" i="6"/>
  <c r="P9" i="6"/>
  <c r="Q9" i="6"/>
  <c r="R9" i="6"/>
  <c r="S9" i="6"/>
  <c r="T9" i="6"/>
  <c r="U9" i="6"/>
  <c r="V9" i="6"/>
  <c r="W9" i="6"/>
  <c r="X9" i="6"/>
  <c r="G10" i="6"/>
  <c r="H10" i="6"/>
  <c r="I10" i="6"/>
  <c r="J10" i="6"/>
  <c r="K10" i="6"/>
  <c r="L10" i="6"/>
  <c r="M10" i="6"/>
  <c r="N10" i="6"/>
  <c r="O10" i="6"/>
  <c r="G13" i="6"/>
  <c r="H13" i="6"/>
  <c r="I13" i="6"/>
  <c r="J13" i="6"/>
  <c r="K13" i="6"/>
  <c r="L13" i="6"/>
  <c r="M13" i="6"/>
  <c r="N13" i="6"/>
  <c r="O13" i="6"/>
  <c r="P13" i="6"/>
  <c r="Q13" i="6"/>
  <c r="R13" i="6"/>
  <c r="S13" i="6"/>
  <c r="T13" i="6"/>
  <c r="U13" i="6"/>
  <c r="V13" i="6"/>
  <c r="W13" i="6"/>
  <c r="X13" i="6"/>
  <c r="G14" i="6"/>
  <c r="H14" i="6"/>
  <c r="I14" i="6"/>
  <c r="J14" i="6"/>
  <c r="K14" i="6"/>
  <c r="L14" i="6"/>
  <c r="M14" i="6"/>
  <c r="N14" i="6"/>
  <c r="O14" i="6"/>
  <c r="P14" i="6"/>
  <c r="Q14" i="6"/>
  <c r="R14" i="6"/>
  <c r="S14" i="6"/>
  <c r="T14" i="6"/>
  <c r="U14" i="6"/>
  <c r="V14" i="6"/>
  <c r="W14" i="6"/>
  <c r="X14" i="6"/>
  <c r="G16" i="6"/>
  <c r="H16" i="6"/>
  <c r="I16" i="6"/>
  <c r="J16" i="6"/>
  <c r="K16" i="6"/>
  <c r="L16" i="6"/>
  <c r="M16" i="6"/>
  <c r="N16" i="6"/>
  <c r="O16" i="6"/>
  <c r="F14" i="6"/>
  <c r="F13" i="6"/>
  <c r="F10" i="6"/>
  <c r="F9" i="6"/>
  <c r="F6" i="6"/>
  <c r="G6" i="6"/>
  <c r="H6" i="6"/>
  <c r="I6" i="6"/>
  <c r="J6" i="6"/>
  <c r="K6" i="6"/>
  <c r="L6" i="6"/>
  <c r="M6" i="6"/>
  <c r="N6" i="6"/>
  <c r="O6" i="6"/>
  <c r="E6" i="6"/>
  <c r="F16" i="6"/>
  <c r="E5" i="3"/>
  <c r="E19" i="3"/>
  <c r="E21" i="3"/>
  <c r="E153" i="4"/>
  <c r="E23" i="3"/>
  <c r="E27" i="3"/>
  <c r="E52" i="3"/>
  <c r="E60" i="3"/>
  <c r="E63" i="3"/>
  <c r="F65" i="4"/>
  <c r="F71" i="4"/>
  <c r="G65" i="4"/>
  <c r="G71" i="4"/>
  <c r="H65" i="4"/>
  <c r="H71" i="4"/>
  <c r="I65" i="4"/>
  <c r="J65" i="4"/>
  <c r="J71" i="4"/>
  <c r="K65" i="4"/>
  <c r="K71" i="4"/>
  <c r="L65" i="4"/>
  <c r="L71" i="4"/>
  <c r="M65" i="4"/>
  <c r="M71" i="4"/>
  <c r="N65" i="4"/>
  <c r="N71" i="4"/>
  <c r="P65" i="4"/>
  <c r="P71" i="4"/>
  <c r="Q65" i="4"/>
  <c r="Q71" i="4"/>
  <c r="R65" i="4"/>
  <c r="R71" i="4"/>
  <c r="S65" i="4"/>
  <c r="S71" i="4"/>
  <c r="T65" i="4"/>
  <c r="T71" i="4"/>
  <c r="U65" i="4"/>
  <c r="U71" i="4"/>
  <c r="V65" i="4"/>
  <c r="V71" i="4"/>
  <c r="W65" i="4"/>
  <c r="W71" i="4"/>
  <c r="X65" i="4"/>
  <c r="X71" i="4"/>
  <c r="F5" i="3"/>
  <c r="G5" i="3"/>
  <c r="H5" i="3"/>
  <c r="I5" i="3"/>
  <c r="J5" i="3"/>
  <c r="K5" i="3"/>
  <c r="L5" i="3"/>
  <c r="F6" i="3"/>
  <c r="G6" i="3"/>
  <c r="H6" i="3"/>
  <c r="I6" i="3"/>
  <c r="J6" i="3"/>
  <c r="K6" i="3"/>
  <c r="L6" i="3"/>
  <c r="E68" i="3"/>
  <c r="G52" i="3"/>
  <c r="F19" i="3"/>
  <c r="F21" i="3"/>
  <c r="G19" i="3"/>
  <c r="G21" i="3"/>
  <c r="F27" i="3"/>
  <c r="F52" i="3"/>
  <c r="F60" i="3"/>
  <c r="F63" i="3"/>
  <c r="G27" i="3"/>
  <c r="G60" i="3"/>
  <c r="G63" i="3"/>
  <c r="H19" i="3"/>
  <c r="H21" i="3"/>
  <c r="H27" i="3"/>
  <c r="H52" i="3"/>
  <c r="H60" i="3"/>
  <c r="H63" i="3"/>
  <c r="G65" i="3"/>
  <c r="F67" i="3"/>
  <c r="F68" i="3"/>
  <c r="H65" i="3"/>
  <c r="G67" i="3"/>
  <c r="G68" i="3"/>
  <c r="I65" i="3"/>
  <c r="H67" i="3"/>
  <c r="H68" i="3"/>
  <c r="I19" i="3"/>
  <c r="I21" i="3"/>
  <c r="I27" i="3"/>
  <c r="I52" i="3"/>
  <c r="I60" i="3"/>
  <c r="I63" i="3"/>
  <c r="J65" i="3"/>
  <c r="I67" i="3"/>
  <c r="I68" i="3"/>
  <c r="J19" i="3"/>
  <c r="J21" i="3"/>
  <c r="J27" i="3"/>
  <c r="J52" i="3"/>
  <c r="J60" i="3"/>
  <c r="J63" i="3"/>
  <c r="K65" i="3"/>
  <c r="J67" i="3"/>
  <c r="J68" i="3"/>
  <c r="K19" i="3"/>
  <c r="K21" i="3"/>
  <c r="K27" i="3"/>
  <c r="K52" i="3"/>
  <c r="K60" i="3"/>
  <c r="K63" i="3"/>
  <c r="L65" i="3"/>
  <c r="K67" i="3"/>
  <c r="K68" i="3"/>
  <c r="E218" i="4"/>
  <c r="F218" i="4"/>
  <c r="G218" i="4"/>
  <c r="G220" i="4"/>
  <c r="H218" i="4"/>
  <c r="H220" i="4"/>
  <c r="I218" i="4"/>
  <c r="I220" i="4"/>
  <c r="J218" i="4"/>
  <c r="J220" i="4"/>
  <c r="F153" i="4"/>
  <c r="G153" i="4"/>
  <c r="K218" i="4"/>
  <c r="K220" i="4"/>
  <c r="L218" i="4"/>
  <c r="L220" i="4"/>
  <c r="M218" i="4"/>
  <c r="M220" i="4"/>
  <c r="M201" i="4"/>
  <c r="N201" i="4"/>
  <c r="O201" i="4"/>
  <c r="P201" i="4"/>
  <c r="Q201" i="4"/>
  <c r="E201" i="4"/>
  <c r="F201" i="4"/>
  <c r="G201" i="4"/>
  <c r="H201" i="4"/>
  <c r="I201" i="4"/>
  <c r="J201" i="4"/>
  <c r="K201" i="4"/>
  <c r="L201" i="4"/>
  <c r="L178" i="4"/>
  <c r="M178" i="4"/>
  <c r="N178" i="4"/>
  <c r="O178" i="4"/>
  <c r="P178" i="4"/>
  <c r="Q178" i="4"/>
  <c r="R178" i="4"/>
  <c r="S178" i="4"/>
  <c r="T178" i="4"/>
  <c r="U178" i="4"/>
  <c r="V178" i="4"/>
  <c r="W178" i="4"/>
  <c r="X178" i="4"/>
  <c r="Y178" i="4"/>
  <c r="E178" i="4"/>
  <c r="F178" i="4"/>
  <c r="G178" i="4"/>
  <c r="H178" i="4"/>
  <c r="I178" i="4"/>
  <c r="J178" i="4"/>
  <c r="K178" i="4"/>
  <c r="AH117" i="4"/>
  <c r="AI117" i="4"/>
  <c r="AJ117" i="4"/>
  <c r="AK117" i="4"/>
  <c r="AL117" i="4"/>
  <c r="AM117" i="4"/>
  <c r="AN117" i="4"/>
  <c r="AO117" i="4"/>
  <c r="AP117" i="4"/>
  <c r="AQ117" i="4"/>
  <c r="AR117" i="4"/>
  <c r="AS117" i="4"/>
  <c r="AT117" i="4"/>
  <c r="AU117" i="4"/>
  <c r="AV117" i="4"/>
  <c r="AW117" i="4"/>
  <c r="AX117" i="4"/>
  <c r="AY117" i="4"/>
  <c r="AZ117" i="4"/>
  <c r="BA117" i="4"/>
  <c r="BB117" i="4"/>
  <c r="BC117" i="4"/>
  <c r="BD117" i="4"/>
  <c r="BE117" i="4"/>
  <c r="BF117" i="4"/>
  <c r="BG117" i="4"/>
  <c r="BH117" i="4"/>
  <c r="BI117" i="4"/>
  <c r="BJ117" i="4"/>
  <c r="BK117" i="4"/>
  <c r="BL117" i="4"/>
  <c r="BM117" i="4"/>
  <c r="BN117" i="4"/>
  <c r="BO117" i="4"/>
  <c r="BP117" i="4"/>
  <c r="F59" i="4"/>
  <c r="G59" i="4"/>
  <c r="E54" i="2"/>
  <c r="F54" i="2"/>
  <c r="G54" i="2"/>
  <c r="E55" i="2"/>
  <c r="F55" i="2"/>
  <c r="G55" i="2"/>
  <c r="E99" i="1"/>
  <c r="F99" i="1"/>
  <c r="G99" i="1"/>
  <c r="E93" i="1"/>
  <c r="F93" i="1"/>
  <c r="G93" i="1"/>
  <c r="F85" i="1"/>
  <c r="F86" i="1"/>
  <c r="G85" i="1"/>
  <c r="G86" i="1"/>
  <c r="L19" i="3"/>
  <c r="L21" i="3"/>
  <c r="L27" i="3"/>
  <c r="L52" i="3"/>
  <c r="L60" i="3"/>
  <c r="L63" i="3"/>
  <c r="L68" i="3"/>
  <c r="O68" i="3"/>
  <c r="P249" i="4"/>
  <c r="Q249" i="4"/>
  <c r="R249" i="4"/>
  <c r="S249" i="4"/>
  <c r="T249" i="4"/>
  <c r="U249" i="4"/>
  <c r="V249" i="4"/>
  <c r="W249" i="4"/>
  <c r="X249" i="4"/>
  <c r="Y249" i="4"/>
  <c r="O218" i="4"/>
  <c r="O220" i="4"/>
  <c r="P218" i="4"/>
  <c r="P220" i="4"/>
  <c r="Q218" i="4"/>
  <c r="Q220" i="4"/>
  <c r="R218" i="4"/>
  <c r="R220" i="4"/>
  <c r="S218" i="4"/>
  <c r="S220" i="4"/>
  <c r="T218" i="4"/>
  <c r="T220" i="4"/>
  <c r="U218" i="4"/>
  <c r="U220" i="4"/>
  <c r="V218" i="4"/>
  <c r="V220" i="4"/>
  <c r="W218" i="4"/>
  <c r="W220" i="4"/>
  <c r="X218" i="4"/>
  <c r="X220" i="4"/>
  <c r="Y218" i="4"/>
  <c r="Y220" i="4"/>
  <c r="P162" i="4"/>
  <c r="Q162" i="4"/>
  <c r="R162" i="4"/>
  <c r="S162" i="4"/>
  <c r="T162" i="4"/>
  <c r="U162" i="4"/>
  <c r="V162" i="4"/>
  <c r="W162" i="4"/>
  <c r="X162" i="4"/>
  <c r="Y162" i="4"/>
  <c r="P153" i="4"/>
  <c r="Q153" i="4"/>
  <c r="R153" i="4"/>
  <c r="S153" i="4"/>
  <c r="T153" i="4"/>
  <c r="U153" i="4"/>
  <c r="V153" i="4"/>
  <c r="W153" i="4"/>
  <c r="X153" i="4"/>
  <c r="Y153" i="4"/>
  <c r="H153" i="4"/>
  <c r="I153" i="4"/>
  <c r="J153" i="4"/>
  <c r="K153" i="4"/>
  <c r="L153" i="4"/>
  <c r="Q59" i="4"/>
  <c r="R59" i="4"/>
  <c r="S59" i="4"/>
  <c r="T59" i="4"/>
  <c r="U59" i="4"/>
  <c r="V59" i="4"/>
  <c r="W59" i="4"/>
  <c r="X59" i="4"/>
  <c r="Y71" i="4"/>
  <c r="Y65" i="4"/>
  <c r="Y59" i="4"/>
  <c r="P59" i="4"/>
  <c r="H59" i="4"/>
  <c r="I59" i="4"/>
  <c r="J59" i="4"/>
  <c r="L59" i="4"/>
  <c r="M59" i="4"/>
  <c r="Q26" i="4"/>
  <c r="R26" i="4"/>
  <c r="S26" i="4"/>
  <c r="T26" i="4"/>
  <c r="U26" i="4"/>
  <c r="V26" i="4"/>
  <c r="W26" i="4"/>
  <c r="X26" i="4"/>
  <c r="Y26" i="4"/>
  <c r="P26" i="4"/>
  <c r="H99" i="1"/>
  <c r="J99" i="1"/>
  <c r="K99" i="1"/>
  <c r="L99" i="1"/>
  <c r="H93" i="1"/>
  <c r="I93" i="1"/>
  <c r="J93" i="1"/>
  <c r="K93" i="1"/>
  <c r="L93" i="1"/>
  <c r="I54" i="2"/>
  <c r="I55" i="2"/>
  <c r="J54" i="2"/>
  <c r="J55" i="2"/>
  <c r="K54" i="2"/>
  <c r="K55" i="2"/>
  <c r="L54" i="2"/>
  <c r="L55" i="2"/>
  <c r="M55" i="2"/>
  <c r="N55" i="2"/>
  <c r="O55" i="2"/>
  <c r="H54" i="2"/>
  <c r="H55" i="2"/>
  <c r="M99" i="1"/>
  <c r="M93" i="1"/>
  <c r="N218" i="4"/>
  <c r="N220" i="4"/>
  <c r="N99" i="1"/>
  <c r="O99" i="1"/>
  <c r="J182" i="21"/>
  <c r="J192" i="21"/>
  <c r="J201" i="21"/>
  <c r="I182" i="21"/>
  <c r="I192" i="21"/>
  <c r="I201" i="21"/>
  <c r="N133" i="1"/>
  <c r="O133" i="1"/>
  <c r="O137" i="1"/>
  <c r="N137" i="1"/>
  <c r="M133" i="1"/>
  <c r="P45" i="20"/>
  <c r="O74" i="21"/>
  <c r="P76" i="21"/>
  <c r="N74" i="21"/>
  <c r="O76" i="21"/>
  <c r="M74" i="21"/>
  <c r="N76" i="21"/>
  <c r="L74" i="21"/>
  <c r="M76" i="21"/>
  <c r="K74" i="21"/>
  <c r="L76" i="21"/>
  <c r="K76" i="21"/>
  <c r="P75" i="21"/>
  <c r="O75" i="21"/>
  <c r="N75" i="21"/>
  <c r="M75" i="21"/>
  <c r="L75" i="21"/>
  <c r="K75" i="21"/>
  <c r="K30" i="21"/>
  <c r="K31" i="21"/>
  <c r="K38" i="21"/>
  <c r="K51" i="21"/>
  <c r="K55" i="21"/>
  <c r="K56" i="21"/>
  <c r="K63" i="21"/>
  <c r="K248" i="21"/>
  <c r="K258" i="21"/>
  <c r="K117" i="21"/>
  <c r="K104" i="21"/>
  <c r="K99" i="21"/>
  <c r="O27" i="21"/>
  <c r="N27" i="21"/>
  <c r="M27" i="21"/>
  <c r="P31" i="21"/>
  <c r="L31" i="21"/>
  <c r="M30" i="21"/>
  <c r="M31" i="21"/>
  <c r="N30" i="21"/>
  <c r="N31" i="21"/>
  <c r="O30" i="21"/>
  <c r="O31" i="21"/>
  <c r="L255" i="21"/>
  <c r="P134" i="21"/>
  <c r="P141" i="21"/>
  <c r="K259" i="21"/>
  <c r="K206" i="21"/>
  <c r="K207" i="21"/>
  <c r="K208" i="21"/>
  <c r="K199" i="21"/>
  <c r="K209" i="21"/>
  <c r="P170" i="21"/>
  <c r="O170" i="21"/>
  <c r="N170" i="21"/>
  <c r="M170" i="21"/>
  <c r="L170" i="21"/>
  <c r="K170" i="21"/>
  <c r="K171" i="21"/>
  <c r="K172" i="21"/>
  <c r="K200" i="21"/>
  <c r="H8" i="29"/>
  <c r="H9" i="29"/>
  <c r="I8" i="29"/>
  <c r="I9" i="29"/>
  <c r="J8" i="29"/>
  <c r="J9" i="29"/>
  <c r="K8" i="29"/>
  <c r="K9" i="29"/>
  <c r="L8" i="29"/>
  <c r="L9" i="29"/>
  <c r="M9" i="29"/>
  <c r="M10" i="29"/>
  <c r="L10" i="29"/>
  <c r="K10" i="29"/>
  <c r="J10" i="29"/>
  <c r="I10" i="29"/>
  <c r="H10" i="29"/>
  <c r="H13" i="29"/>
  <c r="I13" i="29"/>
  <c r="J13" i="29"/>
  <c r="K13" i="29"/>
  <c r="L13" i="29"/>
  <c r="M13" i="29"/>
  <c r="M14" i="29"/>
  <c r="L14" i="29"/>
  <c r="K14" i="29"/>
  <c r="J14" i="29"/>
  <c r="I14" i="29"/>
  <c r="H14" i="29"/>
  <c r="H18" i="29"/>
  <c r="H19" i="29"/>
  <c r="H22" i="29"/>
  <c r="H23" i="29"/>
  <c r="H24" i="29"/>
  <c r="H63" i="29"/>
  <c r="H49" i="29"/>
  <c r="H50" i="29"/>
  <c r="H45" i="29"/>
  <c r="U45" i="20"/>
  <c r="T45" i="20"/>
  <c r="S45" i="20"/>
  <c r="R45" i="20"/>
  <c r="Q45" i="20"/>
  <c r="N23" i="21"/>
  <c r="M23" i="21"/>
  <c r="O23" i="21"/>
  <c r="P143" i="21"/>
  <c r="M230" i="21"/>
  <c r="M178" i="21"/>
  <c r="M175" i="21"/>
  <c r="N230" i="21"/>
  <c r="N178" i="21"/>
  <c r="N175" i="21"/>
  <c r="O230" i="21"/>
  <c r="O178" i="21"/>
  <c r="O175" i="21"/>
  <c r="P230" i="21"/>
  <c r="P178" i="21"/>
  <c r="P175" i="21"/>
  <c r="P44" i="21"/>
  <c r="P49" i="21"/>
  <c r="P48" i="21"/>
  <c r="P54" i="21"/>
  <c r="P62" i="21"/>
  <c r="P67" i="21"/>
  <c r="O37" i="21"/>
  <c r="O44" i="21"/>
  <c r="O49" i="21"/>
  <c r="O48" i="21"/>
  <c r="O54" i="21"/>
  <c r="O62" i="21"/>
  <c r="O67" i="21"/>
  <c r="P68" i="21"/>
  <c r="N37" i="21"/>
  <c r="N44" i="21"/>
  <c r="N49" i="21"/>
  <c r="N48" i="21"/>
  <c r="N54" i="21"/>
  <c r="N62" i="21"/>
  <c r="N67" i="21"/>
  <c r="O68" i="21"/>
  <c r="M37" i="21"/>
  <c r="M44" i="21"/>
  <c r="M49" i="21"/>
  <c r="M48" i="21"/>
  <c r="M54" i="21"/>
  <c r="M62" i="21"/>
  <c r="M67" i="21"/>
  <c r="N68" i="21"/>
  <c r="L54" i="21"/>
  <c r="L62" i="21"/>
  <c r="L67" i="21"/>
  <c r="M68" i="21"/>
  <c r="L68" i="21"/>
  <c r="P65" i="21"/>
  <c r="O65" i="21"/>
  <c r="P66" i="21"/>
  <c r="N65" i="21"/>
  <c r="O66" i="21"/>
  <c r="M65" i="21"/>
  <c r="N66" i="21"/>
  <c r="L65" i="21"/>
  <c r="M66" i="21"/>
  <c r="L66" i="21"/>
  <c r="L63" i="21"/>
  <c r="M63" i="21"/>
  <c r="N63" i="21"/>
  <c r="O63" i="21"/>
  <c r="P63" i="21"/>
  <c r="K113" i="21"/>
  <c r="K119" i="21"/>
  <c r="K89" i="21"/>
  <c r="K95" i="21"/>
  <c r="K120" i="21"/>
  <c r="K165" i="21"/>
  <c r="P38" i="21"/>
  <c r="O38" i="21"/>
  <c r="N38" i="21"/>
  <c r="M38" i="21"/>
  <c r="L38" i="21"/>
  <c r="P51" i="21"/>
  <c r="O51" i="21"/>
  <c r="N51" i="21"/>
  <c r="M51" i="21"/>
  <c r="L51" i="21"/>
  <c r="P55" i="21"/>
  <c r="P56" i="21"/>
  <c r="O55" i="21"/>
  <c r="O56" i="21"/>
  <c r="N55" i="21"/>
  <c r="N56" i="21"/>
  <c r="M55" i="21"/>
  <c r="M56" i="21"/>
  <c r="L55" i="21"/>
  <c r="L56" i="21"/>
  <c r="L258" i="21"/>
  <c r="M255" i="21"/>
  <c r="M258" i="21"/>
  <c r="N255" i="21"/>
  <c r="N258" i="21"/>
  <c r="O255" i="21"/>
  <c r="O258" i="21"/>
  <c r="P255" i="21"/>
  <c r="P257" i="21"/>
  <c r="P258" i="21"/>
  <c r="P117" i="21"/>
  <c r="P113" i="21"/>
  <c r="M103" i="21"/>
  <c r="N103" i="21"/>
  <c r="O103" i="21"/>
  <c r="P103" i="21"/>
  <c r="L104" i="21"/>
  <c r="M104" i="21"/>
  <c r="N104" i="21"/>
  <c r="O104" i="21"/>
  <c r="P104" i="21"/>
  <c r="P99" i="21"/>
  <c r="P119" i="21"/>
  <c r="O93" i="21"/>
  <c r="P162" i="21"/>
  <c r="P144" i="21"/>
  <c r="P146" i="21"/>
  <c r="P147" i="21"/>
  <c r="P161" i="21"/>
  <c r="P164" i="21"/>
  <c r="P93" i="21"/>
  <c r="P89" i="21"/>
  <c r="P95" i="21"/>
  <c r="P120" i="21"/>
  <c r="O117" i="21"/>
  <c r="O113" i="21"/>
  <c r="O99" i="21"/>
  <c r="O119" i="21"/>
  <c r="O89" i="21"/>
  <c r="O95" i="21"/>
  <c r="O120" i="21"/>
  <c r="N117" i="21"/>
  <c r="N113" i="21"/>
  <c r="N99" i="21"/>
  <c r="N119" i="21"/>
  <c r="N89" i="21"/>
  <c r="N95" i="21"/>
  <c r="N120" i="21"/>
  <c r="M117" i="21"/>
  <c r="M113" i="21"/>
  <c r="M99" i="21"/>
  <c r="M119" i="21"/>
  <c r="M89" i="21"/>
  <c r="M95" i="21"/>
  <c r="M120" i="21"/>
  <c r="L117" i="21"/>
  <c r="L113" i="21"/>
  <c r="L99" i="21"/>
  <c r="L119" i="21"/>
  <c r="L89" i="21"/>
  <c r="L95" i="21"/>
  <c r="L120" i="21"/>
  <c r="L259" i="21"/>
  <c r="P259" i="21"/>
  <c r="O259" i="21"/>
  <c r="N259" i="21"/>
  <c r="M259" i="21"/>
  <c r="L278" i="21"/>
  <c r="P277" i="21"/>
  <c r="P278" i="21"/>
  <c r="O278" i="21"/>
  <c r="N278" i="21"/>
  <c r="M278" i="21"/>
  <c r="L165" i="21"/>
  <c r="O165" i="21"/>
  <c r="N165" i="21"/>
  <c r="M165" i="21"/>
  <c r="P165" i="21"/>
  <c r="P121" i="21"/>
  <c r="O121" i="21"/>
  <c r="N121" i="21"/>
  <c r="M121" i="21"/>
  <c r="L121" i="21"/>
  <c r="K121" i="21"/>
  <c r="O206" i="21"/>
  <c r="O207" i="21"/>
  <c r="O208" i="21"/>
  <c r="O199" i="21"/>
  <c r="O209" i="21"/>
  <c r="N206" i="21"/>
  <c r="N207" i="21"/>
  <c r="N208" i="21"/>
  <c r="N199" i="21"/>
  <c r="N209" i="21"/>
  <c r="M206" i="21"/>
  <c r="M207" i="21"/>
  <c r="M208" i="21"/>
  <c r="M199" i="21"/>
  <c r="M209" i="21"/>
  <c r="L206" i="21"/>
  <c r="L207" i="21"/>
  <c r="L208" i="21"/>
  <c r="L199" i="21"/>
  <c r="L209" i="21"/>
  <c r="P206" i="21"/>
  <c r="P207" i="21"/>
  <c r="P208" i="21"/>
  <c r="P199" i="21"/>
  <c r="P209" i="21"/>
  <c r="P184" i="21"/>
  <c r="P185" i="21"/>
  <c r="P189" i="21"/>
  <c r="P171" i="21"/>
  <c r="P172" i="21"/>
  <c r="P182" i="21"/>
  <c r="P192" i="21"/>
  <c r="P200" i="21"/>
  <c r="P201" i="21"/>
  <c r="O184" i="21"/>
  <c r="O185" i="21"/>
  <c r="O189" i="21"/>
  <c r="O171" i="21"/>
  <c r="O172" i="21"/>
  <c r="O182" i="21"/>
  <c r="O192" i="21"/>
  <c r="O200" i="21"/>
  <c r="O201" i="21"/>
  <c r="N184" i="21"/>
  <c r="N185" i="21"/>
  <c r="N189" i="21"/>
  <c r="N171" i="21"/>
  <c r="N172" i="21"/>
  <c r="N182" i="21"/>
  <c r="N192" i="21"/>
  <c r="N200" i="21"/>
  <c r="N201" i="21"/>
  <c r="M184" i="21"/>
  <c r="M185" i="21"/>
  <c r="M189" i="21"/>
  <c r="M171" i="21"/>
  <c r="M172" i="21"/>
  <c r="M182" i="21"/>
  <c r="M192" i="21"/>
  <c r="M200" i="21"/>
  <c r="M201" i="21"/>
  <c r="L184" i="21"/>
  <c r="L185" i="21"/>
  <c r="L189" i="21"/>
  <c r="L171" i="21"/>
  <c r="L172" i="21"/>
  <c r="L230" i="21"/>
  <c r="L178" i="21"/>
  <c r="L175" i="21"/>
  <c r="L182" i="21"/>
  <c r="L192" i="21"/>
  <c r="L200" i="21"/>
  <c r="L201" i="21"/>
  <c r="K185" i="21"/>
  <c r="K189" i="21"/>
  <c r="K230" i="21"/>
  <c r="K178" i="21"/>
  <c r="K175" i="21"/>
  <c r="K182" i="21"/>
  <c r="K192" i="21"/>
  <c r="K201" i="21"/>
  <c r="I18" i="29"/>
  <c r="J18" i="29"/>
  <c r="K18" i="29"/>
  <c r="L18" i="29"/>
  <c r="M18" i="29"/>
  <c r="M19" i="29"/>
  <c r="L19" i="29"/>
  <c r="K19" i="29"/>
  <c r="J19" i="29"/>
  <c r="I19" i="29"/>
  <c r="M16" i="29"/>
  <c r="L16" i="29"/>
  <c r="K16" i="29"/>
  <c r="J16" i="29"/>
  <c r="I16" i="29"/>
  <c r="I22" i="29"/>
  <c r="I23" i="29"/>
  <c r="J22" i="29"/>
  <c r="J23" i="29"/>
  <c r="K22" i="29"/>
  <c r="K23" i="29"/>
  <c r="L22" i="29"/>
  <c r="L23" i="29"/>
  <c r="M23" i="29"/>
  <c r="M24" i="29"/>
  <c r="L24" i="29"/>
  <c r="K24" i="29"/>
  <c r="J24" i="29"/>
  <c r="I24" i="29"/>
  <c r="M39" i="29"/>
  <c r="M36" i="29"/>
  <c r="M42" i="29"/>
  <c r="M63" i="29"/>
  <c r="M59" i="29"/>
  <c r="M49" i="29"/>
  <c r="M50" i="29"/>
  <c r="M45" i="29"/>
  <c r="M65" i="29"/>
  <c r="M66" i="29"/>
  <c r="L39" i="29"/>
  <c r="L36" i="29"/>
  <c r="L42" i="29"/>
  <c r="L63" i="29"/>
  <c r="L59" i="29"/>
  <c r="L49" i="29"/>
  <c r="L50" i="29"/>
  <c r="L45" i="29"/>
  <c r="L65" i="29"/>
  <c r="L66" i="29"/>
  <c r="K39" i="29"/>
  <c r="K36" i="29"/>
  <c r="K42" i="29"/>
  <c r="K63" i="29"/>
  <c r="K59" i="29"/>
  <c r="K49" i="29"/>
  <c r="K50" i="29"/>
  <c r="K45" i="29"/>
  <c r="K65" i="29"/>
  <c r="K66" i="29"/>
  <c r="J39" i="29"/>
  <c r="J36" i="29"/>
  <c r="J42" i="29"/>
  <c r="J63" i="29"/>
  <c r="J59" i="29"/>
  <c r="J49" i="29"/>
  <c r="J50" i="29"/>
  <c r="J45" i="29"/>
  <c r="J65" i="29"/>
  <c r="J66" i="29"/>
  <c r="I39" i="29"/>
  <c r="I36" i="29"/>
  <c r="I42" i="29"/>
  <c r="I63" i="29"/>
  <c r="I59" i="29"/>
  <c r="I49" i="29"/>
  <c r="I50" i="29"/>
  <c r="I45" i="29"/>
  <c r="I65" i="29"/>
  <c r="I66" i="29"/>
  <c r="H39" i="29"/>
  <c r="H36" i="29"/>
  <c r="H42" i="29"/>
  <c r="H59" i="29"/>
  <c r="H65" i="29"/>
  <c r="H66" i="29"/>
  <c r="K278" i="21"/>
  <c r="E139" i="1"/>
  <c r="E59" i="20"/>
  <c r="F60" i="20"/>
  <c r="E138" i="1"/>
  <c r="E133" i="1"/>
  <c r="E58" i="20"/>
  <c r="F137" i="1"/>
  <c r="F138" i="1"/>
  <c r="K138" i="1"/>
  <c r="J138" i="1"/>
  <c r="I138" i="1"/>
  <c r="H138" i="1"/>
  <c r="G138" i="1"/>
  <c r="M137" i="1"/>
  <c r="K137" i="1"/>
  <c r="J137" i="1"/>
  <c r="I137" i="1"/>
  <c r="H137" i="1"/>
  <c r="G137" i="1"/>
  <c r="L133" i="1"/>
  <c r="K133" i="1"/>
  <c r="J133" i="1"/>
  <c r="I133" i="1"/>
  <c r="H133" i="1"/>
  <c r="G133" i="1"/>
  <c r="F133" i="1"/>
  <c r="O19" i="13"/>
  <c r="O21" i="13"/>
  <c r="P124" i="37"/>
  <c r="P118" i="37"/>
  <c r="P115" i="37"/>
  <c r="P112" i="37"/>
  <c r="Q112" i="37"/>
  <c r="R112" i="37"/>
  <c r="S112" i="37"/>
  <c r="T112" i="37"/>
  <c r="U112" i="37"/>
  <c r="V112" i="37"/>
  <c r="W112" i="37"/>
  <c r="X112" i="37"/>
  <c r="Y112" i="37"/>
  <c r="Z112" i="37"/>
  <c r="AA112" i="37"/>
  <c r="AB112" i="37"/>
  <c r="AC112" i="37"/>
  <c r="Q115" i="37"/>
  <c r="R115" i="37"/>
  <c r="S115" i="37"/>
  <c r="T115" i="37"/>
  <c r="U115" i="37"/>
  <c r="V115" i="37"/>
  <c r="W115" i="37"/>
  <c r="X115" i="37"/>
  <c r="Y115" i="37"/>
  <c r="Z115" i="37"/>
  <c r="AA115" i="37"/>
  <c r="AB115" i="37"/>
  <c r="AC115" i="37"/>
  <c r="Q117" i="37"/>
  <c r="Q118" i="37"/>
  <c r="R117" i="37"/>
  <c r="R118" i="37"/>
  <c r="S117" i="37"/>
  <c r="S118" i="37"/>
  <c r="T118" i="37"/>
  <c r="U117" i="37"/>
  <c r="U118" i="37"/>
  <c r="V117" i="37"/>
  <c r="V118" i="37"/>
  <c r="W117" i="37"/>
  <c r="W118" i="37"/>
  <c r="X117" i="37"/>
  <c r="X118" i="37"/>
  <c r="Y117" i="37"/>
  <c r="Y118" i="37"/>
  <c r="Z117" i="37"/>
  <c r="Z118" i="37"/>
  <c r="AA117" i="37"/>
  <c r="AA118" i="37"/>
  <c r="AB117" i="37"/>
  <c r="AB118" i="37"/>
  <c r="AC117" i="37"/>
  <c r="AC118" i="37"/>
  <c r="Q124" i="37"/>
  <c r="R124" i="37"/>
  <c r="S124" i="37"/>
  <c r="T124" i="37"/>
  <c r="U124" i="37"/>
  <c r="V124" i="37"/>
  <c r="W124" i="37"/>
  <c r="X124" i="37"/>
  <c r="Y124" i="37"/>
  <c r="Z124" i="37"/>
  <c r="AA124" i="37"/>
  <c r="AB124" i="37"/>
  <c r="AC124" i="37"/>
  <c r="AD124" i="37"/>
  <c r="AD117" i="37"/>
  <c r="AD118" i="37"/>
  <c r="AD115" i="37"/>
  <c r="AD112" i="37"/>
  <c r="W12" i="30"/>
  <c r="X12" i="30"/>
  <c r="X14" i="30"/>
  <c r="X7" i="2"/>
  <c r="X6" i="2"/>
  <c r="W14" i="30"/>
  <c r="W7" i="2"/>
  <c r="W6" i="2"/>
  <c r="Y12" i="30"/>
  <c r="Y14" i="30"/>
  <c r="Y7" i="2"/>
  <c r="Y6" i="2"/>
  <c r="Z12" i="30"/>
  <c r="AA12" i="30"/>
  <c r="AB12" i="30"/>
  <c r="AC12" i="30"/>
  <c r="AD12" i="30"/>
  <c r="AD14" i="30"/>
  <c r="AD7" i="2"/>
  <c r="AD6" i="2"/>
  <c r="AC14" i="30"/>
  <c r="AC7" i="2"/>
  <c r="AC6" i="2"/>
  <c r="Z14" i="30"/>
  <c r="Z7" i="2"/>
  <c r="Z6" i="2"/>
  <c r="AA14" i="30"/>
  <c r="AA7" i="2"/>
  <c r="AA6" i="2"/>
  <c r="AB14" i="30"/>
  <c r="AB7" i="2"/>
  <c r="AB6" i="2"/>
  <c r="P357" i="41"/>
  <c r="O357" i="41"/>
  <c r="N357" i="41"/>
  <c r="M357" i="41"/>
  <c r="L357" i="41"/>
  <c r="AD9" i="30"/>
  <c r="AC9" i="30"/>
  <c r="AB9" i="30"/>
  <c r="AA9" i="30"/>
  <c r="Z9" i="30"/>
  <c r="Y9" i="30"/>
  <c r="X9" i="30"/>
  <c r="W9" i="30"/>
  <c r="V9" i="30"/>
  <c r="U9" i="30"/>
  <c r="T9" i="30"/>
  <c r="S9" i="30"/>
  <c r="R9" i="30"/>
  <c r="Q9" i="30"/>
  <c r="R102" i="20"/>
  <c r="S102" i="20"/>
  <c r="T102" i="20"/>
  <c r="U102" i="20"/>
  <c r="V102" i="20"/>
  <c r="W102" i="20"/>
  <c r="X102" i="20"/>
  <c r="Q105" i="20"/>
  <c r="R105" i="20"/>
  <c r="R107" i="20"/>
  <c r="S105" i="20"/>
  <c r="S107" i="20"/>
  <c r="T105" i="20"/>
  <c r="T107" i="20"/>
  <c r="U105" i="20"/>
  <c r="U107" i="20"/>
  <c r="V105" i="20"/>
  <c r="V107" i="20"/>
  <c r="W105" i="20"/>
  <c r="W107" i="20"/>
  <c r="X107" i="20"/>
  <c r="X103" i="20"/>
  <c r="W103" i="20"/>
  <c r="V103" i="20"/>
  <c r="U103" i="20"/>
  <c r="T103" i="20"/>
  <c r="S103" i="20"/>
  <c r="R103" i="20"/>
  <c r="Q103" i="20"/>
  <c r="P101" i="39"/>
  <c r="P102" i="39"/>
  <c r="Q101" i="39"/>
  <c r="Q102" i="39"/>
  <c r="R101" i="39"/>
  <c r="R102" i="39"/>
  <c r="S101" i="39"/>
  <c r="S102" i="39"/>
  <c r="AD106" i="20"/>
  <c r="AC106" i="20"/>
  <c r="AB106" i="20"/>
  <c r="AA106" i="20"/>
  <c r="Z106" i="20"/>
  <c r="Y106" i="20"/>
  <c r="X106" i="20"/>
  <c r="W106" i="20"/>
  <c r="V106" i="20"/>
  <c r="U106" i="20"/>
  <c r="T106" i="20"/>
  <c r="S106" i="20"/>
  <c r="R106" i="20"/>
  <c r="Q106" i="20"/>
  <c r="AD92" i="20"/>
  <c r="AC92" i="20"/>
  <c r="AB92" i="20"/>
  <c r="AA92" i="20"/>
  <c r="Z92" i="20"/>
  <c r="Y92" i="20"/>
  <c r="X92" i="20"/>
  <c r="W92" i="20"/>
  <c r="V92" i="20"/>
  <c r="U92" i="20"/>
  <c r="T92" i="20"/>
  <c r="S92" i="20"/>
  <c r="R92" i="20"/>
  <c r="Q92" i="20"/>
  <c r="AD96" i="20"/>
  <c r="AC96" i="20"/>
  <c r="AB96" i="20"/>
  <c r="AA96" i="20"/>
  <c r="Z96" i="20"/>
  <c r="Y96" i="20"/>
  <c r="X96" i="20"/>
  <c r="W96" i="20"/>
  <c r="V96" i="20"/>
  <c r="U96" i="20"/>
  <c r="T96" i="20"/>
  <c r="S96" i="20"/>
  <c r="R96" i="20"/>
  <c r="Q96" i="20"/>
  <c r="AD100" i="20"/>
  <c r="AC100" i="20"/>
  <c r="AB100" i="20"/>
  <c r="AA100" i="20"/>
  <c r="Z100" i="20"/>
  <c r="Y100" i="20"/>
  <c r="X100" i="20"/>
  <c r="W100" i="20"/>
  <c r="V100" i="20"/>
  <c r="U100" i="20"/>
  <c r="T100" i="20"/>
  <c r="S100" i="20"/>
  <c r="R100" i="20"/>
  <c r="Q100" i="20"/>
  <c r="E103" i="39"/>
  <c r="S103" i="39"/>
  <c r="R103" i="39"/>
  <c r="Q103" i="39"/>
  <c r="P103" i="39"/>
  <c r="Q84" i="20"/>
  <c r="R84" i="20"/>
  <c r="S84" i="20"/>
  <c r="T84" i="20"/>
  <c r="U84" i="20"/>
  <c r="V84" i="20"/>
  <c r="W84" i="20"/>
  <c r="X84" i="20"/>
  <c r="Y84" i="20"/>
  <c r="Z84" i="20"/>
  <c r="AA84" i="20"/>
  <c r="AB84" i="20"/>
  <c r="AC84" i="20"/>
  <c r="AD84" i="20"/>
  <c r="Q80" i="20"/>
  <c r="R80" i="20"/>
  <c r="S80" i="20"/>
  <c r="T80" i="20"/>
  <c r="L332" i="41"/>
  <c r="M332" i="41"/>
  <c r="N332" i="41"/>
  <c r="O332" i="41"/>
  <c r="P332" i="41"/>
  <c r="P19" i="13"/>
  <c r="S6" i="20"/>
  <c r="R6" i="20"/>
  <c r="Q6" i="20"/>
  <c r="P6" i="20"/>
  <c r="P30" i="20"/>
  <c r="Q30" i="20"/>
  <c r="R30" i="20"/>
  <c r="S30" i="20"/>
  <c r="P66" i="20"/>
  <c r="P67" i="20"/>
  <c r="P70" i="20"/>
  <c r="P74" i="20"/>
  <c r="P75" i="20"/>
  <c r="P78" i="20"/>
  <c r="P79" i="20"/>
  <c r="P82" i="20"/>
  <c r="X68" i="20"/>
  <c r="W68" i="20"/>
  <c r="V68" i="20"/>
  <c r="U68" i="20"/>
  <c r="T68" i="20"/>
  <c r="S68" i="20"/>
  <c r="R68" i="20"/>
  <c r="Q68" i="20"/>
  <c r="X72" i="20"/>
  <c r="W72" i="20"/>
  <c r="V72" i="20"/>
  <c r="U72" i="20"/>
  <c r="T72" i="20"/>
  <c r="S72" i="20"/>
  <c r="R72" i="20"/>
  <c r="Q72" i="20"/>
  <c r="P72" i="20"/>
  <c r="P76" i="20"/>
  <c r="W91" i="20"/>
  <c r="V91" i="20"/>
  <c r="U91" i="20"/>
  <c r="T91" i="20"/>
  <c r="S91" i="20"/>
  <c r="R91" i="20"/>
  <c r="Q91" i="20"/>
  <c r="AD19" i="13"/>
  <c r="AC19" i="13"/>
  <c r="AB19" i="13"/>
  <c r="AA19" i="13"/>
  <c r="Z19" i="13"/>
  <c r="Y19" i="13"/>
  <c r="X19" i="13"/>
  <c r="W19" i="13"/>
  <c r="V19" i="13"/>
  <c r="U19" i="13"/>
  <c r="T19" i="13"/>
  <c r="S19" i="13"/>
  <c r="R19" i="13"/>
  <c r="Q19" i="13"/>
  <c r="P17" i="27"/>
  <c r="Q17" i="27"/>
  <c r="R17" i="27"/>
  <c r="S17" i="27"/>
  <c r="T17" i="27"/>
  <c r="U17" i="27"/>
  <c r="V17" i="27"/>
  <c r="W17" i="27"/>
  <c r="X17" i="27"/>
  <c r="Y17" i="27"/>
  <c r="Z17" i="27"/>
  <c r="AA17" i="27"/>
  <c r="AB17" i="27"/>
  <c r="AC17" i="27"/>
  <c r="AD17" i="27"/>
  <c r="AD86" i="11"/>
  <c r="AC86" i="11"/>
  <c r="AB86" i="11"/>
  <c r="AA86" i="11"/>
  <c r="Z86" i="11"/>
  <c r="Y86" i="11"/>
  <c r="X86" i="11"/>
  <c r="W86" i="11"/>
  <c r="V86" i="11"/>
  <c r="U86" i="11"/>
  <c r="T86" i="11"/>
  <c r="S86" i="11"/>
  <c r="R86" i="11"/>
  <c r="Q86" i="11"/>
  <c r="P86" i="11"/>
  <c r="AD19" i="11"/>
  <c r="AC19" i="11"/>
  <c r="AB19" i="11"/>
  <c r="AA19" i="11"/>
  <c r="Z19" i="11"/>
  <c r="Y19" i="11"/>
  <c r="X19" i="11"/>
  <c r="W19" i="11"/>
  <c r="V19" i="11"/>
  <c r="U19" i="11"/>
  <c r="T19" i="11"/>
  <c r="S19" i="11"/>
  <c r="R19" i="11"/>
  <c r="Q19" i="11"/>
  <c r="P17" i="11"/>
  <c r="AD17" i="11"/>
  <c r="AC17" i="11"/>
  <c r="AB17" i="11"/>
  <c r="AA17" i="11"/>
  <c r="Z17" i="11"/>
  <c r="Y17" i="11"/>
  <c r="X17" i="11"/>
  <c r="W17" i="11"/>
  <c r="V17" i="11"/>
  <c r="U17" i="11"/>
  <c r="T17" i="11"/>
  <c r="S17" i="11"/>
  <c r="R17" i="11"/>
  <c r="Q17" i="11"/>
  <c r="P21" i="13"/>
  <c r="AD21" i="13"/>
  <c r="AC21" i="13"/>
  <c r="AB21" i="13"/>
  <c r="AA21" i="13"/>
  <c r="Z21" i="13"/>
  <c r="Y21" i="13"/>
  <c r="X21" i="13"/>
  <c r="W21" i="13"/>
  <c r="V21" i="13"/>
  <c r="U21" i="13"/>
  <c r="T21" i="13"/>
  <c r="S21" i="13"/>
  <c r="R21" i="13"/>
  <c r="Q21" i="13"/>
  <c r="AD6" i="20"/>
  <c r="AC6" i="20"/>
  <c r="AB6" i="20"/>
  <c r="AA6" i="20"/>
  <c r="Z6" i="20"/>
  <c r="Y6" i="20"/>
  <c r="X6" i="20"/>
  <c r="W6" i="20"/>
  <c r="V6" i="20"/>
  <c r="U6" i="20"/>
  <c r="T6" i="20"/>
  <c r="AD30" i="20"/>
  <c r="AC30" i="20"/>
  <c r="AB30" i="20"/>
  <c r="AA30" i="20"/>
  <c r="Z30" i="20"/>
  <c r="Y30" i="20"/>
  <c r="X30" i="20"/>
  <c r="W30" i="20"/>
  <c r="V30" i="20"/>
  <c r="U30" i="20"/>
  <c r="T30" i="20"/>
  <c r="AD33" i="20"/>
  <c r="AC33" i="20"/>
  <c r="AB33" i="20"/>
  <c r="AA33" i="20"/>
  <c r="Z33" i="20"/>
  <c r="Y33" i="20"/>
  <c r="X33" i="20"/>
  <c r="W33" i="20"/>
  <c r="V33" i="20"/>
  <c r="U33" i="20"/>
  <c r="T33" i="20"/>
  <c r="AD67" i="20"/>
  <c r="AC67" i="20"/>
  <c r="AB67" i="20"/>
  <c r="AA67" i="20"/>
  <c r="Z67" i="20"/>
  <c r="Y67" i="20"/>
  <c r="X67" i="20"/>
  <c r="W67" i="20"/>
  <c r="V67" i="20"/>
  <c r="U67" i="20"/>
  <c r="T67" i="20"/>
  <c r="S67" i="20"/>
  <c r="R67" i="20"/>
  <c r="Q67" i="20"/>
  <c r="AD66" i="20"/>
  <c r="AC66" i="20"/>
  <c r="AB66" i="20"/>
  <c r="AA66" i="20"/>
  <c r="Z66" i="20"/>
  <c r="Y66" i="20"/>
  <c r="X66" i="20"/>
  <c r="W66" i="20"/>
  <c r="V66" i="20"/>
  <c r="U66" i="20"/>
  <c r="T66" i="20"/>
  <c r="S66" i="20"/>
  <c r="R66" i="20"/>
  <c r="Q66" i="20"/>
  <c r="AD70" i="20"/>
  <c r="AC70" i="20"/>
  <c r="AB70" i="20"/>
  <c r="AA70" i="20"/>
  <c r="Z70" i="20"/>
  <c r="Y70" i="20"/>
  <c r="X70" i="20"/>
  <c r="W70" i="20"/>
  <c r="V70" i="20"/>
  <c r="U70" i="20"/>
  <c r="T70" i="20"/>
  <c r="S70" i="20"/>
  <c r="R70" i="20"/>
  <c r="Q70" i="20"/>
  <c r="AD76" i="20"/>
  <c r="AC76" i="20"/>
  <c r="AB76" i="20"/>
  <c r="AA76" i="20"/>
  <c r="Z76" i="20"/>
  <c r="Y76" i="20"/>
  <c r="X76" i="20"/>
  <c r="W76" i="20"/>
  <c r="V76" i="20"/>
  <c r="U76" i="20"/>
  <c r="T76" i="20"/>
  <c r="S76" i="20"/>
  <c r="R76" i="20"/>
  <c r="Q76" i="20"/>
  <c r="AD75" i="20"/>
  <c r="AC75" i="20"/>
  <c r="AB75" i="20"/>
  <c r="AA75" i="20"/>
  <c r="Z75" i="20"/>
  <c r="Y75" i="20"/>
  <c r="X75" i="20"/>
  <c r="W75" i="20"/>
  <c r="V75" i="20"/>
  <c r="U75" i="20"/>
  <c r="T75" i="20"/>
  <c r="S75" i="20"/>
  <c r="R75" i="20"/>
  <c r="Q75" i="20"/>
  <c r="AD74" i="20"/>
  <c r="AC74" i="20"/>
  <c r="AB74" i="20"/>
  <c r="AA74" i="20"/>
  <c r="Z74" i="20"/>
  <c r="Y74" i="20"/>
  <c r="X74" i="20"/>
  <c r="W74" i="20"/>
  <c r="V74" i="20"/>
  <c r="U74" i="20"/>
  <c r="T74" i="20"/>
  <c r="S74" i="20"/>
  <c r="R74" i="20"/>
  <c r="Q74" i="20"/>
  <c r="T79" i="20"/>
  <c r="S79" i="20"/>
  <c r="R79" i="20"/>
  <c r="Q79" i="20"/>
  <c r="T78" i="20"/>
  <c r="S78" i="20"/>
  <c r="R78" i="20"/>
  <c r="Q78" i="20"/>
  <c r="AD82" i="20"/>
  <c r="AC82" i="20"/>
  <c r="AB82" i="20"/>
  <c r="AA82" i="20"/>
  <c r="Z82" i="20"/>
  <c r="Y82" i="20"/>
  <c r="X82" i="20"/>
  <c r="W82" i="20"/>
  <c r="V82" i="20"/>
  <c r="U82" i="20"/>
  <c r="T82" i="20"/>
  <c r="S82" i="20"/>
  <c r="R82" i="20"/>
  <c r="Q82" i="20"/>
  <c r="P92" i="11"/>
  <c r="P91" i="11"/>
  <c r="P90" i="11"/>
  <c r="Q92" i="11"/>
  <c r="Q91" i="11"/>
  <c r="Q90" i="11"/>
  <c r="R92" i="11"/>
  <c r="R91" i="11"/>
  <c r="R90" i="11"/>
  <c r="S92" i="11"/>
  <c r="S91" i="11"/>
  <c r="S90" i="11"/>
  <c r="T92" i="11"/>
  <c r="T91" i="11"/>
  <c r="T90" i="11"/>
  <c r="U92" i="11"/>
  <c r="U91" i="11"/>
  <c r="U90" i="11"/>
  <c r="V92" i="11"/>
  <c r="V91" i="11"/>
  <c r="V90" i="11"/>
  <c r="W92" i="11"/>
  <c r="W91" i="11"/>
  <c r="W90" i="11"/>
  <c r="X92" i="11"/>
  <c r="X91" i="11"/>
  <c r="X90" i="11"/>
  <c r="Y92" i="11"/>
  <c r="Y91" i="11"/>
  <c r="Y90" i="11"/>
  <c r="Z92" i="11"/>
  <c r="Z91" i="11"/>
  <c r="Z90" i="11"/>
  <c r="AA92" i="11"/>
  <c r="AA91" i="11"/>
  <c r="AA90" i="11"/>
  <c r="AB92" i="11"/>
  <c r="AB91" i="11"/>
  <c r="AB90" i="11"/>
  <c r="AC92" i="11"/>
  <c r="AC91" i="11"/>
  <c r="AC90" i="11"/>
  <c r="AD92" i="11"/>
  <c r="AD91" i="11"/>
  <c r="AD90" i="11"/>
  <c r="AD96" i="11"/>
  <c r="AC96" i="11"/>
  <c r="AD97" i="11"/>
  <c r="AB96" i="11"/>
  <c r="AC97" i="11"/>
  <c r="AA96" i="11"/>
  <c r="AB97" i="11"/>
  <c r="Z96" i="11"/>
  <c r="AA97" i="11"/>
  <c r="Y96" i="11"/>
  <c r="Z97" i="11"/>
  <c r="X96" i="11"/>
  <c r="Y97" i="11"/>
  <c r="W96" i="11"/>
  <c r="X97" i="11"/>
  <c r="V96" i="11"/>
  <c r="W97" i="11"/>
  <c r="U96" i="11"/>
  <c r="V97" i="11"/>
  <c r="T96" i="11"/>
  <c r="U97" i="11"/>
  <c r="S96" i="11"/>
  <c r="T97" i="11"/>
  <c r="R96" i="11"/>
  <c r="S97" i="11"/>
  <c r="Q96" i="11"/>
  <c r="R97" i="11"/>
  <c r="P96" i="11"/>
  <c r="Q97" i="11"/>
  <c r="P97" i="11"/>
  <c r="Q6" i="11"/>
  <c r="R6" i="11"/>
  <c r="P10" i="11"/>
  <c r="P11" i="11"/>
  <c r="Q11" i="11"/>
  <c r="P6" i="11"/>
  <c r="AD7" i="11"/>
  <c r="AC7" i="11"/>
  <c r="AB7" i="11"/>
  <c r="AA7" i="11"/>
  <c r="Z7" i="11"/>
  <c r="Y7" i="11"/>
  <c r="X7" i="11"/>
  <c r="W7" i="11"/>
  <c r="V7" i="11"/>
  <c r="U7" i="11"/>
  <c r="T7" i="11"/>
  <c r="S7" i="11"/>
  <c r="R7" i="11"/>
  <c r="Q7" i="11"/>
  <c r="P28" i="11"/>
  <c r="Q28" i="11"/>
  <c r="R28" i="11"/>
  <c r="S28" i="11"/>
  <c r="P24" i="37"/>
  <c r="Q24" i="37"/>
  <c r="R24" i="37"/>
  <c r="S24" i="37"/>
  <c r="T24" i="37"/>
  <c r="U24" i="37"/>
  <c r="V24" i="37"/>
  <c r="W24" i="37"/>
  <c r="X24" i="37"/>
  <c r="Y24" i="37"/>
  <c r="Z24" i="37"/>
  <c r="AA24" i="37"/>
  <c r="AB24" i="37"/>
  <c r="AC24" i="37"/>
  <c r="AD24" i="37"/>
  <c r="Q27" i="37"/>
  <c r="R27" i="37"/>
  <c r="S27" i="37"/>
  <c r="T27" i="37"/>
  <c r="U27" i="37"/>
  <c r="V27" i="37"/>
  <c r="W27" i="37"/>
  <c r="X27" i="37"/>
  <c r="Y27" i="37"/>
  <c r="Z27" i="37"/>
  <c r="AA27" i="37"/>
  <c r="AB27" i="37"/>
  <c r="AC27" i="37"/>
  <c r="AD27" i="37"/>
  <c r="Q29" i="37"/>
  <c r="P29" i="37"/>
  <c r="Q30" i="37"/>
  <c r="R29" i="37"/>
  <c r="R30" i="37"/>
  <c r="S29" i="37"/>
  <c r="S30" i="37"/>
  <c r="T29" i="37"/>
  <c r="T30" i="37"/>
  <c r="U29" i="37"/>
  <c r="U30" i="37"/>
  <c r="V29" i="37"/>
  <c r="V30" i="37"/>
  <c r="W29" i="37"/>
  <c r="W30" i="37"/>
  <c r="X29" i="37"/>
  <c r="X30" i="37"/>
  <c r="Y29" i="37"/>
  <c r="Y30" i="37"/>
  <c r="Z29" i="37"/>
  <c r="Z30" i="37"/>
  <c r="AA29" i="37"/>
  <c r="AA30" i="37"/>
  <c r="AB29" i="37"/>
  <c r="AB30" i="37"/>
  <c r="AC29" i="37"/>
  <c r="AC30" i="37"/>
  <c r="AD29" i="37"/>
  <c r="AD30" i="37"/>
  <c r="Q36" i="37"/>
  <c r="R36" i="37"/>
  <c r="S36" i="37"/>
  <c r="T36" i="37"/>
  <c r="U36" i="37"/>
  <c r="V36" i="37"/>
  <c r="W36" i="37"/>
  <c r="X36" i="37"/>
  <c r="Y36" i="37"/>
  <c r="Z36" i="37"/>
  <c r="AA36" i="37"/>
  <c r="AB36" i="37"/>
  <c r="AC36" i="37"/>
  <c r="AD36" i="37"/>
  <c r="P87" i="37"/>
  <c r="Q87" i="37"/>
  <c r="R87" i="37"/>
  <c r="S87" i="37"/>
  <c r="T87" i="37"/>
  <c r="U87" i="37"/>
  <c r="V87" i="37"/>
  <c r="W87" i="37"/>
  <c r="X87" i="37"/>
  <c r="Y87" i="37"/>
  <c r="Z87" i="37"/>
  <c r="AA87" i="37"/>
  <c r="AB87" i="37"/>
  <c r="AC87" i="37"/>
  <c r="AD87" i="37"/>
  <c r="AD102" i="37"/>
  <c r="AD89" i="37"/>
  <c r="AC102" i="37"/>
  <c r="AC89" i="37"/>
  <c r="AB102" i="37"/>
  <c r="AB89" i="37"/>
  <c r="AA102" i="37"/>
  <c r="AA89" i="37"/>
  <c r="Z102" i="37"/>
  <c r="Z89" i="37"/>
  <c r="Y102" i="37"/>
  <c r="Y89" i="37"/>
  <c r="X102" i="37"/>
  <c r="X89" i="37"/>
  <c r="W102" i="37"/>
  <c r="W89" i="37"/>
  <c r="V102" i="37"/>
  <c r="V89" i="37"/>
  <c r="U102" i="37"/>
  <c r="U89" i="37"/>
  <c r="T102" i="37"/>
  <c r="T89" i="37"/>
  <c r="S102" i="37"/>
  <c r="S89" i="37"/>
  <c r="R102" i="37"/>
  <c r="R89" i="37"/>
  <c r="Q102" i="37"/>
  <c r="Q89" i="37"/>
  <c r="P102" i="37"/>
  <c r="P89" i="37"/>
  <c r="P103" i="37"/>
  <c r="Q103" i="37"/>
  <c r="R103" i="37"/>
  <c r="S103" i="37"/>
  <c r="T103" i="37"/>
  <c r="U103" i="37"/>
  <c r="V103" i="37"/>
  <c r="W103" i="37"/>
  <c r="X103" i="37"/>
  <c r="Y103" i="37"/>
  <c r="Z103" i="37"/>
  <c r="AA103" i="37"/>
  <c r="AB103" i="37"/>
  <c r="AC103" i="37"/>
  <c r="AD103" i="37"/>
  <c r="AD92" i="37"/>
  <c r="AC92" i="37"/>
  <c r="AB92" i="37"/>
  <c r="AA92" i="37"/>
  <c r="Z92" i="37"/>
  <c r="Y92" i="37"/>
  <c r="X92" i="37"/>
  <c r="W92" i="37"/>
  <c r="V92" i="37"/>
  <c r="U92" i="37"/>
  <c r="T92" i="37"/>
  <c r="S92" i="37"/>
  <c r="R92" i="37"/>
  <c r="Q92" i="37"/>
  <c r="AD95" i="37"/>
  <c r="AC95" i="37"/>
  <c r="AB95" i="37"/>
  <c r="AA95" i="37"/>
  <c r="Z95" i="37"/>
  <c r="Y95" i="37"/>
  <c r="X95" i="37"/>
  <c r="W95" i="37"/>
  <c r="V95" i="37"/>
  <c r="U95" i="37"/>
  <c r="T95" i="37"/>
  <c r="S95" i="37"/>
  <c r="R95" i="37"/>
  <c r="Q95" i="37"/>
  <c r="P95" i="37"/>
  <c r="AD98" i="37"/>
  <c r="AC98" i="37"/>
  <c r="AB98" i="37"/>
  <c r="AA98" i="37"/>
  <c r="Z98" i="37"/>
  <c r="Y98" i="37"/>
  <c r="X98" i="37"/>
  <c r="W98" i="37"/>
  <c r="V98" i="37"/>
  <c r="U98" i="37"/>
  <c r="T98" i="37"/>
  <c r="S98" i="37"/>
  <c r="R98" i="37"/>
  <c r="Q98" i="37"/>
  <c r="P98" i="37"/>
  <c r="AD101" i="37"/>
  <c r="AC101" i="37"/>
  <c r="AB101" i="37"/>
  <c r="AA101" i="37"/>
  <c r="Z101" i="37"/>
  <c r="Y101" i="37"/>
  <c r="X101" i="37"/>
  <c r="W101" i="37"/>
  <c r="V101" i="37"/>
  <c r="U101" i="37"/>
  <c r="T101" i="37"/>
  <c r="S101" i="37"/>
  <c r="R101" i="37"/>
  <c r="Q101" i="37"/>
  <c r="P101" i="37"/>
  <c r="P92" i="37"/>
  <c r="T28" i="11"/>
  <c r="AD28" i="11"/>
  <c r="AC28" i="11"/>
  <c r="AB28" i="11"/>
  <c r="AA28" i="11"/>
  <c r="Z28" i="11"/>
  <c r="Y28" i="11"/>
  <c r="X28" i="11"/>
  <c r="W28" i="11"/>
  <c r="V28" i="11"/>
  <c r="U28" i="11"/>
  <c r="AD6" i="11"/>
  <c r="AC6" i="11"/>
  <c r="AB6" i="11"/>
  <c r="AA6" i="11"/>
  <c r="Z6" i="11"/>
  <c r="Y6" i="11"/>
  <c r="X6" i="11"/>
  <c r="W6" i="11"/>
  <c r="V6" i="11"/>
  <c r="U6" i="11"/>
  <c r="T6" i="11"/>
  <c r="S6" i="11"/>
  <c r="AD10" i="11"/>
  <c r="AC10" i="11"/>
  <c r="AB10" i="11"/>
  <c r="AA10" i="11"/>
  <c r="Z10" i="11"/>
  <c r="Y10" i="11"/>
  <c r="X10" i="11"/>
  <c r="W10" i="11"/>
  <c r="V10" i="11"/>
  <c r="U10" i="11"/>
  <c r="T10" i="11"/>
  <c r="S10" i="11"/>
  <c r="R10" i="11"/>
  <c r="Q10" i="11"/>
  <c r="R11" i="11"/>
  <c r="AD11" i="11"/>
  <c r="AC11" i="11"/>
  <c r="AB11" i="11"/>
  <c r="AA11" i="11"/>
  <c r="Z11" i="11"/>
  <c r="Y11" i="11"/>
  <c r="X11" i="11"/>
  <c r="W11" i="11"/>
  <c r="V11" i="11"/>
  <c r="U11" i="11"/>
  <c r="T11" i="11"/>
  <c r="S11" i="11"/>
  <c r="E11" i="39"/>
  <c r="S11" i="39"/>
  <c r="R11" i="39"/>
  <c r="Q11" i="39"/>
  <c r="P11" i="39"/>
  <c r="O11" i="39"/>
  <c r="N11" i="39"/>
  <c r="M11" i="39"/>
  <c r="L11" i="39"/>
  <c r="K11" i="39"/>
  <c r="J11" i="39"/>
  <c r="I11" i="39"/>
  <c r="H11" i="39"/>
  <c r="G11" i="39"/>
  <c r="F11" i="39"/>
  <c r="P55" i="39"/>
  <c r="Q55" i="39"/>
  <c r="R55" i="39"/>
  <c r="S55" i="39"/>
  <c r="P79" i="39"/>
  <c r="Q79" i="39"/>
  <c r="R79" i="39"/>
  <c r="S79" i="39"/>
  <c r="E79" i="39"/>
  <c r="E55" i="39"/>
  <c r="M7" i="40"/>
  <c r="M4" i="40"/>
  <c r="M10" i="40"/>
  <c r="L7" i="40"/>
  <c r="L4" i="40"/>
  <c r="L10" i="40"/>
  <c r="K7" i="40"/>
  <c r="K4" i="40"/>
  <c r="K10" i="40"/>
  <c r="J7" i="40"/>
  <c r="J4" i="40"/>
  <c r="J10" i="40"/>
  <c r="I7" i="40"/>
  <c r="I4" i="40"/>
  <c r="I10" i="40"/>
  <c r="M8" i="40"/>
  <c r="L8" i="40"/>
  <c r="K8" i="40"/>
  <c r="J8" i="40"/>
  <c r="I8" i="40"/>
  <c r="M5" i="40"/>
  <c r="L5" i="40"/>
  <c r="K5" i="40"/>
  <c r="J5" i="40"/>
  <c r="I5" i="40"/>
  <c r="L5" i="41"/>
  <c r="L12" i="41"/>
  <c r="U5" i="41"/>
  <c r="U12" i="41"/>
  <c r="T268" i="41"/>
  <c r="S268" i="41"/>
  <c r="T269" i="41"/>
  <c r="R268" i="41"/>
  <c r="S269" i="41"/>
  <c r="Q268" i="41"/>
  <c r="R269" i="41"/>
  <c r="P268" i="41"/>
  <c r="Q269" i="41"/>
  <c r="P269" i="41"/>
  <c r="T270" i="41"/>
  <c r="S270" i="41"/>
  <c r="T271" i="41"/>
  <c r="R270" i="41"/>
  <c r="S271" i="41"/>
  <c r="Q270" i="41"/>
  <c r="R271" i="41"/>
  <c r="P270" i="41"/>
  <c r="Q271" i="41"/>
  <c r="P271" i="41"/>
  <c r="T272" i="41"/>
  <c r="S272" i="41"/>
  <c r="R272" i="41"/>
  <c r="Q272" i="41"/>
  <c r="P272" i="41"/>
  <c r="F298" i="41"/>
  <c r="P33" i="20"/>
  <c r="Q33" i="20"/>
  <c r="R33" i="20"/>
  <c r="S33" i="20"/>
  <c r="H304" i="41"/>
  <c r="F304" i="41"/>
  <c r="P324" i="41"/>
  <c r="O324" i="41"/>
  <c r="N324" i="41"/>
  <c r="M324" i="41"/>
  <c r="L324" i="41"/>
  <c r="P334" i="41"/>
  <c r="O334" i="41"/>
  <c r="N334" i="41"/>
  <c r="M334" i="41"/>
  <c r="L334" i="41"/>
  <c r="P333" i="41"/>
  <c r="O333" i="41"/>
  <c r="N333" i="41"/>
  <c r="M333" i="41"/>
  <c r="L333" i="41"/>
  <c r="P345" i="41"/>
  <c r="O345" i="41"/>
  <c r="N345" i="41"/>
  <c r="M345" i="41"/>
  <c r="L345" i="41"/>
  <c r="AF87" i="37"/>
  <c r="AF102" i="37"/>
  <c r="AF34" i="37"/>
  <c r="AF32" i="37"/>
  <c r="AF29" i="37"/>
  <c r="AF26" i="37"/>
  <c r="AF23" i="37"/>
  <c r="AF23" i="11"/>
  <c r="P27" i="37"/>
  <c r="P30" i="37"/>
  <c r="P34" i="30"/>
  <c r="P13" i="11"/>
  <c r="Q13" i="11"/>
  <c r="P90" i="20"/>
  <c r="Q90" i="20"/>
  <c r="P91" i="20"/>
  <c r="P19" i="11"/>
  <c r="P68" i="20"/>
  <c r="P7" i="11"/>
  <c r="Q40" i="2"/>
  <c r="J13" i="56"/>
  <c r="R40" i="2"/>
  <c r="K13" i="56"/>
  <c r="S40" i="2"/>
  <c r="L13" i="56"/>
  <c r="J26" i="56"/>
  <c r="J34" i="56"/>
  <c r="K26" i="56"/>
  <c r="K34" i="56"/>
  <c r="L26" i="56"/>
  <c r="L34" i="56"/>
  <c r="E33" i="39"/>
  <c r="E38" i="39"/>
  <c r="P129" i="1"/>
  <c r="P119" i="1"/>
  <c r="P120" i="1"/>
  <c r="P121" i="1"/>
  <c r="P122" i="1"/>
  <c r="P123" i="1"/>
  <c r="P124" i="1"/>
  <c r="P125" i="1"/>
  <c r="P126" i="1"/>
  <c r="P61" i="1"/>
  <c r="P49" i="1"/>
  <c r="P44" i="1"/>
  <c r="P45" i="1"/>
  <c r="P58" i="20"/>
  <c r="P60" i="20"/>
  <c r="P20" i="20"/>
  <c r="P8" i="20"/>
  <c r="P159" i="37"/>
  <c r="P38" i="20"/>
  <c r="P277" i="41"/>
  <c r="P275" i="41"/>
  <c r="P279" i="41"/>
  <c r="P278" i="41"/>
  <c r="P276" i="41"/>
  <c r="I17" i="40"/>
  <c r="I14" i="40"/>
  <c r="I20" i="40"/>
  <c r="I18" i="40"/>
  <c r="I15" i="40"/>
  <c r="E50" i="39"/>
  <c r="E52" i="39"/>
  <c r="P165" i="37"/>
  <c r="P166" i="37"/>
  <c r="P164" i="37"/>
  <c r="P161" i="37"/>
  <c r="P11" i="27"/>
  <c r="P10" i="27"/>
  <c r="P6" i="27"/>
  <c r="P28" i="27"/>
  <c r="P7" i="27"/>
  <c r="P8" i="27"/>
  <c r="P95" i="20"/>
  <c r="P35" i="20"/>
  <c r="P10" i="20"/>
  <c r="P140" i="37"/>
  <c r="P128" i="37"/>
  <c r="P19" i="20"/>
  <c r="L362" i="41"/>
  <c r="L364" i="41"/>
  <c r="L361" i="41"/>
  <c r="L365" i="41"/>
  <c r="L366" i="41"/>
  <c r="P54" i="2"/>
  <c r="P55" i="2"/>
  <c r="P8" i="6"/>
  <c r="P11" i="6"/>
  <c r="P7" i="6"/>
  <c r="P18" i="6"/>
  <c r="P10" i="6"/>
  <c r="P16" i="6"/>
  <c r="P117" i="6"/>
  <c r="P119" i="6"/>
  <c r="P93" i="1"/>
  <c r="P138" i="1"/>
  <c r="P137" i="1"/>
  <c r="P134" i="1"/>
  <c r="P107" i="1"/>
  <c r="P33" i="1"/>
  <c r="P52" i="20"/>
  <c r="P54" i="20"/>
  <c r="P97" i="1"/>
  <c r="P98" i="1"/>
  <c r="P99" i="1"/>
  <c r="P6" i="6"/>
  <c r="P24" i="20"/>
  <c r="P71" i="20"/>
  <c r="P83" i="20"/>
  <c r="P48" i="20"/>
  <c r="P49" i="20"/>
  <c r="P21" i="20"/>
  <c r="P23" i="20"/>
  <c r="P10" i="1"/>
  <c r="P51" i="30"/>
  <c r="P56" i="20"/>
  <c r="P57" i="20"/>
  <c r="P54" i="30"/>
  <c r="P57" i="30"/>
  <c r="P12" i="20"/>
  <c r="P16" i="20"/>
  <c r="P42" i="20"/>
  <c r="P32" i="20"/>
  <c r="P37" i="20"/>
  <c r="P41" i="20"/>
  <c r="P31" i="20"/>
  <c r="P46" i="20"/>
  <c r="P36" i="20"/>
  <c r="P68" i="3"/>
  <c r="E6" i="39"/>
  <c r="E8" i="39"/>
  <c r="E10" i="39"/>
  <c r="E13" i="39"/>
  <c r="E14" i="39"/>
  <c r="P15" i="20"/>
  <c r="E80" i="39"/>
  <c r="E81" i="39"/>
  <c r="E86" i="39"/>
  <c r="P11" i="20"/>
  <c r="E56" i="39"/>
  <c r="E54" i="39"/>
  <c r="E57" i="39"/>
  <c r="E62" i="39"/>
  <c r="AD40" i="2"/>
  <c r="AC40" i="2"/>
  <c r="AB40" i="2"/>
  <c r="AA40" i="2"/>
  <c r="Z40" i="2"/>
  <c r="Y40" i="2"/>
  <c r="X40" i="2"/>
  <c r="W40" i="2"/>
  <c r="V40" i="2"/>
  <c r="U40" i="2"/>
  <c r="P11" i="1"/>
  <c r="I6" i="40"/>
  <c r="I9" i="40"/>
  <c r="I16" i="40"/>
  <c r="I19" i="40"/>
  <c r="I26" i="40"/>
  <c r="I29" i="40"/>
  <c r="I36" i="40"/>
  <c r="I39" i="40"/>
  <c r="J53" i="40"/>
  <c r="I58" i="40"/>
  <c r="I59" i="40"/>
  <c r="I45" i="40"/>
  <c r="I46" i="40"/>
  <c r="I47" i="40"/>
  <c r="I49" i="40"/>
  <c r="I48" i="40"/>
  <c r="I50" i="40"/>
  <c r="I52" i="40"/>
  <c r="I51" i="40"/>
  <c r="I55" i="40"/>
  <c r="I57" i="40"/>
  <c r="I56" i="40"/>
  <c r="I60" i="40"/>
  <c r="I62" i="40"/>
  <c r="I61" i="40"/>
  <c r="E128" i="40"/>
  <c r="E126" i="40"/>
  <c r="E130" i="40"/>
  <c r="F127" i="40"/>
  <c r="F130" i="40"/>
  <c r="I128" i="40"/>
  <c r="I126" i="40"/>
  <c r="I130" i="40"/>
  <c r="J129" i="40"/>
  <c r="J127" i="40"/>
  <c r="J130" i="40"/>
  <c r="L6" i="41"/>
  <c r="L8" i="41"/>
  <c r="M6" i="41"/>
  <c r="M7" i="41"/>
  <c r="M5" i="41"/>
  <c r="M8" i="41"/>
  <c r="L13" i="41"/>
  <c r="L16" i="41"/>
  <c r="M13" i="41"/>
  <c r="M14" i="41"/>
  <c r="M15" i="41"/>
  <c r="M12" i="41"/>
  <c r="M16" i="41"/>
  <c r="U6" i="41"/>
  <c r="U8" i="41"/>
  <c r="V6" i="41"/>
  <c r="V7" i="41"/>
  <c r="V5" i="41"/>
  <c r="V8" i="41"/>
  <c r="U13" i="41"/>
  <c r="U16" i="41"/>
  <c r="V13" i="41"/>
  <c r="V14" i="41"/>
  <c r="V15" i="41"/>
  <c r="V12" i="41"/>
  <c r="V16" i="41"/>
  <c r="P53" i="20"/>
  <c r="P50" i="20"/>
  <c r="L310" i="41"/>
  <c r="L311" i="41"/>
  <c r="L312" i="41"/>
  <c r="L321" i="41"/>
  <c r="L322" i="41"/>
  <c r="L323" i="41"/>
  <c r="M327" i="41"/>
  <c r="M329" i="41"/>
  <c r="L341" i="41"/>
  <c r="L342" i="41"/>
  <c r="L346" i="41"/>
  <c r="L344" i="41"/>
  <c r="L347" i="41"/>
  <c r="L348" i="41"/>
  <c r="L349" i="41"/>
  <c r="P60" i="2"/>
  <c r="P61" i="2"/>
  <c r="P57" i="1"/>
  <c r="P63" i="1"/>
  <c r="P72" i="1"/>
  <c r="P69" i="1"/>
  <c r="P73" i="1"/>
  <c r="P71" i="1"/>
  <c r="P70" i="1"/>
  <c r="P40" i="1"/>
  <c r="P39" i="1"/>
  <c r="F13" i="52"/>
  <c r="F12" i="52"/>
  <c r="F11" i="52"/>
  <c r="G9" i="52"/>
  <c r="P64" i="1"/>
  <c r="F8" i="52"/>
  <c r="F7" i="52"/>
  <c r="P58" i="1"/>
  <c r="F6" i="52"/>
  <c r="F5" i="52"/>
  <c r="F4" i="52"/>
  <c r="F38" i="52"/>
  <c r="P50" i="1"/>
  <c r="P34" i="1"/>
  <c r="J14" i="56"/>
  <c r="J16" i="56"/>
  <c r="J17" i="56"/>
  <c r="K14" i="56"/>
  <c r="K16" i="56"/>
  <c r="K17" i="56"/>
  <c r="L14" i="56"/>
  <c r="L16" i="56"/>
  <c r="L17" i="56"/>
  <c r="G6" i="39"/>
  <c r="G8" i="39"/>
  <c r="G10" i="39"/>
  <c r="G13" i="39"/>
  <c r="F6" i="39"/>
  <c r="F8" i="39"/>
  <c r="F10" i="39"/>
  <c r="F13" i="39"/>
  <c r="G15" i="39"/>
  <c r="H6" i="39"/>
  <c r="H8" i="39"/>
  <c r="H10" i="39"/>
  <c r="H13" i="39"/>
  <c r="H15" i="39"/>
  <c r="I6" i="39"/>
  <c r="I8" i="39"/>
  <c r="I10" i="39"/>
  <c r="I13" i="39"/>
  <c r="I15" i="39"/>
  <c r="J6" i="39"/>
  <c r="J8" i="39"/>
  <c r="J10" i="39"/>
  <c r="J13" i="39"/>
  <c r="J15" i="39"/>
  <c r="K6" i="39"/>
  <c r="K8" i="39"/>
  <c r="K10" i="39"/>
  <c r="K13" i="39"/>
  <c r="K15" i="39"/>
  <c r="L6" i="39"/>
  <c r="L8" i="39"/>
  <c r="L10" i="39"/>
  <c r="L13" i="39"/>
  <c r="L15" i="39"/>
  <c r="M6" i="39"/>
  <c r="M8" i="39"/>
  <c r="M10" i="39"/>
  <c r="M13" i="39"/>
  <c r="M15" i="39"/>
  <c r="N6" i="39"/>
  <c r="N8" i="39"/>
  <c r="N10" i="39"/>
  <c r="N13" i="39"/>
  <c r="N15" i="39"/>
  <c r="O6" i="39"/>
  <c r="O8" i="39"/>
  <c r="O10" i="39"/>
  <c r="O13" i="39"/>
  <c r="O15" i="39"/>
  <c r="P6" i="39"/>
  <c r="P8" i="39"/>
  <c r="P10" i="39"/>
  <c r="P12" i="39"/>
  <c r="P13" i="39"/>
  <c r="P15" i="39"/>
  <c r="Q6" i="39"/>
  <c r="Q8" i="39"/>
  <c r="Q10" i="39"/>
  <c r="Q12" i="39"/>
  <c r="Q13" i="39"/>
  <c r="Q15" i="39"/>
  <c r="R6" i="39"/>
  <c r="R8" i="39"/>
  <c r="R10" i="39"/>
  <c r="R12" i="39"/>
  <c r="R13" i="39"/>
  <c r="R15" i="39"/>
  <c r="S6" i="39"/>
  <c r="S8" i="39"/>
  <c r="S10" i="39"/>
  <c r="S12" i="39"/>
  <c r="S13" i="39"/>
  <c r="S15" i="39"/>
  <c r="F15" i="39"/>
  <c r="Q58" i="1"/>
  <c r="R58" i="1"/>
  <c r="S58" i="1"/>
  <c r="T58" i="1"/>
  <c r="Q34" i="1"/>
  <c r="R34" i="1"/>
  <c r="S34" i="1"/>
  <c r="T34" i="1"/>
  <c r="Q50" i="1"/>
  <c r="R50" i="1"/>
  <c r="S50" i="1"/>
  <c r="T50" i="1"/>
  <c r="J38" i="52"/>
  <c r="T54" i="2"/>
  <c r="G38" i="52"/>
  <c r="H38" i="52"/>
  <c r="I38" i="52"/>
  <c r="Q54" i="2"/>
  <c r="R54" i="2"/>
  <c r="S54" i="2"/>
  <c r="G4" i="52"/>
  <c r="H4" i="52"/>
  <c r="I4" i="52"/>
  <c r="J4" i="52"/>
  <c r="G5" i="52"/>
  <c r="H5" i="52"/>
  <c r="I5" i="52"/>
  <c r="J5" i="52"/>
  <c r="G6" i="52"/>
  <c r="H6" i="52"/>
  <c r="I6" i="52"/>
  <c r="J6" i="52"/>
  <c r="G7" i="52"/>
  <c r="H7" i="52"/>
  <c r="I7" i="52"/>
  <c r="J7" i="52"/>
  <c r="Q64" i="1"/>
  <c r="G8" i="52"/>
  <c r="R64" i="1"/>
  <c r="H8" i="52"/>
  <c r="S64" i="1"/>
  <c r="I8" i="52"/>
  <c r="T64" i="1"/>
  <c r="J8" i="52"/>
  <c r="H9" i="52"/>
  <c r="I9" i="52"/>
  <c r="J9" i="52"/>
  <c r="G11" i="52"/>
  <c r="H11" i="52"/>
  <c r="I11" i="52"/>
  <c r="J11" i="52"/>
  <c r="G12" i="52"/>
  <c r="H12" i="52"/>
  <c r="I12" i="52"/>
  <c r="J12" i="52"/>
  <c r="G13" i="52"/>
  <c r="H13" i="52"/>
  <c r="I13" i="52"/>
  <c r="J13" i="52"/>
  <c r="U69" i="1"/>
  <c r="T69" i="1"/>
  <c r="U70" i="1"/>
  <c r="V69" i="1"/>
  <c r="V70" i="1"/>
  <c r="W69" i="1"/>
  <c r="W70" i="1"/>
  <c r="X69" i="1"/>
  <c r="X70" i="1"/>
  <c r="Y69" i="1"/>
  <c r="Y70" i="1"/>
  <c r="Z69" i="1"/>
  <c r="Z70" i="1"/>
  <c r="AA69" i="1"/>
  <c r="AA70" i="1"/>
  <c r="AB69" i="1"/>
  <c r="AB70" i="1"/>
  <c r="AC69" i="1"/>
  <c r="AC70" i="1"/>
  <c r="AD69" i="1"/>
  <c r="AD70" i="1"/>
  <c r="U71" i="1"/>
  <c r="V71" i="1"/>
  <c r="W71" i="1"/>
  <c r="X71" i="1"/>
  <c r="Y71" i="1"/>
  <c r="Z71" i="1"/>
  <c r="AA71" i="1"/>
  <c r="AB71" i="1"/>
  <c r="AC71" i="1"/>
  <c r="AD71" i="1"/>
  <c r="U72" i="1"/>
  <c r="U73" i="1"/>
  <c r="V72" i="1"/>
  <c r="V73" i="1"/>
  <c r="W72" i="1"/>
  <c r="W73" i="1"/>
  <c r="X72" i="1"/>
  <c r="X73" i="1"/>
  <c r="Y72" i="1"/>
  <c r="Y73" i="1"/>
  <c r="Z72" i="1"/>
  <c r="Z73" i="1"/>
  <c r="AA72" i="1"/>
  <c r="AA73" i="1"/>
  <c r="AB72" i="1"/>
  <c r="AB73" i="1"/>
  <c r="AC72" i="1"/>
  <c r="AC73" i="1"/>
  <c r="AD72" i="1"/>
  <c r="AD73" i="1"/>
  <c r="U62" i="1"/>
  <c r="U63" i="1"/>
  <c r="V63" i="1"/>
  <c r="W63" i="1"/>
  <c r="X63" i="1"/>
  <c r="Y63" i="1"/>
  <c r="Z63" i="1"/>
  <c r="AA63" i="1"/>
  <c r="AB63" i="1"/>
  <c r="AC63" i="1"/>
  <c r="AD63" i="1"/>
  <c r="U64" i="1"/>
  <c r="V64" i="1"/>
  <c r="W64" i="1"/>
  <c r="X64" i="1"/>
  <c r="Y64" i="1"/>
  <c r="Z64" i="1"/>
  <c r="AA64" i="1"/>
  <c r="AB64" i="1"/>
  <c r="AC64" i="1"/>
  <c r="AD64" i="1"/>
  <c r="U50" i="1"/>
  <c r="V50" i="1"/>
  <c r="W50" i="1"/>
  <c r="X50" i="1"/>
  <c r="Y50" i="1"/>
  <c r="Z50" i="1"/>
  <c r="AA50" i="1"/>
  <c r="AB50" i="1"/>
  <c r="AC50" i="1"/>
  <c r="AD50" i="1"/>
  <c r="U56" i="1"/>
  <c r="U57" i="1"/>
  <c r="V57" i="1"/>
  <c r="W57" i="1"/>
  <c r="X57" i="1"/>
  <c r="Y57" i="1"/>
  <c r="Z57" i="1"/>
  <c r="AA57" i="1"/>
  <c r="AB57" i="1"/>
  <c r="AC57" i="1"/>
  <c r="AD57" i="1"/>
  <c r="U58" i="1"/>
  <c r="V58" i="1"/>
  <c r="W58" i="1"/>
  <c r="X58" i="1"/>
  <c r="Y58" i="1"/>
  <c r="Z58" i="1"/>
  <c r="AA58" i="1"/>
  <c r="AB58" i="1"/>
  <c r="AC58" i="1"/>
  <c r="AD58" i="1"/>
  <c r="Q39" i="1"/>
  <c r="R39" i="1"/>
  <c r="S39" i="1"/>
  <c r="T39" i="1"/>
  <c r="Q40" i="1"/>
  <c r="R40" i="1"/>
  <c r="S40" i="1"/>
  <c r="T40" i="1"/>
  <c r="Q69" i="1"/>
  <c r="Q70" i="1"/>
  <c r="R69" i="1"/>
  <c r="R70" i="1"/>
  <c r="S69" i="1"/>
  <c r="S70" i="1"/>
  <c r="T70" i="1"/>
  <c r="Q71" i="1"/>
  <c r="R71" i="1"/>
  <c r="S71" i="1"/>
  <c r="T71" i="1"/>
  <c r="Q72" i="1"/>
  <c r="Q73" i="1"/>
  <c r="R72" i="1"/>
  <c r="R73" i="1"/>
  <c r="S72" i="1"/>
  <c r="S73" i="1"/>
  <c r="T72" i="1"/>
  <c r="T73" i="1"/>
  <c r="Q63" i="1"/>
  <c r="R63" i="1"/>
  <c r="S63" i="1"/>
  <c r="T63" i="1"/>
  <c r="Q57" i="1"/>
  <c r="R57" i="1"/>
  <c r="S57" i="1"/>
  <c r="T57" i="1"/>
  <c r="Q86" i="1"/>
  <c r="Q91" i="1"/>
  <c r="Q90" i="1"/>
  <c r="Q103" i="1"/>
  <c r="Q106" i="1"/>
  <c r="R86" i="1"/>
  <c r="R91" i="1"/>
  <c r="R90" i="1"/>
  <c r="R103" i="1"/>
  <c r="R106" i="1"/>
  <c r="S86" i="1"/>
  <c r="S91" i="1"/>
  <c r="S90" i="1"/>
  <c r="S103" i="1"/>
  <c r="S106" i="1"/>
  <c r="Q61" i="2"/>
  <c r="R61" i="2"/>
  <c r="S61" i="2"/>
  <c r="T61" i="2"/>
  <c r="U61" i="2"/>
  <c r="Q60" i="2"/>
  <c r="R60" i="2"/>
  <c r="S60" i="2"/>
  <c r="T60" i="2"/>
  <c r="U19" i="2"/>
  <c r="U20" i="2"/>
  <c r="U18" i="2"/>
  <c r="U27" i="2"/>
  <c r="U60" i="2"/>
  <c r="V19" i="2"/>
  <c r="V20" i="2"/>
  <c r="V18" i="2"/>
  <c r="V27" i="2"/>
  <c r="V60" i="2"/>
  <c r="M341" i="41"/>
  <c r="M342" i="41"/>
  <c r="M344" i="41"/>
  <c r="M346" i="41"/>
  <c r="M347" i="41"/>
  <c r="M349" i="41"/>
  <c r="N341" i="41"/>
  <c r="N342" i="41"/>
  <c r="N344" i="41"/>
  <c r="N346" i="41"/>
  <c r="N347" i="41"/>
  <c r="N349" i="41"/>
  <c r="O341" i="41"/>
  <c r="O342" i="41"/>
  <c r="O344" i="41"/>
  <c r="O346" i="41"/>
  <c r="O347" i="41"/>
  <c r="O349" i="41"/>
  <c r="P341" i="41"/>
  <c r="P342" i="41"/>
  <c r="P344" i="41"/>
  <c r="P346" i="41"/>
  <c r="P347" i="41"/>
  <c r="P349" i="41"/>
  <c r="M348" i="41"/>
  <c r="N348" i="41"/>
  <c r="O348" i="41"/>
  <c r="P348" i="41"/>
  <c r="N327" i="41"/>
  <c r="N329" i="41"/>
  <c r="O327" i="41"/>
  <c r="O329" i="41"/>
  <c r="P327" i="41"/>
  <c r="P329" i="41"/>
  <c r="M322" i="41"/>
  <c r="Q125" i="1"/>
  <c r="M321" i="41"/>
  <c r="M323" i="41"/>
  <c r="N322" i="41"/>
  <c r="R125" i="1"/>
  <c r="N321" i="41"/>
  <c r="N323" i="41"/>
  <c r="O322" i="41"/>
  <c r="S125" i="1"/>
  <c r="O321" i="41"/>
  <c r="O323" i="41"/>
  <c r="P322" i="41"/>
  <c r="T125" i="1"/>
  <c r="P321" i="41"/>
  <c r="P323" i="41"/>
  <c r="M311" i="41"/>
  <c r="M310" i="41"/>
  <c r="M312" i="41"/>
  <c r="N311" i="41"/>
  <c r="N310" i="41"/>
  <c r="N312" i="41"/>
  <c r="O311" i="41"/>
  <c r="O310" i="41"/>
  <c r="O312" i="41"/>
  <c r="P311" i="41"/>
  <c r="P310" i="41"/>
  <c r="P312" i="41"/>
  <c r="R48" i="20"/>
  <c r="R20" i="20"/>
  <c r="R50" i="20"/>
  <c r="Q48" i="20"/>
  <c r="Q20" i="20"/>
  <c r="Q50" i="20"/>
  <c r="R53" i="20"/>
  <c r="Q53" i="20"/>
  <c r="S48" i="20"/>
  <c r="S20" i="20"/>
  <c r="S50" i="20"/>
  <c r="S53" i="20"/>
  <c r="J47" i="40"/>
  <c r="K47" i="40"/>
  <c r="L47" i="40"/>
  <c r="M47" i="40"/>
  <c r="J60" i="40"/>
  <c r="J61" i="40"/>
  <c r="K60" i="40"/>
  <c r="K61" i="40"/>
  <c r="L60" i="40"/>
  <c r="L61" i="40"/>
  <c r="M60" i="40"/>
  <c r="M61" i="40"/>
  <c r="J45" i="40"/>
  <c r="J62" i="40"/>
  <c r="K45" i="40"/>
  <c r="K62" i="40"/>
  <c r="L45" i="40"/>
  <c r="L62" i="40"/>
  <c r="M45" i="40"/>
  <c r="M62" i="40"/>
  <c r="J55" i="40"/>
  <c r="J56" i="40"/>
  <c r="K55" i="40"/>
  <c r="K56" i="40"/>
  <c r="L55" i="40"/>
  <c r="L56" i="40"/>
  <c r="M55" i="40"/>
  <c r="M56" i="40"/>
  <c r="J57" i="40"/>
  <c r="K57" i="40"/>
  <c r="L57" i="40"/>
  <c r="M57" i="40"/>
  <c r="J50" i="40"/>
  <c r="J51" i="40"/>
  <c r="K50" i="40"/>
  <c r="K51" i="40"/>
  <c r="L50" i="40"/>
  <c r="L51" i="40"/>
  <c r="M50" i="40"/>
  <c r="M51" i="40"/>
  <c r="J52" i="40"/>
  <c r="K52" i="40"/>
  <c r="L52" i="40"/>
  <c r="M52" i="40"/>
  <c r="J48" i="40"/>
  <c r="K48" i="40"/>
  <c r="L48" i="40"/>
  <c r="M48" i="40"/>
  <c r="J49" i="40"/>
  <c r="K49" i="40"/>
  <c r="L49" i="40"/>
  <c r="M49" i="40"/>
  <c r="J46" i="40"/>
  <c r="K46" i="40"/>
  <c r="L46" i="40"/>
  <c r="M46" i="40"/>
  <c r="Q98" i="1"/>
  <c r="J59" i="40"/>
  <c r="R98" i="1"/>
  <c r="K59" i="40"/>
  <c r="S98" i="1"/>
  <c r="L59" i="40"/>
  <c r="T98" i="1"/>
  <c r="M59" i="40"/>
  <c r="J58" i="40"/>
  <c r="K58" i="40"/>
  <c r="L58" i="40"/>
  <c r="M58" i="40"/>
  <c r="K53" i="40"/>
  <c r="L53" i="40"/>
  <c r="M53" i="40"/>
  <c r="Q46" i="20"/>
  <c r="J39" i="40"/>
  <c r="R46" i="20"/>
  <c r="K39" i="40"/>
  <c r="S46" i="20"/>
  <c r="L39" i="40"/>
  <c r="T46" i="20"/>
  <c r="M39" i="40"/>
  <c r="J36" i="40"/>
  <c r="K36" i="40"/>
  <c r="L36" i="40"/>
  <c r="M36" i="40"/>
  <c r="Q41" i="20"/>
  <c r="J29" i="40"/>
  <c r="R41" i="20"/>
  <c r="K29" i="40"/>
  <c r="S41" i="20"/>
  <c r="L29" i="40"/>
  <c r="T41" i="20"/>
  <c r="M29" i="40"/>
  <c r="J26" i="40"/>
  <c r="K26" i="40"/>
  <c r="L26" i="40"/>
  <c r="M26" i="40"/>
  <c r="Q36" i="20"/>
  <c r="J19" i="40"/>
  <c r="R36" i="20"/>
  <c r="K19" i="40"/>
  <c r="S36" i="20"/>
  <c r="L19" i="40"/>
  <c r="T36" i="20"/>
  <c r="M19" i="40"/>
  <c r="J16" i="40"/>
  <c r="K16" i="40"/>
  <c r="L16" i="40"/>
  <c r="M16" i="40"/>
  <c r="Q31" i="20"/>
  <c r="J9" i="40"/>
  <c r="R31" i="20"/>
  <c r="K9" i="40"/>
  <c r="S31" i="20"/>
  <c r="L9" i="40"/>
  <c r="T31" i="20"/>
  <c r="M9" i="40"/>
  <c r="J6" i="40"/>
  <c r="K6" i="40"/>
  <c r="L6" i="40"/>
  <c r="M6" i="40"/>
  <c r="Q11" i="1"/>
  <c r="R11" i="1"/>
  <c r="S11" i="1"/>
  <c r="T11" i="1"/>
  <c r="U11" i="1"/>
  <c r="V11" i="1"/>
  <c r="W11" i="1"/>
  <c r="X11" i="1"/>
  <c r="Y11" i="1"/>
  <c r="Z11" i="1"/>
  <c r="AA11" i="1"/>
  <c r="AB11" i="1"/>
  <c r="AC11" i="1"/>
  <c r="AD11" i="1"/>
  <c r="AD15" i="20"/>
  <c r="S80" i="39"/>
  <c r="S81" i="39"/>
  <c r="S86" i="39"/>
  <c r="AC15" i="20"/>
  <c r="R80" i="39"/>
  <c r="R81" i="39"/>
  <c r="R86" i="39"/>
  <c r="AB15" i="20"/>
  <c r="Q80" i="39"/>
  <c r="Q81" i="39"/>
  <c r="Q86" i="39"/>
  <c r="AA15" i="20"/>
  <c r="P80" i="39"/>
  <c r="P81" i="39"/>
  <c r="P86" i="39"/>
  <c r="S50" i="39"/>
  <c r="S52" i="39"/>
  <c r="S54" i="39"/>
  <c r="AD11" i="20"/>
  <c r="S56" i="39"/>
  <c r="S57" i="39"/>
  <c r="S62" i="39"/>
  <c r="R50" i="39"/>
  <c r="R52" i="39"/>
  <c r="R54" i="39"/>
  <c r="AC11" i="20"/>
  <c r="R56" i="39"/>
  <c r="R57" i="39"/>
  <c r="R62" i="39"/>
  <c r="Q50" i="39"/>
  <c r="Q52" i="39"/>
  <c r="Q54" i="39"/>
  <c r="AB11" i="20"/>
  <c r="Q56" i="39"/>
  <c r="Q57" i="39"/>
  <c r="Q62" i="39"/>
  <c r="P50" i="39"/>
  <c r="P52" i="39"/>
  <c r="P54" i="39"/>
  <c r="AA11" i="20"/>
  <c r="P56" i="39"/>
  <c r="P57" i="39"/>
  <c r="P62" i="39"/>
  <c r="AA7" i="20"/>
  <c r="P32" i="39"/>
  <c r="P33" i="39"/>
  <c r="P38" i="39"/>
  <c r="AB7" i="20"/>
  <c r="Q32" i="39"/>
  <c r="Q33" i="39"/>
  <c r="Q38" i="39"/>
  <c r="AC7" i="20"/>
  <c r="R32" i="39"/>
  <c r="R33" i="39"/>
  <c r="R38" i="39"/>
  <c r="AD7" i="20"/>
  <c r="S32" i="39"/>
  <c r="S33" i="39"/>
  <c r="S38" i="39"/>
  <c r="F14" i="39"/>
  <c r="G14" i="39"/>
  <c r="H14" i="39"/>
  <c r="I14" i="39"/>
  <c r="J14" i="39"/>
  <c r="K14" i="39"/>
  <c r="L14" i="39"/>
  <c r="M14" i="39"/>
  <c r="N14" i="39"/>
  <c r="O14" i="39"/>
  <c r="P14" i="39"/>
  <c r="Q14" i="39"/>
  <c r="R14" i="39"/>
  <c r="S14" i="39"/>
  <c r="Q42" i="20"/>
  <c r="R42" i="20"/>
  <c r="S42" i="20"/>
  <c r="T48" i="20"/>
  <c r="T42" i="20"/>
  <c r="Q37" i="20"/>
  <c r="R37" i="20"/>
  <c r="S37" i="20"/>
  <c r="T37" i="20"/>
  <c r="Q32" i="20"/>
  <c r="R32" i="20"/>
  <c r="S32" i="20"/>
  <c r="T32" i="20"/>
  <c r="Q16" i="20"/>
  <c r="R16" i="20"/>
  <c r="S16" i="20"/>
  <c r="T20" i="20"/>
  <c r="T16" i="20"/>
  <c r="Q12" i="20"/>
  <c r="R12" i="20"/>
  <c r="S12" i="20"/>
  <c r="T12" i="20"/>
  <c r="Q8" i="20"/>
  <c r="R8" i="20"/>
  <c r="S8" i="20"/>
  <c r="T8" i="20"/>
  <c r="Y33" i="1"/>
  <c r="Y34" i="1"/>
  <c r="Y10" i="1"/>
  <c r="X19" i="2"/>
  <c r="W19" i="2"/>
  <c r="X7" i="6"/>
  <c r="X20" i="2"/>
  <c r="W20" i="2"/>
  <c r="X8" i="6"/>
  <c r="X49" i="2"/>
  <c r="W49" i="2"/>
  <c r="X11" i="6"/>
  <c r="X18" i="6"/>
  <c r="W7" i="6"/>
  <c r="W8" i="6"/>
  <c r="V49" i="2"/>
  <c r="W11" i="6"/>
  <c r="W18" i="6"/>
  <c r="V7" i="6"/>
  <c r="V8" i="6"/>
  <c r="U49" i="2"/>
  <c r="V11" i="6"/>
  <c r="V18" i="6"/>
  <c r="V33" i="1"/>
  <c r="W33" i="1"/>
  <c r="X33" i="1"/>
  <c r="Z33" i="1"/>
  <c r="AA33" i="1"/>
  <c r="AB33" i="1"/>
  <c r="AC33" i="1"/>
  <c r="AD33" i="1"/>
  <c r="U34" i="1"/>
  <c r="V34" i="1"/>
  <c r="W34" i="1"/>
  <c r="X34" i="1"/>
  <c r="Z34" i="1"/>
  <c r="AA34" i="1"/>
  <c r="AB34" i="1"/>
  <c r="AC34" i="1"/>
  <c r="AD34" i="1"/>
  <c r="U10" i="1"/>
  <c r="V10" i="1"/>
  <c r="W10" i="1"/>
  <c r="X10" i="1"/>
  <c r="Z10" i="1"/>
  <c r="AA10" i="1"/>
  <c r="AB10" i="1"/>
  <c r="AC10" i="1"/>
  <c r="AD10" i="1"/>
  <c r="R10" i="1"/>
  <c r="S10" i="1"/>
  <c r="T10" i="1"/>
  <c r="Q10" i="1"/>
  <c r="U61" i="30"/>
  <c r="V61" i="30"/>
  <c r="W61" i="30"/>
  <c r="X61" i="30"/>
  <c r="Y61" i="30"/>
  <c r="Z61" i="30"/>
  <c r="AA61" i="30"/>
  <c r="AB61" i="30"/>
  <c r="AC61" i="30"/>
  <c r="AD61" i="30"/>
  <c r="V57" i="30"/>
  <c r="W57" i="30"/>
  <c r="X57" i="30"/>
  <c r="Y57" i="30"/>
  <c r="Z57" i="30"/>
  <c r="AA57" i="30"/>
  <c r="AB57" i="30"/>
  <c r="AC57" i="30"/>
  <c r="AD57" i="30"/>
  <c r="Q54" i="30"/>
  <c r="R54" i="30"/>
  <c r="S54" i="30"/>
  <c r="T54" i="30"/>
  <c r="U54" i="30"/>
  <c r="V54" i="30"/>
  <c r="W54" i="30"/>
  <c r="X54" i="30"/>
  <c r="Y54" i="30"/>
  <c r="Z54" i="30"/>
  <c r="AA54" i="30"/>
  <c r="AB54" i="30"/>
  <c r="AC54" i="30"/>
  <c r="AD54" i="30"/>
  <c r="Q51" i="30"/>
  <c r="R51" i="30"/>
  <c r="S51" i="30"/>
  <c r="T51" i="30"/>
  <c r="U51" i="30"/>
  <c r="V51" i="30"/>
  <c r="W51" i="30"/>
  <c r="X51" i="30"/>
  <c r="Y51" i="30"/>
  <c r="Z51" i="30"/>
  <c r="AA51" i="30"/>
  <c r="AB51" i="30"/>
  <c r="AC51" i="30"/>
  <c r="AD51" i="30"/>
  <c r="Q83" i="20"/>
  <c r="R83" i="20"/>
  <c r="S83" i="20"/>
  <c r="T83" i="20"/>
  <c r="U83" i="20"/>
  <c r="V83" i="20"/>
  <c r="W83" i="20"/>
  <c r="X83" i="20"/>
  <c r="Y83" i="20"/>
  <c r="Z83" i="20"/>
  <c r="AA83" i="20"/>
  <c r="AB83" i="20"/>
  <c r="AC83" i="20"/>
  <c r="AD83" i="20"/>
  <c r="Q71" i="20"/>
  <c r="R71" i="20"/>
  <c r="S71" i="20"/>
  <c r="T71" i="20"/>
  <c r="U71" i="20"/>
  <c r="V71" i="20"/>
  <c r="W71" i="20"/>
  <c r="X71" i="20"/>
  <c r="Y71" i="20"/>
  <c r="Z71" i="20"/>
  <c r="AA71" i="20"/>
  <c r="AB71" i="20"/>
  <c r="AC71" i="20"/>
  <c r="AD71" i="20"/>
  <c r="U54" i="20"/>
  <c r="V54" i="20"/>
  <c r="W54" i="20"/>
  <c r="X54" i="20"/>
  <c r="Y54" i="20"/>
  <c r="Z54" i="20"/>
  <c r="AA54" i="20"/>
  <c r="AB54" i="20"/>
  <c r="AC54" i="20"/>
  <c r="AD54" i="20"/>
  <c r="U53" i="20"/>
  <c r="V53" i="20"/>
  <c r="W53" i="20"/>
  <c r="X53" i="20"/>
  <c r="Y53" i="20"/>
  <c r="Z53" i="20"/>
  <c r="AA53" i="20"/>
  <c r="AB53" i="20"/>
  <c r="AC53" i="20"/>
  <c r="AD53" i="20"/>
  <c r="V52" i="20"/>
  <c r="W52" i="20"/>
  <c r="X52" i="20"/>
  <c r="Y52" i="20"/>
  <c r="Z52" i="20"/>
  <c r="AA52" i="20"/>
  <c r="AB52" i="20"/>
  <c r="AC52" i="20"/>
  <c r="AD52" i="20"/>
  <c r="Q49" i="20"/>
  <c r="R49" i="20"/>
  <c r="S49" i="20"/>
  <c r="T49" i="20"/>
  <c r="U48" i="20"/>
  <c r="U49" i="20"/>
  <c r="V48" i="20"/>
  <c r="V49" i="20"/>
  <c r="W48" i="20"/>
  <c r="W49" i="20"/>
  <c r="X48" i="20"/>
  <c r="X49" i="20"/>
  <c r="Y48" i="20"/>
  <c r="Y49" i="20"/>
  <c r="Z48" i="20"/>
  <c r="Z49" i="20"/>
  <c r="AA48" i="20"/>
  <c r="AA49" i="20"/>
  <c r="AB48" i="20"/>
  <c r="AB49" i="20"/>
  <c r="AC48" i="20"/>
  <c r="AC49" i="20"/>
  <c r="AD48" i="20"/>
  <c r="AD49" i="20"/>
  <c r="T50" i="20"/>
  <c r="U20" i="20"/>
  <c r="U50" i="20"/>
  <c r="V20" i="20"/>
  <c r="V50" i="20"/>
  <c r="W20" i="20"/>
  <c r="W50" i="20"/>
  <c r="X20" i="20"/>
  <c r="X50" i="20"/>
  <c r="Y20" i="20"/>
  <c r="Y50" i="20"/>
  <c r="Z20" i="20"/>
  <c r="Z50" i="20"/>
  <c r="AA20" i="20"/>
  <c r="AA50" i="20"/>
  <c r="AB20" i="20"/>
  <c r="AB50" i="20"/>
  <c r="AC20" i="20"/>
  <c r="AC50" i="20"/>
  <c r="AD20" i="20"/>
  <c r="AD50" i="20"/>
  <c r="U46" i="20"/>
  <c r="V46" i="20"/>
  <c r="W46" i="20"/>
  <c r="X46" i="20"/>
  <c r="Y46" i="20"/>
  <c r="Z46" i="20"/>
  <c r="AA46" i="20"/>
  <c r="AB46" i="20"/>
  <c r="AC46" i="20"/>
  <c r="AD46" i="20"/>
  <c r="U41" i="20"/>
  <c r="V41" i="20"/>
  <c r="W41" i="20"/>
  <c r="X41" i="20"/>
  <c r="Y41" i="20"/>
  <c r="Z41" i="20"/>
  <c r="AA41" i="20"/>
  <c r="AB41" i="20"/>
  <c r="AC41" i="20"/>
  <c r="AD41" i="20"/>
  <c r="U36" i="20"/>
  <c r="V36" i="20"/>
  <c r="W36" i="20"/>
  <c r="X36" i="20"/>
  <c r="Y36" i="20"/>
  <c r="Z36" i="20"/>
  <c r="AA36" i="20"/>
  <c r="AB36" i="20"/>
  <c r="AC36" i="20"/>
  <c r="AD36" i="20"/>
  <c r="U31" i="20"/>
  <c r="V31" i="20"/>
  <c r="W31" i="20"/>
  <c r="X31" i="20"/>
  <c r="Y31" i="20"/>
  <c r="Z31" i="20"/>
  <c r="AA31" i="20"/>
  <c r="AB31" i="20"/>
  <c r="AC31" i="20"/>
  <c r="AD31" i="20"/>
  <c r="Q24" i="20"/>
  <c r="R24" i="20"/>
  <c r="S24" i="20"/>
  <c r="T24" i="20"/>
  <c r="U24" i="20"/>
  <c r="V24" i="20"/>
  <c r="W24" i="20"/>
  <c r="X24" i="20"/>
  <c r="Y24" i="20"/>
  <c r="Z24" i="20"/>
  <c r="AA24" i="20"/>
  <c r="AB24" i="20"/>
  <c r="AC24" i="20"/>
  <c r="AD24" i="20"/>
  <c r="Q23" i="20"/>
  <c r="R23" i="20"/>
  <c r="S23" i="20"/>
  <c r="T23" i="20"/>
  <c r="U23" i="20"/>
  <c r="V23" i="20"/>
  <c r="W23" i="20"/>
  <c r="X23" i="20"/>
  <c r="Y23" i="20"/>
  <c r="Z23" i="20"/>
  <c r="AA23" i="20"/>
  <c r="AB23" i="20"/>
  <c r="AC23" i="20"/>
  <c r="AD23" i="20"/>
  <c r="Q21" i="20"/>
  <c r="R21" i="20"/>
  <c r="S21" i="20"/>
  <c r="T21" i="20"/>
  <c r="U21" i="20"/>
  <c r="V21" i="20"/>
  <c r="W21" i="20"/>
  <c r="X21" i="20"/>
  <c r="Y21" i="20"/>
  <c r="Z21" i="20"/>
  <c r="AA21" i="20"/>
  <c r="AB21" i="20"/>
  <c r="AC21" i="20"/>
  <c r="AD21" i="20"/>
  <c r="U48" i="2"/>
  <c r="V48" i="2"/>
  <c r="W48" i="2"/>
  <c r="X48" i="2"/>
  <c r="Q6" i="6"/>
  <c r="R6" i="6"/>
  <c r="S6" i="6"/>
  <c r="T6" i="6"/>
  <c r="U6" i="6"/>
  <c r="V6" i="6"/>
  <c r="W6" i="6"/>
  <c r="X6" i="6"/>
  <c r="U52" i="20"/>
  <c r="T52" i="20"/>
  <c r="S52" i="20"/>
  <c r="R52" i="20"/>
  <c r="Q52" i="20"/>
  <c r="T53" i="20"/>
  <c r="T54" i="20"/>
  <c r="S54" i="20"/>
  <c r="R54" i="20"/>
  <c r="Q54" i="20"/>
  <c r="U33" i="1"/>
  <c r="T33" i="1"/>
  <c r="S33" i="1"/>
  <c r="R33" i="1"/>
  <c r="Q33" i="1"/>
  <c r="S93" i="1"/>
  <c r="Q93" i="1"/>
  <c r="R93" i="1"/>
  <c r="T93" i="1"/>
  <c r="U86" i="1"/>
  <c r="U91" i="1"/>
  <c r="U90" i="1"/>
  <c r="U93" i="1"/>
  <c r="V86" i="1"/>
  <c r="V91" i="1"/>
  <c r="V90" i="1"/>
  <c r="V93" i="1"/>
  <c r="W86" i="1"/>
  <c r="W91" i="1"/>
  <c r="W90" i="1"/>
  <c r="W93" i="1"/>
  <c r="X86" i="1"/>
  <c r="X91" i="1"/>
  <c r="X90" i="1"/>
  <c r="X93" i="1"/>
  <c r="Y86" i="1"/>
  <c r="Y91" i="1"/>
  <c r="Y90" i="1"/>
  <c r="Y93" i="1"/>
  <c r="Z86" i="1"/>
  <c r="Z91" i="1"/>
  <c r="Z90" i="1"/>
  <c r="Z93" i="1"/>
  <c r="AA86" i="1"/>
  <c r="AA91" i="1"/>
  <c r="AA90" i="1"/>
  <c r="AA93" i="1"/>
  <c r="AB86" i="1"/>
  <c r="AB91" i="1"/>
  <c r="AB90" i="1"/>
  <c r="AB93" i="1"/>
  <c r="AC86" i="1"/>
  <c r="AC91" i="1"/>
  <c r="AC90" i="1"/>
  <c r="AC93" i="1"/>
  <c r="AD86" i="1"/>
  <c r="AD91" i="1"/>
  <c r="AD90" i="1"/>
  <c r="AD93" i="1"/>
  <c r="Q138" i="1"/>
  <c r="R138" i="1"/>
  <c r="S138" i="1"/>
  <c r="T138" i="1"/>
  <c r="U103" i="1"/>
  <c r="U106" i="1"/>
  <c r="U138" i="1"/>
  <c r="V103" i="1"/>
  <c r="V106" i="1"/>
  <c r="V138" i="1"/>
  <c r="W103" i="1"/>
  <c r="W106" i="1"/>
  <c r="W138" i="1"/>
  <c r="X103" i="1"/>
  <c r="X106" i="1"/>
  <c r="X138" i="1"/>
  <c r="Y103" i="1"/>
  <c r="Y106" i="1"/>
  <c r="Y138" i="1"/>
  <c r="Z103" i="1"/>
  <c r="Z106" i="1"/>
  <c r="Z138" i="1"/>
  <c r="AA103" i="1"/>
  <c r="AA106" i="1"/>
  <c r="AA138" i="1"/>
  <c r="AB103" i="1"/>
  <c r="AB106" i="1"/>
  <c r="AB138" i="1"/>
  <c r="AC103" i="1"/>
  <c r="AC106" i="1"/>
  <c r="AC138" i="1"/>
  <c r="AD103" i="1"/>
  <c r="AD106" i="1"/>
  <c r="AD138" i="1"/>
  <c r="Q137" i="1"/>
  <c r="R137" i="1"/>
  <c r="S137" i="1"/>
  <c r="T137" i="1"/>
  <c r="U137" i="1"/>
  <c r="V137" i="1"/>
  <c r="W137" i="1"/>
  <c r="X137" i="1"/>
  <c r="Y137" i="1"/>
  <c r="Z137" i="1"/>
  <c r="AA137" i="1"/>
  <c r="AB137" i="1"/>
  <c r="AC137" i="1"/>
  <c r="AD137" i="1"/>
  <c r="Y129" i="1"/>
  <c r="Y134" i="1"/>
  <c r="Y107" i="1"/>
  <c r="Y97" i="1"/>
  <c r="Y98" i="1"/>
  <c r="Y99" i="1"/>
  <c r="V68" i="3"/>
  <c r="W68" i="3"/>
  <c r="X68" i="3"/>
  <c r="Y68" i="3"/>
  <c r="Z68" i="3"/>
  <c r="AA68" i="3"/>
  <c r="AB68" i="3"/>
  <c r="AC68" i="3"/>
  <c r="AD68" i="3"/>
  <c r="R68" i="3"/>
  <c r="S68" i="3"/>
  <c r="T68" i="3"/>
  <c r="U68" i="3"/>
  <c r="R129" i="1"/>
  <c r="R134" i="1"/>
  <c r="S129" i="1"/>
  <c r="S134" i="1"/>
  <c r="T129" i="1"/>
  <c r="T134" i="1"/>
  <c r="U129" i="1"/>
  <c r="U134" i="1"/>
  <c r="V129" i="1"/>
  <c r="V134" i="1"/>
  <c r="W129" i="1"/>
  <c r="W134" i="1"/>
  <c r="X129" i="1"/>
  <c r="X134" i="1"/>
  <c r="Z129" i="1"/>
  <c r="Z134" i="1"/>
  <c r="AA129" i="1"/>
  <c r="AA134" i="1"/>
  <c r="AB129" i="1"/>
  <c r="AB134" i="1"/>
  <c r="AC129" i="1"/>
  <c r="AC134" i="1"/>
  <c r="AD129" i="1"/>
  <c r="AD134" i="1"/>
  <c r="R107" i="1"/>
  <c r="S107" i="1"/>
  <c r="T107" i="1"/>
  <c r="U107" i="1"/>
  <c r="V107" i="1"/>
  <c r="W107" i="1"/>
  <c r="X107" i="1"/>
  <c r="Z107" i="1"/>
  <c r="AA107" i="1"/>
  <c r="AB107" i="1"/>
  <c r="AC107" i="1"/>
  <c r="AD107" i="1"/>
  <c r="R97" i="1"/>
  <c r="R99" i="1"/>
  <c r="S97" i="1"/>
  <c r="S99" i="1"/>
  <c r="T97" i="1"/>
  <c r="T99" i="1"/>
  <c r="U97" i="1"/>
  <c r="U98" i="1"/>
  <c r="U99" i="1"/>
  <c r="V97" i="1"/>
  <c r="V98" i="1"/>
  <c r="V99" i="1"/>
  <c r="W97" i="1"/>
  <c r="W98" i="1"/>
  <c r="W99" i="1"/>
  <c r="X97" i="1"/>
  <c r="X98" i="1"/>
  <c r="X99" i="1"/>
  <c r="Z97" i="1"/>
  <c r="Z98" i="1"/>
  <c r="Z99" i="1"/>
  <c r="AA97" i="1"/>
  <c r="AA98" i="1"/>
  <c r="AA99" i="1"/>
  <c r="AB97" i="1"/>
  <c r="AB98" i="1"/>
  <c r="AB99" i="1"/>
  <c r="AC97" i="1"/>
  <c r="AC98" i="1"/>
  <c r="AC99" i="1"/>
  <c r="AD97" i="1"/>
  <c r="AD98" i="1"/>
  <c r="AD99" i="1"/>
  <c r="Q68" i="3"/>
  <c r="Q129" i="1"/>
  <c r="Q134" i="1"/>
  <c r="Q107" i="1"/>
  <c r="AD95" i="30"/>
  <c r="Q117" i="6"/>
  <c r="Q119" i="6"/>
  <c r="R117" i="6"/>
  <c r="R119" i="6"/>
  <c r="S117" i="6"/>
  <c r="S119" i="6"/>
  <c r="T117" i="6"/>
  <c r="T119" i="6"/>
  <c r="U117" i="6"/>
  <c r="U119" i="6"/>
  <c r="V117" i="6"/>
  <c r="V119" i="6"/>
  <c r="W117" i="6"/>
  <c r="W119" i="6"/>
  <c r="X117" i="6"/>
  <c r="X119" i="6"/>
  <c r="Q7" i="6"/>
  <c r="Q8" i="6"/>
  <c r="Q10" i="6"/>
  <c r="Q11" i="6"/>
  <c r="Q16" i="6"/>
  <c r="R7" i="6"/>
  <c r="R8" i="6"/>
  <c r="R10" i="6"/>
  <c r="R11" i="6"/>
  <c r="R16" i="6"/>
  <c r="S7" i="6"/>
  <c r="S8" i="6"/>
  <c r="S10" i="6"/>
  <c r="S11" i="6"/>
  <c r="S16" i="6"/>
  <c r="T7" i="6"/>
  <c r="T8" i="6"/>
  <c r="T10" i="6"/>
  <c r="T11" i="6"/>
  <c r="T16" i="6"/>
  <c r="U7" i="6"/>
  <c r="U8" i="6"/>
  <c r="U10" i="6"/>
  <c r="U11" i="6"/>
  <c r="U16" i="6"/>
  <c r="V10" i="6"/>
  <c r="V16" i="6"/>
  <c r="W10" i="6"/>
  <c r="W16" i="6"/>
  <c r="X10" i="6"/>
  <c r="X16" i="6"/>
  <c r="Q97" i="1"/>
  <c r="Q99" i="1"/>
  <c r="U57" i="30"/>
  <c r="T57" i="30"/>
  <c r="S57" i="30"/>
  <c r="R57" i="30"/>
  <c r="Q57" i="30"/>
  <c r="Q18" i="6"/>
  <c r="R18" i="6"/>
  <c r="S18" i="6"/>
  <c r="T18" i="6"/>
  <c r="U18" i="6"/>
  <c r="Q56" i="20"/>
  <c r="Q57" i="20"/>
  <c r="R56" i="20"/>
  <c r="R57" i="20"/>
  <c r="S56" i="20"/>
  <c r="S57" i="20"/>
  <c r="T56" i="20"/>
  <c r="T57" i="20"/>
  <c r="U125" i="1"/>
  <c r="U56" i="20"/>
  <c r="U57" i="20"/>
  <c r="V125" i="1"/>
  <c r="V56" i="20"/>
  <c r="V57" i="20"/>
  <c r="W125" i="1"/>
  <c r="W56" i="20"/>
  <c r="W57" i="20"/>
  <c r="X125" i="1"/>
  <c r="X56" i="20"/>
  <c r="X57" i="20"/>
  <c r="Y125" i="1"/>
  <c r="Y56" i="20"/>
  <c r="Y57" i="20"/>
  <c r="Z125" i="1"/>
  <c r="Z56" i="20"/>
  <c r="Z57" i="20"/>
  <c r="AA125" i="1"/>
  <c r="AA56" i="20"/>
  <c r="AA57" i="20"/>
  <c r="AB125" i="1"/>
  <c r="AB56" i="20"/>
  <c r="AB57" i="20"/>
  <c r="AC125" i="1"/>
  <c r="AC56" i="20"/>
  <c r="AC57" i="20"/>
  <c r="AD125" i="1"/>
  <c r="AD56" i="20"/>
  <c r="AD57" i="20"/>
  <c r="R55" i="2"/>
  <c r="Q55" i="2"/>
  <c r="X18" i="2"/>
  <c r="X27" i="2"/>
  <c r="W18" i="2"/>
  <c r="W27" i="2"/>
  <c r="X54" i="2"/>
  <c r="X55" i="2"/>
  <c r="W54" i="2"/>
  <c r="W55" i="2"/>
  <c r="V54" i="2"/>
  <c r="V55" i="2"/>
  <c r="U54" i="2"/>
  <c r="U55" i="2"/>
  <c r="T55" i="2"/>
  <c r="S55" i="2"/>
  <c r="Y19" i="2"/>
  <c r="Y20" i="2"/>
  <c r="Y18" i="2"/>
  <c r="Y27" i="2"/>
  <c r="Y49" i="2"/>
  <c r="Y48" i="2"/>
  <c r="Y54" i="2"/>
  <c r="Y55" i="2"/>
  <c r="AD19" i="2"/>
  <c r="AD20" i="2"/>
  <c r="AD18" i="2"/>
  <c r="AD27" i="2"/>
  <c r="AD49" i="2"/>
  <c r="AD48" i="2"/>
  <c r="AD54" i="2"/>
  <c r="AD55" i="2"/>
  <c r="AC19" i="2"/>
  <c r="AC20" i="2"/>
  <c r="AC18" i="2"/>
  <c r="AC27" i="2"/>
  <c r="AC49" i="2"/>
  <c r="AC48" i="2"/>
  <c r="AC54" i="2"/>
  <c r="AC55" i="2"/>
  <c r="Z19" i="2"/>
  <c r="Z20" i="2"/>
  <c r="Z18" i="2"/>
  <c r="Z27" i="2"/>
  <c r="Z49" i="2"/>
  <c r="Z48" i="2"/>
  <c r="Z54" i="2"/>
  <c r="Z55" i="2"/>
  <c r="AA19" i="2"/>
  <c r="AA20" i="2"/>
  <c r="AA18" i="2"/>
  <c r="AA27" i="2"/>
  <c r="AA49" i="2"/>
  <c r="AA48" i="2"/>
  <c r="AA54" i="2"/>
  <c r="AA55" i="2"/>
  <c r="AB19" i="2"/>
  <c r="AB20" i="2"/>
  <c r="AB18" i="2"/>
  <c r="AB27" i="2"/>
  <c r="AB49" i="2"/>
  <c r="AB48" i="2"/>
  <c r="AB54" i="2"/>
  <c r="AB55" i="2"/>
  <c r="AD60" i="2"/>
  <c r="AC60" i="2"/>
  <c r="AB60" i="2"/>
  <c r="AA60" i="2"/>
  <c r="Z60" i="2"/>
  <c r="Y60" i="2"/>
  <c r="X60" i="2"/>
  <c r="W60" i="2"/>
  <c r="P361" i="41"/>
  <c r="P362" i="41"/>
  <c r="P364" i="41"/>
  <c r="P365" i="41"/>
  <c r="P366" i="41"/>
  <c r="O361" i="41"/>
  <c r="O362" i="41"/>
  <c r="O364" i="41"/>
  <c r="O365" i="41"/>
  <c r="O366" i="41"/>
  <c r="N361" i="41"/>
  <c r="N362" i="41"/>
  <c r="N364" i="41"/>
  <c r="N365" i="41"/>
  <c r="N366" i="41"/>
  <c r="M361" i="41"/>
  <c r="M362" i="41"/>
  <c r="M364" i="41"/>
  <c r="M365" i="41"/>
  <c r="M366" i="41"/>
  <c r="X108" i="20"/>
  <c r="W108" i="20"/>
  <c r="V108" i="20"/>
  <c r="U108" i="20"/>
  <c r="T108" i="20"/>
  <c r="S108" i="20"/>
  <c r="R108" i="20"/>
  <c r="Q108" i="20"/>
  <c r="AA19" i="20"/>
  <c r="P104" i="39"/>
  <c r="P105" i="39"/>
  <c r="P110" i="39"/>
  <c r="AB19" i="20"/>
  <c r="Q104" i="39"/>
  <c r="Q105" i="39"/>
  <c r="Q110" i="39"/>
  <c r="AC19" i="20"/>
  <c r="R104" i="39"/>
  <c r="R105" i="39"/>
  <c r="R110" i="39"/>
  <c r="AD19" i="20"/>
  <c r="S104" i="39"/>
  <c r="S105" i="39"/>
  <c r="S110" i="39"/>
  <c r="J123" i="39"/>
  <c r="J127" i="39"/>
  <c r="J126" i="39"/>
  <c r="J125" i="39"/>
  <c r="J124" i="39"/>
  <c r="Q128" i="37"/>
  <c r="R128" i="37"/>
  <c r="S128" i="37"/>
  <c r="T128" i="37"/>
  <c r="U128" i="37"/>
  <c r="V128" i="37"/>
  <c r="W128" i="37"/>
  <c r="X128" i="37"/>
  <c r="Y128" i="37"/>
  <c r="Z128" i="37"/>
  <c r="AA128" i="37"/>
  <c r="AB128" i="37"/>
  <c r="AC128" i="37"/>
  <c r="AD128" i="37"/>
  <c r="Q140" i="37"/>
  <c r="R140" i="37"/>
  <c r="S140" i="37"/>
  <c r="T140" i="37"/>
  <c r="U140" i="37"/>
  <c r="V140" i="37"/>
  <c r="W140" i="37"/>
  <c r="X140" i="37"/>
  <c r="Y140" i="37"/>
  <c r="Z140" i="37"/>
  <c r="AA140" i="37"/>
  <c r="AB140" i="37"/>
  <c r="AC140" i="37"/>
  <c r="AD140" i="37"/>
  <c r="Q10" i="20"/>
  <c r="R10" i="20"/>
  <c r="S10" i="20"/>
  <c r="X95" i="20"/>
  <c r="W95" i="20"/>
  <c r="V95" i="20"/>
  <c r="U95" i="20"/>
  <c r="T95" i="20"/>
  <c r="S95" i="20"/>
  <c r="R95" i="20"/>
  <c r="Q95" i="20"/>
  <c r="Q7" i="27"/>
  <c r="Q8" i="27"/>
  <c r="R7" i="27"/>
  <c r="R8" i="27"/>
  <c r="S8" i="27"/>
  <c r="AD10" i="20"/>
  <c r="AC10" i="20"/>
  <c r="AB10" i="20"/>
  <c r="AA10" i="20"/>
  <c r="Z10" i="20"/>
  <c r="Y10" i="20"/>
  <c r="X10" i="20"/>
  <c r="W10" i="20"/>
  <c r="V10" i="20"/>
  <c r="U10" i="20"/>
  <c r="T10" i="20"/>
  <c r="AD38" i="20"/>
  <c r="AC38" i="20"/>
  <c r="AB38" i="20"/>
  <c r="AA38" i="20"/>
  <c r="Z38" i="20"/>
  <c r="Y38" i="20"/>
  <c r="X38" i="20"/>
  <c r="W38" i="20"/>
  <c r="V38" i="20"/>
  <c r="U38" i="20"/>
  <c r="T38" i="20"/>
  <c r="AD35" i="20"/>
  <c r="AC35" i="20"/>
  <c r="AB35" i="20"/>
  <c r="AA35" i="20"/>
  <c r="Z35" i="20"/>
  <c r="Y35" i="20"/>
  <c r="X35" i="20"/>
  <c r="W35" i="20"/>
  <c r="V35" i="20"/>
  <c r="U35" i="20"/>
  <c r="T35" i="20"/>
  <c r="S35" i="20"/>
  <c r="R35" i="20"/>
  <c r="Q35" i="20"/>
  <c r="Q28" i="27"/>
  <c r="R28" i="27"/>
  <c r="S28" i="27"/>
  <c r="T28" i="27"/>
  <c r="U28" i="27"/>
  <c r="V28" i="27"/>
  <c r="W28" i="27"/>
  <c r="X28" i="27"/>
  <c r="Y28" i="27"/>
  <c r="Z28" i="27"/>
  <c r="AA28" i="27"/>
  <c r="AB28" i="27"/>
  <c r="AC28" i="27"/>
  <c r="AD28" i="27"/>
  <c r="Q6" i="27"/>
  <c r="AD6" i="27"/>
  <c r="AC6" i="27"/>
  <c r="AB6" i="27"/>
  <c r="AA6" i="27"/>
  <c r="Z6" i="27"/>
  <c r="Y6" i="27"/>
  <c r="X6" i="27"/>
  <c r="W6" i="27"/>
  <c r="V6" i="27"/>
  <c r="U6" i="27"/>
  <c r="T6" i="27"/>
  <c r="S6" i="27"/>
  <c r="R6" i="27"/>
  <c r="Q10" i="27"/>
  <c r="AD10" i="27"/>
  <c r="AC10" i="27"/>
  <c r="AB10" i="27"/>
  <c r="AA10" i="27"/>
  <c r="Z10" i="27"/>
  <c r="Y10" i="27"/>
  <c r="X10" i="27"/>
  <c r="W10" i="27"/>
  <c r="V10" i="27"/>
  <c r="U10" i="27"/>
  <c r="T10" i="27"/>
  <c r="S10" i="27"/>
  <c r="R10" i="27"/>
  <c r="AD11" i="27"/>
  <c r="AC11" i="27"/>
  <c r="AB11" i="27"/>
  <c r="AA11" i="27"/>
  <c r="Z11" i="27"/>
  <c r="Y11" i="27"/>
  <c r="X11" i="27"/>
  <c r="W11" i="27"/>
  <c r="V11" i="27"/>
  <c r="U11" i="27"/>
  <c r="T11" i="27"/>
  <c r="S11" i="27"/>
  <c r="R11" i="27"/>
  <c r="Q11" i="27"/>
  <c r="Q159" i="37"/>
  <c r="R159" i="37"/>
  <c r="S159" i="37"/>
  <c r="T159" i="37"/>
  <c r="U159" i="37"/>
  <c r="V159" i="37"/>
  <c r="W159" i="37"/>
  <c r="X159" i="37"/>
  <c r="Y159" i="37"/>
  <c r="Z159" i="37"/>
  <c r="AA159" i="37"/>
  <c r="AB159" i="37"/>
  <c r="AC159" i="37"/>
  <c r="AD159" i="37"/>
  <c r="AD165" i="37"/>
  <c r="AD161" i="37"/>
  <c r="AC165" i="37"/>
  <c r="AC161" i="37"/>
  <c r="AB165" i="37"/>
  <c r="AB161" i="37"/>
  <c r="AA165" i="37"/>
  <c r="AA161" i="37"/>
  <c r="Z165" i="37"/>
  <c r="Z161" i="37"/>
  <c r="Y165" i="37"/>
  <c r="Y161" i="37"/>
  <c r="X165" i="37"/>
  <c r="X161" i="37"/>
  <c r="W165" i="37"/>
  <c r="W161" i="37"/>
  <c r="V165" i="37"/>
  <c r="V161" i="37"/>
  <c r="U165" i="37"/>
  <c r="U161" i="37"/>
  <c r="T165" i="37"/>
  <c r="T161" i="37"/>
  <c r="S165" i="37"/>
  <c r="S161" i="37"/>
  <c r="R165" i="37"/>
  <c r="R161" i="37"/>
  <c r="Q165" i="37"/>
  <c r="Q161" i="37"/>
  <c r="AD164" i="37"/>
  <c r="AC164" i="37"/>
  <c r="AB164" i="37"/>
  <c r="AA164" i="37"/>
  <c r="Z164" i="37"/>
  <c r="Y164" i="37"/>
  <c r="X164" i="37"/>
  <c r="W164" i="37"/>
  <c r="V164" i="37"/>
  <c r="U164" i="37"/>
  <c r="T164" i="37"/>
  <c r="S164" i="37"/>
  <c r="R164" i="37"/>
  <c r="Q164" i="37"/>
  <c r="AD166" i="37"/>
  <c r="AC166" i="37"/>
  <c r="AB166" i="37"/>
  <c r="AA166" i="37"/>
  <c r="Z166" i="37"/>
  <c r="Y166" i="37"/>
  <c r="X166" i="37"/>
  <c r="W166" i="37"/>
  <c r="V166" i="37"/>
  <c r="U166" i="37"/>
  <c r="T166" i="37"/>
  <c r="S166" i="37"/>
  <c r="R166" i="37"/>
  <c r="Q166" i="37"/>
  <c r="J14" i="40"/>
  <c r="J15" i="40"/>
  <c r="K14" i="40"/>
  <c r="K15" i="40"/>
  <c r="L14" i="40"/>
  <c r="L15" i="40"/>
  <c r="M14" i="40"/>
  <c r="M15" i="40"/>
  <c r="J17" i="40"/>
  <c r="J18" i="40"/>
  <c r="K17" i="40"/>
  <c r="K18" i="40"/>
  <c r="L17" i="40"/>
  <c r="L18" i="40"/>
  <c r="M17" i="40"/>
  <c r="M18" i="40"/>
  <c r="J20" i="40"/>
  <c r="K20" i="40"/>
  <c r="L20" i="40"/>
  <c r="M20" i="40"/>
  <c r="T275" i="41"/>
  <c r="S275" i="41"/>
  <c r="T276" i="41"/>
  <c r="R275" i="41"/>
  <c r="S276" i="41"/>
  <c r="Q275" i="41"/>
  <c r="R276" i="41"/>
  <c r="Q276" i="41"/>
  <c r="T277" i="41"/>
  <c r="S277" i="41"/>
  <c r="T278" i="41"/>
  <c r="R277" i="41"/>
  <c r="S278" i="41"/>
  <c r="Q277" i="41"/>
  <c r="R278" i="41"/>
  <c r="Q278" i="41"/>
  <c r="T279" i="41"/>
  <c r="S279" i="41"/>
  <c r="R279" i="41"/>
  <c r="Q279" i="41"/>
  <c r="AF9" i="20"/>
  <c r="F299" i="41"/>
  <c r="R38" i="20"/>
  <c r="Q38" i="20"/>
  <c r="S38" i="20"/>
  <c r="AF127" i="37"/>
  <c r="AF136" i="37"/>
  <c r="AF138" i="37"/>
  <c r="AF165" i="37"/>
  <c r="AF159" i="37"/>
  <c r="AF27" i="27"/>
  <c r="AD8" i="20"/>
  <c r="AC8" i="20"/>
  <c r="AB8" i="20"/>
  <c r="AA8" i="20"/>
  <c r="Z8" i="20"/>
  <c r="Y8" i="20"/>
  <c r="X8" i="20"/>
  <c r="W8" i="20"/>
  <c r="V8" i="20"/>
  <c r="U8" i="20"/>
  <c r="AD12" i="20"/>
  <c r="AC12" i="20"/>
  <c r="AB12" i="20"/>
  <c r="AA12" i="20"/>
  <c r="Z12" i="20"/>
  <c r="Y12" i="20"/>
  <c r="X12" i="20"/>
  <c r="W12" i="20"/>
  <c r="V12" i="20"/>
  <c r="U12" i="20"/>
  <c r="AD16" i="20"/>
  <c r="AC16" i="20"/>
  <c r="AB16" i="20"/>
  <c r="AA16" i="20"/>
  <c r="Z16" i="20"/>
  <c r="Y16" i="20"/>
  <c r="X16" i="20"/>
  <c r="W16" i="20"/>
  <c r="V16" i="20"/>
  <c r="U16" i="20"/>
  <c r="AD32" i="20"/>
  <c r="AC32" i="20"/>
  <c r="AB32" i="20"/>
  <c r="AA32" i="20"/>
  <c r="Z32" i="20"/>
  <c r="Y32" i="20"/>
  <c r="X32" i="20"/>
  <c r="W32" i="20"/>
  <c r="V32" i="20"/>
  <c r="U32" i="20"/>
  <c r="AD37" i="20"/>
  <c r="AC37" i="20"/>
  <c r="AB37" i="20"/>
  <c r="AA37" i="20"/>
  <c r="Z37" i="20"/>
  <c r="Y37" i="20"/>
  <c r="X37" i="20"/>
  <c r="W37" i="20"/>
  <c r="V37" i="20"/>
  <c r="U37" i="20"/>
  <c r="AD42" i="20"/>
  <c r="AC42" i="20"/>
  <c r="AB42" i="20"/>
  <c r="AA42" i="20"/>
  <c r="Z42" i="20"/>
  <c r="Y42" i="20"/>
  <c r="X42" i="20"/>
  <c r="W42" i="20"/>
  <c r="V42" i="20"/>
  <c r="U42" i="20"/>
  <c r="AF20" i="20"/>
  <c r="AF22" i="20"/>
  <c r="AF34" i="20"/>
  <c r="AF48" i="20"/>
  <c r="AF51" i="20"/>
  <c r="AD58" i="20"/>
  <c r="AC58" i="20"/>
  <c r="AD60" i="20"/>
  <c r="AB58" i="20"/>
  <c r="AC60" i="20"/>
  <c r="AA58" i="20"/>
  <c r="AB60" i="20"/>
  <c r="Z58" i="20"/>
  <c r="AA60" i="20"/>
  <c r="Y58" i="20"/>
  <c r="Z60" i="20"/>
  <c r="X58" i="20"/>
  <c r="Y60" i="20"/>
  <c r="W58" i="20"/>
  <c r="X60" i="20"/>
  <c r="V58" i="20"/>
  <c r="W60" i="20"/>
  <c r="U58" i="20"/>
  <c r="V60" i="20"/>
  <c r="T58" i="20"/>
  <c r="U60" i="20"/>
  <c r="S58" i="20"/>
  <c r="T60" i="20"/>
  <c r="R58" i="20"/>
  <c r="S60" i="20"/>
  <c r="Q58" i="20"/>
  <c r="R60" i="20"/>
  <c r="Q60" i="20"/>
  <c r="AD95" i="20"/>
  <c r="AC95" i="20"/>
  <c r="AB95" i="20"/>
  <c r="AA95" i="20"/>
  <c r="Z95" i="20"/>
  <c r="Y95" i="20"/>
  <c r="AD108" i="20"/>
  <c r="AC108" i="20"/>
  <c r="AB108" i="20"/>
  <c r="AA108" i="20"/>
  <c r="Z108" i="20"/>
  <c r="Y108" i="20"/>
  <c r="AD40" i="1"/>
  <c r="AC40" i="1"/>
  <c r="AB40" i="1"/>
  <c r="AA40" i="1"/>
  <c r="Z40" i="1"/>
  <c r="Y40" i="1"/>
  <c r="X40" i="1"/>
  <c r="W40" i="1"/>
  <c r="V40" i="1"/>
  <c r="U40" i="1"/>
  <c r="AD39" i="1"/>
  <c r="AC39" i="1"/>
  <c r="AB39" i="1"/>
  <c r="AA39" i="1"/>
  <c r="Z39" i="1"/>
  <c r="Y39" i="1"/>
  <c r="X39" i="1"/>
  <c r="W39" i="1"/>
  <c r="V39" i="1"/>
  <c r="U39" i="1"/>
  <c r="AD45" i="1"/>
  <c r="AC45" i="1"/>
  <c r="AB45" i="1"/>
  <c r="AA45" i="1"/>
  <c r="Z45" i="1"/>
  <c r="Y45" i="1"/>
  <c r="X45" i="1"/>
  <c r="W45" i="1"/>
  <c r="V45" i="1"/>
  <c r="U45" i="1"/>
  <c r="T45" i="1"/>
  <c r="S45" i="1"/>
  <c r="R45" i="1"/>
  <c r="Q45" i="1"/>
  <c r="AD44" i="1"/>
  <c r="AC44" i="1"/>
  <c r="AB44" i="1"/>
  <c r="AA44" i="1"/>
  <c r="Z44" i="1"/>
  <c r="Y44" i="1"/>
  <c r="X44" i="1"/>
  <c r="W44" i="1"/>
  <c r="V44" i="1"/>
  <c r="U44" i="1"/>
  <c r="T44" i="1"/>
  <c r="S44" i="1"/>
  <c r="R44" i="1"/>
  <c r="Q44" i="1"/>
  <c r="AD49" i="1"/>
  <c r="AC49" i="1"/>
  <c r="AB49" i="1"/>
  <c r="AA49" i="1"/>
  <c r="Z49" i="1"/>
  <c r="Y49" i="1"/>
  <c r="X49" i="1"/>
  <c r="W49" i="1"/>
  <c r="V49" i="1"/>
  <c r="U49" i="1"/>
  <c r="T49" i="1"/>
  <c r="S49" i="1"/>
  <c r="R49" i="1"/>
  <c r="Q49" i="1"/>
  <c r="AD61" i="1"/>
  <c r="AC61" i="1"/>
  <c r="AB61" i="1"/>
  <c r="AA61" i="1"/>
  <c r="Z61" i="1"/>
  <c r="Y61" i="1"/>
  <c r="X61" i="1"/>
  <c r="W61" i="1"/>
  <c r="V61" i="1"/>
  <c r="U61" i="1"/>
  <c r="T61" i="1"/>
  <c r="S61" i="1"/>
  <c r="R61" i="1"/>
  <c r="Q61" i="1"/>
  <c r="AD126" i="1"/>
  <c r="AC126" i="1"/>
  <c r="AB126" i="1"/>
  <c r="AA126" i="1"/>
  <c r="Z126" i="1"/>
  <c r="Y126" i="1"/>
  <c r="X126" i="1"/>
  <c r="W126" i="1"/>
  <c r="V126" i="1"/>
  <c r="U126" i="1"/>
  <c r="T126" i="1"/>
  <c r="S126" i="1"/>
  <c r="R126" i="1"/>
  <c r="Q126" i="1"/>
  <c r="AD123" i="1"/>
  <c r="AC123" i="1"/>
  <c r="AD124" i="1"/>
  <c r="AB123" i="1"/>
  <c r="AC124" i="1"/>
  <c r="AA123" i="1"/>
  <c r="AB124" i="1"/>
  <c r="Z123" i="1"/>
  <c r="AA124" i="1"/>
  <c r="Y123" i="1"/>
  <c r="Z124" i="1"/>
  <c r="X123" i="1"/>
  <c r="Y124" i="1"/>
  <c r="W123" i="1"/>
  <c r="X124" i="1"/>
  <c r="V123" i="1"/>
  <c r="W124" i="1"/>
  <c r="U123" i="1"/>
  <c r="V124" i="1"/>
  <c r="T123" i="1"/>
  <c r="U124" i="1"/>
  <c r="S123" i="1"/>
  <c r="T124" i="1"/>
  <c r="R123" i="1"/>
  <c r="S124" i="1"/>
  <c r="Q123" i="1"/>
  <c r="R124" i="1"/>
  <c r="Q124" i="1"/>
  <c r="AD121" i="1"/>
  <c r="AC121" i="1"/>
  <c r="AD122" i="1"/>
  <c r="AB121" i="1"/>
  <c r="AC122" i="1"/>
  <c r="AA121" i="1"/>
  <c r="AB122" i="1"/>
  <c r="Z121" i="1"/>
  <c r="AA122" i="1"/>
  <c r="Y121" i="1"/>
  <c r="Z122" i="1"/>
  <c r="X121" i="1"/>
  <c r="Y122" i="1"/>
  <c r="W121" i="1"/>
  <c r="X122" i="1"/>
  <c r="V121" i="1"/>
  <c r="W122" i="1"/>
  <c r="U121" i="1"/>
  <c r="V122" i="1"/>
  <c r="T121" i="1"/>
  <c r="U122" i="1"/>
  <c r="S121" i="1"/>
  <c r="T122" i="1"/>
  <c r="R121" i="1"/>
  <c r="S122" i="1"/>
  <c r="Q121" i="1"/>
  <c r="R122" i="1"/>
  <c r="Q122" i="1"/>
  <c r="AD119" i="1"/>
  <c r="AC119" i="1"/>
  <c r="AD120" i="1"/>
  <c r="AB119" i="1"/>
  <c r="AC120" i="1"/>
  <c r="AA119" i="1"/>
  <c r="AB120" i="1"/>
  <c r="Z119" i="1"/>
  <c r="AA120" i="1"/>
  <c r="Y119" i="1"/>
  <c r="Z120" i="1"/>
  <c r="X119" i="1"/>
  <c r="Y120" i="1"/>
  <c r="W119" i="1"/>
  <c r="X120" i="1"/>
  <c r="V119" i="1"/>
  <c r="W120" i="1"/>
  <c r="U119" i="1"/>
  <c r="V120" i="1"/>
  <c r="T119" i="1"/>
  <c r="U120" i="1"/>
  <c r="S119" i="1"/>
  <c r="T120" i="1"/>
  <c r="R119" i="1"/>
  <c r="S120" i="1"/>
  <c r="Q119" i="1"/>
  <c r="R120" i="1"/>
  <c r="Q120" i="1"/>
  <c r="L11" i="56"/>
  <c r="K11" i="56"/>
  <c r="J11" i="56"/>
  <c r="L23" i="56"/>
  <c r="L31" i="56"/>
  <c r="K23" i="56"/>
  <c r="K31" i="56"/>
  <c r="J23" i="56"/>
  <c r="J31" i="56"/>
  <c r="L9" i="56"/>
  <c r="L24" i="56"/>
  <c r="L32" i="56"/>
  <c r="K9" i="56"/>
  <c r="K24" i="56"/>
  <c r="K32" i="56"/>
  <c r="J9" i="56"/>
  <c r="J24" i="56"/>
  <c r="J32" i="56"/>
  <c r="L25" i="56"/>
  <c r="L33" i="56"/>
  <c r="K25" i="56"/>
  <c r="K33" i="56"/>
  <c r="J33" i="56"/>
  <c r="P105" i="20"/>
  <c r="P108" i="20"/>
  <c r="E101" i="39"/>
  <c r="E102" i="39"/>
  <c r="E105" i="39"/>
  <c r="E110" i="39"/>
  <c r="P84" i="20"/>
  <c r="P100" i="20"/>
  <c r="P96" i="20"/>
  <c r="P92" i="20"/>
  <c r="P106" i="20"/>
  <c r="Q107" i="20"/>
  <c r="P107" i="20"/>
  <c r="P37" i="30"/>
  <c r="P38" i="30"/>
  <c r="P80" i="20"/>
  <c r="P103" i="20"/>
  <c r="Q102" i="20"/>
  <c r="P102" i="20"/>
</calcChain>
</file>

<file path=xl/comments1.xml><?xml version="1.0" encoding="utf-8"?>
<comments xmlns="http://schemas.openxmlformats.org/spreadsheetml/2006/main">
  <authors>
    <author>Fausto Moura</author>
  </authors>
  <commentList>
    <comment ref="D61" authorId="0">
      <text>
        <r>
          <rPr>
            <b/>
            <sz val="9"/>
            <color indexed="81"/>
            <rFont val="Calibri"/>
            <family val="2"/>
          </rPr>
          <t>Fausto Moura:</t>
        </r>
        <r>
          <rPr>
            <sz val="9"/>
            <color indexed="81"/>
            <rFont val="Calibri"/>
            <family val="2"/>
          </rPr>
          <t xml:space="preserve">
Using all liabilities.</t>
        </r>
      </text>
    </comment>
  </commentList>
</comments>
</file>

<file path=xl/comments10.xml><?xml version="1.0" encoding="utf-8"?>
<comments xmlns="http://schemas.openxmlformats.org/spreadsheetml/2006/main">
  <authors>
    <author>Fausto Moura</author>
  </authors>
  <commentList>
    <comment ref="D4" authorId="0">
      <text>
        <r>
          <rPr>
            <b/>
            <sz val="9"/>
            <color indexed="81"/>
            <rFont val="Calibri"/>
            <family val="2"/>
          </rPr>
          <t>Fausto Moura:</t>
        </r>
        <r>
          <rPr>
            <sz val="9"/>
            <color indexed="81"/>
            <rFont val="Calibri"/>
            <family val="2"/>
          </rPr>
          <t xml:space="preserve">
"The Blue Continent Products (BCP) divisions is engaged in fishing, processing and trading of horse mackerel, hake and tuna. Its primary operating subsidiary are Blue Continent Products, Oceana International, Desert Diamond Fishing and Erongo Marine Enterprises in Namibia.</t>
        </r>
      </text>
    </comment>
    <comment ref="F4" authorId="0">
      <text>
        <r>
          <rPr>
            <b/>
            <sz val="9"/>
            <color indexed="81"/>
            <rFont val="Calibri"/>
            <family val="2"/>
          </rPr>
          <t>Fausto Moura:</t>
        </r>
        <r>
          <rPr>
            <sz val="9"/>
            <color indexed="81"/>
            <rFont val="Calibri"/>
            <family val="2"/>
          </rPr>
          <t xml:space="preserve">
This was a very goof year for this division.</t>
        </r>
      </text>
    </comment>
    <comment ref="F22" authorId="0">
      <text>
        <r>
          <rPr>
            <b/>
            <sz val="9"/>
            <color indexed="81"/>
            <rFont val="Calibri"/>
            <family val="2"/>
          </rPr>
          <t>Fausto Moura:</t>
        </r>
        <r>
          <rPr>
            <sz val="9"/>
            <color indexed="81"/>
            <rFont val="Calibri"/>
            <family val="2"/>
          </rPr>
          <t xml:space="preserve">
This was a very goof year for this division.</t>
        </r>
      </text>
    </comment>
    <comment ref="P25" authorId="0">
      <text>
        <r>
          <rPr>
            <b/>
            <sz val="9"/>
            <color indexed="81"/>
            <rFont val="Calibri"/>
            <family val="2"/>
          </rPr>
          <t>Fausto Moura:</t>
        </r>
        <r>
          <rPr>
            <sz val="9"/>
            <color indexed="81"/>
            <rFont val="Calibri"/>
            <family val="2"/>
          </rPr>
          <t xml:space="preserve">
Very commoditised business, with ST negative expecations about price evolution. However LT will tend to the conservative inflation target of 3% + zero pricing power.</t>
        </r>
      </text>
    </comment>
    <comment ref="P29" authorId="0">
      <text>
        <r>
          <rPr>
            <b/>
            <sz val="9"/>
            <color indexed="81"/>
            <rFont val="Calibri"/>
            <family val="2"/>
          </rPr>
          <t>Fausto Moura:</t>
        </r>
        <r>
          <rPr>
            <sz val="9"/>
            <color indexed="81"/>
            <rFont val="Calibri"/>
            <family val="2"/>
          </rPr>
          <t xml:space="preserve">
Decreasing margins due to higher costs incurred on the purchase of additional quota.</t>
        </r>
      </text>
    </comment>
    <comment ref="F31" authorId="0">
      <text>
        <r>
          <rPr>
            <b/>
            <sz val="9"/>
            <color indexed="81"/>
            <rFont val="Calibri"/>
            <family val="2"/>
          </rPr>
          <t>Fausto Moura:</t>
        </r>
        <r>
          <rPr>
            <sz val="9"/>
            <color indexed="81"/>
            <rFont val="Calibri"/>
            <family val="2"/>
          </rPr>
          <t xml:space="preserve">
This was a very goof year for this division.</t>
        </r>
      </text>
    </comment>
    <comment ref="P34" authorId="0">
      <text>
        <r>
          <rPr>
            <b/>
            <sz val="9"/>
            <color indexed="81"/>
            <rFont val="Calibri"/>
            <family val="2"/>
          </rPr>
          <t>Fausto Moura:</t>
        </r>
        <r>
          <rPr>
            <sz val="9"/>
            <color indexed="81"/>
            <rFont val="Calibri"/>
            <family val="2"/>
          </rPr>
          <t xml:space="preserve">
Stable prices, thus conservative SA inflation target of 3% plus close to zero pricing power.</t>
        </r>
      </text>
    </comment>
    <comment ref="P39" authorId="0">
      <text>
        <r>
          <rPr>
            <b/>
            <sz val="9"/>
            <color indexed="81"/>
            <rFont val="Calibri"/>
            <family val="2"/>
          </rPr>
          <t>Fausto Moura:</t>
        </r>
        <r>
          <rPr>
            <sz val="9"/>
            <color indexed="81"/>
            <rFont val="Calibri"/>
            <family val="2"/>
          </rPr>
          <t xml:space="preserve">
Margins are assumed to be stable.</t>
        </r>
      </text>
    </comment>
    <comment ref="D45" authorId="0">
      <text>
        <r>
          <rPr>
            <b/>
            <sz val="9"/>
            <color indexed="81"/>
            <rFont val="Calibri"/>
            <family val="2"/>
          </rPr>
          <t>Fausto Moura:</t>
        </r>
        <r>
          <rPr>
            <sz val="9"/>
            <color indexed="81"/>
            <rFont val="Calibri"/>
            <family val="2"/>
          </rPr>
          <t xml:space="preserve">
</t>
        </r>
        <r>
          <rPr>
            <b/>
            <u/>
            <sz val="9"/>
            <color indexed="81"/>
            <rFont val="Calibri"/>
          </rPr>
          <t>Horse Mackerel:</t>
        </r>
        <r>
          <rPr>
            <b/>
            <sz val="9"/>
            <color indexed="81"/>
            <rFont val="Calibri"/>
            <family val="2"/>
          </rPr>
          <t xml:space="preserve">
</t>
        </r>
        <r>
          <rPr>
            <sz val="9"/>
            <color indexed="81"/>
            <rFont val="Calibri"/>
            <family val="2"/>
          </rPr>
          <t xml:space="preserve">BCP operates a midwater trawl vessel in SA - Desert Diamoind (7628 gross tons) and two in Namibia - Desert Jevel (4407 gross tons) and Desert Rose (4407 gross tons). Both operate in their national waters.
The horse mackerel fishing season in both SA and Namibia runs from january to December each year. The Namibian midwater trawl TAC - Total Allowable Catch - for 2006 was 315000t (in 2005 it was 310000ft) and in SA it remained unchanged at 31500t.
Namibian quotas held by companies related with Oceana were 78701t in 2006, and 77215t in 2005. Oceana quota in SA was 5922t in 2006 and 5803t in 2005.
Demand for SA and Namibian frozen horse mackerel was strong and at good prices. </t>
        </r>
      </text>
    </comment>
    <comment ref="O45" authorId="0">
      <text>
        <r>
          <rPr>
            <b/>
            <sz val="9"/>
            <color indexed="81"/>
            <rFont val="Calibri"/>
            <family val="2"/>
          </rPr>
          <t>Fausto Moura:</t>
        </r>
        <r>
          <rPr>
            <sz val="9"/>
            <color indexed="81"/>
            <rFont val="Calibri"/>
            <family val="2"/>
          </rPr>
          <t xml:space="preserve">
"Horse mackerel is a pelagic species, usually found a depth of 100 to 200 metres, mostly over the continental shelf. It is high demand as an importance source of affordable proetein in Southern, Central and West Africa.
Oceana's horse mackerel fishing business is conducted through our subsidiaries Blue Continent Products (BCO) in South Africa and Erongo Marine Enterprises (Erongo) in Namibia. BCP harvests its fishing rights with a dedicated mid-water trawler, the Desert Diamond, while Erongo owned and operated three mid-water trawlers in Namibia during the financial year. 
Catches are processed at sea into frozen packs in the format required by target markets. All Oceana's vessels on each trio carry scientific observers or fisheries inspectos, who act as compliance observers. "</t>
        </r>
      </text>
    </comment>
    <comment ref="K53" authorId="0">
      <text>
        <r>
          <rPr>
            <b/>
            <sz val="9"/>
            <color indexed="81"/>
            <rFont val="Calibri"/>
            <family val="2"/>
          </rPr>
          <t>Fausto Moura:</t>
        </r>
        <r>
          <rPr>
            <sz val="9"/>
            <color indexed="81"/>
            <rFont val="Calibri"/>
            <family val="2"/>
          </rPr>
          <t xml:space="preserve">
Catches here take into account own and contracted quota, for the Desert Diamoind ship
</t>
        </r>
      </text>
    </comment>
    <comment ref="N55" authorId="0">
      <text>
        <r>
          <rPr>
            <b/>
            <sz val="9"/>
            <color indexed="81"/>
            <rFont val="Calibri"/>
            <family val="2"/>
          </rPr>
          <t>Fausto Moura:</t>
        </r>
        <r>
          <rPr>
            <sz val="9"/>
            <color indexed="81"/>
            <rFont val="Calibri"/>
            <family val="2"/>
          </rPr>
          <t xml:space="preserve">
Oceana has a major concern now about the sporadic catches experienced in their traditional fishing grounds. For example, the recent scarcity of horse mackerel on the Cape South East Coast.</t>
        </r>
      </text>
    </comment>
    <comment ref="O55" authorId="0">
      <text>
        <r>
          <rPr>
            <b/>
            <sz val="9"/>
            <color indexed="81"/>
            <rFont val="Calibri"/>
            <family val="2"/>
          </rPr>
          <t>Fausto Moura:</t>
        </r>
        <r>
          <rPr>
            <sz val="9"/>
            <color indexed="81"/>
            <rFont val="Calibri"/>
            <family val="2"/>
          </rPr>
          <t xml:space="preserve">
Scarcity of horse mackerel in their traditional fishing grounds on the Cape Southeast Coast.</t>
        </r>
      </text>
    </comment>
    <comment ref="M56" authorId="0">
      <text>
        <r>
          <rPr>
            <b/>
            <sz val="9"/>
            <color indexed="81"/>
            <rFont val="Calibri"/>
            <family val="2"/>
          </rPr>
          <t>Fausto Moura:</t>
        </r>
        <r>
          <rPr>
            <sz val="9"/>
            <color indexed="81"/>
            <rFont val="Calibri"/>
            <family val="2"/>
          </rPr>
          <t xml:space="preserve">
"Horse mackerel sales by volume from SA increased compared with the previous years. SA horse mackerek is sold principally into the Angolan and Cameroonian markets, which prefer larger sized fish with a higher fat content. 
Limited supply, together with strong demand, resulted in increased prices.</t>
        </r>
      </text>
    </comment>
    <comment ref="N56" authorId="0">
      <text>
        <r>
          <rPr>
            <b/>
            <sz val="9"/>
            <color indexed="81"/>
            <rFont val="Calibri"/>
            <family val="2"/>
          </rPr>
          <t>Fausto Moura:</t>
        </r>
        <r>
          <rPr>
            <sz val="9"/>
            <color indexed="81"/>
            <rFont val="Calibri"/>
            <family val="2"/>
          </rPr>
          <t xml:space="preserve">
"Catches in 2014 FY are well below 2013 levels due to abnormal environmental factors on the Cape Southeast Coast."</t>
        </r>
      </text>
    </comment>
    <comment ref="O56" authorId="0">
      <text>
        <r>
          <rPr>
            <b/>
            <sz val="9"/>
            <color indexed="81"/>
            <rFont val="Calibri"/>
            <family val="2"/>
          </rPr>
          <t>Fausto Moura:</t>
        </r>
        <r>
          <rPr>
            <sz val="9"/>
            <color indexed="81"/>
            <rFont val="Calibri"/>
            <family val="2"/>
          </rPr>
          <t xml:space="preserve">
 - Catch rates well below 2014 levels;
 - Continued scarcity;
 - 2015 quota is not likely to be fully catched;
 - Low volumes, higher lay-up costs, additional fuel consumed while searching for fish and weaker exchange rate &gt;&gt; higher sunk costs with vessels
 - Overall, the SA horse mackerel division contributed negatively to the growth of the division.</t>
        </r>
      </text>
    </comment>
    <comment ref="H58" authorId="0">
      <text>
        <r>
          <rPr>
            <b/>
            <sz val="9"/>
            <color indexed="81"/>
            <rFont val="Calibri"/>
            <family val="2"/>
          </rPr>
          <t>Fausto Moura:</t>
        </r>
        <r>
          <rPr>
            <sz val="9"/>
            <color indexed="81"/>
            <rFont val="Calibri"/>
            <family val="2"/>
          </rPr>
          <t xml:space="preserve">
Introduction of one more fishing vessel</t>
        </r>
      </text>
    </comment>
    <comment ref="O58" authorId="0">
      <text>
        <r>
          <rPr>
            <b/>
            <sz val="9"/>
            <color indexed="81"/>
            <rFont val="Calibri"/>
            <family val="2"/>
          </rPr>
          <t>Fausto Moura:</t>
        </r>
        <r>
          <rPr>
            <sz val="9"/>
            <color indexed="81"/>
            <rFont val="Calibri"/>
            <family val="2"/>
          </rPr>
          <t xml:space="preserve">
One of the vessels - Desert Rose - was put on sale, and it was actually sold &gt;&gt; Increasing operational efficiency.</t>
        </r>
      </text>
    </comment>
    <comment ref="G59" authorId="0">
      <text>
        <r>
          <rPr>
            <b/>
            <sz val="9"/>
            <color indexed="81"/>
            <rFont val="Calibri"/>
            <family val="2"/>
          </rPr>
          <t>Fausto Moura:</t>
        </r>
        <r>
          <rPr>
            <sz val="9"/>
            <color indexed="81"/>
            <rFont val="Calibri"/>
            <family val="2"/>
          </rPr>
          <t xml:space="preserve">
Expectactions for a reduction of TAC in 2008</t>
        </r>
      </text>
    </comment>
    <comment ref="M67" authorId="0">
      <text>
        <r>
          <rPr>
            <b/>
            <sz val="9"/>
            <color indexed="81"/>
            <rFont val="Calibri"/>
            <family val="2"/>
          </rPr>
          <t>Fausto Moura:</t>
        </r>
        <r>
          <rPr>
            <sz val="9"/>
            <color indexed="81"/>
            <rFont val="Calibri"/>
            <family val="2"/>
          </rPr>
          <t xml:space="preserve">
"The Namibian horse mackerek industry continues to be an extremely competitive environment since the introduction of new operators. (...)Namibian sales volume decreased compared to the previous years. Prices were variable, driven by supply dynamics."
Main markets are Congo, SA, Mozambique, souther Angola, Namibia, Zambia and Zimbabwe.</t>
        </r>
      </text>
    </comment>
    <comment ref="N67" authorId="0">
      <text>
        <r>
          <rPr>
            <b/>
            <sz val="9"/>
            <color indexed="81"/>
            <rFont val="Calibri"/>
            <family val="2"/>
          </rPr>
          <t>Fausto Moura:</t>
        </r>
        <r>
          <rPr>
            <sz val="9"/>
            <color indexed="81"/>
            <rFont val="Calibri"/>
            <family val="2"/>
          </rPr>
          <t xml:space="preserve">
The Ministry of Fisheries and Marine Resources continued the allocation of a further portion of quota to new right holders, a program which started 3 or 4 years ago. This resulted in a lower direct quota allocation, which in additional to a stronger competition from international vessel operators, increased the cost to secure quota.
Disregarding the fact that all vessels performed well during the years, the vessel costs per ton were higher due to the higher costs in securing quota and to a weaker exchange rate.</t>
        </r>
      </text>
    </comment>
    <comment ref="L68" authorId="0">
      <text>
        <r>
          <rPr>
            <b/>
            <sz val="9"/>
            <color indexed="81"/>
            <rFont val="Calibri"/>
            <family val="2"/>
          </rPr>
          <t>Fausto Moura:</t>
        </r>
        <r>
          <rPr>
            <sz val="9"/>
            <color indexed="81"/>
            <rFont val="Calibri"/>
            <family val="2"/>
          </rPr>
          <t xml:space="preserve">
"The horse mackerel business continued to produce good growth in spite of challenging fishing conditions in SA and changes in the allocation of fishing rights in Namibia."</t>
        </r>
      </text>
    </comment>
    <comment ref="L70" authorId="0">
      <text>
        <r>
          <rPr>
            <b/>
            <sz val="9"/>
            <color indexed="81"/>
            <rFont val="Calibri"/>
            <family val="2"/>
          </rPr>
          <t>Fausto Moura:</t>
        </r>
        <r>
          <rPr>
            <sz val="9"/>
            <color indexed="81"/>
            <rFont val="Calibri"/>
            <family val="2"/>
          </rPr>
          <t xml:space="preserve">
In South Africa, catches were well below 2011 levels due to a combination of poor fishing conditions in 2012 and a portion of the 2010 quota caught at the beginning of the 2011 FY. Contributing to this, the 2012 quota is unlikely to be fully caught due to lower catch rates in part motivated by higher water temperaturas on the east coast.
On the other hand, it was offset by a good performance in namibia.</t>
        </r>
      </text>
    </comment>
    <comment ref="O70" authorId="0">
      <text>
        <r>
          <rPr>
            <b/>
            <sz val="9"/>
            <color indexed="81"/>
            <rFont val="Calibri"/>
            <family val="2"/>
          </rPr>
          <t>Fausto Moura:</t>
        </r>
        <r>
          <rPr>
            <sz val="9"/>
            <color indexed="81"/>
            <rFont val="Calibri"/>
            <family val="2"/>
          </rPr>
          <t xml:space="preserve">
In SA, catch rates in FY2015 were well below FV2014 levels.</t>
        </r>
      </text>
    </comment>
    <comment ref="I71" authorId="0">
      <text>
        <r>
          <rPr>
            <b/>
            <sz val="9"/>
            <color indexed="81"/>
            <rFont val="Calibri"/>
            <family val="2"/>
          </rPr>
          <t>Fausto Moura:</t>
        </r>
        <r>
          <rPr>
            <sz val="9"/>
            <color indexed="81"/>
            <rFont val="Calibri"/>
            <family val="2"/>
          </rPr>
          <t xml:space="preserve">
Unnafected by global crisis
</t>
        </r>
      </text>
    </comment>
    <comment ref="L71" authorId="0">
      <text>
        <r>
          <rPr>
            <b/>
            <sz val="9"/>
            <color indexed="81"/>
            <rFont val="Calibri"/>
            <family val="2"/>
          </rPr>
          <t>Fausto Moura:</t>
        </r>
        <r>
          <rPr>
            <sz val="9"/>
            <color indexed="81"/>
            <rFont val="Calibri"/>
            <family val="2"/>
          </rPr>
          <t xml:space="preserve">
Sales Volume increased by 8% in total of division, compared with the prior year</t>
        </r>
      </text>
    </comment>
    <comment ref="L72" authorId="0">
      <text>
        <r>
          <rPr>
            <b/>
            <sz val="9"/>
            <color indexed="81"/>
            <rFont val="Calibri"/>
            <family val="2"/>
          </rPr>
          <t>Fausto Moura:</t>
        </r>
        <r>
          <rPr>
            <sz val="9"/>
            <color indexed="81"/>
            <rFont val="Calibri"/>
            <family val="2"/>
          </rPr>
          <t xml:space="preserve">
In SA, limited supply together with strong demand, resulted in increased prices.
In Namibia, due to a very competitve environmnent, there was a reduction in selling prices.</t>
        </r>
      </text>
    </comment>
    <comment ref="D74" authorId="0">
      <text>
        <r>
          <rPr>
            <b/>
            <sz val="9"/>
            <color indexed="81"/>
            <rFont val="Calibri"/>
            <family val="2"/>
          </rPr>
          <t>Fausto Moura:</t>
        </r>
        <r>
          <rPr>
            <sz val="9"/>
            <color indexed="81"/>
            <rFont val="Calibri"/>
            <family val="2"/>
          </rPr>
          <t xml:space="preserve">
</t>
        </r>
        <r>
          <rPr>
            <b/>
            <u/>
            <sz val="9"/>
            <color indexed="81"/>
            <rFont val="Calibri"/>
          </rPr>
          <t xml:space="preserve">Hake:
</t>
        </r>
        <r>
          <rPr>
            <sz val="9"/>
            <color indexed="81"/>
            <rFont val="Calibri"/>
            <family val="2"/>
          </rPr>
          <t>BCP's hake fishing operations are restricted to SA, where two deep sea trawl vessels - Compass Challenger (841gt) and Realeka (497gt).
These operations are conducted in four separate JVs.</t>
        </r>
      </text>
    </comment>
    <comment ref="O74" authorId="0">
      <text>
        <r>
          <rPr>
            <b/>
            <sz val="9"/>
            <color indexed="81"/>
            <rFont val="Calibri"/>
            <family val="2"/>
          </rPr>
          <t>Fausto Moura:</t>
        </r>
        <r>
          <rPr>
            <sz val="9"/>
            <color indexed="81"/>
            <rFont val="Calibri"/>
            <family val="2"/>
          </rPr>
          <t xml:space="preserve">
"Two speciies of hake are found in SA waters (...). Oceana predominantly targets the deep-water hake, which range from depths of 110 to 1000 m, with most of the stock located between 200 and 800m. On the west coast, the continental shelf is narrow and most trawling is in deep water. On the south coast, trawling is on the wide continental shelf. Oceana's hake business is conducted through BCP and Amawandle Hake. The 2015 deep sea trawl hake TAC decreased by 5% to 123020 tons. The hake deep-sea trawling fleet consists of five trawlers which supply H&amp;G hake to local and internationa markets in frozen form. There are also two wet-fish trawlers that preserve fresh hake on ice and return it to shore for processing and two land based facilities,.</t>
        </r>
      </text>
    </comment>
    <comment ref="L75" authorId="0">
      <text>
        <r>
          <rPr>
            <b/>
            <sz val="9"/>
            <color indexed="81"/>
            <rFont val="Calibri"/>
            <family val="2"/>
          </rPr>
          <t>Fausto Moura:</t>
        </r>
        <r>
          <rPr>
            <sz val="9"/>
            <color indexed="81"/>
            <rFont val="Calibri"/>
            <family val="2"/>
          </rPr>
          <t xml:space="preserve">
Two additional trawlers were acquired from the Lusitania Group in Sep 2012, together with 2398 tons of deep-sea trawl and 588 tons of inshore trawl quotas. The acquisiton was concluded late in 2012, so the effect will be noted afterwards and will scale the hake business
Moreover, Oceana sold in 2012, its small interest in the hake long-line sector, as the business was not generating acceptable returns.</t>
        </r>
      </text>
    </comment>
    <comment ref="M75" authorId="0">
      <text>
        <r>
          <rPr>
            <b/>
            <sz val="9"/>
            <color indexed="81"/>
            <rFont val="Calibri"/>
            <family val="2"/>
          </rPr>
          <t>Fausto Moura:</t>
        </r>
        <r>
          <rPr>
            <sz val="9"/>
            <color indexed="81"/>
            <rFont val="Calibri"/>
            <family val="2"/>
          </rPr>
          <t xml:space="preserve">
The group operates now four deep-sea trawlers - MFV Compass Challenger, MFV Realeka, MFV Sandile and MFV Toralla. The latter two were acquired from Lusitania and they are now 100% owned by BCP, which increased Oceana's quota and produce economies of scale</t>
        </r>
      </text>
    </comment>
    <comment ref="J77" authorId="0">
      <text>
        <r>
          <rPr>
            <b/>
            <sz val="9"/>
            <color indexed="81"/>
            <rFont val="Calibri"/>
            <family val="2"/>
          </rPr>
          <t>Fausto Moura:</t>
        </r>
        <r>
          <rPr>
            <sz val="9"/>
            <color indexed="81"/>
            <rFont val="Calibri"/>
            <family val="2"/>
          </rPr>
          <t xml:space="preserve">
Total of Oceana and JV Partners</t>
        </r>
      </text>
    </comment>
    <comment ref="M77" authorId="0">
      <text>
        <r>
          <rPr>
            <b/>
            <sz val="9"/>
            <color indexed="81"/>
            <rFont val="Calibri"/>
            <family val="2"/>
          </rPr>
          <t>Fausto Moura:</t>
        </r>
        <r>
          <rPr>
            <sz val="9"/>
            <color indexed="81"/>
            <rFont val="Calibri"/>
            <family val="2"/>
          </rPr>
          <t xml:space="preserve">
Motivated by the Lusitania acquisition.</t>
        </r>
      </text>
    </comment>
    <comment ref="J80" authorId="0">
      <text>
        <r>
          <rPr>
            <b/>
            <sz val="9"/>
            <color indexed="81"/>
            <rFont val="Calibri"/>
            <family val="2"/>
          </rPr>
          <t>Fausto Moura:</t>
        </r>
        <r>
          <rPr>
            <sz val="9"/>
            <color indexed="81"/>
            <rFont val="Calibri"/>
            <family val="2"/>
          </rPr>
          <t xml:space="preserve">
Total for Oceana and JV Partners</t>
        </r>
      </text>
    </comment>
    <comment ref="O82" authorId="0">
      <text>
        <r>
          <rPr>
            <b/>
            <sz val="9"/>
            <color indexed="81"/>
            <rFont val="Calibri"/>
            <family val="2"/>
          </rPr>
          <t>Fausto Moura:</t>
        </r>
        <r>
          <rPr>
            <sz val="9"/>
            <color indexed="81"/>
            <rFont val="Calibri"/>
            <family val="2"/>
          </rPr>
          <t xml:space="preserve">
This increase in the quota is due to the purchase of the Foodcorp deep sea trawl hake commercial fishing rights.</t>
        </r>
      </text>
    </comment>
    <comment ref="M88" authorId="0">
      <text>
        <r>
          <rPr>
            <b/>
            <sz val="9"/>
            <color indexed="81"/>
            <rFont val="Calibri"/>
            <family val="2"/>
          </rPr>
          <t>Fausto Moura:</t>
        </r>
        <r>
          <rPr>
            <sz val="9"/>
            <color indexed="81"/>
            <rFont val="Calibri"/>
            <family val="2"/>
          </rPr>
          <t xml:space="preserve">
"Oceana's hake business, which is housed in BCP and subsidiaries, experienced a very good year following the successful integration of the lusitania hake vessels and fishing rights."</t>
        </r>
      </text>
    </comment>
    <comment ref="J93" authorId="0">
      <text>
        <r>
          <rPr>
            <b/>
            <sz val="9"/>
            <color indexed="81"/>
            <rFont val="Calibri"/>
            <family val="2"/>
          </rPr>
          <t>Fausto Moura:</t>
        </r>
        <r>
          <rPr>
            <sz val="9"/>
            <color indexed="81"/>
            <rFont val="Calibri"/>
            <family val="2"/>
          </rPr>
          <t xml:space="preserve">
Recession in Western Europe, which affected the two main export partners, Portugal and Spain</t>
        </r>
      </text>
    </comment>
    <comment ref="L94" authorId="0">
      <text>
        <r>
          <rPr>
            <b/>
            <sz val="9"/>
            <color indexed="81"/>
            <rFont val="Calibri"/>
            <family val="2"/>
          </rPr>
          <t>Fausto Moura:</t>
        </r>
        <r>
          <rPr>
            <sz val="9"/>
            <color indexed="81"/>
            <rFont val="Calibri"/>
            <family val="2"/>
          </rPr>
          <t xml:space="preserve">
A favourable rand/euro exchange rate made Oceana's products more attractive to export markets, mainly to those of Spain, Portugal, Netherlands, Australia and Korea. Exports increased to 86% of sales revenue, comparing with 75% in 2011.</t>
        </r>
      </text>
    </comment>
    <comment ref="M94" authorId="0">
      <text>
        <r>
          <rPr>
            <b/>
            <sz val="9"/>
            <color indexed="81"/>
            <rFont val="Calibri"/>
            <family val="2"/>
          </rPr>
          <t>Fausto Moura:</t>
        </r>
        <r>
          <rPr>
            <sz val="9"/>
            <color indexed="81"/>
            <rFont val="Calibri"/>
            <family val="2"/>
          </rPr>
          <t xml:space="preserve">
"The favourable Rand/Eur exchange rate made Oceana's product very attractive to its export markets." - Spain, Portugal, Italy, Australia and Korea.</t>
        </r>
      </text>
    </comment>
    <comment ref="N94" authorId="0">
      <text>
        <r>
          <rPr>
            <b/>
            <sz val="9"/>
            <color indexed="81"/>
            <rFont val="Calibri"/>
            <family val="2"/>
          </rPr>
          <t>Fausto Moura:</t>
        </r>
        <r>
          <rPr>
            <sz val="9"/>
            <color indexed="81"/>
            <rFont val="Calibri"/>
            <family val="2"/>
          </rPr>
          <t xml:space="preserve">
"The favourable rand/eur exchange rate made Oceana's product very attractive to its export markets, and as results the prices achieved locally and abroad in 2014 were considerably better than 2013."</t>
        </r>
      </text>
    </comment>
  </commentList>
</comments>
</file>

<file path=xl/comments11.xml><?xml version="1.0" encoding="utf-8"?>
<comments xmlns="http://schemas.openxmlformats.org/spreadsheetml/2006/main">
  <authors>
    <author>Fausto Moura</author>
  </authors>
  <commentList>
    <comment ref="D4" authorId="0">
      <text>
        <r>
          <rPr>
            <b/>
            <sz val="9"/>
            <color indexed="81"/>
            <rFont val="Calibri"/>
            <family val="2"/>
          </rPr>
          <t>Fausto Moura:</t>
        </r>
        <r>
          <rPr>
            <sz val="9"/>
            <color indexed="81"/>
            <rFont val="Calibri"/>
            <family val="2"/>
          </rPr>
          <t xml:space="preserve">
Cold-Room Occupancy levels and inbound pallet volumes are the key performance drivers in this business.</t>
        </r>
      </text>
    </comment>
    <comment ref="P7" authorId="0">
      <text>
        <r>
          <rPr>
            <b/>
            <sz val="9"/>
            <color indexed="81"/>
            <rFont val="Calibri"/>
            <family val="2"/>
          </rPr>
          <t>Fausto Moura:</t>
        </r>
        <r>
          <rPr>
            <sz val="9"/>
            <color indexed="81"/>
            <rFont val="Calibri"/>
            <family val="2"/>
          </rPr>
          <t xml:space="preserve">
ST pricing power due to higher need of food producer to keep inventories, due to depressed consumer demand. LT will tend to SA inflation target plus a pricing power of 1%.</t>
        </r>
      </text>
    </comment>
    <comment ref="P13" authorId="0">
      <text>
        <r>
          <rPr>
            <b/>
            <sz val="9"/>
            <color indexed="81"/>
            <rFont val="Calibri"/>
            <family val="2"/>
          </rPr>
          <t>Fausto Moura:</t>
        </r>
        <r>
          <rPr>
            <sz val="9"/>
            <color indexed="81"/>
            <rFont val="Calibri"/>
            <family val="2"/>
          </rPr>
          <t xml:space="preserve">
To remain stable.
</t>
        </r>
      </text>
    </comment>
    <comment ref="H25" authorId="0">
      <text>
        <r>
          <rPr>
            <b/>
            <sz val="9"/>
            <color indexed="81"/>
            <rFont val="Calibri"/>
            <family val="2"/>
          </rPr>
          <t>Fausto Moura:</t>
        </r>
        <r>
          <rPr>
            <sz val="9"/>
            <color indexed="81"/>
            <rFont val="Calibri"/>
            <family val="2"/>
          </rPr>
          <t xml:space="preserve">
Reduced sterifruit exports and lower fish volumes</t>
        </r>
      </text>
    </comment>
    <comment ref="F27" authorId="0">
      <text>
        <r>
          <rPr>
            <b/>
            <sz val="9"/>
            <color indexed="81"/>
            <rFont val="Calibri"/>
            <family val="2"/>
          </rPr>
          <t>Fausto Moura:</t>
        </r>
        <r>
          <rPr>
            <sz val="9"/>
            <color indexed="81"/>
            <rFont val="Calibri"/>
            <family val="2"/>
          </rPr>
          <t xml:space="preserve">
Eight commercial cold stores in SA and Namibia of which:
 - 3 are on the quayside
 - total capacity available to the market is in excess of 100000ft.
 - Average occupancy and activity levels were good during the year, mostly in poultry, fish, meat, vegetables and fruit products.
 - Citrus export volumes through Durban did not meet expectations which impacted negatively the quantity.</t>
        </r>
      </text>
    </comment>
    <comment ref="G28" authorId="0">
      <text>
        <r>
          <rPr>
            <b/>
            <sz val="9"/>
            <color indexed="81"/>
            <rFont val="Calibri"/>
            <family val="2"/>
          </rPr>
          <t>Fausto Moura:</t>
        </r>
        <r>
          <rPr>
            <sz val="9"/>
            <color indexed="81"/>
            <rFont val="Calibri"/>
            <family val="2"/>
          </rPr>
          <t xml:space="preserve">
Both in fresh fruit and frozen products</t>
        </r>
      </text>
    </comment>
    <comment ref="D31" authorId="0">
      <text>
        <r>
          <rPr>
            <b/>
            <sz val="9"/>
            <color indexed="81"/>
            <rFont val="Calibri"/>
            <family val="2"/>
          </rPr>
          <t>Fausto Moura:</t>
        </r>
        <r>
          <rPr>
            <sz val="9"/>
            <color indexed="81"/>
            <rFont val="Calibri"/>
            <family val="2"/>
          </rPr>
          <t xml:space="preserve">
Cold Storage business is very competitive and price-sensitive one.</t>
        </r>
      </text>
    </comment>
    <comment ref="G31" authorId="0">
      <text>
        <r>
          <rPr>
            <b/>
            <sz val="9"/>
            <color indexed="81"/>
            <rFont val="Calibri"/>
            <family val="2"/>
          </rPr>
          <t>Fausto Moura:</t>
        </r>
        <r>
          <rPr>
            <sz val="9"/>
            <color indexed="81"/>
            <rFont val="Calibri"/>
            <family val="2"/>
          </rPr>
          <t xml:space="preserve">
Price might have moved upwards</t>
        </r>
      </text>
    </comment>
    <comment ref="H31" authorId="0">
      <text>
        <r>
          <rPr>
            <b/>
            <sz val="9"/>
            <color indexed="81"/>
            <rFont val="Calibri"/>
            <family val="2"/>
          </rPr>
          <t>Fausto Moura:</t>
        </r>
        <r>
          <rPr>
            <sz val="9"/>
            <color indexed="81"/>
            <rFont val="Calibri"/>
            <family val="2"/>
          </rPr>
          <t xml:space="preserve">
The increase in electricty prices might justify the increase in prices, as assumed.</t>
        </r>
      </text>
    </comment>
    <comment ref="I31" authorId="0">
      <text>
        <r>
          <rPr>
            <b/>
            <sz val="9"/>
            <color indexed="81"/>
            <rFont val="Calibri"/>
            <family val="2"/>
          </rPr>
          <t>Fausto Moura:</t>
        </r>
        <r>
          <rPr>
            <sz val="9"/>
            <color indexed="81"/>
            <rFont val="Calibri"/>
            <family val="2"/>
          </rPr>
          <t xml:space="preserve">
Increase in price justifies the increase of revenue</t>
        </r>
      </text>
    </comment>
    <comment ref="F32" authorId="0">
      <text>
        <r>
          <rPr>
            <b/>
            <sz val="9"/>
            <color indexed="81"/>
            <rFont val="Calibri"/>
            <family val="2"/>
          </rPr>
          <t>Fausto Moura:</t>
        </r>
        <r>
          <rPr>
            <sz val="9"/>
            <color indexed="81"/>
            <rFont val="Calibri"/>
            <family val="2"/>
          </rPr>
          <t xml:space="preserve">
As it is stated in the report, the volume of citrus exports through Durban did not meet expectations.As we don't know a lot about price changes, one has assumed that almost all the change was due to this change in quantity.
</t>
        </r>
      </text>
    </comment>
    <comment ref="G32" authorId="0">
      <text>
        <r>
          <rPr>
            <b/>
            <sz val="9"/>
            <color indexed="81"/>
            <rFont val="Calibri"/>
            <family val="2"/>
          </rPr>
          <t>Fausto Moura:</t>
        </r>
        <r>
          <rPr>
            <sz val="9"/>
            <color indexed="81"/>
            <rFont val="Calibri"/>
            <family val="2"/>
          </rPr>
          <t xml:space="preserve">
Activity levels during the year were at a higher level than 2006, both in fresh fruit and frozen products</t>
        </r>
      </text>
    </comment>
    <comment ref="H32" authorId="0">
      <text>
        <r>
          <rPr>
            <b/>
            <sz val="9"/>
            <color indexed="81"/>
            <rFont val="Calibri"/>
            <family val="2"/>
          </rPr>
          <t>Fausto Moura:</t>
        </r>
        <r>
          <rPr>
            <sz val="9"/>
            <color indexed="81"/>
            <rFont val="Calibri"/>
            <family val="2"/>
          </rPr>
          <t xml:space="preserve">
The quantity increased at a lower rate than in 2007.</t>
        </r>
      </text>
    </comment>
    <comment ref="I32" authorId="0">
      <text>
        <r>
          <rPr>
            <b/>
            <sz val="9"/>
            <color indexed="81"/>
            <rFont val="Calibri"/>
            <family val="2"/>
          </rPr>
          <t>Fausto Moura:</t>
        </r>
        <r>
          <rPr>
            <sz val="9"/>
            <color indexed="81"/>
            <rFont val="Calibri"/>
            <family val="2"/>
          </rPr>
          <t xml:space="preserve">
Activity was lower than in 2008.</t>
        </r>
      </text>
    </comment>
    <comment ref="J32" authorId="0">
      <text>
        <r>
          <rPr>
            <b/>
            <sz val="9"/>
            <color indexed="81"/>
            <rFont val="Calibri"/>
            <family val="2"/>
          </rPr>
          <t>Fausto Moura:</t>
        </r>
        <r>
          <rPr>
            <sz val="9"/>
            <color indexed="81"/>
            <rFont val="Calibri"/>
            <family val="2"/>
          </rPr>
          <t xml:space="preserve">
Stronger inbound frozen volumes</t>
        </r>
      </text>
    </comment>
    <comment ref="K32" authorId="0">
      <text>
        <r>
          <rPr>
            <b/>
            <sz val="9"/>
            <color indexed="81"/>
            <rFont val="Calibri"/>
            <family val="2"/>
          </rPr>
          <t>Fausto Moura:</t>
        </r>
        <r>
          <rPr>
            <sz val="9"/>
            <color indexed="81"/>
            <rFont val="Calibri"/>
            <family val="2"/>
          </rPr>
          <t xml:space="preserve">
Volume, dwell time and activity fell below 2010 levels.</t>
        </r>
      </text>
    </comment>
    <comment ref="L32" authorId="0">
      <text>
        <r>
          <rPr>
            <b/>
            <sz val="9"/>
            <color indexed="81"/>
            <rFont val="Calibri"/>
            <family val="2"/>
          </rPr>
          <t>Fausto Moura:</t>
        </r>
        <r>
          <rPr>
            <sz val="9"/>
            <color indexed="81"/>
            <rFont val="Calibri"/>
            <family val="2"/>
          </rPr>
          <t xml:space="preserve">
Great increase in activity levels.</t>
        </r>
      </text>
    </comment>
    <comment ref="M32" authorId="0">
      <text>
        <r>
          <rPr>
            <b/>
            <sz val="9"/>
            <color indexed="81"/>
            <rFont val="Calibri"/>
            <family val="2"/>
          </rPr>
          <t>Fausto Moura:</t>
        </r>
        <r>
          <rPr>
            <sz val="9"/>
            <color indexed="81"/>
            <rFont val="Calibri"/>
            <family val="2"/>
          </rPr>
          <t xml:space="preserve">
Revenues were essentialy driven by a growth in storage capacity and favourable volume.</t>
        </r>
      </text>
    </comment>
    <comment ref="N32" authorId="0">
      <text>
        <r>
          <rPr>
            <b/>
            <sz val="9"/>
            <color indexed="81"/>
            <rFont val="Calibri"/>
            <family val="2"/>
          </rPr>
          <t>Fausto Moura:</t>
        </r>
        <r>
          <rPr>
            <sz val="9"/>
            <color indexed="81"/>
            <rFont val="Calibri"/>
            <family val="2"/>
          </rPr>
          <t xml:space="preserve">
Increase in storage capacity.</t>
        </r>
      </text>
    </comment>
    <comment ref="O32" authorId="0">
      <text>
        <r>
          <rPr>
            <b/>
            <sz val="9"/>
            <color indexed="81"/>
            <rFont val="Calibri"/>
            <family val="2"/>
          </rPr>
          <t>Fausto Moura:</t>
        </r>
        <r>
          <rPr>
            <sz val="9"/>
            <color indexed="81"/>
            <rFont val="Calibri"/>
            <family val="2"/>
          </rPr>
          <t xml:space="preserve">
CCS was able to secure the increase of market demand for cold storage.</t>
        </r>
      </text>
    </comment>
    <comment ref="I33" authorId="0">
      <text>
        <r>
          <rPr>
            <b/>
            <sz val="9"/>
            <color indexed="81"/>
            <rFont val="Calibri"/>
            <family val="2"/>
          </rPr>
          <t>Fausto Moura:</t>
        </r>
        <r>
          <rPr>
            <sz val="9"/>
            <color indexed="81"/>
            <rFont val="Calibri"/>
            <family val="2"/>
          </rPr>
          <t xml:space="preserve">
Other factors might have influenced the revenue increase</t>
        </r>
      </text>
    </comment>
  </commentList>
</comments>
</file>

<file path=xl/comments12.xml><?xml version="1.0" encoding="utf-8"?>
<comments xmlns="http://schemas.openxmlformats.org/spreadsheetml/2006/main">
  <authors>
    <author>Fausto Moura</author>
  </authors>
  <commentList>
    <comment ref="L8" authorId="0">
      <text>
        <r>
          <rPr>
            <b/>
            <sz val="9"/>
            <color indexed="81"/>
            <rFont val="Calibri"/>
            <family val="2"/>
          </rPr>
          <t>Fausto Moura:</t>
        </r>
        <r>
          <rPr>
            <sz val="9"/>
            <color indexed="81"/>
            <rFont val="Calibri"/>
            <family val="2"/>
          </rPr>
          <t xml:space="preserve">
This is a very commoditised business, where Daybrook or Oceana re price takers, having as reference the Peruvian Fishmeal Price. We are expecting little to neutral growth, however there was a recent trend of price decrease. On the LT we will assume it growing at the YS inflation rate target of 2% (FR).
The peruvian fishmeal prices are very cyclical and we are now on a counter cyclical peak, therefore we will assume a 3% yoy change to follow the LT trend, on the ST.</t>
        </r>
      </text>
    </comment>
    <comment ref="K10" authorId="0">
      <text>
        <r>
          <rPr>
            <b/>
            <sz val="9"/>
            <color indexed="81"/>
            <rFont val="Calibri"/>
            <family val="2"/>
          </rPr>
          <t>Fausto Moura:</t>
        </r>
        <r>
          <rPr>
            <sz val="9"/>
            <color indexed="81"/>
            <rFont val="Calibri"/>
            <family val="2"/>
          </rPr>
          <t xml:space="preserve">
During the last years, there were some negative phenomena impacting negatively menhaden landings. We are conservative on attributing a 2.5% yoy increase of landings, and a LT trend of 1.25%.</t>
        </r>
      </text>
    </comment>
    <comment ref="N15" authorId="0">
      <text>
        <r>
          <rPr>
            <b/>
            <sz val="9"/>
            <color indexed="81"/>
            <rFont val="Calibri"/>
            <family val="2"/>
          </rPr>
          <t>Fausto Moura:</t>
        </r>
        <r>
          <rPr>
            <sz val="9"/>
            <color indexed="81"/>
            <rFont val="Calibri"/>
            <family val="2"/>
          </rPr>
          <t xml:space="preserve">
Assumption.</t>
        </r>
      </text>
    </comment>
    <comment ref="K19" authorId="0">
      <text>
        <r>
          <rPr>
            <b/>
            <sz val="9"/>
            <color indexed="81"/>
            <rFont val="Calibri"/>
            <family val="2"/>
          </rPr>
          <t>Fausto Moura:</t>
        </r>
        <r>
          <rPr>
            <sz val="9"/>
            <color indexed="81"/>
            <rFont val="Calibri"/>
            <family val="2"/>
          </rPr>
          <t xml:space="preserve">
Assumed to remain stable.</t>
        </r>
      </text>
    </comment>
    <comment ref="K22" authorId="0">
      <text>
        <r>
          <rPr>
            <b/>
            <sz val="9"/>
            <color indexed="81"/>
            <rFont val="Calibri"/>
            <family val="2"/>
          </rPr>
          <t>Fausto Moura:</t>
        </r>
        <r>
          <rPr>
            <sz val="9"/>
            <color indexed="81"/>
            <rFont val="Calibri"/>
            <family val="2"/>
          </rPr>
          <t xml:space="preserve">
Assumption.
</t>
        </r>
      </text>
    </comment>
    <comment ref="L22" authorId="0">
      <text>
        <r>
          <rPr>
            <b/>
            <sz val="9"/>
            <color indexed="81"/>
            <rFont val="Calibri"/>
            <family val="2"/>
          </rPr>
          <t>Fausto Moura:</t>
        </r>
        <r>
          <rPr>
            <sz val="9"/>
            <color indexed="81"/>
            <rFont val="Calibri"/>
            <family val="2"/>
          </rPr>
          <t xml:space="preserve">
Assumption.</t>
        </r>
      </text>
    </comment>
    <comment ref="K26" authorId="0">
      <text>
        <r>
          <rPr>
            <b/>
            <sz val="9"/>
            <color indexed="81"/>
            <rFont val="Calibri"/>
            <family val="2"/>
          </rPr>
          <t>Fausto Moura:</t>
        </r>
        <r>
          <rPr>
            <sz val="9"/>
            <color indexed="81"/>
            <rFont val="Calibri"/>
            <family val="2"/>
          </rPr>
          <t xml:space="preserve">
If we look to its comparable's margins (Omega Protein), it is very cyclical, therefore we have to take into account volatility. Looking to the graph, there is a belief that margins are in a cyclical peak, therefore we will assume margins to decrease 0.5% yoy, stabilizing on 202.
</t>
        </r>
      </text>
    </comment>
    <comment ref="K36" authorId="0">
      <text>
        <r>
          <rPr>
            <b/>
            <sz val="9"/>
            <color indexed="81"/>
            <rFont val="Calibri"/>
            <family val="2"/>
          </rPr>
          <t>Fausto Moura:</t>
        </r>
        <r>
          <rPr>
            <sz val="9"/>
            <color indexed="81"/>
            <rFont val="Calibri"/>
            <family val="2"/>
          </rPr>
          <t xml:space="preserve">
Assumption
</t>
        </r>
      </text>
    </comment>
    <comment ref="K50" authorId="0">
      <text>
        <r>
          <rPr>
            <b/>
            <sz val="9"/>
            <color indexed="81"/>
            <rFont val="Calibri"/>
            <family val="2"/>
          </rPr>
          <t>Fausto Moura:</t>
        </r>
        <r>
          <rPr>
            <sz val="9"/>
            <color indexed="81"/>
            <rFont val="Calibri"/>
            <family val="2"/>
          </rPr>
          <t xml:space="preserve">
Assumption
</t>
        </r>
      </text>
    </comment>
    <comment ref="K78" authorId="0">
      <text>
        <r>
          <rPr>
            <b/>
            <sz val="9"/>
            <color indexed="81"/>
            <rFont val="Calibri"/>
            <family val="2"/>
          </rPr>
          <t>Fausto Moura:</t>
        </r>
        <r>
          <rPr>
            <sz val="9"/>
            <color indexed="81"/>
            <rFont val="Calibri"/>
            <family val="2"/>
          </rPr>
          <t xml:space="preserve">
Assumption
</t>
        </r>
      </text>
    </comment>
    <comment ref="G92" authorId="0">
      <text>
        <r>
          <rPr>
            <b/>
            <sz val="9"/>
            <color indexed="81"/>
            <rFont val="Calibri"/>
            <family val="2"/>
          </rPr>
          <t>Fausto Moura:</t>
        </r>
        <r>
          <rPr>
            <sz val="9"/>
            <color indexed="81"/>
            <rFont val="Calibri"/>
            <family val="2"/>
          </rPr>
          <t xml:space="preserve">
Assumed as liquid as cash</t>
        </r>
      </text>
    </comment>
    <comment ref="G137" authorId="0">
      <text>
        <r>
          <rPr>
            <b/>
            <sz val="9"/>
            <color indexed="81"/>
            <rFont val="Calibri"/>
            <family val="2"/>
          </rPr>
          <t>Fausto Moura:</t>
        </r>
        <r>
          <rPr>
            <sz val="9"/>
            <color indexed="81"/>
            <rFont val="Calibri"/>
            <family val="2"/>
          </rPr>
          <t xml:space="preserve">
Information regarding disposals on both cost and depreciation, annex 8
</t>
        </r>
      </text>
    </comment>
    <comment ref="G140" authorId="0">
      <text>
        <r>
          <rPr>
            <b/>
            <sz val="9"/>
            <color indexed="81"/>
            <rFont val="Calibri"/>
            <family val="2"/>
          </rPr>
          <t>Fausto Moura:</t>
        </r>
        <r>
          <rPr>
            <sz val="9"/>
            <color indexed="81"/>
            <rFont val="Calibri"/>
            <family val="2"/>
          </rPr>
          <t xml:space="preserve">
IN 2014,  a value of 850 was added because it was utilised during the year</t>
        </r>
      </text>
    </comment>
    <comment ref="G171" authorId="0">
      <text>
        <r>
          <rPr>
            <b/>
            <sz val="9"/>
            <color indexed="81"/>
            <rFont val="Calibri"/>
            <family val="2"/>
          </rPr>
          <t>Fausto Moura:</t>
        </r>
        <r>
          <rPr>
            <sz val="9"/>
            <color indexed="81"/>
            <rFont val="Calibri"/>
            <family val="2"/>
          </rPr>
          <t xml:space="preserve">
Here, I chose to put all the taxation that was actually paid so that I can cover the notional income taxes on operating and non operating profit and also to interest tax shield
</t>
        </r>
      </text>
    </comment>
    <comment ref="G173" authorId="0">
      <text>
        <r>
          <rPr>
            <b/>
            <sz val="9"/>
            <color indexed="81"/>
            <rFont val="Calibri"/>
            <family val="2"/>
          </rPr>
          <t>Fausto Moura:</t>
        </r>
        <r>
          <rPr>
            <sz val="9"/>
            <color indexed="81"/>
            <rFont val="Calibri"/>
            <family val="2"/>
          </rPr>
          <t xml:space="preserve">
Page 77, Daybrook circular
</t>
        </r>
      </text>
    </comment>
    <comment ref="G175" authorId="0">
      <text>
        <r>
          <rPr>
            <b/>
            <sz val="9"/>
            <color indexed="81"/>
            <rFont val="Calibri"/>
            <family val="2"/>
          </rPr>
          <t>Fausto Moura:</t>
        </r>
        <r>
          <rPr>
            <sz val="9"/>
            <color indexed="81"/>
            <rFont val="Calibri"/>
            <family val="2"/>
          </rPr>
          <t xml:space="preserve">
Current Oper Assets  - Inventories and Receivables
Current Oper Liabilities - Payables</t>
        </r>
      </text>
    </comment>
    <comment ref="G198" authorId="0">
      <text>
        <r>
          <rPr>
            <b/>
            <sz val="9"/>
            <color indexed="81"/>
            <rFont val="Calibri"/>
            <family val="2"/>
          </rPr>
          <t>Fausto Moura:</t>
        </r>
        <r>
          <rPr>
            <sz val="9"/>
            <color indexed="81"/>
            <rFont val="Calibri"/>
            <family val="2"/>
          </rPr>
          <t xml:space="preserve">
All this interest refers to financial debt interest paid to the banks</t>
        </r>
      </text>
    </comment>
    <comment ref="K225" authorId="0">
      <text>
        <r>
          <rPr>
            <b/>
            <sz val="9"/>
            <color indexed="81"/>
            <rFont val="Calibri"/>
            <family val="2"/>
          </rPr>
          <t>Fausto Moura:</t>
        </r>
        <r>
          <rPr>
            <sz val="9"/>
            <color indexed="81"/>
            <rFont val="Calibri"/>
            <family val="2"/>
          </rPr>
          <t xml:space="preserve">
Assumption
</t>
        </r>
      </text>
    </comment>
    <comment ref="K228" authorId="0">
      <text>
        <r>
          <rPr>
            <b/>
            <sz val="9"/>
            <color indexed="81"/>
            <rFont val="Calibri"/>
            <family val="2"/>
          </rPr>
          <t>Fausto Moura:</t>
        </r>
        <r>
          <rPr>
            <sz val="9"/>
            <color indexed="81"/>
            <rFont val="Calibri"/>
            <family val="2"/>
          </rPr>
          <t xml:space="preserve">
Assumption
</t>
        </r>
      </text>
    </comment>
    <comment ref="K231" authorId="0">
      <text>
        <r>
          <rPr>
            <b/>
            <sz val="9"/>
            <color indexed="81"/>
            <rFont val="Calibri"/>
            <family val="2"/>
          </rPr>
          <t>Fausto Moura:</t>
        </r>
        <r>
          <rPr>
            <sz val="9"/>
            <color indexed="81"/>
            <rFont val="Calibri"/>
            <family val="2"/>
          </rPr>
          <t xml:space="preserve">
Assumption
</t>
        </r>
      </text>
    </comment>
    <comment ref="K268" authorId="0">
      <text>
        <r>
          <rPr>
            <b/>
            <sz val="9"/>
            <color indexed="81"/>
            <rFont val="Calibri"/>
            <family val="2"/>
          </rPr>
          <t>Fausto Moura:</t>
        </r>
        <r>
          <rPr>
            <sz val="9"/>
            <color indexed="81"/>
            <rFont val="Calibri"/>
            <family val="2"/>
          </rPr>
          <t xml:space="preserve">
Assumption
</t>
        </r>
      </text>
    </comment>
    <comment ref="K279" authorId="0">
      <text>
        <r>
          <rPr>
            <b/>
            <sz val="9"/>
            <color indexed="81"/>
            <rFont val="Calibri"/>
            <family val="2"/>
          </rPr>
          <t>Fausto Moura:</t>
        </r>
        <r>
          <rPr>
            <sz val="9"/>
            <color indexed="81"/>
            <rFont val="Calibri"/>
            <family val="2"/>
          </rPr>
          <t xml:space="preserve">
Assumption
</t>
        </r>
      </text>
    </comment>
  </commentList>
</comments>
</file>

<file path=xl/comments13.xml><?xml version="1.0" encoding="utf-8"?>
<comments xmlns="http://schemas.openxmlformats.org/spreadsheetml/2006/main">
  <authors>
    <author>Fausto Moura</author>
  </authors>
  <commentList>
    <comment ref="G5" authorId="0">
      <text>
        <r>
          <rPr>
            <b/>
            <sz val="9"/>
            <color indexed="81"/>
            <rFont val="Calibri"/>
            <family val="2"/>
          </rPr>
          <t>Fausto Moura:</t>
        </r>
        <r>
          <rPr>
            <sz val="9"/>
            <color indexed="81"/>
            <rFont val="Calibri"/>
            <family val="2"/>
          </rPr>
          <t xml:space="preserve">
Number given by management.</t>
        </r>
      </text>
    </comment>
    <comment ref="H14" authorId="0">
      <text>
        <r>
          <rPr>
            <b/>
            <sz val="9"/>
            <color indexed="81"/>
            <rFont val="Calibri"/>
            <family val="2"/>
          </rPr>
          <t>Fausto Moura:</t>
        </r>
        <r>
          <rPr>
            <sz val="9"/>
            <color indexed="81"/>
            <rFont val="Calibri"/>
            <family val="2"/>
          </rPr>
          <t xml:space="preserve">
See comment on previous sheet about margins of the competitor Omega Protein.</t>
        </r>
      </text>
    </comment>
  </commentList>
</comments>
</file>

<file path=xl/comments14.xml><?xml version="1.0" encoding="utf-8"?>
<comments xmlns="http://schemas.openxmlformats.org/spreadsheetml/2006/main">
  <authors>
    <author>Fausto Moura</author>
  </authors>
  <commentList>
    <comment ref="O9" authorId="0">
      <text>
        <r>
          <rPr>
            <b/>
            <sz val="9"/>
            <color indexed="81"/>
            <rFont val="Calibri"/>
            <family val="2"/>
          </rPr>
          <t>Fausto Moura:</t>
        </r>
        <r>
          <rPr>
            <sz val="9"/>
            <color indexed="81"/>
            <rFont val="Calibri"/>
            <family val="2"/>
          </rPr>
          <t xml:space="preserve">
Due to acquisition of FoodCorp Fishing Rights.</t>
        </r>
      </text>
    </comment>
    <comment ref="P9" authorId="0">
      <text>
        <r>
          <rPr>
            <b/>
            <sz val="9"/>
            <color indexed="81"/>
            <rFont val="Calibri"/>
            <family val="2"/>
          </rPr>
          <t>Fausto Moura:</t>
        </r>
        <r>
          <rPr>
            <sz val="9"/>
            <color indexed="81"/>
            <rFont val="Calibri"/>
            <family val="2"/>
          </rPr>
          <t xml:space="preserve">
Recent news stated that Oceana could get more of its own quota, as mroe pilchards were processed locally.</t>
        </r>
      </text>
    </comment>
    <comment ref="P12" authorId="0">
      <text>
        <r>
          <rPr>
            <b/>
            <sz val="9"/>
            <color indexed="81"/>
            <rFont val="Calibri"/>
            <family val="2"/>
          </rPr>
          <t>Fausto Moura:</t>
        </r>
        <r>
          <rPr>
            <sz val="9"/>
            <color indexed="81"/>
            <rFont val="Calibri"/>
            <family val="2"/>
          </rPr>
          <t xml:space="preserve">
We are expecting an increase of contracted quota in order to meet the inventories needed to support Lucky Star sales. ST increase and LT stabilization.</t>
        </r>
      </text>
    </comment>
    <comment ref="P17" authorId="0">
      <text>
        <r>
          <rPr>
            <b/>
            <sz val="9"/>
            <color indexed="81"/>
            <rFont val="Calibri"/>
            <family val="2"/>
          </rPr>
          <t>Fausto Moura:</t>
        </r>
        <r>
          <rPr>
            <sz val="9"/>
            <color indexed="81"/>
            <rFont val="Calibri"/>
            <family val="2"/>
          </rPr>
          <t xml:space="preserve">
We were conservative on the TAC attributed by the Minister of Agriculture, Forestry and Fisheries, following DAFF scientists recommendations. 2% growth yoy on the ST and LT.</t>
        </r>
      </text>
    </comment>
    <comment ref="D22" authorId="0">
      <text>
        <r>
          <rPr>
            <b/>
            <sz val="9"/>
            <color indexed="81"/>
            <rFont val="Calibri"/>
            <family val="2"/>
          </rPr>
          <t>Fausto Moura:</t>
        </r>
        <r>
          <rPr>
            <sz val="9"/>
            <color indexed="81"/>
            <rFont val="Calibri"/>
            <family val="2"/>
          </rPr>
          <t xml:space="preserve">
Operated through Etosha Fisheries, in which Oceana has a 44.9% interest.</t>
        </r>
      </text>
    </comment>
    <comment ref="AX24" authorId="0">
      <text>
        <r>
          <rPr>
            <b/>
            <sz val="9"/>
            <color indexed="81"/>
            <rFont val="Calibri"/>
            <family val="2"/>
          </rPr>
          <t>Fausto Moura:</t>
        </r>
        <r>
          <rPr>
            <sz val="9"/>
            <color indexed="81"/>
            <rFont val="Calibri"/>
            <family val="2"/>
          </rPr>
          <t xml:space="preserve">
Operated through Etosha Fisheries, in which Oceana has a 44.9% interest.</t>
        </r>
      </text>
    </comment>
    <comment ref="P25" authorId="0">
      <text>
        <r>
          <rPr>
            <b/>
            <sz val="9"/>
            <color indexed="81"/>
            <rFont val="Calibri"/>
            <family val="2"/>
          </rPr>
          <t>Fausto Moura:</t>
        </r>
        <r>
          <rPr>
            <sz val="9"/>
            <color indexed="81"/>
            <rFont val="Calibri"/>
            <family val="2"/>
          </rPr>
          <t xml:space="preserve">
We are assuming this percentage to remain constant.</t>
        </r>
      </text>
    </comment>
    <comment ref="P28" authorId="0">
      <text>
        <r>
          <rPr>
            <b/>
            <sz val="9"/>
            <color indexed="81"/>
            <rFont val="Calibri"/>
            <family val="2"/>
          </rPr>
          <t>Fausto Moura:</t>
        </r>
        <r>
          <rPr>
            <sz val="9"/>
            <color indexed="81"/>
            <rFont val="Calibri"/>
            <family val="2"/>
          </rPr>
          <t xml:space="preserve">
An increase on the ST due to the increasing need of getting additional quota to support division's sales.</t>
        </r>
      </text>
    </comment>
    <comment ref="P33" authorId="0">
      <text>
        <r>
          <rPr>
            <b/>
            <sz val="9"/>
            <color indexed="81"/>
            <rFont val="Calibri"/>
            <family val="2"/>
          </rPr>
          <t>Fausto Moura:</t>
        </r>
        <r>
          <rPr>
            <sz val="9"/>
            <color indexed="81"/>
            <rFont val="Calibri"/>
            <family val="2"/>
          </rPr>
          <t xml:space="preserve">
The resource has been conservatively managed for a number of year, with low TAC: Therefore we will attribute a conservative 1.5% yoy growth over the ST and LT.
</t>
        </r>
      </text>
    </comment>
    <comment ref="N39" authorId="0">
      <text>
        <r>
          <rPr>
            <b/>
            <sz val="9"/>
            <color indexed="81"/>
            <rFont val="Calibri"/>
            <family val="2"/>
          </rPr>
          <t>Fausto Moura:</t>
        </r>
        <r>
          <rPr>
            <sz val="9"/>
            <color indexed="81"/>
            <rFont val="Calibri"/>
            <family val="2"/>
          </rPr>
          <t xml:space="preserve">
</t>
        </r>
      </text>
    </comment>
    <comment ref="O39" authorId="0">
      <text>
        <r>
          <rPr>
            <b/>
            <sz val="9"/>
            <color indexed="81"/>
            <rFont val="Calibri"/>
            <family val="2"/>
          </rPr>
          <t>Fausto Moura:</t>
        </r>
        <r>
          <rPr>
            <sz val="9"/>
            <color indexed="81"/>
            <rFont val="Calibri"/>
            <family val="2"/>
          </rPr>
          <t xml:space="preserve">
Inclusion of FoodCorp fishing rights.</t>
        </r>
      </text>
    </comment>
    <comment ref="P41" authorId="0">
      <text>
        <r>
          <rPr>
            <b/>
            <sz val="9"/>
            <color indexed="81"/>
            <rFont val="Calibri"/>
            <family val="2"/>
          </rPr>
          <t>Fausto Moura:</t>
        </r>
        <r>
          <rPr>
            <sz val="9"/>
            <color indexed="81"/>
            <rFont val="Calibri"/>
            <family val="2"/>
          </rPr>
          <t xml:space="preserve">
We assumed this to remain constant.</t>
        </r>
      </text>
    </comment>
    <comment ref="P44" authorId="0">
      <text>
        <r>
          <rPr>
            <b/>
            <sz val="9"/>
            <color indexed="81"/>
            <rFont val="Calibri"/>
            <family val="2"/>
          </rPr>
          <t>Fausto Moura:</t>
        </r>
        <r>
          <rPr>
            <sz val="9"/>
            <color indexed="81"/>
            <rFont val="Calibri"/>
            <family val="2"/>
          </rPr>
          <t xml:space="preserve">
Increased contracted quota to support Lucky Star sales, however assumption of stabilization over the LT.</t>
        </r>
      </text>
    </comment>
    <comment ref="P49" authorId="0">
      <text>
        <r>
          <rPr>
            <b/>
            <sz val="9"/>
            <color indexed="81"/>
            <rFont val="Calibri"/>
            <family val="2"/>
          </rPr>
          <t>Fausto Moura:</t>
        </r>
        <r>
          <rPr>
            <sz val="9"/>
            <color indexed="81"/>
            <rFont val="Calibri"/>
            <family val="2"/>
          </rPr>
          <t xml:space="preserve">
Expectation of LT growth.</t>
        </r>
      </text>
    </comment>
    <comment ref="P57" authorId="0">
      <text>
        <r>
          <rPr>
            <b/>
            <sz val="9"/>
            <color indexed="81"/>
            <rFont val="Calibri"/>
            <family val="2"/>
          </rPr>
          <t>Fausto Moura:</t>
        </r>
        <r>
          <rPr>
            <sz val="9"/>
            <color indexed="81"/>
            <rFont val="Calibri"/>
            <family val="2"/>
          </rPr>
          <t xml:space="preserve">
To remain constant.</t>
        </r>
      </text>
    </comment>
    <comment ref="U57" authorId="0">
      <text>
        <r>
          <rPr>
            <b/>
            <sz val="9"/>
            <color indexed="81"/>
            <rFont val="Calibri"/>
            <family val="2"/>
          </rPr>
          <t>Fausto Moura:</t>
        </r>
        <r>
          <rPr>
            <sz val="9"/>
            <color indexed="81"/>
            <rFont val="Calibri"/>
            <family val="2"/>
          </rPr>
          <t xml:space="preserve">
To remain constant.</t>
        </r>
      </text>
    </comment>
    <comment ref="L58" authorId="0">
      <text>
        <r>
          <rPr>
            <b/>
            <sz val="9"/>
            <color indexed="81"/>
            <rFont val="Calibri"/>
            <family val="2"/>
          </rPr>
          <t>Fausto Moura:</t>
        </r>
        <r>
          <rPr>
            <sz val="9"/>
            <color indexed="81"/>
            <rFont val="Calibri"/>
            <family val="2"/>
          </rPr>
          <t xml:space="preserve">
Includes 100 tons procured and 101 tons contracted.</t>
        </r>
      </text>
    </comment>
    <comment ref="P60" authorId="0">
      <text>
        <r>
          <rPr>
            <b/>
            <sz val="9"/>
            <color indexed="81"/>
            <rFont val="Calibri"/>
            <family val="2"/>
          </rPr>
          <t>Fausto Moura:</t>
        </r>
        <r>
          <rPr>
            <sz val="9"/>
            <color indexed="81"/>
            <rFont val="Calibri"/>
            <family val="2"/>
          </rPr>
          <t xml:space="preserve">
To remain constant.</t>
        </r>
      </text>
    </comment>
    <comment ref="U60" authorId="0">
      <text>
        <r>
          <rPr>
            <b/>
            <sz val="9"/>
            <color indexed="81"/>
            <rFont val="Calibri"/>
            <family val="2"/>
          </rPr>
          <t>Fausto Moura:</t>
        </r>
        <r>
          <rPr>
            <sz val="9"/>
            <color indexed="81"/>
            <rFont val="Calibri"/>
            <family val="2"/>
          </rPr>
          <t xml:space="preserve">
To remain constant.</t>
        </r>
      </text>
    </comment>
    <comment ref="P65" authorId="0">
      <text>
        <r>
          <rPr>
            <b/>
            <sz val="9"/>
            <color indexed="81"/>
            <rFont val="Calibri"/>
            <family val="2"/>
          </rPr>
          <t>Fausto Moura:</t>
        </r>
        <r>
          <rPr>
            <sz val="9"/>
            <color indexed="81"/>
            <rFont val="Calibri"/>
            <family val="2"/>
          </rPr>
          <t xml:space="preserve">
Company's expectation about TAC evolution for the next season. We were conservative on the following years.</t>
        </r>
      </text>
    </comment>
    <comment ref="P73" authorId="0">
      <text>
        <r>
          <rPr>
            <b/>
            <sz val="9"/>
            <color indexed="81"/>
            <rFont val="Calibri"/>
            <family val="2"/>
          </rPr>
          <t>Fausto Moura:</t>
        </r>
        <r>
          <rPr>
            <sz val="9"/>
            <color indexed="81"/>
            <rFont val="Calibri"/>
            <family val="2"/>
          </rPr>
          <t xml:space="preserve">
Assumption of flat.</t>
        </r>
      </text>
    </comment>
    <comment ref="L74" authorId="0">
      <text>
        <r>
          <rPr>
            <b/>
            <sz val="9"/>
            <color indexed="81"/>
            <rFont val="Calibri"/>
            <family val="2"/>
          </rPr>
          <t>Fausto Moura:</t>
        </r>
        <r>
          <rPr>
            <sz val="9"/>
            <color indexed="81"/>
            <rFont val="Calibri"/>
            <family val="2"/>
          </rPr>
          <t xml:space="preserve">
Includes 100 tons procured and 101 tons contracted.</t>
        </r>
      </text>
    </comment>
    <comment ref="P76" authorId="0">
      <text>
        <r>
          <rPr>
            <b/>
            <sz val="9"/>
            <color indexed="81"/>
            <rFont val="Calibri"/>
            <family val="2"/>
          </rPr>
          <t>Fausto Moura:</t>
        </r>
        <r>
          <rPr>
            <sz val="9"/>
            <color indexed="81"/>
            <rFont val="Calibri"/>
            <family val="2"/>
          </rPr>
          <t xml:space="preserve">
Assumption of flat.</t>
        </r>
      </text>
    </comment>
    <comment ref="P81" authorId="0">
      <text>
        <r>
          <rPr>
            <b/>
            <sz val="9"/>
            <color indexed="81"/>
            <rFont val="Calibri"/>
            <family val="2"/>
          </rPr>
          <t>Fausto Moura:</t>
        </r>
        <r>
          <rPr>
            <sz val="9"/>
            <color indexed="81"/>
            <rFont val="Calibri"/>
            <family val="2"/>
          </rPr>
          <t xml:space="preserve">
Benefiting from FoodCorp Acquisition, but expecting negative evolution in the LT due to resource scarcity.</t>
        </r>
      </text>
    </comment>
    <comment ref="P88" authorId="0">
      <text>
        <r>
          <rPr>
            <b/>
            <sz val="9"/>
            <color indexed="81"/>
            <rFont val="Calibri"/>
            <family val="2"/>
          </rPr>
          <t>Fausto Moura:</t>
        </r>
        <r>
          <rPr>
            <sz val="9"/>
            <color indexed="81"/>
            <rFont val="Calibri"/>
            <family val="2"/>
          </rPr>
          <t xml:space="preserve">
Assumed as 70% from pilchard in South Africa and 30% from pilchard in Namibia.</t>
        </r>
      </text>
    </comment>
    <comment ref="N91" authorId="0">
      <text>
        <r>
          <rPr>
            <b/>
            <sz val="9"/>
            <color indexed="81"/>
            <rFont val="Calibri"/>
            <family val="2"/>
          </rPr>
          <t>Fausto Moura:</t>
        </r>
        <r>
          <rPr>
            <sz val="9"/>
            <color indexed="81"/>
            <rFont val="Calibri"/>
            <family val="2"/>
          </rPr>
          <t xml:space="preserve">
Assumed as the growth of Anchovy caught in South Africa.</t>
        </r>
      </text>
    </comment>
    <comment ref="P92" authorId="0">
      <text>
        <r>
          <rPr>
            <b/>
            <sz val="9"/>
            <color indexed="81"/>
            <rFont val="Calibri"/>
            <family val="2"/>
          </rPr>
          <t>Fausto Moura:</t>
        </r>
        <r>
          <rPr>
            <sz val="9"/>
            <color indexed="81"/>
            <rFont val="Calibri"/>
            <family val="2"/>
          </rPr>
          <t xml:space="preserve">
Growth in volumes of anchovy in South Africa.</t>
        </r>
      </text>
    </comment>
    <comment ref="N94" authorId="0">
      <text>
        <r>
          <rPr>
            <b/>
            <sz val="9"/>
            <color indexed="81"/>
            <rFont val="Calibri"/>
            <family val="2"/>
          </rPr>
          <t>Fausto Moura:</t>
        </r>
        <r>
          <rPr>
            <sz val="9"/>
            <color indexed="81"/>
            <rFont val="Calibri"/>
            <family val="2"/>
          </rPr>
          <t xml:space="preserve">
Assumed as the growth in Lobster.</t>
        </r>
      </text>
    </comment>
    <comment ref="N97" authorId="0">
      <text>
        <r>
          <rPr>
            <b/>
            <sz val="9"/>
            <color indexed="81"/>
            <rFont val="Calibri"/>
            <family val="2"/>
          </rPr>
          <t>Fausto Moura:</t>
        </r>
        <r>
          <rPr>
            <sz val="9"/>
            <color indexed="81"/>
            <rFont val="Calibri"/>
            <family val="2"/>
          </rPr>
          <t xml:space="preserve">
Assumed as the growth in volumes of Squid.</t>
        </r>
      </text>
    </comment>
    <comment ref="N100" authorId="0">
      <text>
        <r>
          <rPr>
            <b/>
            <sz val="9"/>
            <color indexed="81"/>
            <rFont val="Calibri"/>
            <family val="2"/>
          </rPr>
          <t>Fausto Moura:</t>
        </r>
        <r>
          <rPr>
            <sz val="9"/>
            <color indexed="81"/>
            <rFont val="Calibri"/>
            <family val="2"/>
          </rPr>
          <t xml:space="preserve">
Assumed as past growth.</t>
        </r>
      </text>
    </comment>
    <comment ref="P113" authorId="0">
      <text>
        <r>
          <rPr>
            <b/>
            <sz val="9"/>
            <color indexed="81"/>
            <rFont val="Calibri"/>
            <family val="2"/>
          </rPr>
          <t>Fausto Moura:</t>
        </r>
        <r>
          <rPr>
            <sz val="9"/>
            <color indexed="81"/>
            <rFont val="Calibri"/>
            <family val="2"/>
          </rPr>
          <t xml:space="preserve">
To remain constant.</t>
        </r>
      </text>
    </comment>
    <comment ref="P116" authorId="0">
      <text>
        <r>
          <rPr>
            <b/>
            <sz val="9"/>
            <color indexed="81"/>
            <rFont val="Calibri"/>
            <family val="2"/>
          </rPr>
          <t>Fausto Moura:</t>
        </r>
        <r>
          <rPr>
            <sz val="9"/>
            <color indexed="81"/>
            <rFont val="Calibri"/>
            <family val="2"/>
          </rPr>
          <t xml:space="preserve">
To remain constant.</t>
        </r>
      </text>
    </comment>
    <comment ref="P121" authorId="0">
      <text>
        <r>
          <rPr>
            <b/>
            <sz val="9"/>
            <color indexed="81"/>
            <rFont val="Calibri"/>
            <family val="2"/>
          </rPr>
          <t>Fausto Moura:</t>
        </r>
        <r>
          <rPr>
            <sz val="9"/>
            <color indexed="81"/>
            <rFont val="Calibri"/>
            <family val="2"/>
          </rPr>
          <t xml:space="preserve">
Sscarcity of the resource. Oceana keeps working with DAFF scientists to understand what are the causes of this.We will be conservative, attributting no growth on the ST and LT.</t>
        </r>
      </text>
    </comment>
    <comment ref="P123" authorId="0">
      <text>
        <r>
          <rPr>
            <b/>
            <sz val="9"/>
            <color indexed="81"/>
            <rFont val="Calibri"/>
            <family val="2"/>
          </rPr>
          <t>Fausto Moura:</t>
        </r>
        <r>
          <rPr>
            <sz val="9"/>
            <color indexed="81"/>
            <rFont val="Calibri"/>
            <family val="2"/>
          </rPr>
          <t xml:space="preserve">
Sscarcity of the resource. Oceana keeps working with DAFF scientists to understand what are the causes of this.We will be conservative, attributting no growth on the ST and LT.</t>
        </r>
      </text>
    </comment>
    <comment ref="D126" authorId="0">
      <text>
        <r>
          <rPr>
            <b/>
            <sz val="9"/>
            <color indexed="81"/>
            <rFont val="Calibri"/>
            <family val="2"/>
          </rPr>
          <t>Fausto Moura:</t>
        </r>
        <r>
          <rPr>
            <sz val="9"/>
            <color indexed="81"/>
            <rFont val="Calibri"/>
            <family val="2"/>
          </rPr>
          <t xml:space="preserve">
Operated through Erongo.</t>
        </r>
      </text>
    </comment>
    <comment ref="P129" authorId="0">
      <text>
        <r>
          <rPr>
            <b/>
            <sz val="9"/>
            <color indexed="81"/>
            <rFont val="Calibri"/>
            <family val="2"/>
          </rPr>
          <t>Fausto Moura:</t>
        </r>
        <r>
          <rPr>
            <sz val="9"/>
            <color indexed="81"/>
            <rFont val="Calibri"/>
            <family val="2"/>
          </rPr>
          <t xml:space="preserve">
Decreasing over time, due to the very high risk of elimiation of fishing rights. Furthermore, the fact that the cost of purchased quota is increasing, there will be a tendency to purchase less quota.</t>
        </r>
      </text>
    </comment>
    <comment ref="P137" authorId="0">
      <text>
        <r>
          <rPr>
            <b/>
            <sz val="9"/>
            <color indexed="81"/>
            <rFont val="Calibri"/>
            <family val="2"/>
          </rPr>
          <t>Fausto Moura:</t>
        </r>
        <r>
          <rPr>
            <sz val="9"/>
            <color indexed="81"/>
            <rFont val="Calibri"/>
            <family val="2"/>
          </rPr>
          <t xml:space="preserve">
Horse mackerel resource in Namibia keeps strong and very well managed through low TACs and limitation of fishing for areas deeper than 200metres. We are expecting a 1% increase yoy.</t>
        </r>
      </text>
    </comment>
    <comment ref="O143" authorId="0">
      <text>
        <r>
          <rPr>
            <b/>
            <sz val="9"/>
            <color indexed="81"/>
            <rFont val="Calibri"/>
            <family val="2"/>
          </rPr>
          <t>Fausto Moura:</t>
        </r>
        <r>
          <rPr>
            <sz val="9"/>
            <color indexed="81"/>
            <rFont val="Calibri"/>
            <family val="2"/>
          </rPr>
          <t xml:space="preserve">
Due to the purchase of of the FoodCorp deep sea trawl hake commercial fishing rights.</t>
        </r>
      </text>
    </comment>
    <comment ref="N146" authorId="0">
      <text>
        <r>
          <rPr>
            <b/>
            <sz val="9"/>
            <color indexed="81"/>
            <rFont val="Calibri"/>
            <family val="2"/>
          </rPr>
          <t>Fausto Moura:</t>
        </r>
      </text>
    </comment>
    <comment ref="P153" authorId="0">
      <text>
        <r>
          <rPr>
            <b/>
            <sz val="9"/>
            <color indexed="81"/>
            <rFont val="Calibri"/>
            <family val="2"/>
          </rPr>
          <t>Fausto Moura:</t>
        </r>
        <r>
          <rPr>
            <sz val="9"/>
            <color indexed="81"/>
            <rFont val="Calibri"/>
            <family val="2"/>
          </rPr>
          <t xml:space="preserve">
Hake resource is on a stable condition, however it is expected to be managed on a conservative basis.</t>
        </r>
      </text>
    </comment>
    <comment ref="N160" authorId="0">
      <text>
        <r>
          <rPr>
            <b/>
            <sz val="9"/>
            <color indexed="81"/>
            <rFont val="Calibri"/>
            <family val="2"/>
          </rPr>
          <t>Fausto Moura:</t>
        </r>
        <r>
          <rPr>
            <sz val="9"/>
            <color indexed="81"/>
            <rFont val="Calibri"/>
            <family val="2"/>
          </rPr>
          <t xml:space="preserve">
30% of South African Horse Mackerel and 70% of Namibian Horse Mackerel.
</t>
        </r>
      </text>
    </comment>
    <comment ref="P160" authorId="0">
      <text>
        <r>
          <rPr>
            <b/>
            <sz val="9"/>
            <color indexed="81"/>
            <rFont val="Calibri"/>
            <family val="2"/>
          </rPr>
          <t>Fausto Moura:</t>
        </r>
        <r>
          <rPr>
            <sz val="9"/>
            <color indexed="81"/>
            <rFont val="Calibri"/>
            <family val="2"/>
          </rPr>
          <t xml:space="preserve">
30% of South African Horse Mackerel and 70% of Namibian Horse Mackerel.</t>
        </r>
      </text>
    </comment>
    <comment ref="N163" authorId="0">
      <text>
        <r>
          <rPr>
            <b/>
            <sz val="9"/>
            <color indexed="81"/>
            <rFont val="Calibri"/>
            <family val="2"/>
          </rPr>
          <t>Fausto Moura:</t>
        </r>
        <r>
          <rPr>
            <sz val="9"/>
            <color indexed="81"/>
            <rFont val="Calibri"/>
            <family val="2"/>
          </rPr>
          <t xml:space="preserve">
Hake Growth
</t>
        </r>
      </text>
    </comment>
    <comment ref="N166" authorId="0">
      <text>
        <r>
          <rPr>
            <b/>
            <sz val="9"/>
            <color indexed="81"/>
            <rFont val="Calibri"/>
            <family val="2"/>
          </rPr>
          <t>Fausto Moura:</t>
        </r>
        <r>
          <rPr>
            <sz val="9"/>
            <color indexed="81"/>
            <rFont val="Calibri"/>
            <family val="2"/>
          </rPr>
          <t xml:space="preserve">
Assumed as the growth of Anchovy caught in South Africa.</t>
        </r>
      </text>
    </comment>
    <comment ref="P173" authorId="0">
      <text>
        <r>
          <rPr>
            <b/>
            <sz val="9"/>
            <color indexed="81"/>
            <rFont val="Calibri"/>
            <family val="2"/>
          </rPr>
          <t>Fausto Moura:</t>
        </r>
        <r>
          <rPr>
            <sz val="9"/>
            <color indexed="81"/>
            <rFont val="Calibri"/>
            <family val="2"/>
          </rPr>
          <t xml:space="preserve">
Assumption of stabilization.</t>
        </r>
      </text>
    </comment>
    <comment ref="P176" authorId="0">
      <text>
        <r>
          <rPr>
            <b/>
            <sz val="9"/>
            <color indexed="81"/>
            <rFont val="Calibri"/>
            <family val="2"/>
          </rPr>
          <t>Fausto Moura:</t>
        </r>
        <r>
          <rPr>
            <sz val="9"/>
            <color indexed="81"/>
            <rFont val="Calibri"/>
            <family val="2"/>
          </rPr>
          <t xml:space="preserve">
Assumption due to less demand and more need to keep inventories.</t>
        </r>
      </text>
    </comment>
  </commentList>
</comments>
</file>

<file path=xl/comments15.xml><?xml version="1.0" encoding="utf-8"?>
<comments xmlns="http://schemas.openxmlformats.org/spreadsheetml/2006/main">
  <authors>
    <author>Fausto Moura</author>
  </authors>
  <commentList>
    <comment ref="F79" authorId="0">
      <text>
        <r>
          <rPr>
            <b/>
            <sz val="9"/>
            <color indexed="81"/>
            <rFont val="Calibri"/>
            <family val="2"/>
          </rPr>
          <t>Fausto Moura:</t>
        </r>
        <r>
          <rPr>
            <sz val="9"/>
            <color indexed="81"/>
            <rFont val="Calibri"/>
            <family val="2"/>
          </rPr>
          <t xml:space="preserve">
Before FoodCorp Acquisition.</t>
        </r>
      </text>
    </comment>
    <comment ref="G79" authorId="0">
      <text>
        <r>
          <rPr>
            <b/>
            <sz val="9"/>
            <color indexed="81"/>
            <rFont val="Calibri"/>
            <family val="2"/>
          </rPr>
          <t>Fausto Moura:</t>
        </r>
        <r>
          <rPr>
            <sz val="9"/>
            <color indexed="81"/>
            <rFont val="Calibri"/>
            <family val="2"/>
          </rPr>
          <t xml:space="preserve">
After FoodCorp Acquisition.</t>
        </r>
      </text>
    </comment>
    <comment ref="F95" authorId="0">
      <text>
        <r>
          <rPr>
            <b/>
            <sz val="9"/>
            <color indexed="81"/>
            <rFont val="Calibri"/>
            <family val="2"/>
          </rPr>
          <t>Fausto Moura:</t>
        </r>
        <r>
          <rPr>
            <sz val="9"/>
            <color indexed="81"/>
            <rFont val="Calibri"/>
            <family val="2"/>
          </rPr>
          <t xml:space="preserve">
Before FoodCorp Acquisition.</t>
        </r>
      </text>
    </comment>
    <comment ref="G95" authorId="0">
      <text>
        <r>
          <rPr>
            <b/>
            <sz val="9"/>
            <color indexed="81"/>
            <rFont val="Calibri"/>
            <family val="2"/>
          </rPr>
          <t>Fausto Moura:</t>
        </r>
        <r>
          <rPr>
            <sz val="9"/>
            <color indexed="81"/>
            <rFont val="Calibri"/>
            <family val="2"/>
          </rPr>
          <t xml:space="preserve">
After FoodCorp Acquisition.</t>
        </r>
      </text>
    </comment>
    <comment ref="F113" authorId="0">
      <text>
        <r>
          <rPr>
            <b/>
            <sz val="9"/>
            <color indexed="81"/>
            <rFont val="Calibri"/>
            <family val="2"/>
          </rPr>
          <t>Fausto Moura:</t>
        </r>
        <r>
          <rPr>
            <sz val="9"/>
            <color indexed="81"/>
            <rFont val="Calibri"/>
            <family val="2"/>
          </rPr>
          <t xml:space="preserve">
Before FoodCorp Acquisition.</t>
        </r>
      </text>
    </comment>
    <comment ref="G113" authorId="0">
      <text>
        <r>
          <rPr>
            <b/>
            <sz val="9"/>
            <color indexed="81"/>
            <rFont val="Calibri"/>
            <family val="2"/>
          </rPr>
          <t>Fausto Moura:</t>
        </r>
        <r>
          <rPr>
            <sz val="9"/>
            <color indexed="81"/>
            <rFont val="Calibri"/>
            <family val="2"/>
          </rPr>
          <t xml:space="preserve">
After FoodCorp Acquisition.</t>
        </r>
      </text>
    </comment>
    <comment ref="F130" authorId="0">
      <text>
        <r>
          <rPr>
            <b/>
            <sz val="9"/>
            <color indexed="81"/>
            <rFont val="Calibri"/>
            <family val="2"/>
          </rPr>
          <t>Fausto Moura:</t>
        </r>
        <r>
          <rPr>
            <sz val="9"/>
            <color indexed="81"/>
            <rFont val="Calibri"/>
            <family val="2"/>
          </rPr>
          <t xml:space="preserve">
Before FoodCorp Acquisition.</t>
        </r>
      </text>
    </comment>
    <comment ref="G130" authorId="0">
      <text>
        <r>
          <rPr>
            <b/>
            <sz val="9"/>
            <color indexed="81"/>
            <rFont val="Calibri"/>
            <family val="2"/>
          </rPr>
          <t>Fausto Moura:</t>
        </r>
        <r>
          <rPr>
            <sz val="9"/>
            <color indexed="81"/>
            <rFont val="Calibri"/>
            <family val="2"/>
          </rPr>
          <t xml:space="preserve">
After FoodCorp Acquisition.</t>
        </r>
      </text>
    </comment>
    <comment ref="F146" authorId="0">
      <text>
        <r>
          <rPr>
            <b/>
            <sz val="9"/>
            <color indexed="81"/>
            <rFont val="Calibri"/>
            <family val="2"/>
          </rPr>
          <t>Fausto Moura:</t>
        </r>
        <r>
          <rPr>
            <sz val="9"/>
            <color indexed="81"/>
            <rFont val="Calibri"/>
            <family val="2"/>
          </rPr>
          <t xml:space="preserve">
Before FoodCorp Acquisition.</t>
        </r>
      </text>
    </comment>
    <comment ref="G146" authorId="0">
      <text>
        <r>
          <rPr>
            <b/>
            <sz val="9"/>
            <color indexed="81"/>
            <rFont val="Calibri"/>
            <family val="2"/>
          </rPr>
          <t>Fausto Moura:</t>
        </r>
        <r>
          <rPr>
            <sz val="9"/>
            <color indexed="81"/>
            <rFont val="Calibri"/>
            <family val="2"/>
          </rPr>
          <t xml:space="preserve">
After FoodCorp Acquisition.</t>
        </r>
      </text>
    </comment>
    <comment ref="F162" authorId="0">
      <text>
        <r>
          <rPr>
            <b/>
            <sz val="9"/>
            <color indexed="81"/>
            <rFont val="Calibri"/>
            <family val="2"/>
          </rPr>
          <t>Fausto Moura:</t>
        </r>
        <r>
          <rPr>
            <sz val="9"/>
            <color indexed="81"/>
            <rFont val="Calibri"/>
            <family val="2"/>
          </rPr>
          <t xml:space="preserve">
Before FoodCorp Acquisition.</t>
        </r>
      </text>
    </comment>
    <comment ref="G162" authorId="0">
      <text>
        <r>
          <rPr>
            <b/>
            <sz val="9"/>
            <color indexed="81"/>
            <rFont val="Calibri"/>
            <family val="2"/>
          </rPr>
          <t>Fausto Moura:</t>
        </r>
        <r>
          <rPr>
            <sz val="9"/>
            <color indexed="81"/>
            <rFont val="Calibri"/>
            <family val="2"/>
          </rPr>
          <t xml:space="preserve">
After FoodCorp Acquisition.</t>
        </r>
      </text>
    </comment>
    <comment ref="F178" authorId="0">
      <text>
        <r>
          <rPr>
            <b/>
            <sz val="9"/>
            <color indexed="81"/>
            <rFont val="Calibri"/>
            <family val="2"/>
          </rPr>
          <t>Fausto Moura:</t>
        </r>
        <r>
          <rPr>
            <sz val="9"/>
            <color indexed="81"/>
            <rFont val="Calibri"/>
            <family val="2"/>
          </rPr>
          <t xml:space="preserve">
Before FoodCorp Acquisition.</t>
        </r>
      </text>
    </comment>
    <comment ref="G178" authorId="0">
      <text>
        <r>
          <rPr>
            <b/>
            <sz val="9"/>
            <color indexed="81"/>
            <rFont val="Calibri"/>
            <family val="2"/>
          </rPr>
          <t>Fausto Moura:</t>
        </r>
        <r>
          <rPr>
            <sz val="9"/>
            <color indexed="81"/>
            <rFont val="Calibri"/>
            <family val="2"/>
          </rPr>
          <t xml:space="preserve">
After FoodCorp Acquisition.</t>
        </r>
      </text>
    </comment>
    <comment ref="F194" authorId="0">
      <text>
        <r>
          <rPr>
            <b/>
            <sz val="9"/>
            <color indexed="81"/>
            <rFont val="Calibri"/>
            <family val="2"/>
          </rPr>
          <t>Fausto Moura:</t>
        </r>
        <r>
          <rPr>
            <sz val="9"/>
            <color indexed="81"/>
            <rFont val="Calibri"/>
            <family val="2"/>
          </rPr>
          <t xml:space="preserve">
Before FoodCorp Acquisition.</t>
        </r>
      </text>
    </comment>
    <comment ref="G194" authorId="0">
      <text>
        <r>
          <rPr>
            <b/>
            <sz val="9"/>
            <color indexed="81"/>
            <rFont val="Calibri"/>
            <family val="2"/>
          </rPr>
          <t>Fausto Moura:</t>
        </r>
        <r>
          <rPr>
            <sz val="9"/>
            <color indexed="81"/>
            <rFont val="Calibri"/>
            <family val="2"/>
          </rPr>
          <t xml:space="preserve">
After FoodCorp Acquisition.</t>
        </r>
      </text>
    </comment>
  </commentList>
</comments>
</file>

<file path=xl/comments16.xml><?xml version="1.0" encoding="utf-8"?>
<comments xmlns="http://schemas.openxmlformats.org/spreadsheetml/2006/main">
  <authors>
    <author>Fausto Moura</author>
  </authors>
  <commentList>
    <comment ref="D28" authorId="0">
      <text>
        <r>
          <rPr>
            <b/>
            <sz val="9"/>
            <color indexed="81"/>
            <rFont val="Calibri"/>
            <family val="2"/>
          </rPr>
          <t>Fausto Moura:</t>
        </r>
        <r>
          <rPr>
            <sz val="9"/>
            <color indexed="81"/>
            <rFont val="Calibri"/>
            <family val="2"/>
          </rPr>
          <t xml:space="preserve">
Until now I assumed that 100% of cash is non operational</t>
        </r>
      </text>
    </comment>
  </commentList>
</comments>
</file>

<file path=xl/comments17.xml><?xml version="1.0" encoding="utf-8"?>
<comments xmlns="http://schemas.openxmlformats.org/spreadsheetml/2006/main">
  <authors>
    <author>Fausto Moura</author>
  </authors>
  <commentList>
    <comment ref="D28" authorId="0">
      <text>
        <r>
          <rPr>
            <b/>
            <sz val="9"/>
            <color indexed="81"/>
            <rFont val="Calibri"/>
            <family val="2"/>
          </rPr>
          <t>Fausto Moura:</t>
        </r>
        <r>
          <rPr>
            <sz val="9"/>
            <color indexed="81"/>
            <rFont val="Calibri"/>
            <family val="2"/>
          </rPr>
          <t xml:space="preserve">
Until now I assumed that 100% of cash is non operational</t>
        </r>
      </text>
    </comment>
  </commentList>
</comments>
</file>

<file path=xl/comments18.xml><?xml version="1.0" encoding="utf-8"?>
<comments xmlns="http://schemas.openxmlformats.org/spreadsheetml/2006/main">
  <authors>
    <author>Fausto Moura</author>
  </authors>
  <commentList>
    <comment ref="E78" authorId="0">
      <text>
        <r>
          <rPr>
            <b/>
            <sz val="9"/>
            <color indexed="81"/>
            <rFont val="Calibri"/>
            <family val="2"/>
          </rPr>
          <t>Fausto Moura:</t>
        </r>
        <r>
          <rPr>
            <sz val="9"/>
            <color indexed="81"/>
            <rFont val="Calibri"/>
            <family val="2"/>
          </rPr>
          <t xml:space="preserve">
to Tiger Food Brands Limited
</t>
        </r>
      </text>
    </comment>
  </commentList>
</comments>
</file>

<file path=xl/comments19.xml><?xml version="1.0" encoding="utf-8"?>
<comments xmlns="http://schemas.openxmlformats.org/spreadsheetml/2006/main">
  <authors>
    <author>Fausto Moura</author>
  </authors>
  <commentList>
    <comment ref="D14" authorId="0">
      <text>
        <r>
          <rPr>
            <b/>
            <sz val="9"/>
            <color indexed="81"/>
            <rFont val="Calibri"/>
            <family val="2"/>
          </rPr>
          <t>Fausto Moura:</t>
        </r>
        <r>
          <rPr>
            <sz val="9"/>
            <color indexed="81"/>
            <rFont val="Calibri"/>
            <family val="2"/>
          </rPr>
          <t xml:space="preserve">
impairment included 2009 onwards
</t>
        </r>
      </text>
    </comment>
    <comment ref="D31" authorId="0">
      <text>
        <r>
          <rPr>
            <b/>
            <sz val="9"/>
            <color indexed="81"/>
            <rFont val="Calibri"/>
            <family val="2"/>
          </rPr>
          <t>Fausto Moura:</t>
        </r>
        <r>
          <rPr>
            <sz val="9"/>
            <color indexed="81"/>
            <rFont val="Calibri"/>
            <family val="2"/>
          </rPr>
          <t xml:space="preserve">
more details on report 2006 page 36
</t>
        </r>
      </text>
    </comment>
    <comment ref="D48" authorId="0">
      <text>
        <r>
          <rPr>
            <b/>
            <sz val="9"/>
            <color indexed="81"/>
            <rFont val="Calibri"/>
            <family val="2"/>
          </rPr>
          <t>Fausto Moura:</t>
        </r>
        <r>
          <rPr>
            <sz val="9"/>
            <color indexed="81"/>
            <rFont val="Calibri"/>
            <family val="2"/>
          </rPr>
          <t xml:space="preserve">
More about this on report 2006 page 37
</t>
        </r>
      </text>
    </comment>
    <comment ref="D61" authorId="0">
      <text>
        <r>
          <rPr>
            <b/>
            <sz val="9"/>
            <color indexed="81"/>
            <rFont val="Calibri"/>
            <family val="2"/>
          </rPr>
          <t>Fausto Moura:</t>
        </r>
        <r>
          <rPr>
            <sz val="9"/>
            <color indexed="81"/>
            <rFont val="Calibri"/>
            <family val="2"/>
          </rPr>
          <t xml:space="preserve">
More about this on report 2006 page 37
</t>
        </r>
      </text>
    </comment>
    <comment ref="D95" authorId="0">
      <text>
        <r>
          <rPr>
            <b/>
            <sz val="9"/>
            <color indexed="81"/>
            <rFont val="Calibri"/>
            <family val="2"/>
          </rPr>
          <t>Fausto Moura:</t>
        </r>
        <r>
          <rPr>
            <sz val="9"/>
            <color indexed="81"/>
            <rFont val="Calibri"/>
            <family val="2"/>
          </rPr>
          <t xml:space="preserve">
More about this on report 2006 page 37
</t>
        </r>
      </text>
    </comment>
    <comment ref="D105" authorId="0">
      <text>
        <r>
          <rPr>
            <b/>
            <sz val="9"/>
            <color indexed="81"/>
            <rFont val="Calibri"/>
            <family val="2"/>
          </rPr>
          <t>Fausto Moura:</t>
        </r>
        <r>
          <rPr>
            <sz val="9"/>
            <color indexed="81"/>
            <rFont val="Calibri"/>
            <family val="2"/>
          </rPr>
          <t xml:space="preserve">
More about this on report 2006 page 37
</t>
        </r>
      </text>
    </comment>
  </commentList>
</comments>
</file>

<file path=xl/comments2.xml><?xml version="1.0" encoding="utf-8"?>
<comments xmlns="http://schemas.openxmlformats.org/spreadsheetml/2006/main">
  <authors>
    <author>Fausto Moura</author>
  </authors>
  <commentList>
    <comment ref="E216" authorId="0">
      <text>
        <r>
          <rPr>
            <b/>
            <sz val="9"/>
            <color indexed="81"/>
            <rFont val="Calibri"/>
            <family val="2"/>
          </rPr>
          <t>Fausto Moura:</t>
        </r>
        <r>
          <rPr>
            <sz val="9"/>
            <color indexed="81"/>
            <rFont val="Calibri"/>
            <family val="2"/>
          </rPr>
          <t xml:space="preserve">
World Bank, CAGR 11-15</t>
        </r>
      </text>
    </comment>
    <comment ref="E217" authorId="0">
      <text>
        <r>
          <rPr>
            <b/>
            <sz val="9"/>
            <color indexed="81"/>
            <rFont val="Calibri"/>
            <family val="2"/>
          </rPr>
          <t>Fausto Moura:</t>
        </r>
        <r>
          <rPr>
            <sz val="9"/>
            <color indexed="81"/>
            <rFont val="Calibri"/>
            <family val="2"/>
          </rPr>
          <t xml:space="preserve">
World Bank, CAGR 11-15.</t>
        </r>
      </text>
    </comment>
  </commentList>
</comments>
</file>

<file path=xl/comments20.xml><?xml version="1.0" encoding="utf-8"?>
<comments xmlns="http://schemas.openxmlformats.org/spreadsheetml/2006/main">
  <authors>
    <author>Fausto Moura</author>
  </authors>
  <commentList>
    <comment ref="D76" authorId="0">
      <text>
        <r>
          <rPr>
            <b/>
            <sz val="9"/>
            <color indexed="81"/>
            <rFont val="Calibri"/>
            <family val="2"/>
          </rPr>
          <t>Fausto Moura:</t>
        </r>
        <r>
          <rPr>
            <sz val="9"/>
            <color indexed="81"/>
            <rFont val="Calibri"/>
            <family val="2"/>
          </rPr>
          <t xml:space="preserve">
for 14 and 15, trade and other payables</t>
        </r>
      </text>
    </comment>
  </commentList>
</comments>
</file>

<file path=xl/comments21.xml><?xml version="1.0" encoding="utf-8"?>
<comments xmlns="http://schemas.openxmlformats.org/spreadsheetml/2006/main">
  <authors>
    <author>Fausto Moura</author>
  </authors>
  <commentList>
    <comment ref="E19" authorId="0">
      <text>
        <r>
          <rPr>
            <b/>
            <sz val="9"/>
            <color indexed="81"/>
            <rFont val="Calibri"/>
            <family val="2"/>
          </rPr>
          <t>Fausto Moura:</t>
        </r>
        <r>
          <rPr>
            <sz val="9"/>
            <color indexed="81"/>
            <rFont val="Calibri"/>
            <family val="2"/>
          </rPr>
          <t xml:space="preserve">
reflect less synergies</t>
        </r>
      </text>
    </comment>
  </commentList>
</comments>
</file>

<file path=xl/comments3.xml><?xml version="1.0" encoding="utf-8"?>
<comments xmlns="http://schemas.openxmlformats.org/spreadsheetml/2006/main">
  <authors>
    <author>Fausto Moura</author>
  </authors>
  <commentList>
    <comment ref="I3" authorId="0">
      <text>
        <r>
          <rPr>
            <b/>
            <sz val="9"/>
            <color indexed="81"/>
            <rFont val="Calibri"/>
            <family val="2"/>
          </rPr>
          <t>Fausto Moura:</t>
        </r>
        <r>
          <rPr>
            <sz val="9"/>
            <color indexed="81"/>
            <rFont val="Calibri"/>
            <family val="2"/>
          </rPr>
          <t xml:space="preserve">
Raw beta has been increasing over time.
</t>
        </r>
      </text>
    </comment>
  </commentList>
</comments>
</file>

<file path=xl/comments4.xml><?xml version="1.0" encoding="utf-8"?>
<comments xmlns="http://schemas.openxmlformats.org/spreadsheetml/2006/main">
  <authors>
    <author>Fausto Moura</author>
  </authors>
  <commentList>
    <comment ref="O6" authorId="0">
      <text>
        <r>
          <rPr>
            <b/>
            <sz val="9"/>
            <color indexed="81"/>
            <rFont val="Calibri"/>
            <family val="2"/>
          </rPr>
          <t>Fausto Moura:</t>
        </r>
        <r>
          <rPr>
            <sz val="9"/>
            <color indexed="81"/>
            <rFont val="Calibri"/>
            <family val="2"/>
          </rPr>
          <t xml:space="preserve">
Note 1
</t>
        </r>
      </text>
    </comment>
    <comment ref="P9" authorId="0">
      <text>
        <r>
          <rPr>
            <b/>
            <sz val="9"/>
            <color indexed="81"/>
            <rFont val="Calibri"/>
            <family val="2"/>
          </rPr>
          <t>Fausto Moura:</t>
        </r>
        <r>
          <rPr>
            <sz val="9"/>
            <color indexed="81"/>
            <rFont val="Calibri"/>
            <family val="2"/>
          </rPr>
          <t xml:space="preserve">
Assumption of same growth as the growth in revenue.</t>
        </r>
      </text>
    </comment>
    <comment ref="D23" authorId="0">
      <text>
        <r>
          <rPr>
            <b/>
            <sz val="9"/>
            <color indexed="81"/>
            <rFont val="Calibri"/>
            <family val="2"/>
          </rPr>
          <t>Fausto Moura:</t>
        </r>
        <r>
          <rPr>
            <sz val="9"/>
            <color indexed="81"/>
            <rFont val="Calibri"/>
            <family val="2"/>
          </rPr>
          <t xml:space="preserve">
To simplify things, I just put here the net foreign exchange gain, following the 2015 model of the group</t>
        </r>
      </text>
    </comment>
    <comment ref="O26" authorId="0">
      <text>
        <r>
          <rPr>
            <b/>
            <sz val="9"/>
            <color indexed="81"/>
            <rFont val="Calibri"/>
            <family val="2"/>
          </rPr>
          <t>Fausto Moura:</t>
        </r>
        <r>
          <rPr>
            <sz val="9"/>
            <color indexed="81"/>
            <rFont val="Calibri"/>
            <family val="2"/>
          </rPr>
          <t xml:space="preserve">
Note 2</t>
        </r>
      </text>
    </comment>
    <comment ref="O29" authorId="0">
      <text>
        <r>
          <rPr>
            <b/>
            <sz val="9"/>
            <color indexed="81"/>
            <rFont val="Calibri"/>
            <family val="2"/>
          </rPr>
          <t>Fausto Moura:</t>
        </r>
        <r>
          <rPr>
            <sz val="9"/>
            <color indexed="81"/>
            <rFont val="Calibri"/>
            <family val="2"/>
          </rPr>
          <t xml:space="preserve">
Note 14</t>
        </r>
      </text>
    </comment>
    <comment ref="O35" authorId="0">
      <text>
        <r>
          <rPr>
            <b/>
            <sz val="9"/>
            <color indexed="81"/>
            <rFont val="Calibri"/>
            <family val="2"/>
          </rPr>
          <t xml:space="preserve">Fausto Moura:
Note 14
</t>
        </r>
        <r>
          <rPr>
            <sz val="9"/>
            <color indexed="81"/>
            <rFont val="Calibri"/>
            <family val="2"/>
          </rPr>
          <t xml:space="preserve">
</t>
        </r>
      </text>
    </comment>
    <comment ref="P35" authorId="0">
      <text>
        <r>
          <rPr>
            <b/>
            <sz val="9"/>
            <color indexed="81"/>
            <rFont val="Calibri"/>
            <family val="2"/>
          </rPr>
          <t>Fausto Moura:</t>
        </r>
        <r>
          <rPr>
            <sz val="9"/>
            <color indexed="81"/>
            <rFont val="Calibri"/>
            <family val="2"/>
          </rPr>
          <t xml:space="preserve">
Assumed to be zero, impossible to predict.</t>
        </r>
      </text>
    </comment>
    <comment ref="O41" authorId="0">
      <text>
        <r>
          <rPr>
            <b/>
            <sz val="9"/>
            <color indexed="81"/>
            <rFont val="Calibri"/>
            <family val="2"/>
          </rPr>
          <t>Fausto Moura:</t>
        </r>
        <r>
          <rPr>
            <sz val="9"/>
            <color indexed="81"/>
            <rFont val="Calibri"/>
            <family val="2"/>
          </rPr>
          <t xml:space="preserve">
Note 5</t>
        </r>
      </text>
    </comment>
    <comment ref="O42" authorId="0">
      <text>
        <r>
          <rPr>
            <b/>
            <sz val="9"/>
            <color indexed="81"/>
            <rFont val="Calibri"/>
            <family val="2"/>
          </rPr>
          <t>Fausto Moura:</t>
        </r>
        <r>
          <rPr>
            <sz val="9"/>
            <color indexed="81"/>
            <rFont val="Calibri"/>
            <family val="2"/>
          </rPr>
          <t xml:space="preserve">
Note 6
</t>
        </r>
      </text>
    </comment>
    <comment ref="O46" authorId="0">
      <text>
        <r>
          <rPr>
            <b/>
            <sz val="9"/>
            <color indexed="81"/>
            <rFont val="Calibri"/>
            <family val="2"/>
          </rPr>
          <t>Fausto Moura:</t>
        </r>
        <r>
          <rPr>
            <sz val="9"/>
            <color indexed="81"/>
            <rFont val="Calibri"/>
            <family val="2"/>
          </rPr>
          <t xml:space="preserve">
Note 7
</t>
        </r>
      </text>
    </comment>
    <comment ref="P47" authorId="0">
      <text>
        <r>
          <rPr>
            <b/>
            <sz val="9"/>
            <color indexed="81"/>
            <rFont val="Calibri"/>
            <family val="2"/>
          </rPr>
          <t>Fausto Moura:</t>
        </r>
        <r>
          <rPr>
            <sz val="9"/>
            <color indexed="81"/>
            <rFont val="Calibri"/>
            <family val="2"/>
          </rPr>
          <t xml:space="preserve">
Tax rate after inclusion of Daybrook.</t>
        </r>
      </text>
    </comment>
    <comment ref="P59" authorId="0">
      <text>
        <r>
          <rPr>
            <b/>
            <sz val="9"/>
            <color indexed="81"/>
            <rFont val="Calibri"/>
            <family val="2"/>
          </rPr>
          <t>Fausto Moura:</t>
        </r>
        <r>
          <rPr>
            <sz val="9"/>
            <color indexed="81"/>
            <rFont val="Calibri"/>
            <family val="2"/>
          </rPr>
          <t xml:space="preserve">
Driver
</t>
        </r>
      </text>
    </comment>
    <comment ref="P73" authorId="0">
      <text>
        <r>
          <rPr>
            <b/>
            <sz val="9"/>
            <color indexed="81"/>
            <rFont val="Calibri"/>
            <family val="2"/>
          </rPr>
          <t>Fausto Moura:</t>
        </r>
        <r>
          <rPr>
            <sz val="9"/>
            <color indexed="81"/>
            <rFont val="Calibri"/>
            <family val="2"/>
          </rPr>
          <t xml:space="preserve">
Assumpton.</t>
        </r>
      </text>
    </comment>
    <comment ref="P92" authorId="0">
      <text>
        <r>
          <rPr>
            <b/>
            <sz val="9"/>
            <color indexed="81"/>
            <rFont val="Calibri"/>
            <family val="2"/>
          </rPr>
          <t>Fausto Moura:</t>
        </r>
        <r>
          <rPr>
            <sz val="9"/>
            <color indexed="81"/>
            <rFont val="Calibri"/>
            <family val="2"/>
          </rPr>
          <t xml:space="preserve">
Assumption
</t>
        </r>
      </text>
    </comment>
    <comment ref="P133" authorId="0">
      <text>
        <r>
          <rPr>
            <b/>
            <sz val="9"/>
            <color indexed="81"/>
            <rFont val="Calibri"/>
            <family val="2"/>
          </rPr>
          <t>Fausto Moura:</t>
        </r>
        <r>
          <rPr>
            <sz val="9"/>
            <color indexed="81"/>
            <rFont val="Calibri"/>
            <family val="2"/>
          </rPr>
          <t xml:space="preserve">
Assumption.</t>
        </r>
      </text>
    </comment>
    <comment ref="P139" authorId="0">
      <text>
        <r>
          <rPr>
            <b/>
            <sz val="9"/>
            <color indexed="81"/>
            <rFont val="Calibri"/>
            <family val="2"/>
          </rPr>
          <t>Fausto Moura:</t>
        </r>
        <r>
          <rPr>
            <sz val="9"/>
            <color indexed="81"/>
            <rFont val="Calibri"/>
            <family val="2"/>
          </rPr>
          <t xml:space="preserve">
Assumption.</t>
        </r>
      </text>
    </comment>
  </commentList>
</comments>
</file>

<file path=xl/comments5.xml><?xml version="1.0" encoding="utf-8"?>
<comments xmlns="http://schemas.openxmlformats.org/spreadsheetml/2006/main">
  <authors>
    <author>Fausto Moura</author>
  </authors>
  <commentList>
    <comment ref="O7" authorId="0">
      <text>
        <r>
          <rPr>
            <b/>
            <sz val="9"/>
            <color indexed="81"/>
            <rFont val="Calibri"/>
            <family val="2"/>
          </rPr>
          <t>Fausto Moura:</t>
        </r>
        <r>
          <rPr>
            <sz val="9"/>
            <color indexed="81"/>
            <rFont val="Calibri"/>
            <family val="2"/>
          </rPr>
          <t xml:space="preserve">
See notes to the new financial statements. CAPEX and Depreciation drivers are solely the % of each one of total revenue on the segmental analysis.
</t>
        </r>
      </text>
    </comment>
    <comment ref="P7" authorId="0">
      <text>
        <r>
          <rPr>
            <b/>
            <sz val="9"/>
            <color indexed="81"/>
            <rFont val="Calibri"/>
            <family val="2"/>
          </rPr>
          <t>Fausto Moura:</t>
        </r>
        <r>
          <rPr>
            <sz val="9"/>
            <color indexed="81"/>
            <rFont val="Calibri"/>
            <family val="2"/>
          </rPr>
          <t xml:space="preserve">
Assumption that in the long run, capex is equal to depreciation.</t>
        </r>
      </text>
    </comment>
    <comment ref="O11" authorId="0">
      <text>
        <r>
          <rPr>
            <b/>
            <sz val="9"/>
            <color indexed="81"/>
            <rFont val="Calibri"/>
            <family val="2"/>
          </rPr>
          <t>Fausto Moura:</t>
        </r>
        <r>
          <rPr>
            <sz val="9"/>
            <color indexed="81"/>
            <rFont val="Calibri"/>
            <family val="2"/>
          </rPr>
          <t xml:space="preserve">
This value is assumed to be constant over the valuation period.</t>
        </r>
      </text>
    </comment>
    <comment ref="P11" authorId="0">
      <text>
        <r>
          <rPr>
            <b/>
            <sz val="9"/>
            <color indexed="81"/>
            <rFont val="Calibri"/>
            <family val="2"/>
          </rPr>
          <t>Fausto Moura:</t>
        </r>
        <r>
          <rPr>
            <sz val="9"/>
            <color indexed="81"/>
            <rFont val="Calibri"/>
            <family val="2"/>
          </rPr>
          <t xml:space="preserve">
The same forever, amortisations are already included in the depreciation of PPE.</t>
        </r>
      </text>
    </comment>
    <comment ref="O12" authorId="0">
      <text>
        <r>
          <rPr>
            <b/>
            <sz val="9"/>
            <color indexed="81"/>
            <rFont val="Calibri"/>
            <family val="2"/>
          </rPr>
          <t>Fausto Moura:</t>
        </r>
        <r>
          <rPr>
            <sz val="9"/>
            <color indexed="81"/>
            <rFont val="Calibri"/>
            <family val="2"/>
          </rPr>
          <t xml:space="preserve">
Assumed to be constant over the valuation period, because there is no great chance of forecasting this, and its material value has no great impact on the final results.</t>
        </r>
      </text>
    </comment>
    <comment ref="P12" authorId="0">
      <text>
        <r>
          <rPr>
            <b/>
            <sz val="9"/>
            <color indexed="81"/>
            <rFont val="Calibri"/>
            <family val="2"/>
          </rPr>
          <t>Fausto Moura:</t>
        </r>
        <r>
          <rPr>
            <sz val="9"/>
            <color indexed="81"/>
            <rFont val="Calibri"/>
            <family val="2"/>
          </rPr>
          <t xml:space="preserve">
It will remain the same, assumption.</t>
        </r>
      </text>
    </comment>
    <comment ref="O13" authorId="0">
      <text>
        <r>
          <rPr>
            <b/>
            <sz val="9"/>
            <color indexed="81"/>
            <rFont val="Calibri"/>
            <family val="2"/>
          </rPr>
          <t>Fausto Moura:</t>
        </r>
        <r>
          <rPr>
            <sz val="9"/>
            <color indexed="81"/>
            <rFont val="Calibri"/>
            <family val="2"/>
          </rPr>
          <t xml:space="preserve">
The value of financial investments (investments and loans and interest in subsidiaries, associates and joint ventures) are assumed to be constant over the valuation period.</t>
        </r>
      </text>
    </comment>
    <comment ref="P13" authorId="0">
      <text>
        <r>
          <rPr>
            <b/>
            <sz val="9"/>
            <color indexed="81"/>
            <rFont val="Calibri"/>
            <family val="2"/>
          </rPr>
          <t>Fausto Moura:</t>
        </r>
        <r>
          <rPr>
            <sz val="9"/>
            <color indexed="81"/>
            <rFont val="Calibri"/>
            <family val="2"/>
          </rPr>
          <t xml:space="preserve">
It will remain the same, assumption.</t>
        </r>
      </text>
    </comment>
    <comment ref="O14" authorId="0">
      <text>
        <r>
          <rPr>
            <b/>
            <sz val="9"/>
            <color indexed="81"/>
            <rFont val="Calibri"/>
            <family val="2"/>
          </rPr>
          <t>Fausto Moura:</t>
        </r>
        <r>
          <rPr>
            <sz val="9"/>
            <color indexed="81"/>
            <rFont val="Calibri"/>
            <family val="2"/>
          </rPr>
          <t xml:space="preserve">
The value of financial investments (investments and loans and interest in subsidiaries, associates and joint ventures) are assumed to be constant over the valuation period.</t>
        </r>
      </text>
    </comment>
    <comment ref="P14" authorId="0">
      <text>
        <r>
          <rPr>
            <b/>
            <sz val="9"/>
            <color indexed="81"/>
            <rFont val="Calibri"/>
            <family val="2"/>
          </rPr>
          <t>Fausto Moura:</t>
        </r>
        <r>
          <rPr>
            <sz val="9"/>
            <color indexed="81"/>
            <rFont val="Calibri"/>
            <family val="2"/>
          </rPr>
          <t xml:space="preserve">
It will remain the same, assumption.</t>
        </r>
      </text>
    </comment>
    <comment ref="O19" authorId="0">
      <text>
        <r>
          <rPr>
            <b/>
            <sz val="9"/>
            <color indexed="81"/>
            <rFont val="Calibri"/>
            <family val="2"/>
          </rPr>
          <t>Fausto Moura:</t>
        </r>
        <r>
          <rPr>
            <sz val="9"/>
            <color indexed="81"/>
            <rFont val="Calibri"/>
            <family val="2"/>
          </rPr>
          <t xml:space="preserve">
Notes to the new financial statements. I put inventories driven by a ratio of Inventories/COGS, which is the theoretically the more appropriate.</t>
        </r>
      </text>
    </comment>
    <comment ref="O20" authorId="0">
      <text>
        <r>
          <rPr>
            <b/>
            <sz val="9"/>
            <color indexed="81"/>
            <rFont val="Calibri"/>
            <family val="2"/>
          </rPr>
          <t>Fausto Moura:</t>
        </r>
        <r>
          <rPr>
            <sz val="9"/>
            <color indexed="81"/>
            <rFont val="Calibri"/>
            <family val="2"/>
          </rPr>
          <t xml:space="preserve">
Both Account Receivables and taxation account for ST debtors and Working Capital, thus I assumed both to be included on WC calculation and eliminated then the amount of taxation.</t>
        </r>
      </text>
    </comment>
    <comment ref="O21" authorId="0">
      <text>
        <r>
          <rPr>
            <b/>
            <sz val="9"/>
            <color indexed="81"/>
            <rFont val="Calibri"/>
            <family val="2"/>
          </rPr>
          <t>Fausto Moura:</t>
        </r>
      </text>
    </comment>
    <comment ref="P21" authorId="0">
      <text>
        <r>
          <rPr>
            <b/>
            <sz val="9"/>
            <color indexed="81"/>
            <rFont val="Calibri"/>
            <family val="2"/>
          </rPr>
          <t>Fausto Moura:</t>
        </r>
        <r>
          <rPr>
            <sz val="9"/>
            <color indexed="81"/>
            <rFont val="Calibri"/>
            <family val="2"/>
          </rPr>
          <t xml:space="preserve">
Check this assumption.</t>
        </r>
      </text>
    </comment>
    <comment ref="O25" authorId="0">
      <text>
        <r>
          <rPr>
            <b/>
            <sz val="9"/>
            <color indexed="81"/>
            <rFont val="Calibri"/>
            <family val="2"/>
          </rPr>
          <t>Fausto Moura:</t>
        </r>
        <r>
          <rPr>
            <sz val="9"/>
            <color indexed="81"/>
            <rFont val="Calibri"/>
            <family val="2"/>
          </rPr>
          <t xml:space="preserve">
Assumed that they were not sold.</t>
        </r>
      </text>
    </comment>
    <comment ref="O32" authorId="0">
      <text>
        <r>
          <rPr>
            <b/>
            <sz val="9"/>
            <color indexed="81"/>
            <rFont val="Calibri"/>
            <family val="2"/>
          </rPr>
          <t>Fausto Moura:</t>
        </r>
        <r>
          <rPr>
            <sz val="9"/>
            <color indexed="81"/>
            <rFont val="Calibri"/>
            <family val="2"/>
          </rPr>
          <t xml:space="preserve">
Note 20</t>
        </r>
      </text>
    </comment>
    <comment ref="O35" authorId="0">
      <text>
        <r>
          <rPr>
            <b/>
            <sz val="9"/>
            <color indexed="81"/>
            <rFont val="Calibri"/>
            <family val="2"/>
          </rPr>
          <t>Fausto Moura:</t>
        </r>
        <r>
          <rPr>
            <sz val="9"/>
            <color indexed="81"/>
            <rFont val="Calibri"/>
            <family val="2"/>
          </rPr>
          <t xml:space="preserve">
Note 21</t>
        </r>
      </text>
    </comment>
    <comment ref="O36" authorId="0">
      <text>
        <r>
          <rPr>
            <b/>
            <sz val="9"/>
            <color indexed="81"/>
            <rFont val="Calibri"/>
            <family val="2"/>
          </rPr>
          <t>Fausto Moura:</t>
        </r>
        <r>
          <rPr>
            <sz val="9"/>
            <color indexed="81"/>
            <rFont val="Calibri"/>
            <family val="2"/>
          </rPr>
          <t xml:space="preserve">
Note 21</t>
        </r>
      </text>
    </comment>
    <comment ref="O37" authorId="0">
      <text>
        <r>
          <rPr>
            <b/>
            <sz val="9"/>
            <color indexed="81"/>
            <rFont val="Calibri"/>
            <family val="2"/>
          </rPr>
          <t>Fausto Moura:</t>
        </r>
        <r>
          <rPr>
            <sz val="9"/>
            <color indexed="81"/>
            <rFont val="Calibri"/>
            <family val="2"/>
          </rPr>
          <t xml:space="preserve">
Note 28</t>
        </r>
      </text>
    </comment>
    <comment ref="O43" authorId="0">
      <text>
        <r>
          <rPr>
            <b/>
            <sz val="9"/>
            <color indexed="81"/>
            <rFont val="Calibri"/>
            <family val="2"/>
          </rPr>
          <t>Fausto Moura:</t>
        </r>
        <r>
          <rPr>
            <sz val="9"/>
            <color indexed="81"/>
            <rFont val="Calibri"/>
            <family val="2"/>
          </rPr>
          <t xml:space="preserve">
Assumed to remain constant.</t>
        </r>
      </text>
    </comment>
    <comment ref="O44" authorId="0">
      <text>
        <r>
          <rPr>
            <b/>
            <sz val="9"/>
            <color indexed="81"/>
            <rFont val="Calibri"/>
            <family val="2"/>
          </rPr>
          <t>Fausto Moura:</t>
        </r>
        <r>
          <rPr>
            <sz val="9"/>
            <color indexed="81"/>
            <rFont val="Calibri"/>
            <family val="2"/>
          </rPr>
          <t xml:space="preserve">
Paying off debt on the first year after acquisition.</t>
        </r>
      </text>
    </comment>
    <comment ref="O45" authorId="0">
      <text>
        <r>
          <rPr>
            <b/>
            <sz val="9"/>
            <color indexed="81"/>
            <rFont val="Calibri"/>
            <family val="2"/>
          </rPr>
          <t>Fausto Moura:</t>
        </r>
        <r>
          <rPr>
            <sz val="9"/>
            <color indexed="81"/>
            <rFont val="Calibri"/>
            <family val="2"/>
          </rPr>
          <t xml:space="preserve">
Assumed to remain constant.
</t>
        </r>
      </text>
    </comment>
    <comment ref="O46" authorId="0">
      <text>
        <r>
          <rPr>
            <b/>
            <sz val="9"/>
            <color indexed="81"/>
            <rFont val="Calibri"/>
            <family val="2"/>
          </rPr>
          <t>Fausto Moura:</t>
        </r>
        <r>
          <rPr>
            <sz val="9"/>
            <color indexed="81"/>
            <rFont val="Calibri"/>
            <family val="2"/>
          </rPr>
          <t xml:space="preserve">
Assumed to remain constant.</t>
        </r>
      </text>
    </comment>
    <comment ref="O49" authorId="0">
      <text>
        <r>
          <rPr>
            <b/>
            <sz val="9"/>
            <color indexed="81"/>
            <rFont val="Calibri"/>
            <family val="2"/>
          </rPr>
          <t>Fausto Moura:</t>
        </r>
        <r>
          <rPr>
            <sz val="9"/>
            <color indexed="81"/>
            <rFont val="Calibri"/>
            <family val="2"/>
          </rPr>
          <t xml:space="preserve">
Note 24</t>
        </r>
      </text>
    </comment>
    <comment ref="O51" authorId="0">
      <text>
        <r>
          <rPr>
            <b/>
            <sz val="9"/>
            <color indexed="81"/>
            <rFont val="Calibri"/>
            <family val="2"/>
          </rPr>
          <t>Fausto Moura:</t>
        </r>
        <r>
          <rPr>
            <sz val="9"/>
            <color indexed="81"/>
            <rFont val="Calibri"/>
            <family val="2"/>
          </rPr>
          <t xml:space="preserve">
Note 25</t>
        </r>
      </text>
    </comment>
    <comment ref="O52" authorId="0">
      <text>
        <r>
          <rPr>
            <b/>
            <sz val="9"/>
            <color indexed="81"/>
            <rFont val="Calibri"/>
            <family val="2"/>
          </rPr>
          <t>Fausto Moura:</t>
        </r>
        <r>
          <rPr>
            <sz val="9"/>
            <color indexed="81"/>
            <rFont val="Calibri"/>
            <family val="2"/>
          </rPr>
          <t xml:space="preserve">
Exceptional Taxation
§</t>
        </r>
      </text>
    </comment>
  </commentList>
</comments>
</file>

<file path=xl/comments6.xml><?xml version="1.0" encoding="utf-8"?>
<comments xmlns="http://schemas.openxmlformats.org/spreadsheetml/2006/main">
  <authors>
    <author>Fausto Moura</author>
  </authors>
  <commentList>
    <comment ref="D22" authorId="0">
      <text>
        <r>
          <rPr>
            <b/>
            <sz val="9"/>
            <color indexed="81"/>
            <rFont val="Calibri"/>
            <family val="2"/>
          </rPr>
          <t>Fausto Moura:</t>
        </r>
        <r>
          <rPr>
            <sz val="9"/>
            <color indexed="81"/>
            <rFont val="Calibri"/>
            <family val="2"/>
          </rPr>
          <t xml:space="preserve">
Formula has changed 2012 onwards because of preference shares</t>
        </r>
      </text>
    </comment>
    <comment ref="L67" authorId="0">
      <text>
        <r>
          <rPr>
            <b/>
            <sz val="9"/>
            <color indexed="81"/>
            <rFont val="Calibri"/>
            <family val="2"/>
          </rPr>
          <t>Fausto Moura:</t>
        </r>
        <r>
          <rPr>
            <sz val="9"/>
            <color indexed="81"/>
            <rFont val="Calibri"/>
            <family val="2"/>
          </rPr>
          <t xml:space="preserve">
abnormal year with adjustment
</t>
        </r>
      </text>
    </comment>
  </commentList>
</comments>
</file>

<file path=xl/comments7.xml><?xml version="1.0" encoding="utf-8"?>
<comments xmlns="http://schemas.openxmlformats.org/spreadsheetml/2006/main">
  <authors>
    <author>Fausto Moura</author>
  </authors>
  <commentList>
    <comment ref="P7" authorId="0">
      <text>
        <r>
          <rPr>
            <b/>
            <sz val="9"/>
            <color indexed="81"/>
            <rFont val="Calibri"/>
            <family val="2"/>
          </rPr>
          <t>Fausto Moura:</t>
        </r>
        <r>
          <rPr>
            <sz val="9"/>
            <color indexed="81"/>
            <rFont val="Calibri"/>
            <family val="2"/>
          </rPr>
          <t xml:space="preserve">
Replacement capex of 9% yoy plus expansion capex as 1/3 of yoy change in revenues.
Except for 2016.</t>
        </r>
      </text>
    </comment>
    <comment ref="P40" authorId="0">
      <text>
        <r>
          <rPr>
            <b/>
            <sz val="9"/>
            <color indexed="81"/>
            <rFont val="Calibri"/>
            <family val="2"/>
          </rPr>
          <t>Fausto Moura:</t>
        </r>
        <r>
          <rPr>
            <sz val="9"/>
            <color indexed="81"/>
            <rFont val="Calibri"/>
            <family val="2"/>
          </rPr>
          <t xml:space="preserve">
Contribution to depreciation adjusted for all divisions minus Daybrook, do to the inclusion to latest.</t>
        </r>
      </text>
    </comment>
    <comment ref="P52" authorId="0">
      <text>
        <r>
          <rPr>
            <b/>
            <sz val="9"/>
            <color indexed="81"/>
            <rFont val="Calibri"/>
            <family val="2"/>
          </rPr>
          <t>Fausto Moura:</t>
        </r>
        <r>
          <rPr>
            <sz val="9"/>
            <color indexed="81"/>
            <rFont val="Calibri"/>
            <family val="2"/>
          </rPr>
          <t xml:space="preserve">
Next 4 years, assumption that it is the same as the last year. After year 5, we'll use the average of 05-15.</t>
        </r>
      </text>
    </comment>
    <comment ref="P55" authorId="0">
      <text>
        <r>
          <rPr>
            <b/>
            <sz val="9"/>
            <color indexed="81"/>
            <rFont val="Calibri"/>
            <family val="2"/>
          </rPr>
          <t>Fausto Moura:</t>
        </r>
        <r>
          <rPr>
            <sz val="9"/>
            <color indexed="81"/>
            <rFont val="Calibri"/>
            <family val="2"/>
          </rPr>
          <t xml:space="preserve">
Assumption that next 4 years is the same as the last one, and then stable at average of 05-15.</t>
        </r>
      </text>
    </comment>
    <comment ref="P58" authorId="0">
      <text>
        <r>
          <rPr>
            <b/>
            <sz val="9"/>
            <color indexed="81"/>
            <rFont val="Calibri"/>
            <family val="2"/>
          </rPr>
          <t>Fausto Moura:</t>
        </r>
        <r>
          <rPr>
            <sz val="9"/>
            <color indexed="81"/>
            <rFont val="Calibri"/>
            <family val="2"/>
          </rPr>
          <t xml:space="preserve">
Assumption that next 4 years is the same as the last year, and then stable at average of 05-15.</t>
        </r>
      </text>
    </comment>
    <comment ref="D74" authorId="0">
      <text>
        <r>
          <rPr>
            <b/>
            <sz val="9"/>
            <color indexed="81"/>
            <rFont val="Calibri"/>
            <family val="2"/>
          </rPr>
          <t>Fausto Moura:</t>
        </r>
        <r>
          <rPr>
            <sz val="9"/>
            <color indexed="81"/>
            <rFont val="Calibri"/>
            <family val="2"/>
          </rPr>
          <t xml:space="preserve">
Very strong assumptions, need to check it.</t>
        </r>
      </text>
    </comment>
    <comment ref="P79" authorId="0">
      <text>
        <r>
          <rPr>
            <b/>
            <sz val="9"/>
            <color indexed="81"/>
            <rFont val="Calibri"/>
            <family val="2"/>
          </rPr>
          <t>Fausto Moura:</t>
        </r>
        <r>
          <rPr>
            <sz val="9"/>
            <color indexed="81"/>
            <rFont val="Calibri"/>
            <family val="2"/>
          </rPr>
          <t xml:space="preserve">
Debt was paid off.</t>
        </r>
      </text>
    </comment>
    <comment ref="N93" authorId="0">
      <text>
        <r>
          <rPr>
            <b/>
            <sz val="9"/>
            <color indexed="81"/>
            <rFont val="Calibri"/>
            <family val="2"/>
          </rPr>
          <t>Fausto Moura:</t>
        </r>
        <r>
          <rPr>
            <sz val="9"/>
            <color indexed="81"/>
            <rFont val="Calibri"/>
            <family val="2"/>
          </rPr>
          <t xml:space="preserve">
Check this assumption later.</t>
        </r>
      </text>
    </comment>
  </commentList>
</comments>
</file>

<file path=xl/comments8.xml><?xml version="1.0" encoding="utf-8"?>
<comments xmlns="http://schemas.openxmlformats.org/spreadsheetml/2006/main">
  <authors>
    <author>Fausto Moura</author>
  </authors>
  <commentList>
    <comment ref="P17" authorId="0">
      <text>
        <r>
          <rPr>
            <b/>
            <sz val="9"/>
            <color indexed="81"/>
            <rFont val="Calibri"/>
            <family val="2"/>
          </rPr>
          <t>Fausto Moura:</t>
        </r>
        <r>
          <rPr>
            <sz val="9"/>
            <color indexed="81"/>
            <rFont val="Calibri"/>
            <family val="2"/>
          </rPr>
          <t xml:space="preserve">
a quarter of 2015 and three quarters of 2016
</t>
        </r>
      </text>
    </comment>
    <comment ref="U18" authorId="0">
      <text>
        <r>
          <rPr>
            <b/>
            <sz val="9"/>
            <color indexed="81"/>
            <rFont val="Calibri"/>
            <family val="2"/>
          </rPr>
          <t>Fausto Moura:</t>
        </r>
        <r>
          <rPr>
            <sz val="9"/>
            <color indexed="81"/>
            <rFont val="Calibri"/>
            <family val="2"/>
          </rPr>
          <t xml:space="preserve">
Assumption - stable in 6%
</t>
        </r>
      </text>
    </comment>
    <comment ref="P44" authorId="0">
      <text>
        <r>
          <rPr>
            <b/>
            <sz val="9"/>
            <color indexed="81"/>
            <rFont val="Calibri"/>
            <family val="2"/>
          </rPr>
          <t>Fausto Moura:</t>
        </r>
        <r>
          <rPr>
            <sz val="9"/>
            <color indexed="81"/>
            <rFont val="Calibri"/>
            <family val="2"/>
          </rPr>
          <t xml:space="preserve">
a quarter of 2015 and three quarters of 2016
</t>
        </r>
      </text>
    </comment>
    <comment ref="U47" authorId="0">
      <text>
        <r>
          <rPr>
            <b/>
            <sz val="9"/>
            <color indexed="81"/>
            <rFont val="Calibri"/>
            <family val="2"/>
          </rPr>
          <t>Fausto Moura:</t>
        </r>
        <r>
          <rPr>
            <sz val="9"/>
            <color indexed="81"/>
            <rFont val="Calibri"/>
            <family val="2"/>
          </rPr>
          <t xml:space="preserve">
Assumption, margin stable at 30%</t>
        </r>
      </text>
    </comment>
    <comment ref="P77" authorId="0">
      <text>
        <r>
          <rPr>
            <b/>
            <sz val="9"/>
            <color indexed="81"/>
            <rFont val="Calibri"/>
            <family val="2"/>
          </rPr>
          <t>Fausto Moura:</t>
        </r>
        <r>
          <rPr>
            <sz val="9"/>
            <color indexed="81"/>
            <rFont val="Calibri"/>
            <family val="2"/>
          </rPr>
          <t xml:space="preserve">
a quarter of 2015 and three quarters of 2016</t>
        </r>
      </text>
    </comment>
    <comment ref="P101" authorId="0">
      <text>
        <r>
          <rPr>
            <b/>
            <sz val="9"/>
            <color indexed="81"/>
            <rFont val="Calibri"/>
            <family val="2"/>
          </rPr>
          <t>Fausto Moura:</t>
        </r>
        <r>
          <rPr>
            <sz val="9"/>
            <color indexed="81"/>
            <rFont val="Calibri"/>
            <family val="2"/>
          </rPr>
          <t xml:space="preserve">
a quarter of 2015 and three quarters of 2016</t>
        </r>
      </text>
    </comment>
  </commentList>
</comments>
</file>

<file path=xl/comments9.xml><?xml version="1.0" encoding="utf-8"?>
<comments xmlns="http://schemas.openxmlformats.org/spreadsheetml/2006/main">
  <authors>
    <author>Fausto Moura</author>
  </authors>
  <commentList>
    <comment ref="AP3" authorId="0">
      <text>
        <r>
          <rPr>
            <b/>
            <sz val="9"/>
            <color indexed="81"/>
            <rFont val="Calibri"/>
            <family val="2"/>
          </rPr>
          <t>Fausto Moura:</t>
        </r>
        <r>
          <rPr>
            <sz val="9"/>
            <color indexed="81"/>
            <rFont val="Calibri"/>
            <family val="2"/>
          </rPr>
          <t xml:space="preserve">
"Lucky Star harvests, processes and procures small pelagic species, and markets and sells that derived products. Our primary product is canned fish, mainly pilchard, but also tuna, sardne, mackerel, salmon and mussels, all of which are marketed under the Lucky Star brand. The division also markets Glenryck in the UK and pet food in SA under the Lucky Pet brand. Lucky Star is the market leader in the canned fish category across SA and several other African markes. Canned fish is a key staple protein choice for Southern African consumers and is eaten in over three million meals daily. Lucky Star also markets fishmeal and fish oil in SA and internationally, primarily for the aqua feed and animal feed sectors.</t>
        </r>
      </text>
    </comment>
    <comment ref="BB6" authorId="0">
      <text>
        <r>
          <rPr>
            <b/>
            <sz val="9"/>
            <color indexed="81"/>
            <rFont val="Calibri"/>
            <family val="2"/>
          </rPr>
          <t>Fausto Moura:</t>
        </r>
        <r>
          <rPr>
            <sz val="9"/>
            <color indexed="81"/>
            <rFont val="Calibri"/>
            <family val="2"/>
          </rPr>
          <t xml:space="preserve">
SA Inflation target (3%-6%, SARB) + princing power of 6% due to increase in chicken prices. Over the ST, it the pricing power will decrease 1% oer year, and the yoy change in price will stabilize at a conservative inflation target of 3% plus 1% of pricing power.</t>
        </r>
      </text>
    </comment>
    <comment ref="D8" authorId="0">
      <text>
        <r>
          <rPr>
            <b/>
            <sz val="9"/>
            <color indexed="81"/>
            <rFont val="Calibri"/>
            <family val="2"/>
          </rPr>
          <t>Fausto Moura:</t>
        </r>
        <r>
          <rPr>
            <sz val="9"/>
            <color indexed="81"/>
            <rFont val="Calibri"/>
            <family val="2"/>
          </rPr>
          <t xml:space="preserve">
What did contribute for this growth?</t>
        </r>
      </text>
    </comment>
    <comment ref="BB8" authorId="0">
      <text>
        <r>
          <rPr>
            <b/>
            <sz val="9"/>
            <color indexed="81"/>
            <rFont val="Calibri"/>
            <family val="2"/>
          </rPr>
          <t>Fausto Moura:</t>
        </r>
        <r>
          <rPr>
            <sz val="9"/>
            <color indexed="81"/>
            <rFont val="Calibri"/>
            <family val="2"/>
          </rPr>
          <t xml:space="preserve">
To reflect recent news that more fish was processed locally, therefore it reduce the cost of importing fish.</t>
        </r>
      </text>
    </comment>
    <comment ref="D22" authorId="0">
      <text>
        <r>
          <rPr>
            <b/>
            <sz val="9"/>
            <color indexed="81"/>
            <rFont val="Calibri"/>
            <family val="2"/>
          </rPr>
          <t>Fausto Moura:</t>
        </r>
        <r>
          <rPr>
            <sz val="9"/>
            <color indexed="81"/>
            <rFont val="Calibri"/>
            <family val="2"/>
          </rPr>
          <t xml:space="preserve">
"Lucky Star harvests, processes and procures small pelagic species, and markets and sells that derived products. Our primary product is canned fish, mainly pilchard, but also tuna, sardne, mackerel, salmon and mussels, all of which are marketed under the Lucky Star brand. The division also markets Glenryck in the UK and pet food in SA under the Lucky Pet brand. Lucky Star is the market leader in the canned fish category across SA and several other African markes. Canned fish is a key staple protein choice for Southern African consumers and is eaten in over three million meals daily. Lucky Star also markets fishmeal and fish oil in SA and internationally, primarily for the aqua feed and animal feed sectors.</t>
        </r>
      </text>
    </comment>
    <comment ref="P25" authorId="0">
      <text>
        <r>
          <rPr>
            <b/>
            <sz val="9"/>
            <color indexed="81"/>
            <rFont val="Calibri"/>
            <family val="2"/>
          </rPr>
          <t>Fausto Moura:</t>
        </r>
        <r>
          <rPr>
            <sz val="9"/>
            <color indexed="81"/>
            <rFont val="Calibri"/>
            <family val="2"/>
          </rPr>
          <t xml:space="preserve">
SA Inflation target (3%-6%, SARB) + princing power of 6% due to increase in chicken prices. Over the ST, it the pricing power will decrease 1% oer year, and the yoy change in price will stabilize at a conservative inflation target of 3% plus 1% of pricing power.</t>
        </r>
      </text>
    </comment>
    <comment ref="U25" authorId="0">
      <text>
        <r>
          <rPr>
            <b/>
            <sz val="9"/>
            <color indexed="81"/>
            <rFont val="Calibri"/>
            <family val="2"/>
          </rPr>
          <t>Fausto Moura:</t>
        </r>
        <r>
          <rPr>
            <sz val="9"/>
            <color indexed="81"/>
            <rFont val="Calibri"/>
            <family val="2"/>
          </rPr>
          <t xml:space="preserve">
Growing at inflation, but also accounting to the fact that Lucky Star is a division with high competitive advantages, therefore it is assumed that the price growth in the LT is inflation plus 1% to reflect pricing power.</t>
        </r>
      </text>
    </comment>
    <comment ref="P26" authorId="0">
      <text>
        <r>
          <rPr>
            <b/>
            <sz val="9"/>
            <color indexed="81"/>
            <rFont val="Calibri"/>
            <family val="2"/>
          </rPr>
          <t>Fausto Moura:</t>
        </r>
        <r>
          <rPr>
            <sz val="9"/>
            <color indexed="81"/>
            <rFont val="Calibri"/>
            <family val="2"/>
          </rPr>
          <t xml:space="preserve">
Mix of volume growth between canned fish and fishmeal. 75% to growth in canned fish and 25% to fishmeal.
</t>
        </r>
      </text>
    </comment>
    <comment ref="P29" authorId="0">
      <text>
        <r>
          <rPr>
            <b/>
            <sz val="9"/>
            <color indexed="81"/>
            <rFont val="Calibri"/>
            <family val="2"/>
          </rPr>
          <t>Fausto Moura:</t>
        </r>
        <r>
          <rPr>
            <sz val="9"/>
            <color indexed="81"/>
            <rFont val="Calibri"/>
            <family val="2"/>
          </rPr>
          <t xml:space="preserve">
To reflect recent news that more fish was processed locally, therefore it reduce the cost of importing fish.</t>
        </r>
      </text>
    </comment>
    <comment ref="O36" authorId="0">
      <text>
        <r>
          <rPr>
            <b/>
            <sz val="9"/>
            <color indexed="81"/>
            <rFont val="Calibri"/>
            <family val="2"/>
          </rPr>
          <t>Fausto Moura:</t>
        </r>
        <r>
          <rPr>
            <sz val="9"/>
            <color indexed="81"/>
            <rFont val="Calibri"/>
            <family val="2"/>
          </rPr>
          <t xml:space="preserve">
 - global supply volatility due t variable resource availability;
 - Erosion of margins due to exchange rate impact;
 - loss of brand equity due to a food safety incident;
 - loss of contracted quota and/or increasing quota usage fees.</t>
        </r>
      </text>
    </comment>
    <comment ref="O37" authorId="0">
      <text>
        <r>
          <rPr>
            <b/>
            <sz val="9"/>
            <color indexed="81"/>
            <rFont val="Calibri"/>
            <family val="2"/>
          </rPr>
          <t>Fausto Moura:</t>
        </r>
        <r>
          <rPr>
            <sz val="9"/>
            <color indexed="81"/>
            <rFont val="Calibri"/>
            <family val="2"/>
          </rPr>
          <t xml:space="preserve">
 - develop the canned fish division and Lucky Star brand in Southern and East Africa;
 - ensuring sustainable and affordable supply;
 - retaining and maximising local procurement contracts;
 - reducing route-to-market costs by driving efficiencies and effectiveness along full value chain;
 - driving frequency of consumption of Lucky Star product;
 - increasing international raw fish procurement for local production;
 - driving efficiencies and effectiveness in fishing and processing operations;
 - improving utilisation of existing fleet and processing capacity.
**some of these challenges are to be faced on both canned and fishmeal</t>
        </r>
      </text>
    </comment>
    <comment ref="M38" authorId="0">
      <text>
        <r>
          <rPr>
            <b/>
            <sz val="9"/>
            <color indexed="81"/>
            <rFont val="Calibri"/>
            <family val="2"/>
          </rPr>
          <t>Fausto Moura:</t>
        </r>
        <r>
          <rPr>
            <sz val="9"/>
            <color indexed="81"/>
            <rFont val="Calibri"/>
            <family val="2"/>
          </rPr>
          <t xml:space="preserve">
Local sales volumes for the full year were lower than in the previous years. This was mainly due to increasing economic pressure experienced by Oceana's core customer, resulting in the shrinking of volumes consumed in the protein and staple food sectors</t>
        </r>
      </text>
    </comment>
    <comment ref="N39" authorId="0">
      <text>
        <r>
          <rPr>
            <b/>
            <sz val="9"/>
            <color indexed="81"/>
            <rFont val="Calibri"/>
            <family val="2"/>
          </rPr>
          <t>Fausto Moura:</t>
        </r>
        <r>
          <rPr>
            <sz val="9"/>
            <color indexed="81"/>
            <rFont val="Calibri"/>
            <family val="2"/>
          </rPr>
          <t xml:space="preserve">
Despite very tough SA trading conditions, local sales volume for the full year grew 3.3% in volume</t>
        </r>
      </text>
    </comment>
    <comment ref="N43" authorId="0">
      <text>
        <r>
          <rPr>
            <b/>
            <sz val="9"/>
            <color indexed="81"/>
            <rFont val="Calibri"/>
            <family val="2"/>
          </rPr>
          <t>Fausto Moura:</t>
        </r>
        <r>
          <rPr>
            <sz val="9"/>
            <color indexed="81"/>
            <rFont val="Calibri"/>
            <family val="2"/>
          </rPr>
          <t xml:space="preserve">
Landings of this allocation were partially completed on 30 Sep, but they are expected to be achieved late on the year.</t>
        </r>
      </text>
    </comment>
    <comment ref="O43" authorId="0">
      <text>
        <r>
          <rPr>
            <b/>
            <sz val="9"/>
            <color indexed="81"/>
            <rFont val="Calibri"/>
            <family val="2"/>
          </rPr>
          <t>Fausto Moura:</t>
        </r>
        <r>
          <rPr>
            <sz val="9"/>
            <color indexed="81"/>
            <rFont val="Calibri"/>
            <family val="2"/>
          </rPr>
          <t xml:space="preserve">
Landing of this allocation was partially completed by 30 Sep'15, however it is expected to catch everything.</t>
        </r>
      </text>
    </comment>
    <comment ref="D45" authorId="0">
      <text>
        <r>
          <rPr>
            <b/>
            <sz val="9"/>
            <color indexed="81"/>
            <rFont val="Calibri"/>
            <family val="2"/>
          </rPr>
          <t>Fausto Moura:</t>
        </r>
        <r>
          <rPr>
            <sz val="9"/>
            <color indexed="81"/>
            <rFont val="Calibri"/>
            <family val="2"/>
          </rPr>
          <t xml:space="preserve">
Regarding the namibian operation, Oceana has a 44.9% share in Etosha Fisheries.</t>
        </r>
      </text>
    </comment>
    <comment ref="O52" authorId="0">
      <text>
        <r>
          <rPr>
            <b/>
            <sz val="9"/>
            <color indexed="81"/>
            <rFont val="Calibri"/>
            <family val="2"/>
          </rPr>
          <t>Fausto Moura:</t>
        </r>
        <r>
          <rPr>
            <sz val="9"/>
            <color indexed="81"/>
            <rFont val="Calibri"/>
            <family val="2"/>
          </rPr>
          <t xml:space="preserve">
 - increased price premium in SA, compared with other proteins.</t>
        </r>
      </text>
    </comment>
    <comment ref="N55" authorId="0">
      <text>
        <r>
          <rPr>
            <b/>
            <sz val="9"/>
            <color indexed="81"/>
            <rFont val="Calibri"/>
            <family val="2"/>
          </rPr>
          <t>Fausto Moura:</t>
        </r>
        <r>
          <rPr>
            <sz val="9"/>
            <color indexed="81"/>
            <rFont val="Calibri"/>
            <family val="2"/>
          </rPr>
          <t xml:space="preserve">
Expectation to expand to other African markets, mainly the Southern and Eastern ones.</t>
        </r>
      </text>
    </comment>
    <comment ref="O55" authorId="0">
      <text>
        <r>
          <rPr>
            <b/>
            <sz val="9"/>
            <color indexed="81"/>
            <rFont val="Calibri"/>
            <family val="2"/>
          </rPr>
          <t>Fausto Moura:</t>
        </r>
        <r>
          <rPr>
            <sz val="9"/>
            <color indexed="81"/>
            <rFont val="Calibri"/>
            <family val="2"/>
          </rPr>
          <t xml:space="preserve">
Expansion Lucky Star's foothold into Southern and East African markets - Botswana, Namibia, Lesotho, Swaziland and Kenya.</t>
        </r>
      </text>
    </comment>
    <comment ref="K59" authorId="0">
      <text>
        <r>
          <rPr>
            <b/>
            <sz val="9"/>
            <color indexed="81"/>
            <rFont val="Calibri"/>
            <family val="2"/>
          </rPr>
          <t>Fausto Moura:</t>
        </r>
        <r>
          <rPr>
            <sz val="9"/>
            <color indexed="81"/>
            <rFont val="Calibri"/>
            <family val="2"/>
          </rPr>
          <t xml:space="preserve">
Earnings increased relatively to last year due to increased sales volumes and operating efficiencies</t>
        </r>
      </text>
    </comment>
    <comment ref="L61" authorId="0">
      <text>
        <r>
          <rPr>
            <b/>
            <sz val="9"/>
            <color indexed="81"/>
            <rFont val="Calibri"/>
            <family val="2"/>
          </rPr>
          <t>Fausto Moura:</t>
        </r>
        <r>
          <rPr>
            <sz val="9"/>
            <color indexed="81"/>
            <rFont val="Calibri"/>
            <family val="2"/>
          </rPr>
          <t xml:space="preserve">
Profitability is mainly dependent on the volume of fish landed, fishmeal produced and sold, international selling prices and the rand/US dollar exchange rate.</t>
        </r>
      </text>
    </comment>
    <comment ref="O62" authorId="0">
      <text>
        <r>
          <rPr>
            <b/>
            <sz val="9"/>
            <color indexed="81"/>
            <rFont val="Calibri"/>
            <family val="2"/>
          </rPr>
          <t>Fausto Moura:</t>
        </r>
        <r>
          <rPr>
            <sz val="9"/>
            <color indexed="81"/>
            <rFont val="Calibri"/>
            <family val="2"/>
          </rPr>
          <t xml:space="preserve">
 - insufficient fleet and fishmeal processing capacity;
 - not catching full anchovy quota;
 - variable nature of fish resources;
 - impact of fishmeal plants located near communities.</t>
        </r>
      </text>
    </comment>
    <comment ref="O63" authorId="0">
      <text>
        <r>
          <rPr>
            <b/>
            <sz val="9"/>
            <color indexed="81"/>
            <rFont val="Calibri"/>
            <family val="2"/>
          </rPr>
          <t>Fausto Moura:</t>
        </r>
        <r>
          <rPr>
            <sz val="9"/>
            <color indexed="81"/>
            <rFont val="Calibri"/>
            <family val="2"/>
          </rPr>
          <t xml:space="preserve">
 - improving fishmeal and fishoil quality parameters</t>
        </r>
      </text>
    </comment>
    <comment ref="M65" authorId="0">
      <text>
        <r>
          <rPr>
            <b/>
            <sz val="9"/>
            <color indexed="81"/>
            <rFont val="Calibri"/>
            <family val="2"/>
          </rPr>
          <t>Fausto Moura:</t>
        </r>
        <r>
          <rPr>
            <sz val="9"/>
            <color indexed="81"/>
            <rFont val="Calibri"/>
            <family val="2"/>
          </rPr>
          <t xml:space="preserve">
It was due to the exceptionally poor availability of fish.</t>
        </r>
      </text>
    </comment>
    <comment ref="N65" authorId="0">
      <text>
        <r>
          <rPr>
            <b/>
            <sz val="9"/>
            <color indexed="81"/>
            <rFont val="Calibri"/>
            <family val="2"/>
          </rPr>
          <t>Fausto Moura:</t>
        </r>
        <r>
          <rPr>
            <sz val="9"/>
            <color indexed="81"/>
            <rFont val="Calibri"/>
            <family val="2"/>
          </rPr>
          <t xml:space="preserve">
This was due to improved availability of fish, mainly during the 1st part of the year.</t>
        </r>
      </text>
    </comment>
    <comment ref="O65" authorId="0">
      <text>
        <r>
          <rPr>
            <b/>
            <sz val="9"/>
            <color indexed="81"/>
            <rFont val="Calibri"/>
            <family val="2"/>
          </rPr>
          <t>Fausto Moura:</t>
        </r>
        <r>
          <rPr>
            <sz val="9"/>
            <color indexed="81"/>
            <rFont val="Calibri"/>
            <family val="2"/>
          </rPr>
          <t xml:space="preserve">
This increase was mainly due to the improved availability of fish, as a result of the inclusion of Amawandle Pelagic production and also the increased availability of anchovy.</t>
        </r>
      </text>
    </comment>
    <comment ref="O67" authorId="0">
      <text>
        <r>
          <rPr>
            <b/>
            <sz val="9"/>
            <color indexed="81"/>
            <rFont val="Calibri"/>
            <family val="2"/>
          </rPr>
          <t>Fausto Moura:</t>
        </r>
        <r>
          <rPr>
            <sz val="9"/>
            <color indexed="81"/>
            <rFont val="Calibri"/>
            <family val="2"/>
          </rPr>
          <t xml:space="preserve">
3 of which in SA and another 1 in Namibia</t>
        </r>
      </text>
    </comment>
    <comment ref="N70" authorId="0">
      <text>
        <r>
          <rPr>
            <b/>
            <sz val="9"/>
            <color indexed="81"/>
            <rFont val="Calibri"/>
            <family val="2"/>
          </rPr>
          <t>Fausto Moura:</t>
        </r>
        <r>
          <rPr>
            <sz val="9"/>
            <color indexed="81"/>
            <rFont val="Calibri"/>
            <family val="2"/>
          </rPr>
          <t xml:space="preserve">
Including contracted quota
</t>
        </r>
      </text>
    </comment>
    <comment ref="O72" authorId="0">
      <text>
        <r>
          <rPr>
            <b/>
            <sz val="9"/>
            <color indexed="81"/>
            <rFont val="Calibri"/>
            <family val="2"/>
          </rPr>
          <t>Fausto Moura:</t>
        </r>
        <r>
          <rPr>
            <sz val="9"/>
            <color indexed="81"/>
            <rFont val="Calibri"/>
            <family val="2"/>
          </rPr>
          <t xml:space="preserve">
This enormous increase is mainly due to the improvement on fish landings. The addition of the Foodcopr fishing division (now known as Amawandle Pelagic), added significant industrial catching and processing capacity, resulting in a substantial increase in processed industrial volumes from the previous years.</t>
        </r>
      </text>
    </comment>
    <comment ref="M74" authorId="0">
      <text>
        <r>
          <rPr>
            <b/>
            <sz val="9"/>
            <color indexed="81"/>
            <rFont val="Calibri"/>
            <family val="2"/>
          </rPr>
          <t>Fausto Moura:</t>
        </r>
        <r>
          <rPr>
            <sz val="9"/>
            <color indexed="81"/>
            <rFont val="Calibri"/>
            <family val="2"/>
          </rPr>
          <t xml:space="preserve">
The average fishmeal and fish oil selling prices were favourable mainly due to a weaker exchange rate and high dollar prices.</t>
        </r>
      </text>
    </comment>
    <comment ref="N74" authorId="0">
      <text>
        <r>
          <rPr>
            <b/>
            <sz val="9"/>
            <color indexed="81"/>
            <rFont val="Calibri"/>
            <family val="2"/>
          </rPr>
          <t>Fausto Moura:</t>
        </r>
        <r>
          <rPr>
            <sz val="9"/>
            <color indexed="81"/>
            <rFont val="Calibri"/>
            <family val="2"/>
          </rPr>
          <t xml:space="preserve">
The average fishmeal and fish oil selling prices were favourable mainly due to a weaker exchange rate.</t>
        </r>
      </text>
    </comment>
    <comment ref="O74" authorId="0">
      <text>
        <r>
          <rPr>
            <b/>
            <sz val="9"/>
            <color indexed="81"/>
            <rFont val="Calibri"/>
            <family val="2"/>
          </rPr>
          <t>Fausto Moura:</t>
        </r>
        <r>
          <rPr>
            <sz val="9"/>
            <color indexed="81"/>
            <rFont val="Calibri"/>
            <family val="2"/>
          </rPr>
          <t xml:space="preserve">
The average fishmeal and fish oil selling prices were favourable mainly due to a weaker exchange rate.</t>
        </r>
      </text>
    </comment>
    <comment ref="M79" authorId="0">
      <text>
        <r>
          <rPr>
            <b/>
            <sz val="9"/>
            <color indexed="81"/>
            <rFont val="Calibri"/>
            <family val="2"/>
          </rPr>
          <t>Fausto Moura:</t>
        </r>
        <r>
          <rPr>
            <sz val="9"/>
            <color indexed="81"/>
            <rFont val="Calibri"/>
            <family val="2"/>
          </rPr>
          <t xml:space="preserve">
 - high dollar prices;
 - only got to normal when Peruvian quota reutnred to normal levels</t>
        </r>
      </text>
    </comment>
    <comment ref="N79" authorId="0">
      <text>
        <r>
          <rPr>
            <b/>
            <sz val="9"/>
            <color indexed="81"/>
            <rFont val="Calibri"/>
            <family val="2"/>
          </rPr>
          <t>Fausto Moura:</t>
        </r>
        <r>
          <rPr>
            <sz val="9"/>
            <color indexed="81"/>
            <rFont val="Calibri"/>
            <family val="2"/>
          </rPr>
          <t xml:space="preserve">
 - concerns regarding the impact that the El Nino event could have had on quotas and fishing in Peru.
 - the potential reduction in availability of fishmeal and improved conditions for aquaculture in China resulted in strong demand and favourable pricing for both fishmeal and fishoil. 
 - Putting everything together, these positive market conditions. The high international pricing is likely to continue as Peru is expected to have a low quota allocation for their November to January season.</t>
        </r>
      </text>
    </comment>
    <comment ref="O79" authorId="0">
      <text>
        <r>
          <rPr>
            <b/>
            <sz val="9"/>
            <color indexed="81"/>
            <rFont val="Calibri"/>
            <family val="2"/>
          </rPr>
          <t>Fausto Moura:</t>
        </r>
        <r>
          <rPr>
            <sz val="9"/>
            <color indexed="81"/>
            <rFont val="Calibri"/>
            <family val="2"/>
          </rPr>
          <t xml:space="preserve">
The fishmeal price for super prime rose to $2400 as a result of the second season quota in Peru being set at zero &gt;&gt; imports of fishmeal to china to fall by about 25% and an extraordinary event, in which Europe could satisfy demand with production. Fishmeal demand has only picked up with the reduction of price to around $700 per ton &gt;&gt; very volatile environment.</t>
        </r>
      </text>
    </comment>
    <comment ref="L80" authorId="0">
      <text>
        <r>
          <rPr>
            <b/>
            <sz val="9"/>
            <color indexed="81"/>
            <rFont val="Calibri"/>
            <family val="2"/>
          </rPr>
          <t>Fausto Moura:</t>
        </r>
        <r>
          <rPr>
            <sz val="9"/>
            <color indexed="81"/>
            <rFont val="Calibri"/>
            <family val="2"/>
          </rPr>
          <t xml:space="preserve">
Very good availability of fish and improved landings along with a favourable exchange rate resulted in a sginficant turnaround of the last year loss.
Fishmeal enjoyed storng demand.</t>
        </r>
      </text>
    </comment>
    <comment ref="P92" authorId="0">
      <text>
        <r>
          <rPr>
            <b/>
            <sz val="9"/>
            <color indexed="81"/>
            <rFont val="Calibri"/>
            <family val="2"/>
          </rPr>
          <t>Fausto Moura:</t>
        </r>
        <r>
          <rPr>
            <sz val="9"/>
            <color indexed="81"/>
            <rFont val="Calibri"/>
            <family val="2"/>
          </rPr>
          <t xml:space="preserve">
Assumptions.</t>
        </r>
      </text>
    </comment>
    <comment ref="P93" authorId="0">
      <text>
        <r>
          <rPr>
            <b/>
            <sz val="9"/>
            <color indexed="81"/>
            <rFont val="Calibri"/>
            <family val="2"/>
          </rPr>
          <t>Fausto Moura:</t>
        </r>
        <r>
          <rPr>
            <sz val="9"/>
            <color indexed="81"/>
            <rFont val="Calibri"/>
            <family val="2"/>
          </rPr>
          <t xml:space="preserve">
Benefiting from higher chicken maize prices.</t>
        </r>
      </text>
    </comment>
    <comment ref="P98" authorId="0">
      <text>
        <r>
          <rPr>
            <b/>
            <sz val="9"/>
            <color indexed="81"/>
            <rFont val="Calibri"/>
            <family val="2"/>
          </rPr>
          <t>Fausto Moura:</t>
        </r>
        <r>
          <rPr>
            <sz val="9"/>
            <color indexed="81"/>
            <rFont val="Calibri"/>
            <family val="2"/>
          </rPr>
          <t xml:space="preserve">
Assumption
</t>
        </r>
      </text>
    </comment>
    <comment ref="P122" authorId="0">
      <text>
        <r>
          <rPr>
            <b/>
            <sz val="9"/>
            <color indexed="81"/>
            <rFont val="Calibri"/>
            <family val="2"/>
          </rPr>
          <t>Fausto Moura:</t>
        </r>
        <r>
          <rPr>
            <sz val="9"/>
            <color indexed="81"/>
            <rFont val="Calibri"/>
            <family val="2"/>
          </rPr>
          <t xml:space="preserve">
Assumptions
</t>
        </r>
      </text>
    </comment>
    <comment ref="P123" authorId="0">
      <text>
        <r>
          <rPr>
            <b/>
            <sz val="9"/>
            <color indexed="81"/>
            <rFont val="Calibri"/>
            <family val="2"/>
          </rPr>
          <t>Fausto Moura:</t>
        </r>
        <r>
          <rPr>
            <sz val="9"/>
            <color indexed="81"/>
            <rFont val="Calibri"/>
            <family val="2"/>
          </rPr>
          <t xml:space="preserve">
Comoditised business, no influence on the price.</t>
        </r>
      </text>
    </comment>
    <comment ref="P151" authorId="0">
      <text>
        <r>
          <rPr>
            <b/>
            <sz val="9"/>
            <color indexed="81"/>
            <rFont val="Calibri"/>
            <family val="2"/>
          </rPr>
          <t>Fausto Moura:</t>
        </r>
        <r>
          <rPr>
            <sz val="9"/>
            <color indexed="81"/>
            <rFont val="Calibri"/>
            <family val="2"/>
          </rPr>
          <t xml:space="preserve">
Assumption
</t>
        </r>
      </text>
    </comment>
    <comment ref="D155" authorId="0">
      <text>
        <r>
          <rPr>
            <b/>
            <sz val="9"/>
            <color indexed="81"/>
            <rFont val="Calibri"/>
            <family val="2"/>
          </rPr>
          <t>Fausto Moura:</t>
        </r>
        <r>
          <rPr>
            <sz val="9"/>
            <color indexed="81"/>
            <rFont val="Calibri"/>
            <family val="2"/>
          </rPr>
          <t xml:space="preserve">
This division has three separate business units that are involved in the catching, processing and marketing of west and south coast rock lobster and squid, and the processing and marketing of French fries.</t>
        </r>
      </text>
    </comment>
    <comment ref="M157" authorId="0">
      <text>
        <r>
          <rPr>
            <b/>
            <sz val="9"/>
            <color indexed="81"/>
            <rFont val="Calibri"/>
            <family val="2"/>
          </rPr>
          <t>Fausto Moura:</t>
        </r>
        <r>
          <rPr>
            <sz val="9"/>
            <color indexed="81"/>
            <rFont val="Calibri"/>
            <family val="2"/>
          </rPr>
          <t xml:space="preserve">
"Investment, commitment and product innovation for almost a century have enabled oceana's lobster business to survive and prosper."</t>
        </r>
      </text>
    </comment>
    <comment ref="P158" authorId="0">
      <text>
        <r>
          <rPr>
            <b/>
            <sz val="9"/>
            <color indexed="81"/>
            <rFont val="Calibri"/>
            <family val="2"/>
          </rPr>
          <t>Fausto Moura:</t>
        </r>
        <r>
          <rPr>
            <sz val="9"/>
            <color indexed="81"/>
            <rFont val="Calibri"/>
            <family val="2"/>
          </rPr>
          <t xml:space="preserve">
Conservative SA inflation target of 3%.Zero effects of pricing power.
</t>
        </r>
      </text>
    </comment>
    <comment ref="P159" authorId="0">
      <text>
        <r>
          <rPr>
            <b/>
            <sz val="9"/>
            <color indexed="81"/>
            <rFont val="Calibri"/>
            <family val="2"/>
          </rPr>
          <t>Fausto Moura:</t>
        </r>
        <r>
          <rPr>
            <sz val="9"/>
            <color indexed="81"/>
            <rFont val="Calibri"/>
            <family val="2"/>
          </rPr>
          <t xml:space="preserve">
Assumed as a weighted average of the three products' growth rates.</t>
        </r>
      </text>
    </comment>
    <comment ref="P160" authorId="0">
      <text>
        <r>
          <rPr>
            <b/>
            <sz val="9"/>
            <color indexed="81"/>
            <rFont val="Calibri"/>
            <family val="2"/>
          </rPr>
          <t>Fausto Moura:</t>
        </r>
        <r>
          <rPr>
            <sz val="9"/>
            <color indexed="81"/>
            <rFont val="Calibri"/>
            <family val="2"/>
          </rPr>
          <t xml:space="preserve">
Impacted by great portion of revenues being in Euro.</t>
        </r>
      </text>
    </comment>
    <comment ref="P164" authorId="0">
      <text>
        <r>
          <rPr>
            <b/>
            <sz val="9"/>
            <color indexed="81"/>
            <rFont val="Calibri"/>
            <family val="2"/>
          </rPr>
          <t>Fausto Moura:</t>
        </r>
        <r>
          <rPr>
            <sz val="9"/>
            <color indexed="81"/>
            <rFont val="Calibri"/>
            <family val="2"/>
          </rPr>
          <t xml:space="preserve">
Margins are expected to remain stable in the LT.</t>
        </r>
      </text>
    </comment>
    <comment ref="O172" authorId="0">
      <text>
        <r>
          <rPr>
            <b/>
            <sz val="9"/>
            <color indexed="81"/>
            <rFont val="Calibri"/>
            <family val="2"/>
          </rPr>
          <t>Fausto Moura:</t>
        </r>
        <r>
          <rPr>
            <sz val="9"/>
            <color indexed="81"/>
            <rFont val="Calibri"/>
            <family val="2"/>
          </rPr>
          <t xml:space="preserve">
 - the possible reduction of lobster fishing rights during the 2016 rights allocation process, and limited fish resources for new entrants;
 - ciclicality affecting availability of the lobster and squid resources;
 - loss of electricity and water supply to the French fries' factory</t>
        </r>
      </text>
    </comment>
    <comment ref="AY172" authorId="0">
      <text>
        <r>
          <rPr>
            <b/>
            <sz val="9"/>
            <color indexed="81"/>
            <rFont val="Calibri"/>
            <family val="2"/>
          </rPr>
          <t>Fausto Moura:</t>
        </r>
        <r>
          <rPr>
            <sz val="9"/>
            <color indexed="81"/>
            <rFont val="Calibri"/>
            <family val="2"/>
          </rPr>
          <t xml:space="preserve">
"Investment, commitment and product innovation for almost a century have enabled oceana's lobster business to survive and prosper."</t>
        </r>
      </text>
    </comment>
    <comment ref="O173" authorId="0">
      <text>
        <r>
          <rPr>
            <b/>
            <sz val="9"/>
            <color indexed="81"/>
            <rFont val="Calibri"/>
            <family val="2"/>
          </rPr>
          <t>Fausto Moura:</t>
        </r>
        <r>
          <rPr>
            <sz val="9"/>
            <color indexed="81"/>
            <rFont val="Calibri"/>
            <family val="2"/>
          </rPr>
          <t xml:space="preserve">
 - retain and secure existing lobster fishing rights, through robust execution of the rights allocation process;
 - leveraged lobster assets to retain and develop a long-term supply of contracted quota;
 - maximise catch performance of squid, coupled with continued focus to reduce fixed costs;
 - continue to reduce unit costs of the french fries plant through enhanced processing efficiencies and sourcing of raw potatoes from the Western Cape region.</t>
        </r>
      </text>
    </comment>
    <comment ref="BB173" authorId="0">
      <text>
        <r>
          <rPr>
            <b/>
            <sz val="9"/>
            <color indexed="81"/>
            <rFont val="Calibri"/>
            <family val="2"/>
          </rPr>
          <t>Fausto Moura:</t>
        </r>
        <r>
          <rPr>
            <sz val="9"/>
            <color indexed="81"/>
            <rFont val="Calibri"/>
            <family val="2"/>
          </rPr>
          <t xml:space="preserve">
Conservative SA inflation target of 3%.Zero effects of pricing power.
</t>
        </r>
      </text>
    </comment>
    <comment ref="O174" authorId="0">
      <text>
        <r>
          <rPr>
            <b/>
            <sz val="9"/>
            <color indexed="81"/>
            <rFont val="Calibri"/>
            <family val="2"/>
          </rPr>
          <t>Fausto Moura:</t>
        </r>
        <r>
          <rPr>
            <sz val="9"/>
            <color indexed="81"/>
            <rFont val="Calibri"/>
            <family val="2"/>
          </rPr>
          <t xml:space="preserve">
TAC is expected to increase by 6.8% in 2016</t>
        </r>
      </text>
    </comment>
    <comment ref="BB174" authorId="0">
      <text>
        <r>
          <rPr>
            <b/>
            <sz val="9"/>
            <color indexed="81"/>
            <rFont val="Calibri"/>
            <family val="2"/>
          </rPr>
          <t>Fausto Moura:</t>
        </r>
        <r>
          <rPr>
            <sz val="9"/>
            <color indexed="81"/>
            <rFont val="Calibri"/>
            <family val="2"/>
          </rPr>
          <t xml:space="preserve">
Assumed as a weighted average of the three products' growth rates.</t>
        </r>
      </text>
    </comment>
    <comment ref="BB175" authorId="0">
      <text>
        <r>
          <rPr>
            <b/>
            <sz val="9"/>
            <color indexed="81"/>
            <rFont val="Calibri"/>
            <family val="2"/>
          </rPr>
          <t>Fausto Moura:</t>
        </r>
        <r>
          <rPr>
            <sz val="9"/>
            <color indexed="81"/>
            <rFont val="Calibri"/>
            <family val="2"/>
          </rPr>
          <t xml:space="preserve">
Impacted by great portion of revenues being in Euro.</t>
        </r>
      </text>
    </comment>
    <comment ref="BB181" authorId="0">
      <text>
        <r>
          <rPr>
            <b/>
            <sz val="9"/>
            <color indexed="81"/>
            <rFont val="Calibri"/>
            <family val="2"/>
          </rPr>
          <t>Fausto Moura:</t>
        </r>
        <r>
          <rPr>
            <sz val="9"/>
            <color indexed="81"/>
            <rFont val="Calibri"/>
            <family val="2"/>
          </rPr>
          <t xml:space="preserve">
Margins are expected to remain stable in the LT.</t>
        </r>
      </text>
    </comment>
    <comment ref="N183" authorId="0">
      <text>
        <r>
          <rPr>
            <b/>
            <sz val="9"/>
            <color indexed="81"/>
            <rFont val="Calibri"/>
            <family val="2"/>
          </rPr>
          <t>Fausto Moura:</t>
        </r>
        <r>
          <rPr>
            <sz val="9"/>
            <color indexed="81"/>
            <rFont val="Calibri"/>
            <family val="2"/>
          </rPr>
          <t xml:space="preserve">
Adverse weather conditions, together with low catch rates, resulted in only of 83% of Oceana's quota to be landed.</t>
        </r>
      </text>
    </comment>
    <comment ref="O183" authorId="0">
      <text>
        <r>
          <rPr>
            <b/>
            <sz val="9"/>
            <color indexed="81"/>
            <rFont val="Calibri"/>
            <family val="2"/>
          </rPr>
          <t>Fausto Moura:</t>
        </r>
        <r>
          <rPr>
            <sz val="9"/>
            <color indexed="81"/>
            <rFont val="Calibri"/>
            <family val="2"/>
          </rPr>
          <t xml:space="preserve">
Which increased revenue.</t>
        </r>
      </text>
    </comment>
    <comment ref="O187" authorId="0">
      <text>
        <r>
          <rPr>
            <b/>
            <sz val="9"/>
            <color indexed="81"/>
            <rFont val="Calibri"/>
            <family val="2"/>
          </rPr>
          <t>Fausto Moura:</t>
        </r>
        <r>
          <rPr>
            <sz val="9"/>
            <color indexed="81"/>
            <rFont val="Calibri"/>
            <family val="2"/>
          </rPr>
          <t xml:space="preserve">
The 201% increase in landings of squid together with the revised cost structure, enable Oceana to get this business as profitable as possible, despite the cyclicality of squid fishery.</t>
        </r>
      </text>
    </comment>
    <comment ref="M188" authorId="0">
      <text>
        <r>
          <rPr>
            <b/>
            <sz val="9"/>
            <color indexed="81"/>
            <rFont val="Calibri"/>
            <family val="2"/>
          </rPr>
          <t>Fausto Moura:</t>
        </r>
        <r>
          <rPr>
            <sz val="9"/>
            <color indexed="81"/>
            <rFont val="Calibri"/>
            <family val="2"/>
          </rPr>
          <t xml:space="preserve">
The lower in a decade
</t>
        </r>
      </text>
    </comment>
    <comment ref="L193" authorId="0">
      <text>
        <r>
          <rPr>
            <b/>
            <sz val="9"/>
            <color indexed="81"/>
            <rFont val="Calibri"/>
            <family val="2"/>
          </rPr>
          <t>Fausto Moura:</t>
        </r>
        <r>
          <rPr>
            <sz val="9"/>
            <color indexed="81"/>
            <rFont val="Calibri"/>
            <family val="2"/>
          </rPr>
          <t xml:space="preserve">
The business returned to profitability in 2012 due to revenue increases. The main explanations are the growth in sales volumes, hogher margins due to an improvement in capacity utilisation, a bigger focus on operational efficiencies and stable raw material prices and quality.</t>
        </r>
      </text>
    </comment>
    <comment ref="O194" authorId="0">
      <text>
        <r>
          <rPr>
            <b/>
            <sz val="9"/>
            <color indexed="81"/>
            <rFont val="Calibri"/>
            <family val="2"/>
          </rPr>
          <t>Fausto Moura:</t>
        </r>
        <r>
          <rPr>
            <sz val="9"/>
            <color indexed="81"/>
            <rFont val="Calibri"/>
            <family val="2"/>
          </rPr>
          <t xml:space="preserve">
Through improved pricing and efficiencies</t>
        </r>
      </text>
    </comment>
    <comment ref="M195" authorId="0">
      <text>
        <r>
          <rPr>
            <b/>
            <sz val="9"/>
            <color indexed="81"/>
            <rFont val="Calibri"/>
            <family val="2"/>
          </rPr>
          <t>Fausto Moura:</t>
        </r>
        <r>
          <rPr>
            <sz val="9"/>
            <color indexed="81"/>
            <rFont val="Calibri"/>
            <family val="2"/>
          </rPr>
          <t xml:space="preserve">
Poor raw material quality and rising transport costs resulted in a loss for this financial year.</t>
        </r>
      </text>
    </comment>
    <comment ref="N195" authorId="0">
      <text>
        <r>
          <rPr>
            <b/>
            <sz val="9"/>
            <color indexed="81"/>
            <rFont val="Calibri"/>
            <family val="2"/>
          </rPr>
          <t>Fausto Moura:</t>
        </r>
        <r>
          <rPr>
            <sz val="9"/>
            <color indexed="81"/>
            <rFont val="Calibri"/>
            <family val="2"/>
          </rPr>
          <t xml:space="preserve">
 - this division returned to profitability, driven mainly by strong and consistent demand from key QSR customers.
 - improved pricing and efficiency improved margins to acceptale levels.</t>
        </r>
      </text>
    </comment>
    <comment ref="O195" authorId="0">
      <text>
        <r>
          <rPr>
            <b/>
            <sz val="9"/>
            <color indexed="81"/>
            <rFont val="Calibri"/>
            <family val="2"/>
          </rPr>
          <t>Fausto Moura:</t>
        </r>
        <r>
          <rPr>
            <sz val="9"/>
            <color indexed="81"/>
            <rFont val="Calibri"/>
            <family val="2"/>
          </rPr>
          <t xml:space="preserve">
Further efficiencies are expected in the short term so that the group can improve the division's margins - reduction of costs in logistics and transports.</t>
        </r>
      </text>
    </comment>
    <comment ref="P207" authorId="0">
      <text>
        <r>
          <rPr>
            <b/>
            <sz val="9"/>
            <color indexed="81"/>
            <rFont val="Calibri"/>
            <family val="2"/>
          </rPr>
          <t>Fausto Moura:</t>
        </r>
        <r>
          <rPr>
            <sz val="9"/>
            <color indexed="81"/>
            <rFont val="Calibri"/>
            <family val="2"/>
          </rPr>
          <t xml:space="preserve">
Assumptions.
</t>
        </r>
      </text>
    </comment>
    <comment ref="P226" authorId="0">
      <text>
        <r>
          <rPr>
            <b/>
            <sz val="9"/>
            <color indexed="81"/>
            <rFont val="Calibri"/>
            <family val="2"/>
          </rPr>
          <t>Fausto Moura:</t>
        </r>
        <r>
          <rPr>
            <sz val="9"/>
            <color indexed="81"/>
            <rFont val="Calibri"/>
            <family val="2"/>
          </rPr>
          <t xml:space="preserve">
Assumption
</t>
        </r>
      </text>
    </comment>
    <comment ref="P232" authorId="0">
      <text>
        <r>
          <rPr>
            <b/>
            <sz val="9"/>
            <color indexed="81"/>
            <rFont val="Calibri"/>
            <family val="2"/>
          </rPr>
          <t>Fausto Moura:</t>
        </r>
        <r>
          <rPr>
            <sz val="9"/>
            <color indexed="81"/>
            <rFont val="Calibri"/>
            <family val="2"/>
          </rPr>
          <t xml:space="preserve">
Assumption
</t>
        </r>
      </text>
    </comment>
    <comment ref="Y239" authorId="0">
      <text>
        <r>
          <rPr>
            <b/>
            <sz val="9"/>
            <color indexed="81"/>
            <rFont val="Calibri"/>
            <family val="2"/>
          </rPr>
          <t>Fausto Moura:</t>
        </r>
        <r>
          <rPr>
            <sz val="9"/>
            <color indexed="81"/>
            <rFont val="Calibri"/>
            <family val="2"/>
          </rPr>
          <t xml:space="preserve">
Assumption
</t>
        </r>
      </text>
    </comment>
    <comment ref="D242" authorId="0">
      <text>
        <r>
          <rPr>
            <b/>
            <sz val="9"/>
            <color indexed="81"/>
            <rFont val="Calibri"/>
            <family val="2"/>
          </rPr>
          <t>Fausto Moura:</t>
        </r>
        <r>
          <rPr>
            <sz val="9"/>
            <color indexed="81"/>
            <rFont val="Calibri"/>
            <family val="2"/>
          </rPr>
          <t xml:space="preserve">
Daybrook is a vertically integrated company involved in the harvesting and processing of the gulf menhaden species, and in the marketing and selling of derived fishmeal and fish oil products. The fishmeal is processed using the application of an indirect drying process that enable us to provide customised products required for specialised diets in various high-performance feeds. Daybrook produces prime, pet food and FAQ (fair average quality) grade fishmeal primarily for the acquaculture, baby pig and speciality pet food industries. Daybrook also produces and omega 3 rich crude fish oil that is utilised by the aquaculture feed industry and to a lessor extent into the beef and dairy cattle feed industry.
Oceana acquired 100% of Daybrook and a 25% indirect interest in Westbank FIshing LLC with effect from 1 July 2015. The processing, sales and administrative operations reside within Daybrook, and the fishing operations within Westbank. A group of US investors owns 75% interest in Westbank, necessitated by the requirements of the fishery endorsement issued in terms of the American Fisheries Act (AFA), which requires qualifying fishing vessels to be owned and controlled by US citizens, among other things.</t>
        </r>
      </text>
    </comment>
    <comment ref="O246" authorId="0">
      <text>
        <r>
          <rPr>
            <b/>
            <sz val="9"/>
            <color indexed="81"/>
            <rFont val="Calibri"/>
            <family val="2"/>
          </rPr>
          <t>Fausto Moura:</t>
        </r>
        <r>
          <rPr>
            <sz val="9"/>
            <color indexed="81"/>
            <rFont val="Calibri"/>
            <family val="2"/>
          </rPr>
          <t xml:space="preserve">
Fishmeal products are sold both in local markets in the US, but also to export markets, with big export partners such as China, Canada and Germany.
 - China reduced the imports of fishmeal;
 - Fishmeal prices reached record highs in Oct. 2014 in response to anticipated supply shortages following the cancellation of the second 2014 anchovy fishing season in Peru;
 - With 2015 anchovy catches in Peru expected to increase by 30%, fishmeal prices have gradually dropped during 2015;
 - Forecasters are predicting a strong El Nuno effect in the Pacific Oceana, which could depress Peruvian fishing efforts and adversely impact global fishmeal supply.</t>
        </r>
      </text>
    </comment>
    <comment ref="O247" authorId="0">
      <text>
        <r>
          <rPr>
            <b/>
            <sz val="9"/>
            <color indexed="81"/>
            <rFont val="Calibri"/>
            <family val="2"/>
          </rPr>
          <t>Fausto Moura:</t>
        </r>
        <r>
          <rPr>
            <sz val="9"/>
            <color indexed="81"/>
            <rFont val="Calibri"/>
            <family val="2"/>
          </rPr>
          <t xml:space="preserve">
Fish oil is mainly exported to Denmark, Norway and Canada.</t>
        </r>
      </text>
    </comment>
    <comment ref="O250" authorId="0">
      <text>
        <r>
          <rPr>
            <b/>
            <sz val="9"/>
            <color indexed="81"/>
            <rFont val="Calibri"/>
            <family val="2"/>
          </rPr>
          <t>Fausto Moura:</t>
        </r>
        <r>
          <rPr>
            <sz val="9"/>
            <color indexed="81"/>
            <rFont val="Calibri"/>
            <family val="2"/>
          </rPr>
          <t xml:space="preserve">
During 2015, the group invested in two new indirect heated dryers, which has further improved both production capacity and the quality of fishmeal produced. The dryers feature superheated steam at atmoshopheric pressure as the drying medium, which also reduces air emissions and process odours.</t>
        </r>
      </text>
    </comment>
  </commentList>
</comments>
</file>

<file path=xl/sharedStrings.xml><?xml version="1.0" encoding="utf-8"?>
<sst xmlns="http://schemas.openxmlformats.org/spreadsheetml/2006/main" count="5703" uniqueCount="1915">
  <si>
    <t>Revenue</t>
  </si>
  <si>
    <t>Cost of Sales</t>
  </si>
  <si>
    <t>Gross Profit</t>
  </si>
  <si>
    <t>Sales and Dsitribution expenditure</t>
  </si>
  <si>
    <t>Marketing expenditure</t>
  </si>
  <si>
    <t>Overhead expenditure</t>
  </si>
  <si>
    <t>Net foreign exchange gain</t>
  </si>
  <si>
    <t>Operating profit before associate and joint venture income</t>
  </si>
  <si>
    <t>Associate and joint venture income</t>
  </si>
  <si>
    <t>Operating profit before abnormal items</t>
  </si>
  <si>
    <t>Abnormal items</t>
  </si>
  <si>
    <t>Operating profit</t>
  </si>
  <si>
    <t>Investment Income</t>
  </si>
  <si>
    <t>Interest paid</t>
  </si>
  <si>
    <t>Profit before taxation</t>
  </si>
  <si>
    <t>Taxation</t>
  </si>
  <si>
    <t>Profit after taxation</t>
  </si>
  <si>
    <t>2009A</t>
  </si>
  <si>
    <t>2010A</t>
  </si>
  <si>
    <t>2011A</t>
  </si>
  <si>
    <t>2012A</t>
  </si>
  <si>
    <t>2013A</t>
  </si>
  <si>
    <t>2014A</t>
  </si>
  <si>
    <t>2015A</t>
  </si>
  <si>
    <t>2016E</t>
  </si>
  <si>
    <t>2017E</t>
  </si>
  <si>
    <t>2018E</t>
  </si>
  <si>
    <t>2019E</t>
  </si>
  <si>
    <t>2008A</t>
  </si>
  <si>
    <t>Other Comprehensive Income</t>
  </si>
  <si>
    <t>Items that may be re-classified subsequently to profit or loss:</t>
  </si>
  <si>
    <t>Movement on foreign currency translation reserve</t>
  </si>
  <si>
    <t>Movement on cash flow hedging reserve</t>
  </si>
  <si>
    <t>Movement on fuel hedging reserve</t>
  </si>
  <si>
    <t>Other comprehensive income/(loss), net of taxation</t>
  </si>
  <si>
    <t>Total Comprehensive Income for the year</t>
  </si>
  <si>
    <t>Profit after taxation attributable to:</t>
  </si>
  <si>
    <t>Shareholders of Oceana Group Limited</t>
  </si>
  <si>
    <t>Non-Controlling Interests</t>
  </si>
  <si>
    <t>Total Comprehensive Income Attributable to:</t>
  </si>
  <si>
    <t xml:space="preserve"> - Final declared after reporting date</t>
  </si>
  <si>
    <t>Assets</t>
  </si>
  <si>
    <t>Non Current Assets</t>
  </si>
  <si>
    <t>Property, Plant and Equipment</t>
  </si>
  <si>
    <t>Intangible Assets</t>
  </si>
  <si>
    <t>Investments and loans</t>
  </si>
  <si>
    <t>Interest in subsidiaries, associates and joint ventures</t>
  </si>
  <si>
    <t>Oceana Group Share Trust</t>
  </si>
  <si>
    <t>Oceana Empowerment Trust</t>
  </si>
  <si>
    <t>Current Assets</t>
  </si>
  <si>
    <t>Inventories</t>
  </si>
  <si>
    <t>Accounts Receivable</t>
  </si>
  <si>
    <t>Amounts owing by subsidiaries, associates and joint ventures</t>
  </si>
  <si>
    <t>Cash and Cash equivalents</t>
  </si>
  <si>
    <t>Non Current Assets held for sale</t>
  </si>
  <si>
    <t>Total Assets</t>
  </si>
  <si>
    <t>Equity and Liabilities</t>
  </si>
  <si>
    <t>Capital and reserves</t>
  </si>
  <si>
    <t>Foreign currency translation reserve</t>
  </si>
  <si>
    <t>Capital redemption reserve</t>
  </si>
  <si>
    <t>Cash flow hedging reserve</t>
  </si>
  <si>
    <t>Fuel hedging reserve</t>
  </si>
  <si>
    <t>Share-based payment reserve</t>
  </si>
  <si>
    <t>Distributable reserve</t>
  </si>
  <si>
    <t>Interest of own shareholders</t>
  </si>
  <si>
    <t>Non-controlling interests</t>
  </si>
  <si>
    <t>Non Current Liablities</t>
  </si>
  <si>
    <t>Liability for share-based payments</t>
  </si>
  <si>
    <t>Long-term loan</t>
  </si>
  <si>
    <t>Derivative liability</t>
  </si>
  <si>
    <t>Deferred taxation</t>
  </si>
  <si>
    <t>Current Liabilities</t>
  </si>
  <si>
    <t>Accounts payable</t>
  </si>
  <si>
    <t>Provisions</t>
  </si>
  <si>
    <t>Total Equity and Liabilities</t>
  </si>
  <si>
    <t>Fishmeal and Fish Oil (Daybrook)</t>
  </si>
  <si>
    <t>Sales of goods:</t>
  </si>
  <si>
    <t>Rendering of services:</t>
  </si>
  <si>
    <t>Commercial cold storage</t>
  </si>
  <si>
    <t>Management fees from subsidiaries, associates and joint ventures</t>
  </si>
  <si>
    <t>Total Revenue</t>
  </si>
  <si>
    <t>Directors' fees from a joint venture</t>
  </si>
  <si>
    <t>Foreign exchange gain</t>
  </si>
  <si>
    <t>Net surplus on disposal of investment</t>
  </si>
  <si>
    <t>Net surplus on disposal of joint venture</t>
  </si>
  <si>
    <t>Expenditure</t>
  </si>
  <si>
    <t>Fees for audit - current year</t>
  </si>
  <si>
    <t>Fees for audit - prior year underprovision / (overprovision)</t>
  </si>
  <si>
    <t xml:space="preserve">Expenses </t>
  </si>
  <si>
    <t>Other services</t>
  </si>
  <si>
    <t>Depreciation of PPE</t>
  </si>
  <si>
    <t>Amortisation of intagible assets</t>
  </si>
  <si>
    <t>Fishing rights</t>
  </si>
  <si>
    <t>Administrative, tecnhical and secretarial fees</t>
  </si>
  <si>
    <t>Foreign exchange loss</t>
  </si>
  <si>
    <t>Operating lease expenses</t>
  </si>
  <si>
    <t>Employment costs</t>
  </si>
  <si>
    <t>Loss on the dissolution of foreign subsidiary</t>
  </si>
  <si>
    <t>Retirment costs</t>
  </si>
  <si>
    <t>Share-based payments - cash-settled compensation scheme</t>
  </si>
  <si>
    <t>Share-based payments - equity-settled compensation scheme</t>
  </si>
  <si>
    <t>Revenue per business</t>
  </si>
  <si>
    <t>Auditors' remuneration</t>
  </si>
  <si>
    <t>Total</t>
  </si>
  <si>
    <t>South Africa and Namibia</t>
  </si>
  <si>
    <t>Other Africa</t>
  </si>
  <si>
    <t>Europe</t>
  </si>
  <si>
    <t>Far East</t>
  </si>
  <si>
    <t>Other</t>
  </si>
  <si>
    <t>Operating Profit before abnormal items</t>
  </si>
  <si>
    <t>Transaction costs</t>
  </si>
  <si>
    <t>Forex gain on transaction</t>
  </si>
  <si>
    <t>Impairment of equipment</t>
  </si>
  <si>
    <t>Impairment of investment in Glenryck Foods Limited</t>
  </si>
  <si>
    <t>Impairment of investment in Oceana Empowerment Trust</t>
  </si>
  <si>
    <t>Transaction costs related to the acquisition of Daybrook</t>
  </si>
  <si>
    <t>Dividend Income</t>
  </si>
  <si>
    <t>Interest received</t>
  </si>
  <si>
    <t>Bank and short term deposits</t>
  </si>
  <si>
    <t>Preference share divididens</t>
  </si>
  <si>
    <t>Unlisted investments</t>
  </si>
  <si>
    <t>Interest received from loans</t>
  </si>
  <si>
    <t>Subsidiaries</t>
  </si>
  <si>
    <t>Bank</t>
  </si>
  <si>
    <t>Interest on amortised loans</t>
  </si>
  <si>
    <t>7.2 Foreign current taxation</t>
  </si>
  <si>
    <t>7.3 South African deferred taxation</t>
  </si>
  <si>
    <t>7.4 Foreign deferred taxation</t>
  </si>
  <si>
    <t>7.5 Reconciliation of the effective rate of taxation charge with the South African company income tax rate is as follows:</t>
  </si>
  <si>
    <t>Effective rate of taxation</t>
  </si>
  <si>
    <t>Adjustments to rate due to:</t>
  </si>
  <si>
    <t xml:space="preserve"> - Dividend income</t>
  </si>
  <si>
    <t xml:space="preserve"> - Net effect of tax losses</t>
  </si>
  <si>
    <t xml:space="preserve"> - Adjustment in respect of previous years</t>
  </si>
  <si>
    <t xml:space="preserve"> - Tax effect of unprovided temporary differences</t>
  </si>
  <si>
    <t xml:space="preserve"> - Foreign taxation rate differentials and withholding taxes</t>
  </si>
  <si>
    <t xml:space="preserve"> - Associate and joint venture income</t>
  </si>
  <si>
    <t xml:space="preserve"> - Abnormal items</t>
  </si>
  <si>
    <t xml:space="preserve"> - Capital gains tax</t>
  </si>
  <si>
    <t xml:space="preserve"> - Expenses not allowable for taxation and other</t>
  </si>
  <si>
    <t>South African company income tax rate</t>
  </si>
  <si>
    <t>7.6 The group's and company's share of tax losses availabe as a deduction from their future taxable income amounted to:</t>
  </si>
  <si>
    <t>South African</t>
  </si>
  <si>
    <t>Foreign</t>
  </si>
  <si>
    <t>Tax savings effect</t>
  </si>
  <si>
    <t xml:space="preserve"> - before deferred taxation</t>
  </si>
  <si>
    <t xml:space="preserve"> - after deferred taxation</t>
  </si>
  <si>
    <t>Weighted average number of ordinary shares</t>
  </si>
  <si>
    <t>plus: bonus issue on rights offer</t>
  </si>
  <si>
    <t>less: weighted average:</t>
  </si>
  <si>
    <t>Treasury shares held by Oceana Brands Limited</t>
  </si>
  <si>
    <t>Treasury shares held by Oceana Group Share Trust</t>
  </si>
  <si>
    <t>Weighted average number of ordinary shares used in the calculation of basic earnings per share</t>
  </si>
  <si>
    <t>Shared deemed to be issued for no consideration in respect of unexercised share options</t>
  </si>
  <si>
    <t>Weighted average number of ordinary shares used in the calculation of diluted earnings per share</t>
  </si>
  <si>
    <t>Profit after taxation attributable to shareholders of Oceana Group Limited</t>
  </si>
  <si>
    <t>Adjusted for:</t>
  </si>
  <si>
    <t>Surplus on disposal of joint venture</t>
  </si>
  <si>
    <t xml:space="preserve"> - Basic (BEPS)</t>
  </si>
  <si>
    <t xml:space="preserve"> - Diluted (DEPS)</t>
  </si>
  <si>
    <t>Headline earnigns for the year</t>
  </si>
  <si>
    <t>Headling earnings per share</t>
  </si>
  <si>
    <t>Final of 271 cents per share declared on 6 Nov'14, paid on 9 Jan'15 (2014: 222 cents)</t>
  </si>
  <si>
    <t>Interim of 106 cents per share declated on 14 May'15, paid on 6 Jul'15 (2014: 106 cents)</t>
  </si>
  <si>
    <t>Dividends paid during the year</t>
  </si>
  <si>
    <t>Final of 259 cents (2014: 271 cents) per share declared on 11 Nov'15, paybale on 18 Jan'16 based on number of shares in issue on 11 Nov'15</t>
  </si>
  <si>
    <t>Dividends declared and not accrued after reporting date</t>
  </si>
  <si>
    <t>notes to the IS</t>
  </si>
  <si>
    <t>Bank overdrafts</t>
  </si>
  <si>
    <t>Check line</t>
  </si>
  <si>
    <t>Surplus on disposal of fishing right</t>
  </si>
  <si>
    <t>Income</t>
  </si>
  <si>
    <t>Adjustment in respect of change in tax rate</t>
  </si>
  <si>
    <t>Adjustment for non cash and other items</t>
  </si>
  <si>
    <t>Depreciation, amortisation and impairment</t>
  </si>
  <si>
    <t>Share-based payment expense</t>
  </si>
  <si>
    <t>Cash-settled share-based payment</t>
  </si>
  <si>
    <t>Loss on disposal of intangible assets</t>
  </si>
  <si>
    <t>Surplus on disposal of investment</t>
  </si>
  <si>
    <t>Abnormal - net transaction costs</t>
  </si>
  <si>
    <t>Cash Operating Profit before working capital changes</t>
  </si>
  <si>
    <t>Working Capital changes</t>
  </si>
  <si>
    <t>Cash generated from / (utilised in) operations</t>
  </si>
  <si>
    <t>Investiment income received</t>
  </si>
  <si>
    <t>Taxation paid</t>
  </si>
  <si>
    <t>Distribution to Oceana Empowerment Trust beneficiaries</t>
  </si>
  <si>
    <t>Dividends paid</t>
  </si>
  <si>
    <t>Net cash inflow / (outflow) from operating activities</t>
  </si>
  <si>
    <t>Replacement Capex</t>
  </si>
  <si>
    <t>Expansion Capex</t>
  </si>
  <si>
    <t>Replacement of intangible assets</t>
  </si>
  <si>
    <t>Proceeds on disposal of PPE</t>
  </si>
  <si>
    <t>Acquisition of businesses</t>
  </si>
  <si>
    <t>Acquisition of fishing rights</t>
  </si>
  <si>
    <t>Repayment received on preference shares</t>
  </si>
  <si>
    <t>Net movement on loans and advanves</t>
  </si>
  <si>
    <t>Acquisition of additional shares in subsidiary</t>
  </si>
  <si>
    <t>Proceeds on return on capital of investment</t>
  </si>
  <si>
    <t>Acquisition of joint venture</t>
  </si>
  <si>
    <t>Disposal of joint venture</t>
  </si>
  <si>
    <t>Decrease / (additions) of investment</t>
  </si>
  <si>
    <t>Movement on amounts owing by subsidiaries and joint ventures</t>
  </si>
  <si>
    <t>Cash (outflow) / inflow from investing activities</t>
  </si>
  <si>
    <t>Proceeds from issue of share capital</t>
  </si>
  <si>
    <t>Short-term borrowings (repaid)/raised</t>
  </si>
  <si>
    <t>Movement on amounts owing to subsidiaries and joint ventures</t>
  </si>
  <si>
    <t>Cash inflow / (outflow) from financing activities</t>
  </si>
  <si>
    <t>Net increase in cash and cash equivalents</t>
  </si>
  <si>
    <t>Net cash and cash equivalents at the beginning of the year</t>
  </si>
  <si>
    <t>Effect of exchange rate changes</t>
  </si>
  <si>
    <t>Net cash and cash equivalents at the end of the year</t>
  </si>
  <si>
    <t>Net (surplus)/loss on disposal of PPE</t>
  </si>
  <si>
    <t>Loss on the dissolution of foreing subsidiary</t>
  </si>
  <si>
    <t>Accounts receivable</t>
  </si>
  <si>
    <t>Accounts payable and provisions</t>
  </si>
  <si>
    <t>Goodwill</t>
  </si>
  <si>
    <t>2005A</t>
  </si>
  <si>
    <t>2006A</t>
  </si>
  <si>
    <t>2007A</t>
  </si>
  <si>
    <t>Competition comissio administrative penalty</t>
  </si>
  <si>
    <t>Trademark impairment</t>
  </si>
  <si>
    <t xml:space="preserve"> - Secondary taxation on companies</t>
  </si>
  <si>
    <t>Canned Fish and Fishmeal (inshore fishing)</t>
  </si>
  <si>
    <t>Horse Mackerel and Hake (midwater and deep-sea fishing)</t>
  </si>
  <si>
    <t>Lobster, Squid and French Fries (inshore fishing)</t>
  </si>
  <si>
    <t>Revenue Midwater and deep-sea fishing</t>
  </si>
  <si>
    <t>Revenue Inshore fishing</t>
  </si>
  <si>
    <t>Percentage of canned fish and fish meal in inshore fishing</t>
  </si>
  <si>
    <t>Goodwill impairment</t>
  </si>
  <si>
    <t>Movement on liability provisions</t>
  </si>
  <si>
    <t>Joint ventures</t>
  </si>
  <si>
    <t xml:space="preserve"> - Adjustement in respect of change in tax rate</t>
  </si>
  <si>
    <t>Treasury shares held by Oceana Empowerment Trust / Khula trust</t>
  </si>
  <si>
    <t>R&amp;D expenditure</t>
  </si>
  <si>
    <t>Profit on the disposal of immovable property and PPE</t>
  </si>
  <si>
    <t>Profit on change of interest in subsidiaries and joint ventures</t>
  </si>
  <si>
    <t>Cash related abnormal items</t>
  </si>
  <si>
    <t>Acquisition of investment</t>
  </si>
  <si>
    <t>Proceeds on disposal of investment</t>
  </si>
  <si>
    <t>Acquisition of treasury shares by subsidiary</t>
  </si>
  <si>
    <t>Other non cash items</t>
  </si>
  <si>
    <t>Acquisition of Oceana SPV (Pty) Limited preference shares</t>
  </si>
  <si>
    <t>Proceeds on sale of treasury shares</t>
  </si>
  <si>
    <t>Disposal of businesses</t>
  </si>
  <si>
    <t>Net total cash inflow / outgflow from changes in WC</t>
  </si>
  <si>
    <t>Net cash inflow / outflow from changes in operating WC</t>
  </si>
  <si>
    <t>oper</t>
  </si>
  <si>
    <t>?</t>
  </si>
  <si>
    <t>Charged to the income statements - note 7</t>
  </si>
  <si>
    <t>Adjustment in respect of busineesses disposed of</t>
  </si>
  <si>
    <t>Exchange rate difference</t>
  </si>
  <si>
    <t>Charged to the statement of changes in equity</t>
  </si>
  <si>
    <t>Dividends paid to outside shareholders</t>
  </si>
  <si>
    <t>Disposal of business</t>
  </si>
  <si>
    <t>PPE and investments</t>
  </si>
  <si>
    <t>Cash and cash equivalents</t>
  </si>
  <si>
    <t>Accounts payable, provisions and minorities</t>
  </si>
  <si>
    <t>Deferred taxation liability</t>
  </si>
  <si>
    <t>Surplus on disposal</t>
  </si>
  <si>
    <t>Cash amounts paid</t>
  </si>
  <si>
    <t>Cash movement on disposal</t>
  </si>
  <si>
    <t>Less cash and cash equivalents disposed of</t>
  </si>
  <si>
    <t>Net cash movement on disposal of business</t>
  </si>
  <si>
    <t>Net cash and cash equivalents</t>
  </si>
  <si>
    <t>Contingent purchase consideration</t>
  </si>
  <si>
    <t>Non controlling interest</t>
  </si>
  <si>
    <t>Trademark</t>
  </si>
  <si>
    <t>Stated Capital / Share capital and premium</t>
  </si>
  <si>
    <t>Note 1 - Revenue per business</t>
  </si>
  <si>
    <t>Management fees to related parties</t>
  </si>
  <si>
    <t xml:space="preserve"> - Properties</t>
  </si>
  <si>
    <t xml:space="preserve"> - Equipment and vehicles</t>
  </si>
  <si>
    <t>Note 2 - Operating Profit before Associate and Joint Venture Income</t>
  </si>
  <si>
    <t>Provision for loans, staff retrenchement and other closure costs in Namibian whitefish business</t>
  </si>
  <si>
    <t>Namibian whitefish business</t>
  </si>
  <si>
    <t>Impairment loss on hake fishing vessel</t>
  </si>
  <si>
    <t>Impairment loss on Australian lobster fishing rights</t>
  </si>
  <si>
    <t>Note 4 - Abnormal Items</t>
  </si>
  <si>
    <t xml:space="preserve"> - Subsidiaries</t>
  </si>
  <si>
    <t xml:space="preserve"> - Unlisted investments</t>
  </si>
  <si>
    <t xml:space="preserve"> - Joint Ventures</t>
  </si>
  <si>
    <t xml:space="preserve"> - Unlisted investments and short-term deposits</t>
  </si>
  <si>
    <t>Note 5 - Investment Income</t>
  </si>
  <si>
    <t>Note 6 - Interest Paid</t>
  </si>
  <si>
    <t>Note 7 - Taxation</t>
  </si>
  <si>
    <t>7.1 South African current taxation</t>
  </si>
  <si>
    <t xml:space="preserve"> - Current year</t>
  </si>
  <si>
    <t xml:space="preserve"> - Adjustments in respect of previous years</t>
  </si>
  <si>
    <t xml:space="preserve"> - Seconday taxation on companies</t>
  </si>
  <si>
    <t xml:space="preserve"> - Withholding tax</t>
  </si>
  <si>
    <t xml:space="preserve"> - Adjustemnt in respect of change in tax rate</t>
  </si>
  <si>
    <t xml:space="preserve"> - Adjustment in respect of change in tax rate</t>
  </si>
  <si>
    <t>Taxation charge per income statement</t>
  </si>
  <si>
    <t>Note 8 - Earnings per share (# of shares)</t>
  </si>
  <si>
    <t>1.Calculation of weighted average number of ordinary shares</t>
  </si>
  <si>
    <t>2.Determination of headline earnings (net of tax)</t>
  </si>
  <si>
    <t xml:space="preserve"> - Profit on the disposal of of immovable property</t>
  </si>
  <si>
    <t xml:space="preserve"> - Surplus on disposal of joint venture</t>
  </si>
  <si>
    <t xml:space="preserve"> - Goodwill impairment</t>
  </si>
  <si>
    <t xml:space="preserve"> - Others</t>
  </si>
  <si>
    <t xml:space="preserve"> - Headling earnings adjustemnts - joint venture</t>
  </si>
  <si>
    <t xml:space="preserve"> - Surplus on disposal of fishing right</t>
  </si>
  <si>
    <t xml:space="preserve"> - Trademark impairment</t>
  </si>
  <si>
    <t xml:space="preserve"> - Profit on change of interest in investment</t>
  </si>
  <si>
    <t xml:space="preserve"> - Loss on the dissolution of foreign subsidiary</t>
  </si>
  <si>
    <t xml:space="preserve"> - Impairment of equipment</t>
  </si>
  <si>
    <t xml:space="preserve"> - Net surplus on disposal of property, plant and equipment and intangible assets</t>
  </si>
  <si>
    <t xml:space="preserve"> - Profit on change of interest in subsidiaries and joint ventures</t>
  </si>
  <si>
    <t xml:space="preserve"> - Provisions for loans, staff retrenchement and other closure costs in Namibian whitefish business</t>
  </si>
  <si>
    <t xml:space="preserve"> - Namibian whitefish business</t>
  </si>
  <si>
    <t xml:space="preserve"> - Impairment loss in hake fishing vessel</t>
  </si>
  <si>
    <t xml:space="preserve"> - Impairment loss on Australian lobster fishing rights</t>
  </si>
  <si>
    <t>Note 9 - Dividends</t>
  </si>
  <si>
    <t>Note 10 - Property, Plant and Equipment</t>
  </si>
  <si>
    <t xml:space="preserve"> - Freehold</t>
  </si>
  <si>
    <t xml:space="preserve"> - Leasehold</t>
  </si>
  <si>
    <t>Accumulated depreciations and amortisation</t>
  </si>
  <si>
    <t>Carrying value</t>
  </si>
  <si>
    <t>1. Land and buildings - cost</t>
  </si>
  <si>
    <t>2. Plant, equipment and vehicles - cost</t>
  </si>
  <si>
    <t>Accumulated depreciation</t>
  </si>
  <si>
    <t>Impairment loss</t>
  </si>
  <si>
    <t>3. Fishing vessels and nets - cost</t>
  </si>
  <si>
    <t>4. Total cost</t>
  </si>
  <si>
    <t>5. Movement of group PPE</t>
  </si>
  <si>
    <t>Carrying value at the beginning of the year</t>
  </si>
  <si>
    <t>Additions</t>
  </si>
  <si>
    <t>Disposals</t>
  </si>
  <si>
    <t>Depreciation and amortisation</t>
  </si>
  <si>
    <t>Translation differences</t>
  </si>
  <si>
    <t>Carrying value at the end of the year</t>
  </si>
  <si>
    <t>Note 11 - Goodwill, trademark and fishing rights</t>
  </si>
  <si>
    <t>Exchange differences arising on translation of costs</t>
  </si>
  <si>
    <t>Note 12 - Deferred Taxation</t>
  </si>
  <si>
    <t>Net balance at the beginning of the year</t>
  </si>
  <si>
    <t>Exchange rate adjustment</t>
  </si>
  <si>
    <t>Charged to income</t>
  </si>
  <si>
    <t>Net balance at the end of the year</t>
  </si>
  <si>
    <t>This is the result of:</t>
  </si>
  <si>
    <t>Deferred taxation assets</t>
  </si>
  <si>
    <t xml:space="preserve"> - PPE</t>
  </si>
  <si>
    <t xml:space="preserve"> - Trademarks</t>
  </si>
  <si>
    <t xml:space="preserve"> - Taxation loss relied</t>
  </si>
  <si>
    <t xml:space="preserve"> - Provisions and other</t>
  </si>
  <si>
    <t>Deferred taxation liabilities</t>
  </si>
  <si>
    <t xml:space="preserve"> - Other</t>
  </si>
  <si>
    <t>Total per balance sheet</t>
  </si>
  <si>
    <t>Aggregate amount of deductible temporay differences, unused taxation losses and unused taxation credits for which so deferred taxation asset is recognised in the balance sheet</t>
  </si>
  <si>
    <t>Note 13 - Investments and loans</t>
  </si>
  <si>
    <t>Loans</t>
  </si>
  <si>
    <t>Less: Provisions</t>
  </si>
  <si>
    <t>Net loans</t>
  </si>
  <si>
    <t>Investments - Preference shares</t>
  </si>
  <si>
    <t>Note 17 - Inventories</t>
  </si>
  <si>
    <t>Raw materials</t>
  </si>
  <si>
    <t>Work in progress</t>
  </si>
  <si>
    <t>Finished goods</t>
  </si>
  <si>
    <t>Consumable stores</t>
  </si>
  <si>
    <t>Note 18 - Accounts receivable</t>
  </si>
  <si>
    <t>Trade receivables</t>
  </si>
  <si>
    <t>Loans and advances</t>
  </si>
  <si>
    <t>Prepayments</t>
  </si>
  <si>
    <t>SARS - VAT and provisional taxation</t>
  </si>
  <si>
    <t>Accrued income and other</t>
  </si>
  <si>
    <t>Less: Provisions for irrecoverable amounts</t>
  </si>
  <si>
    <t>Note 19 - Non current assets held for sale</t>
  </si>
  <si>
    <t>Transferred from PPE</t>
  </si>
  <si>
    <t>Acquired in part settlement of a defaulted long term loan</t>
  </si>
  <si>
    <t>Note 21 - Accounts payable</t>
  </si>
  <si>
    <t>Trade payables</t>
  </si>
  <si>
    <t>Payroll - related accruals</t>
  </si>
  <si>
    <t>Short-term loans and advances</t>
  </si>
  <si>
    <t>VAT payable</t>
  </si>
  <si>
    <t>Accruals and other payables</t>
  </si>
  <si>
    <t xml:space="preserve"> - Buildings</t>
  </si>
  <si>
    <t xml:space="preserve"> - Property, equipment and motor vehicles</t>
  </si>
  <si>
    <t xml:space="preserve"> - Fishing vessels and nets</t>
  </si>
  <si>
    <t xml:space="preserve"> - Fishing rights</t>
  </si>
  <si>
    <t xml:space="preserve"> - Computer software</t>
  </si>
  <si>
    <t xml:space="preserve"> - Customer relation</t>
  </si>
  <si>
    <t xml:space="preserve"> - Non-competes</t>
  </si>
  <si>
    <t>Provision in respect of utilisation of pension fund surplus</t>
  </si>
  <si>
    <t>Profit on disposal of fishing rights in Namibia</t>
  </si>
  <si>
    <t>Impairment loss on non current asset held for sale</t>
  </si>
  <si>
    <t>Provision for irrecoverable loans</t>
  </si>
  <si>
    <t>Dividends received</t>
  </si>
  <si>
    <t>Preference dividends accrued</t>
  </si>
  <si>
    <t>Total of dividend income and interest received</t>
  </si>
  <si>
    <t xml:space="preserve"> - Insurance proceeds for damaged vessel</t>
  </si>
  <si>
    <t xml:space="preserve"> - Foreign exchange profit on reduction of investment in subsidiary</t>
  </si>
  <si>
    <t xml:space="preserve"> -  Provision for irrecoverable loans</t>
  </si>
  <si>
    <t>check line</t>
  </si>
  <si>
    <t xml:space="preserve"> - Section 14c allowances, prepayments and other</t>
  </si>
  <si>
    <t>Vessel components</t>
  </si>
  <si>
    <t>Profit on disposal of investment</t>
  </si>
  <si>
    <t xml:space="preserve"> - Profit on disposal of investment</t>
  </si>
  <si>
    <t>Acquisition of business</t>
  </si>
  <si>
    <t>Insureance proceeds</t>
  </si>
  <si>
    <t>Exchange differences</t>
  </si>
  <si>
    <t>On acquisition of business</t>
  </si>
  <si>
    <t>Credited to income</t>
  </si>
  <si>
    <t>Leave pay accrual</t>
  </si>
  <si>
    <t xml:space="preserve"> - Preference share dividends</t>
  </si>
  <si>
    <t>Business acquisition</t>
  </si>
  <si>
    <t>Amortisation for the year</t>
  </si>
  <si>
    <t>Amounts owing by foreign suppliers</t>
  </si>
  <si>
    <t>Contigent purchase consideration</t>
  </si>
  <si>
    <t>Net loss on disposal of PPE</t>
  </si>
  <si>
    <t>Transfer from PPE</t>
  </si>
  <si>
    <t xml:space="preserve"> - Interest received from loans</t>
  </si>
  <si>
    <t>Transfer to non current assets held for sale</t>
  </si>
  <si>
    <t>Arising on rights issue</t>
  </si>
  <si>
    <t>Associate - unrealised profits</t>
  </si>
  <si>
    <t xml:space="preserve"> - Hurricane relief funds and insurance</t>
  </si>
  <si>
    <t xml:space="preserve"> - Deferred compensation</t>
  </si>
  <si>
    <t>Vessel - Desert Rose (1)</t>
  </si>
  <si>
    <t>Seasonal fruit business (CCS) (2)</t>
  </si>
  <si>
    <t>Total Depreciation</t>
  </si>
  <si>
    <t>Total Amortisation</t>
  </si>
  <si>
    <t>Amounts overpaid or (unpaid) at the beginning of the year, net</t>
  </si>
  <si>
    <t>Amounts (overpaid) or unpaid at the end of the year, net</t>
  </si>
  <si>
    <t>Oceana Empowerment Trust dividend distribution</t>
  </si>
  <si>
    <t>Khula Trust dividend distribution</t>
  </si>
  <si>
    <t>Acquisition od additional shares in subsidiary</t>
  </si>
  <si>
    <t>Cash consideration transferred (jan'13)</t>
  </si>
  <si>
    <t>Less: value of non-controlling interest acquired</t>
  </si>
  <si>
    <t>Excess paid</t>
  </si>
  <si>
    <t>Loss of control over subsidiary</t>
  </si>
  <si>
    <t>PPE</t>
  </si>
  <si>
    <t>Proceeds received on loss of control over subsidiary</t>
  </si>
  <si>
    <t>Add: bank overdrafts disposed</t>
  </si>
  <si>
    <t>Net cash inflow on loss of control over subsidary</t>
  </si>
  <si>
    <t>Proceeds on disposal of fishing rights</t>
  </si>
  <si>
    <t>Intangible asset</t>
  </si>
  <si>
    <t>Short term loan</t>
  </si>
  <si>
    <t>Goodwill on acquisition</t>
  </si>
  <si>
    <t>Consideration</t>
  </si>
  <si>
    <t>Less: Fair value of identifiable assets acquired and liabilities</t>
  </si>
  <si>
    <t>FOODCORP ACQUISITION (2015)</t>
  </si>
  <si>
    <t>DAYBROOK ACQUISITION (2015)</t>
  </si>
  <si>
    <t>Investments in associate</t>
  </si>
  <si>
    <t>June 2015 cash paid</t>
  </si>
  <si>
    <t xml:space="preserve">    YoY grotwh</t>
  </si>
  <si>
    <t xml:space="preserve">   % of sales</t>
  </si>
  <si>
    <t xml:space="preserve">    Gross margin</t>
  </si>
  <si>
    <t xml:space="preserve">   Oper Profit before associate and JV margin</t>
  </si>
  <si>
    <t xml:space="preserve">   % of Oper Profit before associate and JV</t>
  </si>
  <si>
    <t xml:space="preserve">    Oper Profit before abnormal items margin</t>
  </si>
  <si>
    <t xml:space="preserve">   % of Oper Profit before abnormal itmes</t>
  </si>
  <si>
    <t>Total Expenses</t>
  </si>
  <si>
    <t>EBITDA</t>
  </si>
  <si>
    <t>EBIT</t>
  </si>
  <si>
    <t xml:space="preserve">    EBITDA margin</t>
  </si>
  <si>
    <t xml:space="preserve">    EBIT margin</t>
  </si>
  <si>
    <t>Net financing gain (costs)</t>
  </si>
  <si>
    <t>Dividend income</t>
  </si>
  <si>
    <t>Associate income</t>
  </si>
  <si>
    <t>Exceptional item</t>
  </si>
  <si>
    <t xml:space="preserve">    PBT margin</t>
  </si>
  <si>
    <t xml:space="preserve">   Tax rate as % of Profit before taxation</t>
  </si>
  <si>
    <t xml:space="preserve">   Oper profit margin</t>
  </si>
  <si>
    <t xml:space="preserve">   PBT margin</t>
  </si>
  <si>
    <t>Normalised earnings reconcilation after adjustments</t>
  </si>
  <si>
    <t>Net profit</t>
  </si>
  <si>
    <t>Excepcional</t>
  </si>
  <si>
    <t>Total Normalised earnings</t>
  </si>
  <si>
    <t>Total Profit after taxation</t>
  </si>
  <si>
    <t>Total comprehensive income for the year</t>
  </si>
  <si>
    <t xml:space="preserve">   YoY growth</t>
  </si>
  <si>
    <t>YoY growth</t>
  </si>
  <si>
    <t>Share Price (absolute)</t>
  </si>
  <si>
    <t xml:space="preserve"> - Dividend Yield</t>
  </si>
  <si>
    <t xml:space="preserve"> - Dividend Cover</t>
  </si>
  <si>
    <t>Equity</t>
  </si>
  <si>
    <t>Net Debt</t>
  </si>
  <si>
    <t>Activity Ratios</t>
  </si>
  <si>
    <t>Current Ratio</t>
  </si>
  <si>
    <t>Liquidity Ratios</t>
  </si>
  <si>
    <t>ROE</t>
  </si>
  <si>
    <t>ROCE</t>
  </si>
  <si>
    <t>ROA</t>
  </si>
  <si>
    <t>NOPLAT</t>
  </si>
  <si>
    <t>Inshore Fishing (R'000)</t>
  </si>
  <si>
    <t>Investment income</t>
  </si>
  <si>
    <t>Headline Earnings</t>
  </si>
  <si>
    <t>Loans to outside shareholders</t>
  </si>
  <si>
    <t>Capital and Reserves</t>
  </si>
  <si>
    <t>Hedge reserve</t>
  </si>
  <si>
    <t>Insurance reserve</t>
  </si>
  <si>
    <t>Non Current Liabilities</t>
  </si>
  <si>
    <t>Employee benefits</t>
  </si>
  <si>
    <t>Deferred interest - CCF</t>
  </si>
  <si>
    <t>Short-term portion of employee benefits</t>
  </si>
  <si>
    <t>Short-term portion of long-term loan</t>
  </si>
  <si>
    <t>Operating Profit</t>
  </si>
  <si>
    <t>Loss on disposal of PPE</t>
  </si>
  <si>
    <t>Cash Operating Profit before Working Capital Changes</t>
  </si>
  <si>
    <t>Depreciation</t>
  </si>
  <si>
    <t>CAPEX</t>
  </si>
  <si>
    <t>Revenue Contribution</t>
  </si>
  <si>
    <t>EBIT margin</t>
  </si>
  <si>
    <t>EBIT Contribution</t>
  </si>
  <si>
    <t>Costs (excluding depreciation&amp;amortisation)</t>
  </si>
  <si>
    <t>CAPEX/Sales Ratio</t>
  </si>
  <si>
    <t>Depreciation/Sales Ratio</t>
  </si>
  <si>
    <t>CAPEX/Depreciation</t>
  </si>
  <si>
    <t>Inshore Fishing</t>
  </si>
  <si>
    <t>Mid-Deep Water Fishing</t>
  </si>
  <si>
    <t>Commercial Cold Storage</t>
  </si>
  <si>
    <t>DayBrook</t>
  </si>
  <si>
    <t>Oceana</t>
  </si>
  <si>
    <t>YoY change</t>
  </si>
  <si>
    <t>Contribution to EBIT</t>
  </si>
  <si>
    <t>Capex/Sales Ratio</t>
  </si>
  <si>
    <t>Sales and distributing expenditure</t>
  </si>
  <si>
    <t>Other comprehensive income</t>
  </si>
  <si>
    <t>Other comprehensive income, net of taxation</t>
  </si>
  <si>
    <t>Shareholders of the Daybrook Investors Inc,</t>
  </si>
  <si>
    <t>Non-Controlling interests</t>
  </si>
  <si>
    <t>Total comprehensive income attributable to:</t>
  </si>
  <si>
    <t>Proft after taxation attributable to:</t>
  </si>
  <si>
    <t>Earnings per Share (cents)</t>
  </si>
  <si>
    <t>Headline Earnings per Share (cents)</t>
  </si>
  <si>
    <t>Reconciliation of Headling Earnings</t>
  </si>
  <si>
    <t>Profits attributable to shareholders of the Daybrook Investors Inc.</t>
  </si>
  <si>
    <t>Adjustments for headline earnings:</t>
  </si>
  <si>
    <t>Equity and Liabiities</t>
  </si>
  <si>
    <t>Share capital and premium</t>
  </si>
  <si>
    <t>Non-Controlling Interest</t>
  </si>
  <si>
    <t>Accounts Payable</t>
  </si>
  <si>
    <t>Operating Profit, EBIT</t>
  </si>
  <si>
    <t>Adjusted for non-cash and other items</t>
  </si>
  <si>
    <t xml:space="preserve"> - Depreciation, Amortisation and Impairments</t>
  </si>
  <si>
    <t xml:space="preserve"> - Provisions related to Operations</t>
  </si>
  <si>
    <t xml:space="preserve"> - Loss on disposal of PPE</t>
  </si>
  <si>
    <t xml:space="preserve"> - Deferred interest CCF</t>
  </si>
  <si>
    <t xml:space="preserve"> - Employee Benefit Plan</t>
  </si>
  <si>
    <t>done</t>
  </si>
  <si>
    <t xml:space="preserve"> - Working Capital Changes</t>
  </si>
  <si>
    <t>Working Capital (USD'000)</t>
  </si>
  <si>
    <t>Account Receivable</t>
  </si>
  <si>
    <t>Loans to Outside Shareholders</t>
  </si>
  <si>
    <t>Total Working Capital</t>
  </si>
  <si>
    <t>Total Working Capital Changes</t>
  </si>
  <si>
    <t>Balance at the beginnng of the year</t>
  </si>
  <si>
    <t xml:space="preserve"> - Profit After Taxation</t>
  </si>
  <si>
    <t xml:space="preserve"> - Other Comprehensive Income</t>
  </si>
  <si>
    <t>Balance at the end of the year</t>
  </si>
  <si>
    <t>Check Line</t>
  </si>
  <si>
    <t>Investment Income received</t>
  </si>
  <si>
    <t>Taxation (USD'000)</t>
  </si>
  <si>
    <t>7.1 Income Tax</t>
  </si>
  <si>
    <t>Current year - federal taxes</t>
  </si>
  <si>
    <t>Current year - state taxes</t>
  </si>
  <si>
    <t>7.2 Deferred Taxation</t>
  </si>
  <si>
    <t>Taxation charge</t>
  </si>
  <si>
    <t>Net amount unpaid at the beginning of the year</t>
  </si>
  <si>
    <t>Charged to profit or loss on the income statement</t>
  </si>
  <si>
    <t>Net amount unpaid at the end of the year</t>
  </si>
  <si>
    <t>Cash generated from operations</t>
  </si>
  <si>
    <t>Net cash inflow from operating activities</t>
  </si>
  <si>
    <t>Replacement CAPEX</t>
  </si>
  <si>
    <t>Distribution from employee benefit plan</t>
  </si>
  <si>
    <t>Cash (outflow)/inflow from investing activities</t>
  </si>
  <si>
    <t>Financing costs</t>
  </si>
  <si>
    <t>Cash (outflow)/inflow from financing activities</t>
  </si>
  <si>
    <t>Balance of Long-term borrowings raised and repayment of them</t>
  </si>
  <si>
    <t xml:space="preserve">Accounts payables </t>
  </si>
  <si>
    <t xml:space="preserve">  - Bank and short-term deposits</t>
  </si>
  <si>
    <t>Free Cash Flow Map (R'000)</t>
  </si>
  <si>
    <t>Tax Adjustments</t>
  </si>
  <si>
    <t>Increase in NWC</t>
  </si>
  <si>
    <t>Increase in other Operating Assets and Liabilities (net)</t>
  </si>
  <si>
    <t xml:space="preserve"> - Change in Accounts Receivable</t>
  </si>
  <si>
    <t xml:space="preserve"> - Change in Inventories</t>
  </si>
  <si>
    <t xml:space="preserve"> - Change in Taxation (asset side)</t>
  </si>
  <si>
    <t xml:space="preserve"> - Change in Accounts Payable</t>
  </si>
  <si>
    <t xml:space="preserve"> - Change in Operating Provisions</t>
  </si>
  <si>
    <t xml:space="preserve"> - Change in Accrued Income taxes (liabilities side)</t>
  </si>
  <si>
    <t>FCF operating map - CAPEX</t>
  </si>
  <si>
    <t>FCF operating map - Intangibles</t>
  </si>
  <si>
    <t>FCF operating map - NWC</t>
  </si>
  <si>
    <t>FCF non operating</t>
  </si>
  <si>
    <t>FCF operating map - Taxation</t>
  </si>
  <si>
    <t>FCF non operating map</t>
  </si>
  <si>
    <t>FCF sources of financing map</t>
  </si>
  <si>
    <t>included in cost of sales</t>
  </si>
  <si>
    <t>FCF oeprating map - NWC</t>
  </si>
  <si>
    <t>FCF operating map - other</t>
  </si>
  <si>
    <t>FCF operating map - others</t>
  </si>
  <si>
    <t>consider excess cash or loans</t>
  </si>
  <si>
    <t>FCF sources of financing</t>
  </si>
  <si>
    <t>FCF non operating mao</t>
  </si>
  <si>
    <t xml:space="preserve"> - Deferred Taxation (asset side)</t>
  </si>
  <si>
    <t xml:space="preserve"> - Deferred Taxation (liabilities side)</t>
  </si>
  <si>
    <t>Operating FCF to the firm</t>
  </si>
  <si>
    <t>Non Operational EBIT (interest and investment income)</t>
  </si>
  <si>
    <t>Notional Income Taxes on Non Operational EBIT</t>
  </si>
  <si>
    <t>Notional Income Taxes on Operational EBIT</t>
  </si>
  <si>
    <t xml:space="preserve">Change in Non Operational Cash </t>
  </si>
  <si>
    <t>Change in Investments and Loans</t>
  </si>
  <si>
    <t>Change in Interest in subs, assoc and JV (equity method)</t>
  </si>
  <si>
    <t>Change in Liability for share-based payments</t>
  </si>
  <si>
    <t>Non Operating FCF to the firm</t>
  </si>
  <si>
    <t>Change in Assets Held for Sale</t>
  </si>
  <si>
    <t>Total FCF to the firm</t>
  </si>
  <si>
    <t>Change in Current Debt</t>
  </si>
  <si>
    <t>Change in Non Current Debt</t>
  </si>
  <si>
    <t>Net Interest</t>
  </si>
  <si>
    <t>Income Tax Shield</t>
  </si>
  <si>
    <t>Total Sources of Financing</t>
  </si>
  <si>
    <t>Change in Shareowners fund (in cash)</t>
  </si>
  <si>
    <t>Capital Increases</t>
  </si>
  <si>
    <t>Capital Redemptions Reserve</t>
  </si>
  <si>
    <t>Cash Flow Hedging Reserve</t>
  </si>
  <si>
    <t>Fuel Hedging Reserve</t>
  </si>
  <si>
    <t>Share-based Payments</t>
  </si>
  <si>
    <t>Distributtable Reserve</t>
  </si>
  <si>
    <t>Change in shareowners funds (in cash)</t>
  </si>
  <si>
    <t>C</t>
  </si>
  <si>
    <t>Check Line for change in shareowners funds (in cash)</t>
  </si>
  <si>
    <t>Check Line Total FCFC and Total Sources of Financing</t>
  </si>
  <si>
    <t>Foreign Currency Translation Reserve (non cash)</t>
  </si>
  <si>
    <t>Non Oper PLAT</t>
  </si>
  <si>
    <t>Derivative Liability</t>
  </si>
  <si>
    <t xml:space="preserve"> - Net Foreign Exchange Gain (non cash)</t>
  </si>
  <si>
    <t>Non Controlling Interests</t>
  </si>
  <si>
    <t>Amortization</t>
  </si>
  <si>
    <t xml:space="preserve"> - Net (surplus)/loss on disposal of PPE and intangibles</t>
  </si>
  <si>
    <t xml:space="preserve"> - Net (surplus)/loss on disposal of investment</t>
  </si>
  <si>
    <t xml:space="preserve"> - Share based payments - equity settled compensation scheme</t>
  </si>
  <si>
    <t>Other Adjustments Non Cash - Oper Profit before Assoc and JV</t>
  </si>
  <si>
    <t>Other Adjustments Non Cash - Abnormal Items</t>
  </si>
  <si>
    <t xml:space="preserve"> - Impairment of Equipment</t>
  </si>
  <si>
    <t xml:space="preserve"> - Transaction costs</t>
  </si>
  <si>
    <t xml:space="preserve"> - Forex gain on transaction</t>
  </si>
  <si>
    <t xml:space="preserve"> - Profit on the disposal of Immovable property</t>
  </si>
  <si>
    <t>Net Capex in Intangibles</t>
  </si>
  <si>
    <t>Net Capex in PPE</t>
  </si>
  <si>
    <t>Total Adjustments Non-Cash contributing to FCF to the firm</t>
  </si>
  <si>
    <t xml:space="preserve"> - Net surplus on disposal of joint venture</t>
  </si>
  <si>
    <t xml:space="preserve"> - Profit on disposal of fishing rights in Namibia</t>
  </si>
  <si>
    <t xml:space="preserve"> - Provision in respect of utilisation of pension fund surplus</t>
  </si>
  <si>
    <t xml:space="preserve"> - Foreign exchange prodit on reduction of investment in subsidiary</t>
  </si>
  <si>
    <t xml:space="preserve"> - Reversal of prior years' provisions for loans in Namibian whitefish business</t>
  </si>
  <si>
    <t xml:space="preserve"> - Impairment loss on vessels and equipment</t>
  </si>
  <si>
    <t xml:space="preserve"> - Impairment loss on non-current assets held for sale</t>
  </si>
  <si>
    <t xml:space="preserve"> - Provision for irrecoverable loans</t>
  </si>
  <si>
    <t xml:space="preserve"> - Share based payments - oceana empowerment / Khula trust</t>
  </si>
  <si>
    <t xml:space="preserve"> - Profit on disposal of Western Australia lobster fishing rights</t>
  </si>
  <si>
    <t>Profit on disposal of Western Australia lover fishing rights</t>
  </si>
  <si>
    <t>Share-based payments - Oceana empowerment / Khula Trust</t>
  </si>
  <si>
    <t xml:space="preserve"> - Goodwill Impairment</t>
  </si>
  <si>
    <t>State Tax Rate</t>
  </si>
  <si>
    <t>Federal Tax Rate</t>
  </si>
  <si>
    <t>Cash amounts paid to taxation</t>
  </si>
  <si>
    <t>Net Capex (Replacement Capex)</t>
  </si>
  <si>
    <t xml:space="preserve">  - Change in Inventories</t>
  </si>
  <si>
    <t xml:space="preserve">  - Change in Receivables</t>
  </si>
  <si>
    <t xml:space="preserve">  - Change in Payables</t>
  </si>
  <si>
    <t>Increase in Other Oper Assets and Liabilities</t>
  </si>
  <si>
    <t xml:space="preserve">  - Provisions (long term liability)</t>
  </si>
  <si>
    <t xml:space="preserve">  - Provisions (short term liability)</t>
  </si>
  <si>
    <t>Operating Free Cash Flow to the Firm</t>
  </si>
  <si>
    <t>Non Operating Profit</t>
  </si>
  <si>
    <t>Change in Non Oper Cash</t>
  </si>
  <si>
    <t>Change in Loans to Outside Shareholders</t>
  </si>
  <si>
    <t>Change in Employee Pensions and Other Benefits</t>
  </si>
  <si>
    <t xml:space="preserve">Change in Deferred Interest </t>
  </si>
  <si>
    <t>Non Operating Free Cash Flow to the Firm</t>
  </si>
  <si>
    <t>Other Adjustments Non Cash</t>
  </si>
  <si>
    <t xml:space="preserve">  - Net Foreign Currency Translation</t>
  </si>
  <si>
    <t>Total Free Cash Flow to the Firm</t>
  </si>
  <si>
    <t>Share Capital</t>
  </si>
  <si>
    <t>Hedge Reserves</t>
  </si>
  <si>
    <t>Insurance Reserves</t>
  </si>
  <si>
    <t>Change in Shareowners Funds (in cash)</t>
  </si>
  <si>
    <t>Change in Distributable Reserves</t>
  </si>
  <si>
    <t>Change in Non Controlling Interests</t>
  </si>
  <si>
    <t>Change in Non Current Financial Debt</t>
  </si>
  <si>
    <t>Change in Current Financial Debt</t>
  </si>
  <si>
    <t>Depreciations and Impairments</t>
  </si>
  <si>
    <t>Other Adjustments Non Cash from Comprehensive Income</t>
  </si>
  <si>
    <t xml:space="preserve"> - Movement on Foreign Currency Translation Reserve</t>
  </si>
  <si>
    <t xml:space="preserve"> - Movement on Cash Flow Hedging Reserve</t>
  </si>
  <si>
    <t xml:space="preserve"> - Movement on Fuel Hedging Reserve</t>
  </si>
  <si>
    <t xml:space="preserve"> - Share-based payments - cash settled compensation scheme</t>
  </si>
  <si>
    <t>Operating Profit before JV Income</t>
  </si>
  <si>
    <t xml:space="preserve">Net surplus on disposal of PPE </t>
  </si>
  <si>
    <t>Commercial Cold Storage - CCS (R'000)</t>
  </si>
  <si>
    <t xml:space="preserve">  - YoY growth</t>
  </si>
  <si>
    <t>Capex/Depreciation Ratio</t>
  </si>
  <si>
    <t>Daybrook</t>
  </si>
  <si>
    <t xml:space="preserve">  - Change in Price</t>
  </si>
  <si>
    <t xml:space="preserve">  - Change in Quantity</t>
  </si>
  <si>
    <t>Total Change Contributing to Growth</t>
  </si>
  <si>
    <t>Check Line to Growth</t>
  </si>
  <si>
    <t xml:space="preserve">  - Change in Other Factors</t>
  </si>
  <si>
    <t>Key Performance Drivers</t>
  </si>
  <si>
    <t xml:space="preserve">  - Occupancy Levels</t>
  </si>
  <si>
    <t xml:space="preserve">  - Inbound Pallet Volumes</t>
  </si>
  <si>
    <t xml:space="preserve">  - Commercial Cold Stores</t>
  </si>
  <si>
    <t>Good</t>
  </si>
  <si>
    <t>Stable</t>
  </si>
  <si>
    <t>Higher</t>
  </si>
  <si>
    <t xml:space="preserve">  - Dwell times</t>
  </si>
  <si>
    <t>Lower</t>
  </si>
  <si>
    <t>-</t>
  </si>
  <si>
    <t>Shorter</t>
  </si>
  <si>
    <t>Longer</t>
  </si>
  <si>
    <t xml:space="preserve"> - Activity levels</t>
  </si>
  <si>
    <t>Higher but offset</t>
  </si>
  <si>
    <t>2020E</t>
  </si>
  <si>
    <t>2021E</t>
  </si>
  <si>
    <t>2022E</t>
  </si>
  <si>
    <t>2023E</t>
  </si>
  <si>
    <t>2024E</t>
  </si>
  <si>
    <t>2025E</t>
  </si>
  <si>
    <t>2026E</t>
  </si>
  <si>
    <t>2027E</t>
  </si>
  <si>
    <t>2028E</t>
  </si>
  <si>
    <t>2029E</t>
  </si>
  <si>
    <t>2030E</t>
  </si>
  <si>
    <t>315000t</t>
  </si>
  <si>
    <t>310000t</t>
  </si>
  <si>
    <t>78701t</t>
  </si>
  <si>
    <t>77215t</t>
  </si>
  <si>
    <t>5922t</t>
  </si>
  <si>
    <t>5803t</t>
  </si>
  <si>
    <t>Strong</t>
  </si>
  <si>
    <t>125321t</t>
  </si>
  <si>
    <t>132076t</t>
  </si>
  <si>
    <t>1337t</t>
  </si>
  <si>
    <t>2281t</t>
  </si>
  <si>
    <t xml:space="preserve">  - South Africa TAC for deep sea trawl hake</t>
  </si>
  <si>
    <t xml:space="preserve">  - South Africa TAC for deep sea trawl hake to Oceana</t>
  </si>
  <si>
    <t xml:space="preserve">  - South Africa TAC for long line hake</t>
  </si>
  <si>
    <t xml:space="preserve">  - South Africa TAC for long line hake to Oceana</t>
  </si>
  <si>
    <t>9775t</t>
  </si>
  <si>
    <t>10309t</t>
  </si>
  <si>
    <t>167t</t>
  </si>
  <si>
    <t>114t</t>
  </si>
  <si>
    <t>31500t</t>
  </si>
  <si>
    <t>265000t</t>
  </si>
  <si>
    <t>74177t</t>
  </si>
  <si>
    <t>112722t</t>
  </si>
  <si>
    <t>1239t</t>
  </si>
  <si>
    <t xml:space="preserve">  - South Africa TAC for deep sea trawl hake to JV partners</t>
  </si>
  <si>
    <t>2608t</t>
  </si>
  <si>
    <t>2347t</t>
  </si>
  <si>
    <t>8802t</t>
  </si>
  <si>
    <t>125t</t>
  </si>
  <si>
    <t>345t</t>
  </si>
  <si>
    <t xml:space="preserve">273t </t>
  </si>
  <si>
    <t>197000t</t>
  </si>
  <si>
    <t>52556t</t>
  </si>
  <si>
    <t>38895t</t>
  </si>
  <si>
    <t>23087t</t>
  </si>
  <si>
    <t>22961t</t>
  </si>
  <si>
    <t>Firm</t>
  </si>
  <si>
    <t>2+2</t>
  </si>
  <si>
    <t>109023t</t>
  </si>
  <si>
    <t>1199t</t>
  </si>
  <si>
    <t>2270t</t>
  </si>
  <si>
    <t>8510t</t>
  </si>
  <si>
    <t>117t</t>
  </si>
  <si>
    <t>273t</t>
  </si>
  <si>
    <t>Soft</t>
  </si>
  <si>
    <t>195497t</t>
  </si>
  <si>
    <t>53480t</t>
  </si>
  <si>
    <t>63243t</t>
  </si>
  <si>
    <t>24877t</t>
  </si>
  <si>
    <t>99078t</t>
  </si>
  <si>
    <t>1089t</t>
  </si>
  <si>
    <t>2093t</t>
  </si>
  <si>
    <t>7727t</t>
  </si>
  <si>
    <t>106t</t>
  </si>
  <si>
    <t>180t</t>
  </si>
  <si>
    <t>Neutral to Negative</t>
  </si>
  <si>
    <t>247803t</t>
  </si>
  <si>
    <t>62694t</t>
  </si>
  <si>
    <t>No reference</t>
  </si>
  <si>
    <t>100124t</t>
  </si>
  <si>
    <t>7815t</t>
  </si>
  <si>
    <t>Bad</t>
  </si>
  <si>
    <t>86800t</t>
  </si>
  <si>
    <t>1. Cost Management</t>
  </si>
  <si>
    <t>2. Overall Catches</t>
  </si>
  <si>
    <t>3. Demand Conditions</t>
  </si>
  <si>
    <t>4. Price Conditions</t>
  </si>
  <si>
    <t>Key Indicators</t>
  </si>
  <si>
    <t>South Africa</t>
  </si>
  <si>
    <t>Namibia</t>
  </si>
  <si>
    <t xml:space="preserve">  - Resource Conditions</t>
  </si>
  <si>
    <t>"Very  good Year"</t>
  </si>
  <si>
    <t>Impressive</t>
  </si>
  <si>
    <t>2+1</t>
  </si>
  <si>
    <t>3215t</t>
  </si>
  <si>
    <t>3741t</t>
  </si>
  <si>
    <t>319t</t>
  </si>
  <si>
    <t>290t</t>
  </si>
  <si>
    <t>26428t</t>
  </si>
  <si>
    <t xml:space="preserve">  - Own or Co-Owned Quota</t>
  </si>
  <si>
    <t xml:space="preserve">  - Contracted Quota</t>
  </si>
  <si>
    <t xml:space="preserve">  - Sales Volume (frozen fish)</t>
  </si>
  <si>
    <t xml:space="preserve">  - Fishing Vessels</t>
  </si>
  <si>
    <t xml:space="preserve">  - TAC</t>
  </si>
  <si>
    <t xml:space="preserve">  - TAC attributable to Oceana</t>
  </si>
  <si>
    <t xml:space="preserve">  - Total Landings/Catches</t>
  </si>
  <si>
    <t xml:space="preserve">  - Fishing Vessels </t>
  </si>
  <si>
    <t xml:space="preserve">  - South Africa TAC for long line  hake to JV partners</t>
  </si>
  <si>
    <t>Key Performance Drivers for Horse Mackerel (in tons)</t>
  </si>
  <si>
    <t>"Good Growth"</t>
  </si>
  <si>
    <t>Neutral</t>
  </si>
  <si>
    <t>Variable</t>
  </si>
  <si>
    <t>"Excellent Year"</t>
  </si>
  <si>
    <t>Better</t>
  </si>
  <si>
    <t>5. Other Factors</t>
  </si>
  <si>
    <t>Rand/Eur</t>
  </si>
  <si>
    <t xml:space="preserve">  - Quota External to Oceana</t>
  </si>
  <si>
    <t xml:space="preserve">  - Other Comments</t>
  </si>
  <si>
    <t>Check</t>
  </si>
  <si>
    <t>"Very Good Year"</t>
  </si>
  <si>
    <t>Reasonably well</t>
  </si>
  <si>
    <t xml:space="preserve">  - TAC/PMCL</t>
  </si>
  <si>
    <t>Decreasing</t>
  </si>
  <si>
    <t>South Africa (BCP subsidiary)</t>
  </si>
  <si>
    <t>Namibia (Erongo Subsidiary)</t>
  </si>
  <si>
    <t>Key Performance Drivers for Hake (in tons) - conducted through BCP</t>
  </si>
  <si>
    <t>Not so good</t>
  </si>
  <si>
    <t>Actual Description</t>
  </si>
  <si>
    <t>Costs (excluding D&amp;A)</t>
  </si>
  <si>
    <t>YoY Growth</t>
  </si>
  <si>
    <t>Key Performance Drivers for Canned Fish</t>
  </si>
  <si>
    <t>Index</t>
  </si>
  <si>
    <t>Currency</t>
  </si>
  <si>
    <t>ZAR</t>
  </si>
  <si>
    <t>Market Cap</t>
  </si>
  <si>
    <t>AVI</t>
  </si>
  <si>
    <t>China</t>
  </si>
  <si>
    <t>Havfisk ASA</t>
  </si>
  <si>
    <t>Norway</t>
  </si>
  <si>
    <t>Japan</t>
  </si>
  <si>
    <t>read</t>
  </si>
  <si>
    <t>&gt;&gt;Balance of Risks</t>
  </si>
  <si>
    <t>&gt;&gt;Balance of Challenges</t>
  </si>
  <si>
    <t xml:space="preserve">  - Sales volumes (millions of cartons of canned product)</t>
  </si>
  <si>
    <t>Expansion</t>
  </si>
  <si>
    <t>Exceeded</t>
  </si>
  <si>
    <t xml:space="preserve">  - Pilchard SA's TAC (in tons)</t>
  </si>
  <si>
    <t xml:space="preserve">  - Pilchard SA's TAC to Oceana (in tons)</t>
  </si>
  <si>
    <t xml:space="preserve">  - % of Pilchard SA's TAC to Oceana </t>
  </si>
  <si>
    <t xml:space="preserve">  - Pilchard Namibian's TAC (in tons)</t>
  </si>
  <si>
    <t xml:space="preserve">  - Pilchard Namibian's TAC to Etosha (in tons)</t>
  </si>
  <si>
    <t xml:space="preserve">  - % of Pilchard Namibian's TAC to Etosha </t>
  </si>
  <si>
    <t xml:space="preserve">  - Additionaly Contracted (in tons)</t>
  </si>
  <si>
    <t xml:space="preserve">  - External to Etosha (in tons)</t>
  </si>
  <si>
    <t>Key Performance Drivers for Fishmeal and Fishoil</t>
  </si>
  <si>
    <t xml:space="preserve">2.Market Share </t>
  </si>
  <si>
    <t>3.Penetration Degree</t>
  </si>
  <si>
    <t>4.Internationalization Process</t>
  </si>
  <si>
    <t>5.Global Sourcing</t>
  </si>
  <si>
    <t>1.Price Conditions</t>
  </si>
  <si>
    <t>Favourable</t>
  </si>
  <si>
    <t>6.International Market and Prices</t>
  </si>
  <si>
    <t>Volatile</t>
  </si>
  <si>
    <t xml:space="preserve">  - Fishmeal Plants</t>
  </si>
  <si>
    <t xml:space="preserve">  - TAC (in tons) for anchovy</t>
  </si>
  <si>
    <t xml:space="preserve">  - % of Anchovy TAC to Oceana</t>
  </si>
  <si>
    <t xml:space="preserve">  - Anchovy TAC to Oceana (in tons)</t>
  </si>
  <si>
    <t xml:space="preserve">  - Sales volumes (in tons)</t>
  </si>
  <si>
    <t xml:space="preserve">  - Anchovy landings (in tons)</t>
  </si>
  <si>
    <t>Key Performance Drivers for Lobster</t>
  </si>
  <si>
    <t>Read</t>
  </si>
  <si>
    <t xml:space="preserve">  - % of West Coast Rock Lobster TAC to Oceana</t>
  </si>
  <si>
    <t xml:space="preserve">  - West Coast Rock Lobster TAC to Oceana (in tons)</t>
  </si>
  <si>
    <t xml:space="preserve">  - West Coast Rock Lobster TAC (in tons)</t>
  </si>
  <si>
    <t xml:space="preserve">  - Additional quota contracted (in tons)</t>
  </si>
  <si>
    <t xml:space="preserve">  - Total quota</t>
  </si>
  <si>
    <t>1. Price Conditions</t>
  </si>
  <si>
    <t>2. Demand Conditions</t>
  </si>
  <si>
    <t>3. Other Factors</t>
  </si>
  <si>
    <t>4. Catch Rates</t>
  </si>
  <si>
    <t>Weaker Rand</t>
  </si>
  <si>
    <t>Key Performance Drivers for Squid</t>
  </si>
  <si>
    <t xml:space="preserve">  - Growth on  Squid Landings </t>
  </si>
  <si>
    <t xml:space="preserve">  - Profit</t>
  </si>
  <si>
    <t>Key Performance Drivers for French Fries</t>
  </si>
  <si>
    <t xml:space="preserve">  - Growth in sales volumes</t>
  </si>
  <si>
    <t xml:space="preserve">  - Margin levels</t>
  </si>
  <si>
    <t>Acceptable</t>
  </si>
  <si>
    <t xml:space="preserve">  - Other comments</t>
  </si>
  <si>
    <t>Key Indicators for Fishmeal and Fish Oil</t>
  </si>
  <si>
    <t>DAYBROOK (since July 1st, 2015)</t>
  </si>
  <si>
    <t xml:space="preserve">  - Sales Volumes for Fishmeal (in tons)</t>
  </si>
  <si>
    <t xml:space="preserve">  - Sales Volumes for Fish Oil (in tons)</t>
  </si>
  <si>
    <t xml:space="preserve">  - Total Landings for the financial period (in tons)</t>
  </si>
  <si>
    <t xml:space="preserve">  - Total Landings for the 3-month period (in tons)</t>
  </si>
  <si>
    <t xml:space="preserve">  - Other Factors</t>
  </si>
  <si>
    <t>Not viable</t>
  </si>
  <si>
    <t>Buoyant</t>
  </si>
  <si>
    <t>Adverse Weather</t>
  </si>
  <si>
    <t>Growth</t>
  </si>
  <si>
    <t>Return to good</t>
  </si>
  <si>
    <t>Not competitive</t>
  </si>
  <si>
    <t xml:space="preserve">  - Additional quota (in tons)</t>
  </si>
  <si>
    <t>Sign. Buoyant</t>
  </si>
  <si>
    <t>Steady</t>
  </si>
  <si>
    <t xml:space="preserve">  - Total landings</t>
  </si>
  <si>
    <t xml:space="preserve">  - Availability</t>
  </si>
  <si>
    <t xml:space="preserve">  - Catch Rates</t>
  </si>
  <si>
    <t>Poor</t>
  </si>
  <si>
    <t>No Growth</t>
  </si>
  <si>
    <t>Negative</t>
  </si>
  <si>
    <t>Increasing</t>
  </si>
  <si>
    <t>7.Other</t>
  </si>
  <si>
    <t>Increase</t>
  </si>
  <si>
    <t>7..Demand Conditions</t>
  </si>
  <si>
    <t>6.Resource Conditions</t>
  </si>
  <si>
    <t>8.Other Comments</t>
  </si>
  <si>
    <t xml:space="preserve">  - Fish Landings (short tons, 35% of industry catch)</t>
  </si>
  <si>
    <t xml:space="preserve">  - ACTUAL Fishmeal Price (USD/ton)</t>
  </si>
  <si>
    <t xml:space="preserve">  - Conversion Ratio</t>
  </si>
  <si>
    <t>Employee Costs</t>
  </si>
  <si>
    <t>% of Cosf of Sales</t>
  </si>
  <si>
    <t>Gross Profit Margin</t>
  </si>
  <si>
    <t>Oper Profit before abnormal items Margin</t>
  </si>
  <si>
    <t>Oper Profit Margin</t>
  </si>
  <si>
    <t>Effective Tax Rate</t>
  </si>
  <si>
    <t>Minority Ratio</t>
  </si>
  <si>
    <t>Drivers/Assumptions:</t>
  </si>
  <si>
    <t>1.EBITDA</t>
  </si>
  <si>
    <t xml:space="preserve">  - EBITDA Margin</t>
  </si>
  <si>
    <t xml:space="preserve">  - EBITDA Growth</t>
  </si>
  <si>
    <t>2.Depreciation&amp;Amortisation</t>
  </si>
  <si>
    <t xml:space="preserve">  - Depreciation/Sales</t>
  </si>
  <si>
    <t>3.CAPEX</t>
  </si>
  <si>
    <t xml:space="preserve">  - Capex/Sales</t>
  </si>
  <si>
    <t xml:space="preserve">  - Inventories Change</t>
  </si>
  <si>
    <t xml:space="preserve">  - as % of Revenue</t>
  </si>
  <si>
    <t xml:space="preserve">  -as % of Revenue</t>
  </si>
  <si>
    <t xml:space="preserve">  - Account Receivable Change</t>
  </si>
  <si>
    <t xml:space="preserve">  - Accounts Payable changes</t>
  </si>
  <si>
    <t>Property, Plant and Equipment (USD'000)</t>
  </si>
  <si>
    <t>Opening Book Value</t>
  </si>
  <si>
    <t>Additions considered due to CAPEX</t>
  </si>
  <si>
    <t>Depreciations and Amortisations</t>
  </si>
  <si>
    <t>Other Adjustments</t>
  </si>
  <si>
    <t>Closing Book Value</t>
  </si>
  <si>
    <t>Debt Analysis (USD'000)</t>
  </si>
  <si>
    <t>Total Loans</t>
  </si>
  <si>
    <t>Long Term Loans</t>
  </si>
  <si>
    <t>Opening Balance</t>
  </si>
  <si>
    <t>Interest Paid</t>
  </si>
  <si>
    <t xml:space="preserve">  - Repayment</t>
  </si>
  <si>
    <t xml:space="preserve">  - New LT Loans Raised</t>
  </si>
  <si>
    <t xml:space="preserve">  - as % of LT Loans</t>
  </si>
  <si>
    <t>Closing Balance</t>
  </si>
  <si>
    <t>Short Term Loans</t>
  </si>
  <si>
    <t>Cash Balance</t>
  </si>
  <si>
    <t>Interest Rate</t>
  </si>
  <si>
    <t>Interest Income</t>
  </si>
  <si>
    <t xml:space="preserve">  - Interest Rate</t>
  </si>
  <si>
    <t>Adjustments to the Income Statement</t>
  </si>
  <si>
    <t>2015E</t>
  </si>
  <si>
    <t>LT borrowing raised</t>
  </si>
  <si>
    <t>Repayment of LT borrowings</t>
  </si>
  <si>
    <t>Taxation Payable</t>
  </si>
  <si>
    <t>Tax to the Income Statement</t>
  </si>
  <si>
    <t>Taxation Paid</t>
  </si>
  <si>
    <t>Change in Taxation Payable</t>
  </si>
  <si>
    <t>Free Cash Flow Statement (USD'000) - 31/12/XX</t>
  </si>
  <si>
    <t>New Oceana</t>
  </si>
  <si>
    <t>Old Oceana</t>
  </si>
  <si>
    <t>YoY Change</t>
  </si>
  <si>
    <t>Exchange Rate considered for Adjustment</t>
  </si>
  <si>
    <t>EBITDA Margin</t>
  </si>
  <si>
    <t>Depreciation &amp; Amortisation</t>
  </si>
  <si>
    <t>EBIT Margin</t>
  </si>
  <si>
    <t>Finance Costs</t>
  </si>
  <si>
    <t>Finance Income</t>
  </si>
  <si>
    <t>Profit Before Taxation</t>
  </si>
  <si>
    <t>Profit After Taxation</t>
  </si>
  <si>
    <t>Capex/Sales</t>
  </si>
  <si>
    <t>Cash and Cash Equivalents</t>
  </si>
  <si>
    <t>Property, Plant and Equipment (R'000) - 31/09/XXXX</t>
  </si>
  <si>
    <t>Working Capital (R'000) - 31/09/XXXX</t>
  </si>
  <si>
    <t>Taxation (R'000) - 31/09/XXXX</t>
  </si>
  <si>
    <t>Debt Analysis (R'000) - 31/09/XXXX</t>
  </si>
  <si>
    <t>Working Capital/Sales</t>
  </si>
  <si>
    <t>Total Working Capital Changes / Net cash inflow from WC</t>
  </si>
  <si>
    <t>Other Adjustments to Taxation</t>
  </si>
  <si>
    <t xml:space="preserve">  - Interest Expense</t>
  </si>
  <si>
    <t>Balance at the beginning of the year</t>
  </si>
  <si>
    <t>Movement on Foreign Currency Translation Reserve</t>
  </si>
  <si>
    <t>Movement on Cash Flow Hedging Reserve</t>
  </si>
  <si>
    <t>Movement on Fuel Hedging Reserve</t>
  </si>
  <si>
    <t>Shares Issued</t>
  </si>
  <si>
    <t>Share Option Exercised</t>
  </si>
  <si>
    <t>Movement in Treasury Shares held by shares trusts</t>
  </si>
  <si>
    <t>Recognition of share-based payments</t>
  </si>
  <si>
    <t>Profit/(loss) on sale of treasury shares</t>
  </si>
  <si>
    <t>Additional non controlling interest arising on acquisition</t>
  </si>
  <si>
    <t>Oceana Empowerment Trust distribution</t>
  </si>
  <si>
    <t>Dividends Paid</t>
  </si>
  <si>
    <t>Balance at the End of the Year</t>
  </si>
  <si>
    <t xml:space="preserve"> - % of interim paid</t>
  </si>
  <si>
    <t>Operating Profit Before Abnormal Items</t>
  </si>
  <si>
    <t>Tax Rate</t>
  </si>
  <si>
    <t>Changes in Working Capital</t>
  </si>
  <si>
    <t>Free Cash Flow to the Firm</t>
  </si>
  <si>
    <t>DAYBROOK</t>
  </si>
  <si>
    <t>Risk Free Rate</t>
  </si>
  <si>
    <t>Cost of Equity</t>
  </si>
  <si>
    <t>Cost of Debt</t>
  </si>
  <si>
    <t>WACC</t>
  </si>
  <si>
    <t>Discount Factor</t>
  </si>
  <si>
    <t>Terminal Value</t>
  </si>
  <si>
    <t>Change in EBIT Margin</t>
  </si>
  <si>
    <t>1.1. Canned Fish (R'000)</t>
  </si>
  <si>
    <t>1.2. Glenryck (R'000)</t>
  </si>
  <si>
    <t xml:space="preserve"> - Change in Volume</t>
  </si>
  <si>
    <t xml:space="preserve"> - Change in Price</t>
  </si>
  <si>
    <t xml:space="preserve"> - Change in Other Factors</t>
  </si>
  <si>
    <t>RAND/USDOLLAR</t>
  </si>
  <si>
    <t>RAND/EURO</t>
  </si>
  <si>
    <t>RAND/LIBRA</t>
  </si>
  <si>
    <t>1.3. FIshMeal (R'000)</t>
  </si>
  <si>
    <t xml:space="preserve"> - Change in Currency (USDollars)</t>
  </si>
  <si>
    <t>TAC (in tons)</t>
  </si>
  <si>
    <t>Anchovy</t>
  </si>
  <si>
    <t>Quota Attributable to Oceana</t>
  </si>
  <si>
    <t>Attributable to Oceana (in tons)</t>
  </si>
  <si>
    <t>Inputs to Fish Plants (in tons)</t>
  </si>
  <si>
    <t>Inputs into plants</t>
  </si>
  <si>
    <t>Fish Landed (Namibia)</t>
  </si>
  <si>
    <t>Fish Processed (Namibia)</t>
  </si>
  <si>
    <t>Fishmeal Produced (Namibia)</t>
  </si>
  <si>
    <t>Fishmeal exported (in tons)</t>
  </si>
  <si>
    <t>SA Fishmeal Production</t>
  </si>
  <si>
    <t>% of Total Fishmeal Production</t>
  </si>
  <si>
    <t xml:space="preserve"> - Change in Currency (EUR)</t>
  </si>
  <si>
    <t>Lobster (West&amp;South Coast)</t>
  </si>
  <si>
    <t>% Attributable to Oceana</t>
  </si>
  <si>
    <t>TAC Losbter (in tons)</t>
  </si>
  <si>
    <t>TAC Squid (in tons)</t>
  </si>
  <si>
    <t>Squid</t>
  </si>
  <si>
    <t>Yoy Growth</t>
  </si>
  <si>
    <t>2.1. Lobster, Squid (R'000)</t>
  </si>
  <si>
    <t>2.2. French Fries (R'000)</t>
  </si>
  <si>
    <t xml:space="preserve"> - Change in Currency</t>
  </si>
  <si>
    <t>Costs</t>
  </si>
  <si>
    <t xml:space="preserve"> - Headline Normalised Basic EPS (Using Normalised earnings) - HEPS</t>
  </si>
  <si>
    <t xml:space="preserve"> - Headline Normalised Diluted EPS (Using Normalised earnings) - Fully Dilluted HEPS</t>
  </si>
  <si>
    <t>Shares in Issue (in millions)</t>
  </si>
  <si>
    <t xml:space="preserve"> - Weighted Average Shares in issue for BEPS (million # of shares)</t>
  </si>
  <si>
    <t xml:space="preserve"> - Weighted Average Shares in issue for DEPS (million # of shares)</t>
  </si>
  <si>
    <t xml:space="preserve"> - YoY growth</t>
  </si>
  <si>
    <t>Option 1. Average of Different IB</t>
  </si>
  <si>
    <t>Q1 2017</t>
  </si>
  <si>
    <t>Q4 2016</t>
  </si>
  <si>
    <t>Q3 2016</t>
  </si>
  <si>
    <t>Q2 2016</t>
  </si>
  <si>
    <t>Morgan Stanley</t>
  </si>
  <si>
    <t>BNP Paribas</t>
  </si>
  <si>
    <t>Credit Suisse Group</t>
  </si>
  <si>
    <t>Macquarie Bank</t>
  </si>
  <si>
    <t>Rabobank</t>
  </si>
  <si>
    <t>ScotiaBank</t>
  </si>
  <si>
    <t>Standard Chartered</t>
  </si>
  <si>
    <t>Rand Merchant Bank</t>
  </si>
  <si>
    <t>Standard Bank Group</t>
  </si>
  <si>
    <t>Investec</t>
  </si>
  <si>
    <t>Median</t>
  </si>
  <si>
    <t>High</t>
  </si>
  <si>
    <t>Low</t>
  </si>
  <si>
    <t>Average</t>
  </si>
  <si>
    <t>Bank Julius Baer</t>
  </si>
  <si>
    <t>Barclays</t>
  </si>
  <si>
    <t>Credit Agricole CIB</t>
  </si>
  <si>
    <t>Danske Bank</t>
  </si>
  <si>
    <t>Wells Fargo</t>
  </si>
  <si>
    <t>JP Morgan Chase</t>
  </si>
  <si>
    <t>Landesbank Baden-Wuerttemberg</t>
  </si>
  <si>
    <t>Commerzbank</t>
  </si>
  <si>
    <t>HSBC Holdings</t>
  </si>
  <si>
    <t>The Private Bank</t>
  </si>
  <si>
    <t>X-Trade Brokers Dom Maklerski</t>
  </si>
  <si>
    <t>Bayerische Landesbank</t>
  </si>
  <si>
    <t>ING Financial Markets</t>
  </si>
  <si>
    <t>Bank of Tokyo - Mitsubishi UFJ</t>
  </si>
  <si>
    <t>Mizuho Bank</t>
  </si>
  <si>
    <t>Cinkciarz.pl</t>
  </si>
  <si>
    <t>DZ Bank</t>
  </si>
  <si>
    <t>Nomura Bank International</t>
  </si>
  <si>
    <t>ABN Amaro Bank N.V.</t>
  </si>
  <si>
    <t>Nordea Bank</t>
  </si>
  <si>
    <t>Citigroup</t>
  </si>
  <si>
    <t>MPS Capital Services</t>
  </si>
  <si>
    <t>Lloyds Bank Commercial Banking</t>
  </si>
  <si>
    <t>RBC Capital Markets</t>
  </si>
  <si>
    <t>Ebury</t>
  </si>
  <si>
    <t>Jyske Bank</t>
  </si>
  <si>
    <t>UBS</t>
  </si>
  <si>
    <t>Westpac Banking</t>
  </si>
  <si>
    <t>Swissquote Bank</t>
  </si>
  <si>
    <t>Royal Bank of Scotland</t>
  </si>
  <si>
    <t>Kshitij Consultancy Services</t>
  </si>
  <si>
    <t>Swedbank</t>
  </si>
  <si>
    <t>BMO Capital Markets</t>
  </si>
  <si>
    <t>Societe Generale</t>
  </si>
  <si>
    <t>Natixis</t>
  </si>
  <si>
    <t>Silicon Valley Bank</t>
  </si>
  <si>
    <t>Commonwealth Bank of Australia</t>
  </si>
  <si>
    <t>Prestige Economics LLC</t>
  </si>
  <si>
    <t>Hamilton Court FX LLP</t>
  </si>
  <si>
    <t>Using Top 7</t>
  </si>
  <si>
    <t>Shares in issue (in millions)</t>
  </si>
  <si>
    <t>Fully Dilluted HEPS (in cents)</t>
  </si>
  <si>
    <t>Dividends per Share (in cents)</t>
  </si>
  <si>
    <t>Dividend Cover</t>
  </si>
  <si>
    <t>Change in Inventories</t>
  </si>
  <si>
    <t>Receivables</t>
  </si>
  <si>
    <t>Change in Receivables</t>
  </si>
  <si>
    <t>Payables &amp; Provisions</t>
  </si>
  <si>
    <t>Change in Payables &amp; Provisions</t>
  </si>
  <si>
    <t>Changes in Net WC</t>
  </si>
  <si>
    <t>Long term loan raised /(paid)</t>
  </si>
  <si>
    <t>COGS</t>
  </si>
  <si>
    <t>Account Receivable (revenues as driver)</t>
  </si>
  <si>
    <t>Inventories (cogs as driver)</t>
  </si>
  <si>
    <t>Accounts Payable (cogs as driver)</t>
  </si>
  <si>
    <t xml:space="preserve">  - as % of COGS</t>
  </si>
  <si>
    <t xml:space="preserve">  -as % of COGS</t>
  </si>
  <si>
    <t>Net Debt / Equity</t>
  </si>
  <si>
    <t>Contribution to Revenue New Oceana</t>
  </si>
  <si>
    <t>Contribution to Revenue Old Oceana</t>
  </si>
  <si>
    <t>Contribution to EBIT New Oceana</t>
  </si>
  <si>
    <t>Contribution to EBIT Old Oceana</t>
  </si>
  <si>
    <t>Other Currencies</t>
  </si>
  <si>
    <t>Cost</t>
  </si>
  <si>
    <t>Currency Exposure - % of Currencies other than ZAR</t>
  </si>
  <si>
    <t>Excluding Daybrook</t>
  </si>
  <si>
    <t>Including Daybrook</t>
  </si>
  <si>
    <t>Negative Impact</t>
  </si>
  <si>
    <t>Positive Impact</t>
  </si>
  <si>
    <t>EBIT (% of 2016 EBIT affected)</t>
  </si>
  <si>
    <t>Net Debt / (Net Cash)</t>
  </si>
  <si>
    <t>Total Debt / Total Assets</t>
  </si>
  <si>
    <t>Net Debt / EBITDA</t>
  </si>
  <si>
    <t>Option 2. Top 7</t>
  </si>
  <si>
    <t>Oceana's Own Quota</t>
  </si>
  <si>
    <t>as % of Total</t>
  </si>
  <si>
    <t>Oceana's Contracted Quota</t>
  </si>
  <si>
    <t>Other than Oceana Quota</t>
  </si>
  <si>
    <t>Total Attributable to Oceana</t>
  </si>
  <si>
    <t>Lobster TAC (in tons)</t>
  </si>
  <si>
    <t>Namibian Pilchard TAC (in tons)</t>
  </si>
  <si>
    <t>South African Pilchard TAC (in tons)</t>
  </si>
  <si>
    <t>South African Anchovy TAC (in tons)</t>
  </si>
  <si>
    <t>Squid TAE (in permits)</t>
  </si>
  <si>
    <t>Oceana's Own Permits</t>
  </si>
  <si>
    <t>Oceana's Contracted Permits</t>
  </si>
  <si>
    <t>Other than Oceana Permits</t>
  </si>
  <si>
    <t>Canned Fish (in thousands of cartons)</t>
  </si>
  <si>
    <t>FishMeal and FIshOil (in tons)</t>
  </si>
  <si>
    <t>Lobster (in tons)</t>
  </si>
  <si>
    <t>French Fries</t>
  </si>
  <si>
    <t>Horse Mackerel (in tons)</t>
  </si>
  <si>
    <t>Hake (in tons)</t>
  </si>
  <si>
    <t>Cold Storage (pallets)</t>
  </si>
  <si>
    <t>Average Capacity per Store</t>
  </si>
  <si>
    <t>Cold Storage Warehouse</t>
  </si>
  <si>
    <t>Revenue per Pallet</t>
  </si>
  <si>
    <t xml:space="preserve"> - Price Growth</t>
  </si>
  <si>
    <t xml:space="preserve"> - Volume Growth</t>
  </si>
  <si>
    <t>Date</t>
  </si>
  <si>
    <t>Exchange Rate USD/ZAR</t>
  </si>
  <si>
    <t>USD ZAR Average</t>
  </si>
  <si>
    <t>Change in Currency</t>
  </si>
  <si>
    <t>Mid-Deep Water Fishing  (R'000)</t>
  </si>
  <si>
    <t>Deferred Taxation (MLT Debtors)</t>
  </si>
  <si>
    <t>MLT Interest Bearing Debt</t>
  </si>
  <si>
    <t xml:space="preserve"> - ZAR Loans at a 100% floating JIBAR + 170 bps</t>
  </si>
  <si>
    <t xml:space="preserve"> - Exchange Rate USD/ZAR</t>
  </si>
  <si>
    <t xml:space="preserve"> - JIBAR</t>
  </si>
  <si>
    <t xml:space="preserve"> - LIBOR</t>
  </si>
  <si>
    <t xml:space="preserve"> Changes in Equity - Rand ('000) - 31/09/XXXX</t>
  </si>
  <si>
    <t>Revenue (R'000) - 31/09/XXXX</t>
  </si>
  <si>
    <t>CAPEX (R'000) - 31/09/XXXX</t>
  </si>
  <si>
    <t>Operating Income, EBIT</t>
  </si>
  <si>
    <t xml:space="preserve">  Tax Rate</t>
  </si>
  <si>
    <t xml:space="preserve">   - Tax Rate*EBIT</t>
  </si>
  <si>
    <t xml:space="preserve">   +Depreciation</t>
  </si>
  <si>
    <t xml:space="preserve">  - CAPEX</t>
  </si>
  <si>
    <t xml:space="preserve">  - Changes in Working Capital</t>
  </si>
  <si>
    <t>FCF Margin</t>
  </si>
  <si>
    <t>Number of shares (in million)</t>
  </si>
  <si>
    <t>Outstanding 2016 Financial Debt</t>
  </si>
  <si>
    <t xml:space="preserve"> - ZAR denominated Debt</t>
  </si>
  <si>
    <t>Target Debt-to-Equity Ratio</t>
  </si>
  <si>
    <t>D/(D+E)</t>
  </si>
  <si>
    <t>E/(D+E)</t>
  </si>
  <si>
    <t>Discounted FCF</t>
  </si>
  <si>
    <t>Growth Rate for Terminal Value</t>
  </si>
  <si>
    <t>Valuation Summary</t>
  </si>
  <si>
    <t>Enterprise Value</t>
  </si>
  <si>
    <t>Equity Value</t>
  </si>
  <si>
    <t>Shares Outstanding</t>
  </si>
  <si>
    <t>DCF Valuation Oceana (R'000) - 31/09/XXXX</t>
  </si>
  <si>
    <t>Daybrook (USD'000) - 31/09/XXXX</t>
  </si>
  <si>
    <t>Enterprise Value (USD'000)</t>
  </si>
  <si>
    <t>Enterprise Value (Rand'000)</t>
  </si>
  <si>
    <t>Sum of the Parts Valuation (Rand '000)</t>
  </si>
  <si>
    <t>Beta</t>
  </si>
  <si>
    <t>Terminal Growth</t>
  </si>
  <si>
    <t>EV</t>
  </si>
  <si>
    <t>% of whole EV</t>
  </si>
  <si>
    <t>Mid and Deep Water Fishing</t>
  </si>
  <si>
    <t>Total Enterprise Value</t>
  </si>
  <si>
    <t>D</t>
  </si>
  <si>
    <t>Market Multiples</t>
  </si>
  <si>
    <t>Cash Earnings</t>
  </si>
  <si>
    <t>Operating Performance, Mid and Deep Water Fishing (R'000)</t>
  </si>
  <si>
    <t>Operating Performance, Inshore Fishing (R'000)</t>
  </si>
  <si>
    <t>Operating Performance, Cold Storage (R'000)</t>
  </si>
  <si>
    <t>Operating Performance, Daybrook(R'000)</t>
  </si>
  <si>
    <t>As % of Group's Revenue</t>
  </si>
  <si>
    <t>As % of Group's EBIT</t>
  </si>
  <si>
    <t>Income Statement, Oceana (R'000)</t>
  </si>
  <si>
    <t>PBT Margin</t>
  </si>
  <si>
    <t>Taxes Paid</t>
  </si>
  <si>
    <t>Financial Income</t>
  </si>
  <si>
    <t>Financial Expenses</t>
  </si>
  <si>
    <t>Minority Interest</t>
  </si>
  <si>
    <t>Net Income</t>
  </si>
  <si>
    <t>Net Profit Margin</t>
  </si>
  <si>
    <t>Net Debt to EBITDA</t>
  </si>
  <si>
    <t>Asset Turnover</t>
  </si>
  <si>
    <t>Free Cash Flow</t>
  </si>
  <si>
    <t xml:space="preserve">Avg   </t>
  </si>
  <si>
    <t>Avg</t>
  </si>
  <si>
    <t>%</t>
  </si>
  <si>
    <t>Avg ytd</t>
  </si>
  <si>
    <t>1h15</t>
  </si>
  <si>
    <t>1h16</t>
  </si>
  <si>
    <t>change</t>
  </si>
  <si>
    <t>FY15</t>
  </si>
  <si>
    <t>FY16</t>
  </si>
  <si>
    <t>Fishmeal - Peru Prime  USD/t</t>
  </si>
  <si>
    <t>Oil - Brent/barrel</t>
  </si>
  <si>
    <t>USDZAR</t>
  </si>
  <si>
    <t>Source: Bloomberg, BPI Capital Africa</t>
  </si>
  <si>
    <t>South Africa - expenditure on food by income level</t>
  </si>
  <si>
    <t>Quintile (1 being poorest, 5 wealthiest)</t>
  </si>
  <si>
    <t>South Africa - expenditure on meat &amp; fish by income level</t>
  </si>
  <si>
    <t>Bread &amp; cereals</t>
  </si>
  <si>
    <t>Meat</t>
  </si>
  <si>
    <t>Fish</t>
  </si>
  <si>
    <t>Milk, cheese &amp; eggs</t>
  </si>
  <si>
    <t>Oils &amp; fats</t>
  </si>
  <si>
    <t>Fruits</t>
  </si>
  <si>
    <t>Vegetables</t>
  </si>
  <si>
    <t>Sugar sweets &amp; deserts</t>
  </si>
  <si>
    <t>Other food</t>
  </si>
  <si>
    <t>Beef</t>
  </si>
  <si>
    <t>Pork</t>
  </si>
  <si>
    <t>Lamb</t>
  </si>
  <si>
    <t>Poultry</t>
  </si>
  <si>
    <t>Meat - dried, smoked, salted</t>
  </si>
  <si>
    <t>Meat - other preserved</t>
  </si>
  <si>
    <t>Fish - fresh, chilled or frozen</t>
  </si>
  <si>
    <t>Fish - other preserved</t>
  </si>
  <si>
    <t>Price Drivers, Daybrook</t>
  </si>
  <si>
    <t>Currency Exposure as % of Currency other than ZAR, Oceana</t>
  </si>
  <si>
    <t>Revenues</t>
  </si>
  <si>
    <t xml:space="preserve"> Currency Exposure per Business Unit - impact on EBIT if ZAR weakens (Projections for 2016)</t>
  </si>
  <si>
    <t>Gearing Ratio</t>
  </si>
  <si>
    <t>Oceana Geographical Revenue Split, excluding Daybrook</t>
  </si>
  <si>
    <t>Oceana Geographical Revenue Split, including Daybrook</t>
  </si>
  <si>
    <t>US and Canada</t>
  </si>
  <si>
    <t>Oceana Revenue per Business Division, excluding Daybrook</t>
  </si>
  <si>
    <t>Oceana Revenue per Business Division, including Daybrook</t>
  </si>
  <si>
    <t>Revenue Information</t>
  </si>
  <si>
    <t>Oceana EBIT per Business Division, excluding Daybrook</t>
  </si>
  <si>
    <t>Oceana EBIT per Business Division, including Daybrook</t>
  </si>
  <si>
    <t>EBIT Information</t>
  </si>
  <si>
    <t>Fishing Licenses Information</t>
  </si>
  <si>
    <t>Asset Information</t>
  </si>
  <si>
    <t>TAC Information</t>
  </si>
  <si>
    <t>Fishing Licenses, Oceana</t>
  </si>
  <si>
    <t>South African Pilchard</t>
  </si>
  <si>
    <t>Namibian Pilchard</t>
  </si>
  <si>
    <t>South African Anchovy</t>
  </si>
  <si>
    <t>South African Horse Mackerel</t>
  </si>
  <si>
    <t>Namibian Horse Mackerel</t>
  </si>
  <si>
    <t>Hake</t>
  </si>
  <si>
    <t>Lobster</t>
  </si>
  <si>
    <t>South African Horse Mackerel (in tons)</t>
  </si>
  <si>
    <t>Namibian Horse Mackerel (in tons)</t>
  </si>
  <si>
    <t>South African Hake (in tons)</t>
  </si>
  <si>
    <t>Volumes Information</t>
  </si>
  <si>
    <t>Landings Information</t>
  </si>
  <si>
    <t>Landings (in tons)</t>
  </si>
  <si>
    <t>Fishmeal Landings (in tons)</t>
  </si>
  <si>
    <t>Squid Landings (in tons)</t>
  </si>
  <si>
    <t>Revenue, EBIT Information</t>
  </si>
  <si>
    <t xml:space="preserve">Performance Data, Oceana </t>
  </si>
  <si>
    <t>CAGR 11-15</t>
  </si>
  <si>
    <t>CAGR 15-19</t>
  </si>
  <si>
    <t>Divisional Revenue Breakdon, CAGR</t>
  </si>
  <si>
    <t>Division Average EBIT Margin</t>
  </si>
  <si>
    <t>Aver. EBIT Margin 11-15</t>
  </si>
  <si>
    <t>Aver. EBIT Margin 15-19</t>
  </si>
  <si>
    <t>Financial Information</t>
  </si>
  <si>
    <t>DPS</t>
  </si>
  <si>
    <t>Dividend Yield</t>
  </si>
  <si>
    <t>Net Financial Income</t>
  </si>
  <si>
    <t>EBITDA Margin Progession, Oceana</t>
  </si>
  <si>
    <t>Sales</t>
  </si>
  <si>
    <t>HEPS (in cents)</t>
  </si>
  <si>
    <t>Dividend Payout Ratio</t>
  </si>
  <si>
    <t>Earnings and Dividends, Oceana (R'000)</t>
  </si>
  <si>
    <t>Against WACC</t>
  </si>
  <si>
    <t>Financial Results, Oceana (R'000)</t>
  </si>
  <si>
    <t>KPIs, Oceana (R'000)</t>
  </si>
  <si>
    <t>FCF Information</t>
  </si>
  <si>
    <t>Free Cash Flow, Oceana (R'000)</t>
  </si>
  <si>
    <t>Operating Income</t>
  </si>
  <si>
    <t>Taxes</t>
  </si>
  <si>
    <t>FCF Per Share</t>
  </si>
  <si>
    <t>Balance Sheet Information</t>
  </si>
  <si>
    <t>Asset Side Breakdown of Balance Sheet, Oceana (R'000)</t>
  </si>
  <si>
    <t>Tangible Assets</t>
  </si>
  <si>
    <t>Financial Assets</t>
  </si>
  <si>
    <t>Deferred Taxation, MLT Debtors</t>
  </si>
  <si>
    <t>Current Taxation</t>
  </si>
  <si>
    <t>Non Current Assets Held For Sale</t>
  </si>
  <si>
    <t>Competitors Analysis, Bidvest and Omega Protein</t>
  </si>
  <si>
    <t>Analysis of Water and Feed Utilisation for Production</t>
  </si>
  <si>
    <t>Edible meat per 100kg fed (kg)</t>
  </si>
  <si>
    <t>Fish (Farmed salmon)</t>
  </si>
  <si>
    <t>Water and Feed Efficiency by Food Group</t>
  </si>
  <si>
    <t xml:space="preserve"> - Animal Nutrition</t>
  </si>
  <si>
    <t xml:space="preserve"> - Human Nutrition</t>
  </si>
  <si>
    <t>YoY Growh</t>
  </si>
  <si>
    <t>Omega Nutrition Data, Daybrook's Competitor - 31/12/XXXX</t>
  </si>
  <si>
    <t>Bidvest, Namibian Hmackerel Competiror - 31/06/XXXX</t>
  </si>
  <si>
    <t>1H 2016</t>
  </si>
  <si>
    <t>Bidfish</t>
  </si>
  <si>
    <t>1H 2015</t>
  </si>
  <si>
    <t>Oceana - horse mackerel &amp; hake EBIT Margin</t>
  </si>
  <si>
    <t>Gross Tangibles Assets, Depreciating</t>
  </si>
  <si>
    <t>Accumulated Depreciation (beginning of year)</t>
  </si>
  <si>
    <t>Depreciation for the Year</t>
  </si>
  <si>
    <t>Accumulated Depreciation (end of year)</t>
  </si>
  <si>
    <t>Contribution to Depreciatons</t>
  </si>
  <si>
    <t>Contribution to Depreciation</t>
  </si>
  <si>
    <t xml:space="preserve">   - Value of '16 Debt</t>
  </si>
  <si>
    <t xml:space="preserve">   - Value of  '16 Minorities</t>
  </si>
  <si>
    <t xml:space="preserve">   - Value of '16 Financial Investments</t>
  </si>
  <si>
    <t xml:space="preserve">   - Value of '16 Cash and Cash Equivalents</t>
  </si>
  <si>
    <t>Country</t>
  </si>
  <si>
    <t>Market Cap USD</t>
  </si>
  <si>
    <t>P/E</t>
  </si>
  <si>
    <t>EV/EBITDA</t>
  </si>
  <si>
    <t>P/BV</t>
  </si>
  <si>
    <t>2016F</t>
  </si>
  <si>
    <t xml:space="preserve">Pure Wild Catch </t>
  </si>
  <si>
    <t>Austevoll</t>
  </si>
  <si>
    <t>Nippon Suisan</t>
  </si>
  <si>
    <t>Fish Farming</t>
  </si>
  <si>
    <t>Marine Harvest</t>
  </si>
  <si>
    <t>Salmar</t>
  </si>
  <si>
    <t>Leroey Seafood</t>
  </si>
  <si>
    <t>SA Food Producers</t>
  </si>
  <si>
    <t>Tiger Brands</t>
  </si>
  <si>
    <t>Pioneer Foods</t>
  </si>
  <si>
    <t>Tongaat</t>
  </si>
  <si>
    <t>Illovo</t>
  </si>
  <si>
    <t>RCL Foods</t>
  </si>
  <si>
    <t>Astral</t>
  </si>
  <si>
    <t>#N/A N/A</t>
  </si>
  <si>
    <t>Sales growth</t>
  </si>
  <si>
    <t>EPS Growth</t>
  </si>
  <si>
    <t>ROIC</t>
  </si>
  <si>
    <t>Net debt  Equity</t>
  </si>
  <si>
    <t>Company</t>
  </si>
  <si>
    <t xml:space="preserve">Market Cap </t>
  </si>
  <si>
    <t>PER</t>
  </si>
  <si>
    <t>EV/EBIT</t>
  </si>
  <si>
    <t>EV/Sales</t>
  </si>
  <si>
    <t>2014F</t>
  </si>
  <si>
    <t>2015F</t>
  </si>
  <si>
    <t>SA</t>
  </si>
  <si>
    <t>Clover Industries</t>
  </si>
  <si>
    <t>Rainbow</t>
  </si>
  <si>
    <t>SA Food Producers Average</t>
  </si>
  <si>
    <t>SSA Food Producers</t>
  </si>
  <si>
    <t xml:space="preserve">Zambeef </t>
  </si>
  <si>
    <t>Zambia</t>
  </si>
  <si>
    <t>Innscor Africa</t>
  </si>
  <si>
    <t>Zimbabwe</t>
  </si>
  <si>
    <t>Cadbury Nigeria</t>
  </si>
  <si>
    <t>Nigeria</t>
  </si>
  <si>
    <t>Nestle Nigeria</t>
  </si>
  <si>
    <t>Unilever Nigeria</t>
  </si>
  <si>
    <t>Fan Milk</t>
  </si>
  <si>
    <t>Ghana</t>
  </si>
  <si>
    <t xml:space="preserve">UACN </t>
  </si>
  <si>
    <t>Flour Mills Nigeria</t>
  </si>
  <si>
    <t>SSA Food Average</t>
  </si>
  <si>
    <t>EM Food Companies</t>
  </si>
  <si>
    <t>JBS</t>
  </si>
  <si>
    <t>Brazil</t>
  </si>
  <si>
    <t>Brasil Foods</t>
  </si>
  <si>
    <t>Minerva</t>
  </si>
  <si>
    <t>M Dias Branco</t>
  </si>
  <si>
    <t>Want Want China</t>
  </si>
  <si>
    <t>Inner Mongolia Yili</t>
  </si>
  <si>
    <t>China Mengniu Dairy</t>
  </si>
  <si>
    <t>China Yurun Food</t>
  </si>
  <si>
    <t>Nutresa</t>
  </si>
  <si>
    <t>Colombia</t>
  </si>
  <si>
    <t>Indo Food Agri</t>
  </si>
  <si>
    <t>Singapore</t>
  </si>
  <si>
    <t>Grupo Bimbo</t>
  </si>
  <si>
    <t>Mexico</t>
  </si>
  <si>
    <t>EM Food Average</t>
  </si>
  <si>
    <t>Universe Average</t>
  </si>
  <si>
    <t>Source: Bloomberg</t>
  </si>
  <si>
    <t>Sales Growth</t>
  </si>
  <si>
    <t>Net D/E</t>
  </si>
  <si>
    <t>EM Food Producers</t>
  </si>
  <si>
    <t>Marfrig Global Foods SA</t>
  </si>
  <si>
    <t>South African Food Producers</t>
  </si>
  <si>
    <t>Ownership Structure, as at 30 Sept. 2015</t>
  </si>
  <si>
    <t>Oceana Shareholder</t>
  </si>
  <si>
    <t>Brimstone</t>
  </si>
  <si>
    <t>Number of Shares Held</t>
  </si>
  <si>
    <t>% of Total Issued Shares</t>
  </si>
  <si>
    <t>In</t>
  </si>
  <si>
    <t>Required Increase in Food Calories to Feed 9.6 bn people</t>
  </si>
  <si>
    <t>1960s</t>
  </si>
  <si>
    <t>World Per Capita Fish Consumption (kg)</t>
  </si>
  <si>
    <t>CAGR 12-15</t>
  </si>
  <si>
    <t>CAGR 16-20</t>
  </si>
  <si>
    <t>Prices of Different Protein Sources, as at February'16</t>
  </si>
  <si>
    <t>Price (Rand per Kg)</t>
  </si>
  <si>
    <t>Chicken Portions (Fresh)</t>
  </si>
  <si>
    <t>Chicjen Portions (Frozen)</t>
  </si>
  <si>
    <t>Polony</t>
  </si>
  <si>
    <t>Fish Fingers (Frozen)</t>
  </si>
  <si>
    <t>Pilchards (Tinned)</t>
  </si>
  <si>
    <t>A obter dados. Aguarde alguns segundos e experimente cortar ou copiar novamente.</t>
  </si>
  <si>
    <t>Historical Chicken and Pilchards Prices (Rand per Kg)</t>
  </si>
  <si>
    <t>Chicken Portions (Frozen)</t>
  </si>
  <si>
    <t>Pilchards (Tinned) - 400g</t>
  </si>
  <si>
    <t>2016A</t>
  </si>
  <si>
    <t>Pilchard (Tinned)</t>
  </si>
  <si>
    <t xml:space="preserve">Inshore Fishing - Volumes Sold </t>
  </si>
  <si>
    <t>CAGR 16.20</t>
  </si>
  <si>
    <t>Canned Fish and Fish Meal (R'000)</t>
  </si>
  <si>
    <t>EBIT Margin (%)</t>
  </si>
  <si>
    <t>1999A</t>
  </si>
  <si>
    <t>2000A</t>
  </si>
  <si>
    <t>2001A</t>
  </si>
  <si>
    <t>2002A</t>
  </si>
  <si>
    <t>2003A</t>
  </si>
  <si>
    <t>2004A</t>
  </si>
  <si>
    <t>Leverage Ratios (R'000)</t>
  </si>
  <si>
    <t>Total Debt to Total Assets</t>
  </si>
  <si>
    <t>2017A</t>
  </si>
  <si>
    <t>2018A</t>
  </si>
  <si>
    <t>2019A</t>
  </si>
  <si>
    <t>2020A</t>
  </si>
  <si>
    <t>Litres of water to produce 1kg of edible meat</t>
  </si>
  <si>
    <t>Aquaculture</t>
  </si>
  <si>
    <t>Swine</t>
  </si>
  <si>
    <t>1960A</t>
  </si>
  <si>
    <t>1980A</t>
  </si>
  <si>
    <t>Global FishMeal Use (%)</t>
  </si>
  <si>
    <t>Global Fishing Production (millions of tons)</t>
  </si>
  <si>
    <t>Capture</t>
  </si>
  <si>
    <t>CAGR 11-30</t>
  </si>
  <si>
    <t>CAGR12-15</t>
  </si>
  <si>
    <t>CAGR 13-15</t>
  </si>
  <si>
    <t>South African Horse Mackerel TAC (in tons)</t>
  </si>
  <si>
    <t>Namibian Horse Mackerel TAC (in tons)</t>
  </si>
  <si>
    <t>South African Hake TAC (in tons)</t>
  </si>
  <si>
    <t>Horse Mackerel (R'000)</t>
  </si>
  <si>
    <t>Hake (R'000)</t>
  </si>
  <si>
    <t>Lobster, Squid and French Fries (R'000)</t>
  </si>
  <si>
    <t>Depreciation % of Tangible Assets</t>
  </si>
  <si>
    <t>Capex % of Tangible Assets</t>
  </si>
  <si>
    <t>Capex  yoy Growth</t>
  </si>
  <si>
    <t>Recognition of Divisional Depreciation, absolute value (R'000)</t>
  </si>
  <si>
    <t>Recognition of Divisional Depreciation, as % of total depreciation</t>
  </si>
  <si>
    <t>Unlevered Beta</t>
  </si>
  <si>
    <t>U.S.</t>
  </si>
  <si>
    <t>Security</t>
  </si>
  <si>
    <t>Start Date</t>
  </si>
  <si>
    <t>End Date</t>
  </si>
  <si>
    <t>Period</t>
  </si>
  <si>
    <t>USD</t>
  </si>
  <si>
    <t>PX_LAST</t>
  </si>
  <si>
    <t xml:space="preserve">JALSH Index                                                     </t>
  </si>
  <si>
    <t>Real Growth South Africa</t>
  </si>
  <si>
    <t>Real Growth United States</t>
  </si>
  <si>
    <t>Terminal Value Growth Rate (G)</t>
  </si>
  <si>
    <t>Risk Free</t>
  </si>
  <si>
    <t>Target D/(D+E)</t>
  </si>
  <si>
    <t>Divisional WACC</t>
  </si>
  <si>
    <t>2050E</t>
  </si>
  <si>
    <t xml:space="preserve">PRPBP    Index                                                  </t>
  </si>
  <si>
    <t xml:space="preserve">USDZAR CMPL Curncy                                              </t>
  </si>
  <si>
    <t>Pricing Source</t>
  </si>
  <si>
    <t>CMPL</t>
  </si>
  <si>
    <t>Capital Structure Assumptions</t>
  </si>
  <si>
    <t>Net Profit</t>
  </si>
  <si>
    <t>EPS</t>
  </si>
  <si>
    <t>Dividends</t>
  </si>
  <si>
    <t>Equity and Minority Interest</t>
  </si>
  <si>
    <t>Interest Bearing Debt</t>
  </si>
  <si>
    <t>CEPS</t>
  </si>
  <si>
    <t>BVPS</t>
  </si>
  <si>
    <t>Multiples</t>
  </si>
  <si>
    <t>Price/Earnings</t>
  </si>
  <si>
    <t>Price/Cash Earnings</t>
  </si>
  <si>
    <t>Price/Book Value</t>
  </si>
  <si>
    <t>Share Price</t>
  </si>
  <si>
    <t xml:space="preserve">OCE SJ Equity                                                   </t>
  </si>
  <si>
    <t>ZAr</t>
  </si>
  <si>
    <t>Revenue Growth</t>
  </si>
  <si>
    <t>Net Margin</t>
  </si>
  <si>
    <t>Bad Scenario</t>
  </si>
  <si>
    <t>Very Bad Scenario</t>
  </si>
  <si>
    <t>Good Scenario</t>
  </si>
  <si>
    <t>Price Target as of FY16 (R)</t>
  </si>
  <si>
    <t>Weighted Average</t>
  </si>
  <si>
    <t>Jalsh</t>
  </si>
  <si>
    <t>Basic Shares Outstanding</t>
  </si>
  <si>
    <t>Diluted Weighted Average Shares</t>
  </si>
  <si>
    <t>Basic Weighted Average Shares</t>
  </si>
  <si>
    <t>Share Information (in millions)</t>
  </si>
  <si>
    <t>Current Shares Outstanding</t>
  </si>
  <si>
    <t>Equity Float</t>
  </si>
  <si>
    <t>Current</t>
  </si>
  <si>
    <t>Last Price</t>
  </si>
  <si>
    <t>Preferred Equity</t>
  </si>
  <si>
    <t>Total Debt</t>
  </si>
  <si>
    <t>EV/FCFF</t>
  </si>
  <si>
    <t>ROC</t>
  </si>
  <si>
    <t>Gross Margin</t>
  </si>
  <si>
    <t>Net Income Margin</t>
  </si>
  <si>
    <t>Bloomberg Data</t>
  </si>
  <si>
    <t>Equity Data</t>
  </si>
  <si>
    <t>Return Ratios</t>
  </si>
  <si>
    <t>Margin Ratios</t>
  </si>
  <si>
    <t>Enterprise Value (as at 9 May, 2016) - million ZAR</t>
  </si>
  <si>
    <t>Omega Protein</t>
  </si>
  <si>
    <t>Classification</t>
  </si>
  <si>
    <t>Agricultural Producers</t>
  </si>
  <si>
    <t>JALSH</t>
  </si>
  <si>
    <t>SHASHR</t>
  </si>
  <si>
    <t>OBX</t>
  </si>
  <si>
    <t>Packaged Food</t>
  </si>
  <si>
    <t>TPX</t>
  </si>
  <si>
    <t>Food Products Wholesalers</t>
  </si>
  <si>
    <t>Squid (in permits)</t>
  </si>
  <si>
    <t>MID AND DEEP WATER FISHING DIVISION</t>
  </si>
  <si>
    <t>INSHORE FISHING DIVISION</t>
  </si>
  <si>
    <t>Horse Mackerel and Hake - Volumes Sold</t>
  </si>
  <si>
    <t>COMMERCIAL COLD STORAGE (CCS) LOGISTICS</t>
  </si>
  <si>
    <t>Commercial Cold Storage - Volumes</t>
  </si>
  <si>
    <t>USD ZAR Forward Multiple</t>
  </si>
  <si>
    <t xml:space="preserve">YoY Growth </t>
  </si>
  <si>
    <t>COMMERCIAL COLD STORAGE LOGISTICS</t>
  </si>
  <si>
    <t>EBIT (R'000) - 31/09/XXXX</t>
  </si>
  <si>
    <t>Depreciation (R'000) - 31/09/XXXX</t>
  </si>
  <si>
    <t xml:space="preserve">  - Basic Shares Outstanding</t>
  </si>
  <si>
    <t xml:space="preserve"> YoY Growth</t>
  </si>
  <si>
    <t>Earnings Information (R)</t>
  </si>
  <si>
    <t xml:space="preserve"> - Basic EPS (using Net Profit) </t>
  </si>
  <si>
    <t xml:space="preserve"> - Diluted EPS (using Net Profit)</t>
  </si>
  <si>
    <t xml:space="preserve">Dividends per share </t>
  </si>
  <si>
    <t xml:space="preserve">Dividends Information </t>
  </si>
  <si>
    <t xml:space="preserve"> - Interim paid (R'000)</t>
  </si>
  <si>
    <t xml:space="preserve"> - Final paid (R'000)</t>
  </si>
  <si>
    <t>% of interim paid</t>
  </si>
  <si>
    <t xml:space="preserve"> - Dividend Paid during the year (R'000)</t>
  </si>
  <si>
    <t xml:space="preserve"> - Dividend declared and not accrued after reporting date (R'000)</t>
  </si>
  <si>
    <t xml:space="preserve"> - Dividend Payout Ratio</t>
  </si>
  <si>
    <t xml:space="preserve"> Income Statement - (R'000) - 31/09/XXXX</t>
  </si>
  <si>
    <t>Balance Sheet - (R'000) - 31/09/XXXX</t>
  </si>
  <si>
    <t>Cash Flow Statement -  (R'000) - 31/09/XXXX</t>
  </si>
  <si>
    <t>Depreciation Data (R'000) - 31/09/XXXX</t>
  </si>
  <si>
    <t>Daybrook Comparables</t>
  </si>
  <si>
    <t>Animal and Human Nutrition</t>
  </si>
  <si>
    <t>NYSE</t>
  </si>
  <si>
    <t>Target D/E</t>
  </si>
  <si>
    <t>MMRP</t>
  </si>
  <si>
    <t>Inflation Target United States 2% Federal Reserve</t>
  </si>
  <si>
    <t>Oceana Data (R'000)</t>
  </si>
  <si>
    <t>Main Indicators</t>
  </si>
  <si>
    <t>Per Share</t>
  </si>
  <si>
    <t>WANOS</t>
  </si>
  <si>
    <t>Operating Performance Ratios</t>
  </si>
  <si>
    <t>Minority Interests</t>
  </si>
  <si>
    <t>Capex Data (R'000) - 31/09/XXXX</t>
  </si>
  <si>
    <t>Recognition of Divisional Capex, absolute value (R'000)</t>
  </si>
  <si>
    <t>Recognition of Divisional Capex, as % of total Capex</t>
  </si>
  <si>
    <t>Income Statement (R'000) -31/12/XXXX</t>
  </si>
  <si>
    <t>Balance Sheet ('000 Rand) - 31/12/XXXX</t>
  </si>
  <si>
    <t xml:space="preserve"> Working Capital Analysis (R'000) - 31/12/XXXX</t>
  </si>
  <si>
    <t>Income Statement (USD'000) - 31/12/XXXX</t>
  </si>
  <si>
    <t>Balance Sheet (USD'000)  - 31/12/XXXX</t>
  </si>
  <si>
    <t>Statement of Changes in Equity (USD'000) - 31/12/XXXX</t>
  </si>
  <si>
    <t>Cash Flow Statement (USD'000) - 31/12/XXXX</t>
  </si>
  <si>
    <t>BEG VALUE</t>
  </si>
  <si>
    <t>FINAL VALUE</t>
  </si>
  <si>
    <t>CAGR 06-16</t>
  </si>
  <si>
    <t>CAGR 15-16</t>
  </si>
  <si>
    <t>COUNT 15-16</t>
  </si>
  <si>
    <t>COUNT 14-16</t>
  </si>
  <si>
    <t>CAGR 14-16</t>
  </si>
  <si>
    <t>COUNT 13-16</t>
  </si>
  <si>
    <t>CAGR 13-16</t>
  </si>
  <si>
    <t>COUNT 12-16</t>
  </si>
  <si>
    <t>CAGR 12-16</t>
  </si>
  <si>
    <t>COUNT 11-16</t>
  </si>
  <si>
    <t>CAGR 11-16</t>
  </si>
  <si>
    <t>COUNT 10-16</t>
  </si>
  <si>
    <t>CAGR 10-16</t>
  </si>
  <si>
    <t>Average 06-16</t>
  </si>
  <si>
    <t>Average 15</t>
  </si>
  <si>
    <t>COUNT 06-16</t>
  </si>
  <si>
    <t>CAGRs Fishmeal Price</t>
  </si>
  <si>
    <t>Oceana's Own Quota or Co-owned or Contracted (since FY14)</t>
  </si>
  <si>
    <t>Source: Company Data</t>
  </si>
  <si>
    <t>Exhibit 2. Oceana Segmental Revenue Split, 2015 (%).</t>
  </si>
  <si>
    <t>Beg Value</t>
  </si>
  <si>
    <t>Fin Value</t>
  </si>
  <si>
    <t>CAGR</t>
  </si>
  <si>
    <t>Count</t>
  </si>
  <si>
    <t>Exhibit 3. Oceana Geographical Revenue Split, 2015 (%).</t>
  </si>
  <si>
    <t>Exhibit 1. Oceana stock performance on JSE Index (ZAc)</t>
  </si>
  <si>
    <t>Exhibit 4. Oceana Group Brands.</t>
  </si>
  <si>
    <t>Exhibit 5. Average Annual Growth Rates of Capture and Aquaculture Production, 1960-2009.</t>
  </si>
  <si>
    <t>Source: Company Data.</t>
  </si>
  <si>
    <t>Exhibit 6. Oceana's Shareholder Structure.</t>
  </si>
  <si>
    <t>Exhibit 7. Food Calories Gap, 2006-2050.</t>
  </si>
  <si>
    <t>Exhibit 13. Namibian Pilchard, TAC (in tons), 2012-2015.</t>
  </si>
  <si>
    <t>Exhibit 12. South African Pilchard, TAC (in tons), 2012-2015.</t>
  </si>
  <si>
    <t>Exhibit 14. South African Anchovy, TAC (in tons), 2012-2015.</t>
  </si>
  <si>
    <t>Source: STATS SA, expenditure survey, 2012</t>
  </si>
  <si>
    <t>Exhibit 16. Expenditure on Meat and Fish, by Income Level, 2012.</t>
  </si>
  <si>
    <t>Source: STATS SA, BPI Capital Africa.</t>
  </si>
  <si>
    <t>Source: Company Data and Analyst Estimates.</t>
  </si>
  <si>
    <t>Exhibit 26. Lobster, TAC (in tons), 2012-2015.</t>
  </si>
  <si>
    <t>Raw Beta vs MSCI World</t>
  </si>
  <si>
    <t>Number of observations</t>
  </si>
  <si>
    <t>From 1997</t>
  </si>
  <si>
    <t>Adjusted Beta vs MSCI World</t>
  </si>
  <si>
    <t>S.E. Beta</t>
  </si>
  <si>
    <t>5 years</t>
  </si>
  <si>
    <t>2 years</t>
  </si>
  <si>
    <t>1 year</t>
  </si>
  <si>
    <t>6 months</t>
  </si>
  <si>
    <t>Omega Protein Corporation produces protein rich fishmeal, fish oil and solubles. The company markets a variety of products derived from menhadenm an indebible fish found in coastal waters off the U.S. Mid-Atlantic and Gulf coasts. There was a recent change on the company's operations, therefore it might be useful to look to the beta resultant for the maximum number of observations to reduce the estimation error.</t>
  </si>
  <si>
    <t>Fish Producers</t>
  </si>
  <si>
    <t>Austevoll Seafood ASA</t>
  </si>
  <si>
    <t>Nippon Suisan Kaisha LTD</t>
  </si>
  <si>
    <t>Fishes and produces seafood and produces seafood products including fresh, frozen and canned fish. Also produces fish oil and fishmeal, and operates cold storage business.</t>
  </si>
  <si>
    <t>Operates fish farms for salmon and other ocean fish in Norway.</t>
  </si>
  <si>
    <t>Produces atlantic salmon. Operates hatcheries, processes and packages fish, as well as sells and markets the products.</t>
  </si>
  <si>
    <t>Salmar ASA</t>
  </si>
  <si>
    <t>Operates fisheries that produce salmon. Sea farming, processing and trading numerous kinds of fish and shellfish.</t>
  </si>
  <si>
    <t>Leroy Seafood ASA</t>
  </si>
  <si>
    <t>Produces and markets ocean and farmed fish and seafood products.</t>
  </si>
  <si>
    <t>Tiger Brands Ltd</t>
  </si>
  <si>
    <t>Manufactures, processes and distributes food products which include milling and baking, confectioneries, general foods, edible oils and derivatives.</t>
  </si>
  <si>
    <t>Tongaat Hulett Ltd</t>
  </si>
  <si>
    <t xml:space="preserve">Agriculture and agri-processing business, focusing on the complementary feedstocks of sugarcane and maize. </t>
  </si>
  <si>
    <t>Astral Foods</t>
  </si>
  <si>
    <t>Produces animal feeds, animal feed pre-mixes, broiler chick genetic breeding.</t>
  </si>
  <si>
    <t>Shanghai Kaichuang Marine-A</t>
  </si>
  <si>
    <t>Business of fishery, aquaculture and marine products processing and trading.</t>
  </si>
  <si>
    <t>CNFC Overseas Fishery Co-A</t>
  </si>
  <si>
    <t>Operates in deep-sea fishing. Also transports, processes and exports aquatic products. Products include codfish, squid and other aquatic products.</t>
  </si>
  <si>
    <t>Grieg Seafood ASA</t>
  </si>
  <si>
    <t>Bakkafrost P/F</t>
  </si>
  <si>
    <t>Owns fish licenses for production of salmon and trout.</t>
  </si>
  <si>
    <t>Offers a wide range of salmon products supplied by its own processing facilities. Provides fresh salmon to the fresh fish market.</t>
  </si>
  <si>
    <t>From 2010</t>
  </si>
  <si>
    <t>From 2006</t>
  </si>
  <si>
    <t>From 1994</t>
  </si>
  <si>
    <t>Target Unlevered Beta</t>
  </si>
  <si>
    <t>Current D/E Bloomberg</t>
  </si>
  <si>
    <t>Current D/E Reuters</t>
  </si>
  <si>
    <t>Real GDP Growth (%)</t>
  </si>
  <si>
    <t>10Y SA Gov Bond Yield</t>
  </si>
  <si>
    <t>Spot USDZAR</t>
  </si>
  <si>
    <t>Forward 10Y USDZAR</t>
  </si>
  <si>
    <t>Spot ZARUSD</t>
  </si>
  <si>
    <t>Average 11-15</t>
  </si>
  <si>
    <t>Average 16-18</t>
  </si>
  <si>
    <t>U.S. (Bloomberg)</t>
  </si>
  <si>
    <t>U.S. (World Bank, 2016)</t>
  </si>
  <si>
    <t>South Africa (Bloomberg)</t>
  </si>
  <si>
    <t>South Africa (World Bank, 2016)</t>
  </si>
  <si>
    <t>Average Target Unlevered Betas</t>
  </si>
  <si>
    <t>Exhibit 15. Lucky Star, Volumes Sold, 2012-2015.</t>
  </si>
  <si>
    <t>Exhibit 28. Lobster, Squid and French Fries, Volumes Sold, 2012-2015.</t>
  </si>
  <si>
    <t>Exhibit 27. Squid, TAE (in permits), 2012-2015.</t>
  </si>
  <si>
    <t>Exhibit 35. South African Horse Mackerel, TAC (in tons), 2012-2015.</t>
  </si>
  <si>
    <t>Exhibit 36. Namibian Horse Mackerel, TAC (in tons), 2012-2015.</t>
  </si>
  <si>
    <t>Exhibit 37. South African Hake TAC (in tons), 2012-2015.</t>
  </si>
  <si>
    <t>Exhibit 38. BCP, Volumes Sold, 2012-2015.</t>
  </si>
  <si>
    <t>Source: BPI Capital Africa.</t>
  </si>
  <si>
    <t>Exhibit 48. Bidvest Fishing Division, EBIT Margin (%).</t>
  </si>
  <si>
    <t>Net Debt or (Net Cash)</t>
  </si>
  <si>
    <t>Source: STATS SA, expenditure survey, 2012.</t>
  </si>
  <si>
    <t>Exhibit 56. World Fish Production (mn tons).</t>
  </si>
  <si>
    <t>Source: World Bank.</t>
  </si>
  <si>
    <t>Exhibit 57. Global FishMeal Use (%).</t>
  </si>
  <si>
    <t>Exhibit 60. Daybrook, EBIT Margin (%), 2013-2020.</t>
  </si>
  <si>
    <t>Exhibit 59. Daybrook, Revenue Growth (%), 2014-2020.</t>
  </si>
  <si>
    <t>Exhibit 62. CCS, Drivers and Volumes Sold, 2012-2015.</t>
  </si>
  <si>
    <t>Exhibit 6. Oceana's Shareholder Structure, as at 30 Sept. 2015.</t>
  </si>
  <si>
    <t>Historical 40Y MSCI World Annualized Return</t>
  </si>
  <si>
    <t>Target Market Risk Premium</t>
  </si>
  <si>
    <t>10Y US Gov Bond Yield</t>
  </si>
  <si>
    <t>Source: Bloomberg.</t>
  </si>
  <si>
    <t>Source: Bloomberg, World Bank.</t>
  </si>
  <si>
    <t>Return</t>
  </si>
  <si>
    <t>Dividends Per Share</t>
  </si>
  <si>
    <t>Probability of Occur</t>
  </si>
  <si>
    <t>Base Scenario</t>
  </si>
  <si>
    <t>Average Days in Inventory</t>
  </si>
  <si>
    <t>Average Collection Period</t>
  </si>
  <si>
    <t>Average Payment Period</t>
  </si>
  <si>
    <t>Working Capital to Sales</t>
  </si>
  <si>
    <t>Acid Test</t>
  </si>
  <si>
    <t>Leverage Ratios</t>
  </si>
  <si>
    <t>Equity Multiplier</t>
  </si>
  <si>
    <t>Debt Ratio</t>
  </si>
  <si>
    <t>Debt to Equity Ratio</t>
  </si>
  <si>
    <t>Recommendation: BUY</t>
  </si>
  <si>
    <t>Source: World Bank (2013), Fish to 2030.</t>
  </si>
  <si>
    <t>Source: WRI, World Resources Report 2013-2014.</t>
  </si>
  <si>
    <t>Exhibt 8. World Annual Fish Consumption Per Capita.</t>
  </si>
  <si>
    <t>Source: FAO, The State of World Fisheries and Aquaculture.</t>
  </si>
  <si>
    <t>Exhibit 36. Oceana's Currency Exposure.</t>
  </si>
  <si>
    <t xml:space="preserve">Exhibit 40. Oceana's Main Balance Sheet Figures </t>
  </si>
  <si>
    <t>Exhibit 41. Water and Feed Needs by Food Group.</t>
  </si>
  <si>
    <t>Exhibit 51. Divisional Depreciation, Historical and Forecasted Values.</t>
  </si>
  <si>
    <t>Exhibit 52. Divisional CAPEX, Historical and Forecasted Values.</t>
  </si>
  <si>
    <t>Exhibit 53. Working Capital Data, Historical and Forecasted Values.</t>
  </si>
  <si>
    <t>FCF Growth</t>
  </si>
  <si>
    <t>ALL GROUP</t>
  </si>
  <si>
    <t>COMMERCIAL COLD STORAGE</t>
  </si>
  <si>
    <t>DAYBROOK FISHERIES</t>
  </si>
  <si>
    <t>SOTP VALUATION RESULTS / SCENARIO ANALYSIS</t>
  </si>
  <si>
    <t>OTHER VALUATION ASSUMPTIONS</t>
  </si>
  <si>
    <t>Market Assumptions</t>
  </si>
  <si>
    <t>Equivalent 10Y SA Gov Bond Yield</t>
  </si>
  <si>
    <t>10Y</t>
  </si>
  <si>
    <t>5Y</t>
  </si>
  <si>
    <t>Exhibit 8. World Annual Apparent Fish Consumption Per Capita.</t>
  </si>
  <si>
    <t>Source: OCDE/FAO.</t>
  </si>
  <si>
    <t>Exhibt 9. World Annual Apparent Meat Consumption Per Capita.</t>
  </si>
  <si>
    <t>Exhibit 10. Global Fishmeal Use.</t>
  </si>
  <si>
    <t>Source. OCDE.</t>
  </si>
  <si>
    <t>Exhibit 11. Peruvian Fishmeal Price (USD/ton).</t>
  </si>
  <si>
    <t>Exhibit 12. Consumer Confidence Level, 2015-2016.</t>
  </si>
  <si>
    <t>Exhibit 13. Platinum Prices.</t>
  </si>
  <si>
    <t>Exhibit 14. Real GDP Growth, South Africa.</t>
  </si>
  <si>
    <t>Exhibit 15. Exchange Rate USD/ZAR.</t>
  </si>
  <si>
    <t>Exhibit 16. Divisional Contribution to Revenue, 2012-2016.</t>
  </si>
  <si>
    <t>Exhibit 17. Divisional Contribution to EBIT, 2012-2016.</t>
  </si>
  <si>
    <t>Exhibit 18. Historical Prices Chichen vs. Pilchards (ZAR per Kg).</t>
  </si>
  <si>
    <t>Exhibit 19. Prices of Protein Sources, February 2016 (ZAR per Kg).</t>
  </si>
  <si>
    <t>Exhibit 20. South African Pilchard, TAC (in tons), 2012-2020.</t>
  </si>
  <si>
    <t>Exhibit 21. Namibian Pilchard, TAC (in tons), 2012-2020.</t>
  </si>
  <si>
    <t>Exhibit 22. South African Anchovy, TAC (in tons), 2012-2020.</t>
  </si>
  <si>
    <t>Exhibit 23. Lucky Star, Volumes Sold, 2012-2020.</t>
  </si>
  <si>
    <t>Exhibit 24. Lucky Star, Operating Performance.</t>
  </si>
  <si>
    <t>Exhibit 25. Lucky Star, Revenue Growth (%), 2013-2020.</t>
  </si>
  <si>
    <t>Exhibit 26. Lucky Star, EBIT Margin (%), 2013-2020.</t>
  </si>
  <si>
    <t>Exhibit 27. Lobster, TAC (in tons), 2012-2020.</t>
  </si>
  <si>
    <t>Exhibit 28. Squid, TAE (in permits), 2012-2020.</t>
  </si>
  <si>
    <t>Exhibit 29. Lobster, Squid and French Fries, Volumes Sold, 2012-2020.</t>
  </si>
  <si>
    <t>Exhibit 30. Lobster, Squid and French Fries, Operating Performance.</t>
  </si>
  <si>
    <t>Exhibit 32. L, S and F.F., EBIT Margin (%), 2013-2020.</t>
  </si>
  <si>
    <t>Exhibit 33. South African Horse Mackerel, TAC (in tons), 2012-2020.</t>
  </si>
  <si>
    <t>Exhibit 34. Namibian Horse Mackerel, TAC (in tons), 2012-2020.</t>
  </si>
  <si>
    <t>Exhibit 35. South African Hake, TAC (in tons), 2012-2020.</t>
  </si>
  <si>
    <t>Exhibit 36. BCP, Volumes Sold, 2012-2020.</t>
  </si>
  <si>
    <t>Exhibit 37. Horse Mackerel, Revenue Performance.</t>
  </si>
  <si>
    <t>Exhibit 38. Hake, Revenue Performance.</t>
  </si>
  <si>
    <t>Exhibit 39. BCP, Operating Performance.</t>
  </si>
  <si>
    <t>Exhibit 40. BCP, Revenue Growth (%), 2013-2020.</t>
  </si>
  <si>
    <t>Exhibit 41. BCP EBIT Margin (%), 2013-2020.</t>
  </si>
  <si>
    <t>Exhibit 42. Oceana's Currency Exposure.</t>
  </si>
  <si>
    <t>Exhibit 43. Comparative EBIT Margins (%).</t>
  </si>
  <si>
    <t>Exhibit 44. Omega Protein, Animal Nutrition Divisional EBIT (%).</t>
  </si>
  <si>
    <t>Exhibit 44. Oceana's Main Balance Sheet Figures.</t>
  </si>
  <si>
    <t>Exhibit 45. Water and Feed Needs by Food Group.</t>
  </si>
  <si>
    <t>Exhibit 46. Global Fish Production.</t>
  </si>
  <si>
    <t>Source: FAO.</t>
  </si>
  <si>
    <t xml:space="preserve">  - Implicit Fishmeal Price (USD/ton)</t>
  </si>
  <si>
    <t>Exhibit 47. Daybrook, Operating Performance.</t>
  </si>
  <si>
    <t>Exhibit 48. Daybrook, Revenue Growth (%), 2013-2020.</t>
  </si>
  <si>
    <t>Exhibit 49. Daybrook, EBIT Margin (%), 2013-2020.</t>
  </si>
  <si>
    <t>Exhibit 50. Daybrook, Operating Performance (cont.).</t>
  </si>
  <si>
    <t>Exhibit 51. CCS, Drivers and Volumes Sold, 2012-2020.</t>
  </si>
  <si>
    <t>Exhibit 52. CCS, Operating Performance.</t>
  </si>
  <si>
    <t>Exhibit 53. CCS, Revenue Growth (%), 2012-2020.</t>
  </si>
  <si>
    <t>Exhibit 54. CCS, EBIT Margin (%), 2012-2020.</t>
  </si>
  <si>
    <t>Exhibit 55. Depreciation and CAPEX, Historical and Forecasted Values.</t>
  </si>
  <si>
    <t>Raw Levered Beta</t>
  </si>
  <si>
    <t>Adjusted Levered Beta</t>
  </si>
  <si>
    <t>Industry</t>
  </si>
  <si>
    <t>Raw Beta vs. MSCI World</t>
  </si>
  <si>
    <t>D/E</t>
  </si>
  <si>
    <t>Operations</t>
  </si>
  <si>
    <t>Canned fish, fishmeal, fish oil and cold storage.</t>
  </si>
  <si>
    <t>Fish Farms.</t>
  </si>
  <si>
    <t>Operates hatcheries and processes packaged fish.</t>
  </si>
  <si>
    <t>Operates fisheries and produces salmon.</t>
  </si>
  <si>
    <t>Produces and markets farmed fish and other fish.</t>
  </si>
  <si>
    <t>Produces and sells and wide range of food products.</t>
  </si>
  <si>
    <t>Agriculture production.</t>
  </si>
  <si>
    <t>Produces animal feeds.</t>
  </si>
  <si>
    <t>Operates in the fishery and aquaculture industries.</t>
  </si>
  <si>
    <t>Deep-sea fishing activities.</t>
  </si>
  <si>
    <t>Production of salmon.</t>
  </si>
  <si>
    <t>Provides fresh salmon and other fresh fish.</t>
  </si>
  <si>
    <t>U.S. Operations</t>
  </si>
  <si>
    <t>S.A. Operations</t>
  </si>
  <si>
    <t>Comparable Companies</t>
  </si>
  <si>
    <t>Produces fishmeal and fish oil.</t>
  </si>
  <si>
    <t>Cost of ZAR Debt (in Rand)</t>
  </si>
  <si>
    <t>Cost of US Debt (in USD)</t>
  </si>
  <si>
    <t>U.S. Company Tax Rate</t>
  </si>
  <si>
    <t>S.A. Company Tax Rate</t>
  </si>
  <si>
    <t xml:space="preserve"> - USD denominated Debt (in USD)</t>
  </si>
  <si>
    <t xml:space="preserve"> - USD denominated Debt (in Rand)</t>
  </si>
  <si>
    <t xml:space="preserve"> - USD Loans (in USD)</t>
  </si>
  <si>
    <t xml:space="preserve"> - USD Loans at LIBOR + 220 bps (in Rand)</t>
  </si>
  <si>
    <t xml:space="preserve">FY16 Debt Data </t>
  </si>
  <si>
    <t>Inshore Fishing (Rand)</t>
  </si>
  <si>
    <t>Mid and Deep Water Fishing (Rand)</t>
  </si>
  <si>
    <t>Commercial Cold Storage (Rand)</t>
  </si>
  <si>
    <t>Daybrook (USD)</t>
  </si>
  <si>
    <t>Risk Free Assumptions.</t>
  </si>
  <si>
    <t xml:space="preserve">PL1 COMB Comdty                                                 </t>
  </si>
  <si>
    <t>PX_VOLUME</t>
  </si>
  <si>
    <t>Exhibit 55. Comparables.</t>
  </si>
  <si>
    <t>Moody's Rating</t>
  </si>
  <si>
    <t>Aa</t>
  </si>
  <si>
    <t>Default Prob 10Y</t>
  </si>
  <si>
    <t>Recovery Rate</t>
  </si>
  <si>
    <t>Loss Rate</t>
  </si>
  <si>
    <t>South African Rating</t>
  </si>
  <si>
    <t>Baa</t>
  </si>
  <si>
    <t>Interest Rate of ZAR Debt (Yield Proxy)</t>
  </si>
  <si>
    <t>Probability of Default</t>
  </si>
  <si>
    <t>Interest Rate of US Debt</t>
  </si>
  <si>
    <t>Exhibit 56. Debt Data.</t>
  </si>
  <si>
    <t>Equity Data (as at May 21 2016)</t>
  </si>
  <si>
    <t>Price (Rand) as of May 21 2016</t>
  </si>
  <si>
    <t>Exhibit 57. Equity Data.</t>
  </si>
  <si>
    <t>Exhibit 58. Capital Structure.</t>
  </si>
  <si>
    <t>Exhibit 59. Resultant Divisional WACCs.</t>
  </si>
  <si>
    <t>Exhibit 60. Terminal Value Growth Rate Assumptions.</t>
  </si>
  <si>
    <t>Conservative Inflation Target South Africa 3%-6%, S.A.R.B.</t>
  </si>
  <si>
    <t>Terminal Value Growth Rate for S.A. operations</t>
  </si>
  <si>
    <t>Terminal Value Growth Rate for U.S. operations</t>
  </si>
  <si>
    <t>Exhibit 61. Sum of The Parts Valuation - Scenario Analysis Results.</t>
  </si>
  <si>
    <t>bid/offer</t>
  </si>
  <si>
    <t>Price as at 21 May 2016 (R)</t>
  </si>
  <si>
    <t xml:space="preserve">   - Value of '16 Assets Held For Sale</t>
  </si>
  <si>
    <t xml:space="preserve">   - Value of '16 Derivative Liabilities</t>
  </si>
  <si>
    <t xml:space="preserve">   - Value of '16 Liability for Share-Based Payments</t>
  </si>
  <si>
    <t>Market Risk Premium</t>
  </si>
  <si>
    <t>Target Levered Beta</t>
  </si>
  <si>
    <t>Company Tax Rate</t>
  </si>
  <si>
    <t>Debt-to-Equity (Book)</t>
  </si>
  <si>
    <t>FW16 EV/EBITDA</t>
  </si>
  <si>
    <t>FW16 P/E</t>
  </si>
  <si>
    <t>Average Multiple</t>
  </si>
  <si>
    <t>Oceana (as our calculations)</t>
  </si>
  <si>
    <t xml:space="preserve">Average Comparables </t>
  </si>
  <si>
    <t>FY16 EV as Multiples</t>
  </si>
  <si>
    <t>FY Price as Multiples</t>
  </si>
  <si>
    <t>FY16 EV as our estimates</t>
  </si>
  <si>
    <t>FY16 Price as our estimates</t>
  </si>
  <si>
    <t>COMPARABLES VALUATION</t>
  </si>
  <si>
    <t>Exhibit 62. Comparables / Multiples Valuation.</t>
  </si>
  <si>
    <t>Source: Bloomberg and Analyst Estimates.</t>
  </si>
  <si>
    <t>Exhibit 31. L, S and F., Revenue Growth (%), 2013-2020.</t>
  </si>
  <si>
    <t>Daybrook (USD'000) - 31/12/XXXX</t>
  </si>
  <si>
    <t>Other Non Current Assets</t>
  </si>
  <si>
    <t>Exhibit 63. Consolidated Income Statement, 2013-2020.</t>
  </si>
  <si>
    <t>Exhibit 64. Consolidated Balance Sheet, 2013-2020.</t>
  </si>
  <si>
    <t>Non Current Assets Held for Sale</t>
  </si>
  <si>
    <t>Other Non Current Liabilities</t>
  </si>
  <si>
    <t>Income Statement (R'000) - 31/09/XXXX</t>
  </si>
  <si>
    <t>Balance Sheet (R'000) - 31/12/XXXX</t>
  </si>
  <si>
    <t>Exhibit 65. Free Cash Flow Map, Group and Divisional.</t>
  </si>
  <si>
    <t>Inshore Fishing (R'000) - 31/09/XXXX</t>
  </si>
  <si>
    <t>BCP (R'000) - 31/09/XXXX</t>
  </si>
  <si>
    <t>C.C.S. (R'000) - 31/09/XXXX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</si>
</sst>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4" formatCode="_-&quot;€&quot;* #,##0.00_-;\-&quot;€&quot;* #,##0.00_-;_-&quot;€&quot;* &quot;-&quot;??_-;_-@_-"/>
    <numFmt numFmtId="43" formatCode="_-* #,##0.00_-;\-* #,##0.00_-;_-* &quot;-&quot;??_-;_-@_-"/>
    <numFmt numFmtId="164" formatCode="_-* #,##0_-;\-* #,##0_-;_-* &quot;-&quot;??_-;_-@_-"/>
    <numFmt numFmtId="165" formatCode="_-* #,##0.0000000_-;\-* #,##0.0000000_-;_-* &quot;-&quot;??_-;_-@_-"/>
    <numFmt numFmtId="166" formatCode="0.0"/>
    <numFmt numFmtId="167" formatCode="_ * #,##0.00_ ;_ * \-#,##0.00_ ;_ * &quot;-&quot;??_ ;_ @_ "/>
    <numFmt numFmtId="168" formatCode="_ * #,##0_ ;_ * \-#,##0_ ;_ * &quot;-&quot;??_ ;_ @_ "/>
    <numFmt numFmtId="169" formatCode="0.0%"/>
    <numFmt numFmtId="170" formatCode="#,##0;[Red]#,##0"/>
    <numFmt numFmtId="171" formatCode="yyyy\-mm\-dd"/>
    <numFmt numFmtId="172" formatCode="_-* #,##0.00_-;\-* #,##0.00_-;_-* &quot;-&quot;_-;_-@_-"/>
  </numFmts>
  <fonts count="91"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0"/>
      <color theme="1"/>
      <name val="Calibri"/>
      <scheme val="minor"/>
    </font>
    <font>
      <sz val="10"/>
      <color theme="1"/>
      <name val="Calibri"/>
      <scheme val="minor"/>
    </font>
    <font>
      <sz val="12"/>
      <color rgb="FF000000"/>
      <name val="Calibri"/>
      <family val="2"/>
      <scheme val="minor"/>
    </font>
    <font>
      <i/>
      <sz val="12"/>
      <color rgb="FFFF0000"/>
      <name val="Calibri"/>
      <scheme val="minor"/>
    </font>
    <font>
      <b/>
      <sz val="14"/>
      <color theme="1"/>
      <name val="Calibri"/>
      <scheme val="minor"/>
    </font>
    <font>
      <sz val="12"/>
      <color rgb="FFFF0000"/>
      <name val="Calibri"/>
      <family val="2"/>
      <scheme val="minor"/>
    </font>
    <font>
      <b/>
      <sz val="12"/>
      <color rgb="FFFFFFFF"/>
      <name val="Calibri"/>
      <family val="2"/>
      <scheme val="minor"/>
    </font>
    <font>
      <i/>
      <sz val="8"/>
      <color rgb="FFFF0000"/>
      <name val="Calibri"/>
      <scheme val="minor"/>
    </font>
    <font>
      <b/>
      <i/>
      <sz val="8"/>
      <color rgb="FFFF0000"/>
      <name val="Calibri"/>
      <scheme val="minor"/>
    </font>
    <font>
      <i/>
      <sz val="10"/>
      <color rgb="FFFF0000"/>
      <name val="Calibri"/>
      <scheme val="minor"/>
    </font>
    <font>
      <b/>
      <sz val="12"/>
      <name val="Calibri"/>
      <scheme val="minor"/>
    </font>
    <font>
      <b/>
      <sz val="12"/>
      <color rgb="FFFF0000"/>
      <name val="Calibri"/>
      <scheme val="minor"/>
    </font>
    <font>
      <b/>
      <i/>
      <sz val="12"/>
      <color rgb="FFFF0000"/>
      <name val="Calibri"/>
      <scheme val="minor"/>
    </font>
    <font>
      <sz val="9"/>
      <color indexed="81"/>
      <name val="Calibri"/>
      <family val="2"/>
    </font>
    <font>
      <b/>
      <sz val="9"/>
      <color indexed="81"/>
      <name val="Calibri"/>
      <family val="2"/>
    </font>
    <font>
      <b/>
      <sz val="12"/>
      <color rgb="FF000000"/>
      <name val="Calibri"/>
      <scheme val="minor"/>
    </font>
    <font>
      <sz val="12"/>
      <name val="Calibri"/>
      <scheme val="minor"/>
    </font>
    <font>
      <b/>
      <i/>
      <sz val="10"/>
      <color rgb="FFFF0000"/>
      <name val="Calibri"/>
      <scheme val="minor"/>
    </font>
    <font>
      <sz val="10"/>
      <name val="Calibri"/>
      <scheme val="minor"/>
    </font>
    <font>
      <sz val="10"/>
      <color rgb="FFFF0000"/>
      <name val="Calibri"/>
      <scheme val="minor"/>
    </font>
    <font>
      <b/>
      <sz val="10"/>
      <color rgb="FFFF0000"/>
      <name val="Calibri"/>
      <scheme val="minor"/>
    </font>
    <font>
      <sz val="8"/>
      <name val="Calibri"/>
      <scheme val="minor"/>
    </font>
    <font>
      <b/>
      <sz val="10"/>
      <name val="Calibri"/>
      <scheme val="minor"/>
    </font>
    <font>
      <b/>
      <sz val="14"/>
      <name val="Calibri"/>
      <scheme val="minor"/>
    </font>
    <font>
      <b/>
      <u/>
      <sz val="9"/>
      <color indexed="81"/>
      <name val="Calibri"/>
    </font>
    <font>
      <i/>
      <sz val="12"/>
      <color theme="1"/>
      <name val="Calibri"/>
      <scheme val="minor"/>
    </font>
    <font>
      <b/>
      <sz val="14"/>
      <color theme="0"/>
      <name val="Calibri"/>
      <scheme val="minor"/>
    </font>
    <font>
      <i/>
      <sz val="8"/>
      <name val="Calibri"/>
      <scheme val="minor"/>
    </font>
    <font>
      <i/>
      <sz val="10"/>
      <name val="Calibri"/>
      <scheme val="minor"/>
    </font>
    <font>
      <b/>
      <i/>
      <sz val="12"/>
      <color theme="1"/>
      <name val="Calibri"/>
      <scheme val="minor"/>
    </font>
    <font>
      <sz val="8"/>
      <color rgb="FFFF0000"/>
      <name val="Calibri"/>
      <scheme val="minor"/>
    </font>
    <font>
      <b/>
      <sz val="10"/>
      <color theme="0"/>
      <name val="Calibri"/>
      <scheme val="minor"/>
    </font>
    <font>
      <b/>
      <i/>
      <sz val="10"/>
      <color theme="1"/>
      <name val="Calibri"/>
      <scheme val="minor"/>
    </font>
    <font>
      <b/>
      <sz val="12"/>
      <color theme="3" tint="-0.499984740745262"/>
      <name val="Calibri"/>
      <scheme val="minor"/>
    </font>
    <font>
      <sz val="8"/>
      <color theme="1"/>
      <name val="Calibri"/>
      <scheme val="minor"/>
    </font>
    <font>
      <sz val="10"/>
      <color rgb="FF000000"/>
      <name val="Calibri"/>
      <family val="2"/>
      <scheme val="minor"/>
    </font>
    <font>
      <b/>
      <sz val="10"/>
      <color rgb="FF000000"/>
      <name val="Calibri"/>
      <family val="2"/>
      <scheme val="minor"/>
    </font>
    <font>
      <b/>
      <sz val="10"/>
      <color rgb="FFFFFFFF"/>
      <name val="Calibri"/>
      <family val="2"/>
      <scheme val="minor"/>
    </font>
    <font>
      <b/>
      <sz val="14"/>
      <color rgb="FFFFFFFF"/>
      <name val="Calibri"/>
      <scheme val="minor"/>
    </font>
    <font>
      <sz val="9"/>
      <name val="Calibri"/>
      <family val="2"/>
      <scheme val="minor"/>
    </font>
    <font>
      <sz val="11"/>
      <color theme="1"/>
      <name val="Calibri"/>
      <family val="2"/>
      <scheme val="minor"/>
    </font>
    <font>
      <sz val="10"/>
      <name val="Arial"/>
      <family val="2"/>
    </font>
    <font>
      <sz val="10"/>
      <color theme="1"/>
      <name val="Arial"/>
    </font>
    <font>
      <sz val="8"/>
      <color theme="1"/>
      <name val="Arial"/>
    </font>
    <font>
      <b/>
      <sz val="10"/>
      <color theme="1"/>
      <name val="Arial"/>
    </font>
    <font>
      <b/>
      <sz val="8"/>
      <color theme="1"/>
      <name val="Arial"/>
    </font>
    <font>
      <sz val="10"/>
      <name val="Calibri"/>
    </font>
    <font>
      <sz val="10"/>
      <color theme="1"/>
      <name val="Calibri"/>
    </font>
    <font>
      <b/>
      <sz val="10"/>
      <color theme="1"/>
      <name val="Calibri"/>
    </font>
    <font>
      <b/>
      <sz val="10"/>
      <name val="Calibri"/>
    </font>
    <font>
      <i/>
      <sz val="8"/>
      <color rgb="FFFF0000"/>
      <name val="Calibri"/>
    </font>
    <font>
      <b/>
      <i/>
      <sz val="8"/>
      <color rgb="FFFF0000"/>
      <name val="Calibri"/>
    </font>
    <font>
      <b/>
      <sz val="10"/>
      <color theme="3" tint="-0.499984740745262"/>
      <name val="Calibri"/>
      <scheme val="minor"/>
    </font>
    <font>
      <b/>
      <i/>
      <sz val="12"/>
      <name val="Calibri"/>
      <scheme val="minor"/>
    </font>
    <font>
      <b/>
      <i/>
      <sz val="14"/>
      <color theme="1"/>
      <name val="Calibri"/>
      <scheme val="minor"/>
    </font>
    <font>
      <i/>
      <sz val="9"/>
      <color theme="1"/>
      <name val="TradeGothicLTStd"/>
    </font>
    <font>
      <b/>
      <i/>
      <sz val="10"/>
      <name val="Calibri"/>
      <scheme val="minor"/>
    </font>
    <font>
      <b/>
      <sz val="8"/>
      <color rgb="FFFF0000"/>
      <name val="Calibri"/>
      <scheme val="minor"/>
    </font>
    <font>
      <b/>
      <i/>
      <sz val="8"/>
      <name val="Calibri"/>
      <scheme val="minor"/>
    </font>
    <font>
      <b/>
      <sz val="8"/>
      <color theme="1"/>
      <name val="Calibri"/>
      <scheme val="minor"/>
    </font>
    <font>
      <i/>
      <sz val="10"/>
      <color theme="1"/>
      <name val="Calibri"/>
      <scheme val="minor"/>
    </font>
    <font>
      <b/>
      <sz val="8"/>
      <name val="Calibri"/>
      <scheme val="minor"/>
    </font>
    <font>
      <sz val="8"/>
      <color rgb="FF000000"/>
      <name val="Calibri"/>
      <scheme val="minor"/>
    </font>
    <font>
      <sz val="12"/>
      <color theme="3" tint="-0.499984740745262"/>
      <name val="Calibri"/>
      <scheme val="minor"/>
    </font>
    <font>
      <b/>
      <sz val="16"/>
      <color theme="1"/>
      <name val="Calibri"/>
      <scheme val="minor"/>
    </font>
    <font>
      <b/>
      <sz val="16"/>
      <name val="Calibri"/>
      <scheme val="minor"/>
    </font>
    <font>
      <i/>
      <sz val="10"/>
      <color rgb="FF000000"/>
      <name val="Calibri"/>
      <scheme val="minor"/>
    </font>
    <font>
      <b/>
      <i/>
      <sz val="10"/>
      <color rgb="FF000000"/>
      <name val="Calibri"/>
      <scheme val="minor"/>
    </font>
    <font>
      <sz val="12"/>
      <name val="Calibri"/>
    </font>
    <font>
      <sz val="10"/>
      <color theme="0"/>
      <name val="Calibri"/>
      <scheme val="minor"/>
    </font>
    <font>
      <i/>
      <sz val="12"/>
      <name val="Calibri"/>
      <scheme val="minor"/>
    </font>
    <font>
      <b/>
      <sz val="16"/>
      <color theme="0"/>
      <name val="Calibri"/>
      <scheme val="minor"/>
    </font>
    <font>
      <b/>
      <sz val="16"/>
      <color theme="1"/>
      <name val="Calibri (Body)"/>
    </font>
    <font>
      <sz val="16"/>
      <color theme="1"/>
      <name val="Calibri"/>
      <scheme val="minor"/>
    </font>
    <font>
      <i/>
      <sz val="16"/>
      <color rgb="FFFF0000"/>
      <name val="Calibri"/>
      <scheme val="minor"/>
    </font>
    <font>
      <i/>
      <sz val="16"/>
      <name val="Calibri"/>
      <scheme val="minor"/>
    </font>
    <font>
      <sz val="16"/>
      <name val="Calibri"/>
      <scheme val="minor"/>
    </font>
    <font>
      <b/>
      <i/>
      <sz val="14"/>
      <name val="Calibri"/>
      <scheme val="minor"/>
    </font>
    <font>
      <sz val="14"/>
      <name val="Calibri"/>
      <scheme val="minor"/>
    </font>
    <font>
      <sz val="14"/>
      <color theme="1"/>
      <name val="Calibri"/>
      <scheme val="minor"/>
    </font>
  </fonts>
  <fills count="20">
    <fill>
      <patternFill patternType="none"/>
    </fill>
    <fill>
      <patternFill patternType="gray125"/>
    </fill>
    <fill>
      <patternFill patternType="solid">
        <fgColor theme="3" tint="-0.499984740745262"/>
        <bgColor indexed="64"/>
      </patternFill>
    </fill>
    <fill>
      <patternFill patternType="solid">
        <fgColor rgb="FF0F243E"/>
        <bgColor rgb="FF000000"/>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2" tint="-0.89999084444715716"/>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E26B0A"/>
        <bgColor rgb="FF000000"/>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CD5B4"/>
        <bgColor rgb="FF000000"/>
      </patternFill>
    </fill>
    <fill>
      <patternFill patternType="solid">
        <fgColor theme="4" tint="0.59999389629810485"/>
        <bgColor indexed="64"/>
      </patternFill>
    </fill>
  </fills>
  <borders count="62">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style="mediumDashed">
        <color auto="1"/>
      </left>
      <right style="medium">
        <color auto="1"/>
      </right>
      <top style="mediumDashed">
        <color auto="1"/>
      </top>
      <bottom/>
      <diagonal/>
    </border>
    <border>
      <left/>
      <right/>
      <top style="mediumDashed">
        <color auto="1"/>
      </top>
      <bottom/>
      <diagonal/>
    </border>
    <border>
      <left style="mediumDashed">
        <color auto="1"/>
      </left>
      <right style="medium">
        <color auto="1"/>
      </right>
      <top/>
      <bottom/>
      <diagonal/>
    </border>
    <border>
      <left/>
      <right style="mediumDashed">
        <color auto="1"/>
      </right>
      <top/>
      <bottom/>
      <diagonal/>
    </border>
    <border>
      <left style="mediumDashed">
        <color auto="1"/>
      </left>
      <right style="medium">
        <color auto="1"/>
      </right>
      <top style="medium">
        <color auto="1"/>
      </top>
      <bottom style="medium">
        <color auto="1"/>
      </bottom>
      <diagonal/>
    </border>
    <border>
      <left style="mediumDashed">
        <color auto="1"/>
      </left>
      <right style="medium">
        <color auto="1"/>
      </right>
      <top/>
      <bottom style="mediumDashed">
        <color auto="1"/>
      </bottom>
      <diagonal/>
    </border>
    <border>
      <left/>
      <right/>
      <top/>
      <bottom style="mediumDashed">
        <color auto="1"/>
      </bottom>
      <diagonal/>
    </border>
    <border>
      <left/>
      <right style="medium">
        <color auto="1"/>
      </right>
      <top/>
      <bottom style="medium">
        <color auto="1"/>
      </bottom>
      <diagonal/>
    </border>
    <border>
      <left style="mediumDashed">
        <color auto="1"/>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style="mediumDashed">
        <color auto="1"/>
      </left>
      <right/>
      <top style="medium">
        <color auto="1"/>
      </top>
      <bottom style="medium">
        <color auto="1"/>
      </bottom>
      <diagonal/>
    </border>
    <border>
      <left style="mediumDashed">
        <color auto="1"/>
      </left>
      <right/>
      <top/>
      <bottom style="medium">
        <color auto="1"/>
      </bottom>
      <diagonal/>
    </border>
    <border>
      <left style="medium">
        <color auto="1"/>
      </left>
      <right/>
      <top style="medium">
        <color auto="1"/>
      </top>
      <bottom style="medium">
        <color auto="1"/>
      </bottom>
      <diagonal/>
    </border>
    <border>
      <left/>
      <right style="mediumDashed">
        <color auto="1"/>
      </right>
      <top/>
      <bottom style="mediumDashed">
        <color auto="1"/>
      </bottom>
      <diagonal/>
    </border>
    <border>
      <left style="medium">
        <color auto="1"/>
      </left>
      <right/>
      <top/>
      <bottom/>
      <diagonal/>
    </border>
    <border>
      <left style="medium">
        <color auto="1"/>
      </left>
      <right/>
      <top style="medium">
        <color auto="1"/>
      </top>
      <bottom/>
      <diagonal/>
    </border>
    <border>
      <left style="medium">
        <color auto="1"/>
      </left>
      <right/>
      <top style="mediumDashed">
        <color auto="1"/>
      </top>
      <bottom/>
      <diagonal/>
    </border>
    <border>
      <left/>
      <right style="medium">
        <color auto="1"/>
      </right>
      <top style="mediumDashed">
        <color auto="1"/>
      </top>
      <bottom/>
      <diagonal/>
    </border>
    <border>
      <left style="medium">
        <color auto="1"/>
      </left>
      <right/>
      <top/>
      <bottom style="mediumDashed">
        <color auto="1"/>
      </bottom>
      <diagonal/>
    </border>
    <border>
      <left/>
      <right style="medium">
        <color auto="1"/>
      </right>
      <top/>
      <bottom style="mediumDashed">
        <color auto="1"/>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rgb="FF000000"/>
      </right>
      <top style="medium">
        <color auto="1"/>
      </top>
      <bottom/>
      <diagonal/>
    </border>
    <border>
      <left style="medium">
        <color auto="1"/>
      </left>
      <right/>
      <top style="thin">
        <color auto="1"/>
      </top>
      <bottom/>
      <diagonal/>
    </border>
    <border>
      <left/>
      <right style="mediumDashed">
        <color auto="1"/>
      </right>
      <top style="mediumDashed">
        <color auto="1"/>
      </top>
      <bottom/>
      <diagonal/>
    </border>
    <border>
      <left/>
      <right style="mediumDashed">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top/>
      <bottom style="thin">
        <color rgb="FF000000"/>
      </bottom>
      <diagonal/>
    </border>
    <border>
      <left/>
      <right style="medium">
        <color auto="1"/>
      </right>
      <top style="thin">
        <color auto="1"/>
      </top>
      <bottom/>
      <diagonal/>
    </border>
    <border>
      <left style="medium">
        <color auto="1"/>
      </left>
      <right style="medium">
        <color auto="1"/>
      </right>
      <top/>
      <bottom style="thin">
        <color auto="1"/>
      </bottom>
      <diagonal/>
    </border>
    <border>
      <left style="medium">
        <color auto="1"/>
      </left>
      <right/>
      <top/>
      <bottom style="thin">
        <color rgb="FF000000"/>
      </bottom>
      <diagonal/>
    </border>
  </borders>
  <cellStyleXfs count="3824">
    <xf numFmtId="0" fontId="0" fillId="0" borderId="0"/>
    <xf numFmtId="9" fontId="6"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5"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167" fontId="51" fillId="0" borderId="0" applyFont="0" applyFill="0" applyBorder="0" applyAlignment="0" applyProtection="0"/>
    <xf numFmtId="0" fontId="52" fillId="0" borderId="0"/>
    <xf numFmtId="9" fontId="52"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22" fontId="52"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4"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960">
    <xf numFmtId="0" fontId="0" fillId="0" borderId="0" xfId="0"/>
    <xf numFmtId="0" fontId="7" fillId="2" borderId="0" xfId="0" applyFont="1" applyFill="1" applyAlignment="1">
      <alignment horizontal="center"/>
    </xf>
    <xf numFmtId="1" fontId="0" fillId="0" borderId="0" xfId="0" applyNumberFormat="1"/>
    <xf numFmtId="0" fontId="7" fillId="0" borderId="0" xfId="0" applyFont="1" applyFill="1" applyAlignment="1">
      <alignment horizontal="center"/>
    </xf>
    <xf numFmtId="0" fontId="8" fillId="0" borderId="0" xfId="0" applyFont="1"/>
    <xf numFmtId="1" fontId="8" fillId="0" borderId="0" xfId="0" applyNumberFormat="1" applyFont="1"/>
    <xf numFmtId="0" fontId="11" fillId="0" borderId="0" xfId="0" applyFont="1"/>
    <xf numFmtId="0" fontId="12" fillId="0" borderId="0" xfId="0" applyFont="1"/>
    <xf numFmtId="1" fontId="12" fillId="0" borderId="0" xfId="0" applyNumberFormat="1" applyFont="1"/>
    <xf numFmtId="0" fontId="0" fillId="0" borderId="0" xfId="0" applyFont="1"/>
    <xf numFmtId="0" fontId="13" fillId="0" borderId="0" xfId="0" applyFont="1"/>
    <xf numFmtId="0" fontId="17" fillId="3" borderId="0" xfId="0" applyFont="1" applyFill="1" applyAlignment="1">
      <alignment horizontal="center"/>
    </xf>
    <xf numFmtId="10" fontId="0" fillId="0" borderId="0" xfId="1" applyNumberFormat="1" applyFont="1"/>
    <xf numFmtId="0" fontId="18" fillId="0" borderId="0" xfId="0" applyFont="1"/>
    <xf numFmtId="0" fontId="19" fillId="0" borderId="0" xfId="0" applyFont="1"/>
    <xf numFmtId="1" fontId="18" fillId="0" borderId="0" xfId="0" applyNumberFormat="1" applyFont="1"/>
    <xf numFmtId="0" fontId="16" fillId="0" borderId="0" xfId="0" applyFont="1"/>
    <xf numFmtId="0" fontId="14" fillId="0" borderId="0" xfId="0" applyFont="1"/>
    <xf numFmtId="0" fontId="0" fillId="0" borderId="0" xfId="0" applyFill="1"/>
    <xf numFmtId="0" fontId="23" fillId="0" borderId="0" xfId="0" applyFont="1"/>
    <xf numFmtId="0" fontId="8" fillId="0" borderId="0" xfId="0" applyFont="1" applyBorder="1"/>
    <xf numFmtId="0" fontId="8" fillId="4" borderId="0" xfId="0" applyFont="1" applyFill="1" applyBorder="1"/>
    <xf numFmtId="1" fontId="11" fillId="0" borderId="0" xfId="0" applyNumberFormat="1" applyFont="1"/>
    <xf numFmtId="0" fontId="7" fillId="2" borderId="0" xfId="0" applyFont="1" applyFill="1"/>
    <xf numFmtId="0" fontId="17" fillId="3" borderId="0" xfId="0" applyFont="1" applyFill="1"/>
    <xf numFmtId="0" fontId="18" fillId="0" borderId="0" xfId="0" applyFont="1" applyAlignment="1">
      <alignment horizontal="center" vertical="center"/>
    </xf>
    <xf numFmtId="0" fontId="14" fillId="0" borderId="0" xfId="0" applyFont="1" applyAlignment="1">
      <alignment horizontal="center" vertical="center"/>
    </xf>
    <xf numFmtId="9" fontId="0" fillId="0" borderId="0" xfId="1" applyFont="1"/>
    <xf numFmtId="10" fontId="0" fillId="0" borderId="0" xfId="0" applyNumberFormat="1"/>
    <xf numFmtId="9" fontId="0" fillId="0" borderId="0" xfId="0" applyNumberFormat="1"/>
    <xf numFmtId="0" fontId="26" fillId="0" borderId="0" xfId="0" applyFont="1"/>
    <xf numFmtId="0" fontId="0" fillId="0" borderId="0" xfId="0" applyAlignment="1">
      <alignment wrapText="1"/>
    </xf>
    <xf numFmtId="0" fontId="8" fillId="5" borderId="0" xfId="0" applyFont="1" applyFill="1"/>
    <xf numFmtId="0" fontId="0" fillId="5" borderId="0" xfId="0" applyFill="1"/>
    <xf numFmtId="0" fontId="17" fillId="3" borderId="0" xfId="0" applyFont="1" applyFill="1" applyAlignment="1">
      <alignment horizontal="center"/>
    </xf>
    <xf numFmtId="1" fontId="14" fillId="0" borderId="0" xfId="0" applyNumberFormat="1" applyFont="1"/>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6" xfId="0" applyFont="1" applyFill="1" applyBorder="1" applyAlignment="1">
      <alignment horizontal="center"/>
    </xf>
    <xf numFmtId="0" fontId="0" fillId="0" borderId="0" xfId="0" applyBorder="1"/>
    <xf numFmtId="0" fontId="0" fillId="4" borderId="0" xfId="0" applyFill="1" applyBorder="1"/>
    <xf numFmtId="0" fontId="0" fillId="4" borderId="8" xfId="0" applyFill="1" applyBorder="1"/>
    <xf numFmtId="0" fontId="8" fillId="4" borderId="8" xfId="0" applyFont="1" applyFill="1" applyBorder="1"/>
    <xf numFmtId="0" fontId="14" fillId="4" borderId="10" xfId="0" applyFont="1" applyFill="1" applyBorder="1"/>
    <xf numFmtId="1" fontId="14" fillId="4" borderId="10" xfId="0" applyNumberFormat="1" applyFont="1" applyFill="1" applyBorder="1"/>
    <xf numFmtId="0" fontId="14" fillId="4" borderId="11" xfId="0" applyFont="1" applyFill="1" applyBorder="1"/>
    <xf numFmtId="0" fontId="8" fillId="0" borderId="0" xfId="0" applyFont="1" applyFill="1"/>
    <xf numFmtId="0" fontId="0" fillId="0" borderId="13" xfId="0" applyFont="1" applyBorder="1"/>
    <xf numFmtId="0" fontId="0" fillId="0" borderId="13" xfId="0" applyBorder="1"/>
    <xf numFmtId="0" fontId="0" fillId="0" borderId="14" xfId="0" applyBorder="1"/>
    <xf numFmtId="0" fontId="0" fillId="0" borderId="0" xfId="0" applyFont="1" applyBorder="1"/>
    <xf numFmtId="0" fontId="0" fillId="0" borderId="16" xfId="0" applyBorder="1"/>
    <xf numFmtId="0" fontId="8" fillId="0" borderId="16" xfId="0" applyFont="1" applyBorder="1"/>
    <xf numFmtId="0" fontId="8" fillId="0" borderId="18" xfId="0" applyFont="1" applyBorder="1"/>
    <xf numFmtId="0" fontId="8" fillId="0" borderId="19" xfId="0" applyFont="1" applyBorder="1"/>
    <xf numFmtId="0" fontId="21" fillId="0" borderId="13" xfId="0" applyFont="1" applyFill="1" applyBorder="1" applyAlignment="1">
      <alignment horizontal="left"/>
    </xf>
    <xf numFmtId="0" fontId="7" fillId="0" borderId="13" xfId="0" applyFont="1" applyFill="1" applyBorder="1" applyAlignment="1">
      <alignment horizontal="center"/>
    </xf>
    <xf numFmtId="0" fontId="0" fillId="0" borderId="13" xfId="0" applyFill="1" applyBorder="1"/>
    <xf numFmtId="0" fontId="0" fillId="0" borderId="14" xfId="0" applyFill="1" applyBorder="1"/>
    <xf numFmtId="1" fontId="0" fillId="0" borderId="0" xfId="0" applyNumberFormat="1" applyBorder="1"/>
    <xf numFmtId="1" fontId="0" fillId="0" borderId="0" xfId="0" applyNumberFormat="1" applyFont="1" applyBorder="1"/>
    <xf numFmtId="0" fontId="16" fillId="0" borderId="0" xfId="0" applyFont="1" applyBorder="1"/>
    <xf numFmtId="0" fontId="8" fillId="0" borderId="13" xfId="0" applyFont="1" applyBorder="1"/>
    <xf numFmtId="0" fontId="15" fillId="0" borderId="0" xfId="0" applyFont="1"/>
    <xf numFmtId="43" fontId="12" fillId="0" borderId="0" xfId="194" applyFont="1"/>
    <xf numFmtId="43" fontId="11" fillId="0" borderId="0" xfId="194" applyFont="1"/>
    <xf numFmtId="43" fontId="0" fillId="0" borderId="0" xfId="194" applyFont="1"/>
    <xf numFmtId="43" fontId="7" fillId="2" borderId="0" xfId="194" applyFont="1" applyFill="1" applyAlignment="1">
      <alignment horizontal="center"/>
    </xf>
    <xf numFmtId="43" fontId="0" fillId="4" borderId="7" xfId="194" applyFont="1" applyFill="1" applyBorder="1"/>
    <xf numFmtId="43" fontId="12" fillId="4" borderId="7" xfId="194" applyFont="1" applyFill="1" applyBorder="1"/>
    <xf numFmtId="43" fontId="15" fillId="4" borderId="7" xfId="194" applyFont="1" applyFill="1" applyBorder="1"/>
    <xf numFmtId="43" fontId="11" fillId="4" borderId="7" xfId="194" applyFont="1" applyFill="1" applyBorder="1"/>
    <xf numFmtId="43" fontId="18" fillId="4" borderId="7" xfId="194" applyFont="1" applyFill="1" applyBorder="1"/>
    <xf numFmtId="43" fontId="0" fillId="4" borderId="9" xfId="194" applyFont="1" applyFill="1" applyBorder="1"/>
    <xf numFmtId="43" fontId="7" fillId="0" borderId="0" xfId="194" applyFont="1" applyFill="1" applyAlignment="1">
      <alignment horizontal="center"/>
    </xf>
    <xf numFmtId="43" fontId="21" fillId="0" borderId="12" xfId="194" applyFont="1" applyFill="1" applyBorder="1" applyAlignment="1">
      <alignment horizontal="left"/>
    </xf>
    <xf numFmtId="43" fontId="0" fillId="0" borderId="15" xfId="194" applyFont="1" applyBorder="1"/>
    <xf numFmtId="43" fontId="8" fillId="0" borderId="17" xfId="194" applyFont="1" applyBorder="1"/>
    <xf numFmtId="43" fontId="8" fillId="0" borderId="12" xfId="194" applyFont="1" applyBorder="1"/>
    <xf numFmtId="43" fontId="0" fillId="0" borderId="12" xfId="194" applyFont="1" applyBorder="1"/>
    <xf numFmtId="43" fontId="8" fillId="0" borderId="15" xfId="194" applyFont="1" applyBorder="1"/>
    <xf numFmtId="43" fontId="7" fillId="2" borderId="4" xfId="194" applyFont="1" applyFill="1" applyBorder="1" applyAlignment="1">
      <alignment horizontal="center"/>
    </xf>
    <xf numFmtId="43" fontId="8" fillId="4" borderId="7" xfId="194" applyFont="1" applyFill="1" applyBorder="1"/>
    <xf numFmtId="43" fontId="14" fillId="4" borderId="9" xfId="194" applyFont="1" applyFill="1" applyBorder="1"/>
    <xf numFmtId="43" fontId="14" fillId="0" borderId="0" xfId="194" applyFont="1"/>
    <xf numFmtId="43" fontId="17" fillId="3" borderId="0" xfId="194" applyFont="1" applyFill="1" applyAlignment="1">
      <alignment horizontal="center"/>
    </xf>
    <xf numFmtId="43" fontId="8" fillId="0" borderId="0" xfId="194" applyFont="1"/>
    <xf numFmtId="43" fontId="0" fillId="4" borderId="0" xfId="194" applyFont="1" applyFill="1" applyBorder="1"/>
    <xf numFmtId="43" fontId="0" fillId="4" borderId="8" xfId="194" applyFont="1" applyFill="1" applyBorder="1"/>
    <xf numFmtId="43" fontId="12" fillId="4" borderId="0" xfId="194" applyFont="1" applyFill="1" applyBorder="1"/>
    <xf numFmtId="43" fontId="12" fillId="4" borderId="8" xfId="194" applyFont="1" applyFill="1" applyBorder="1"/>
    <xf numFmtId="43" fontId="15" fillId="4" borderId="0" xfId="194" applyFont="1" applyFill="1" applyBorder="1"/>
    <xf numFmtId="43" fontId="15" fillId="4" borderId="8" xfId="194" applyFont="1" applyFill="1" applyBorder="1"/>
    <xf numFmtId="43" fontId="11" fillId="4" borderId="0" xfId="194" applyFont="1" applyFill="1" applyBorder="1"/>
    <xf numFmtId="43" fontId="11" fillId="4" borderId="8" xfId="194" applyFont="1" applyFill="1" applyBorder="1"/>
    <xf numFmtId="43" fontId="18" fillId="4" borderId="0" xfId="194" applyFont="1" applyFill="1" applyBorder="1"/>
    <xf numFmtId="43" fontId="18" fillId="4" borderId="8" xfId="194" applyFont="1" applyFill="1" applyBorder="1"/>
    <xf numFmtId="43" fontId="0" fillId="4" borderId="10" xfId="194" applyFont="1" applyFill="1" applyBorder="1"/>
    <xf numFmtId="43" fontId="0" fillId="4" borderId="11" xfId="194" applyFont="1" applyFill="1" applyBorder="1"/>
    <xf numFmtId="0" fontId="17" fillId="0" borderId="0" xfId="0" applyFont="1" applyFill="1" applyAlignment="1">
      <alignment horizontal="center"/>
    </xf>
    <xf numFmtId="0" fontId="21" fillId="0" borderId="0" xfId="0" applyFont="1" applyFill="1"/>
    <xf numFmtId="43" fontId="8" fillId="0" borderId="0" xfId="0" applyNumberFormat="1" applyFont="1"/>
    <xf numFmtId="0" fontId="28" fillId="0" borderId="0" xfId="0" applyFont="1"/>
    <xf numFmtId="0" fontId="8" fillId="0" borderId="20" xfId="0" applyFont="1" applyBorder="1"/>
    <xf numFmtId="10" fontId="19" fillId="0" borderId="0" xfId="1" applyNumberFormat="1" applyFont="1"/>
    <xf numFmtId="10" fontId="18" fillId="0" borderId="0" xfId="1" applyNumberFormat="1" applyFont="1"/>
    <xf numFmtId="10" fontId="18" fillId="0" borderId="0" xfId="1" applyNumberFormat="1" applyFont="1" applyBorder="1"/>
    <xf numFmtId="0" fontId="20" fillId="0" borderId="0" xfId="0" applyFont="1" applyFill="1"/>
    <xf numFmtId="0" fontId="23" fillId="0" borderId="0" xfId="0" applyFont="1" applyFill="1"/>
    <xf numFmtId="0" fontId="8" fillId="0" borderId="0" xfId="0" applyFont="1" applyFill="1" applyBorder="1"/>
    <xf numFmtId="0" fontId="0" fillId="0" borderId="0" xfId="0" applyFont="1" applyFill="1"/>
    <xf numFmtId="10" fontId="18" fillId="0" borderId="0" xfId="1" applyNumberFormat="1" applyFont="1" applyFill="1"/>
    <xf numFmtId="0" fontId="18" fillId="0" borderId="0" xfId="0" applyFont="1" applyFill="1"/>
    <xf numFmtId="0" fontId="18" fillId="0" borderId="0" xfId="0" applyFont="1" applyFill="1" applyBorder="1"/>
    <xf numFmtId="9" fontId="19" fillId="0" borderId="0" xfId="1" applyFont="1" applyFill="1"/>
    <xf numFmtId="0" fontId="27" fillId="0" borderId="0" xfId="0" applyFont="1" applyFill="1"/>
    <xf numFmtId="0" fontId="31" fillId="0" borderId="0" xfId="0" applyFont="1"/>
    <xf numFmtId="0" fontId="20" fillId="0" borderId="0" xfId="0" applyFont="1"/>
    <xf numFmtId="9" fontId="30" fillId="0" borderId="0" xfId="1" applyFont="1"/>
    <xf numFmtId="2" fontId="12" fillId="0" borderId="0" xfId="0" applyNumberFormat="1" applyFont="1"/>
    <xf numFmtId="2" fontId="11" fillId="0" borderId="0" xfId="0" applyNumberFormat="1" applyFont="1"/>
    <xf numFmtId="10" fontId="8" fillId="0" borderId="0" xfId="1" applyNumberFormat="1" applyFont="1"/>
    <xf numFmtId="0" fontId="27" fillId="0" borderId="0" xfId="0" applyFont="1"/>
    <xf numFmtId="0" fontId="0" fillId="0" borderId="21" xfId="0" applyBorder="1"/>
    <xf numFmtId="0" fontId="11" fillId="0" borderId="0" xfId="0" applyFont="1" applyBorder="1"/>
    <xf numFmtId="0" fontId="32" fillId="0" borderId="0" xfId="0" applyFont="1"/>
    <xf numFmtId="0" fontId="29" fillId="0" borderId="0" xfId="0" applyFont="1"/>
    <xf numFmtId="0" fontId="21" fillId="0" borderId="0" xfId="0" applyFont="1"/>
    <xf numFmtId="0" fontId="33" fillId="0" borderId="0" xfId="0" applyFont="1"/>
    <xf numFmtId="0" fontId="21" fillId="0" borderId="20" xfId="0" applyFont="1" applyBorder="1"/>
    <xf numFmtId="0" fontId="33" fillId="0" borderId="0" xfId="0" applyFont="1" applyFill="1"/>
    <xf numFmtId="0" fontId="29" fillId="0" borderId="0" xfId="0" applyFont="1" applyFill="1"/>
    <xf numFmtId="43" fontId="0" fillId="0" borderId="0" xfId="0" applyNumberFormat="1"/>
    <xf numFmtId="164" fontId="0" fillId="0" borderId="0" xfId="0" applyNumberFormat="1"/>
    <xf numFmtId="164" fontId="8" fillId="0" borderId="0" xfId="0" applyNumberFormat="1" applyFont="1"/>
    <xf numFmtId="164" fontId="20" fillId="0" borderId="0" xfId="0" applyNumberFormat="1" applyFont="1"/>
    <xf numFmtId="164" fontId="8" fillId="0" borderId="20" xfId="0" applyNumberFormat="1" applyFont="1" applyBorder="1"/>
    <xf numFmtId="0" fontId="0" fillId="0" borderId="0" xfId="0" applyFill="1" applyBorder="1"/>
    <xf numFmtId="164" fontId="0" fillId="0" borderId="0" xfId="0" applyNumberFormat="1" applyFont="1"/>
    <xf numFmtId="0" fontId="34" fillId="5" borderId="20" xfId="0" applyFont="1" applyFill="1" applyBorder="1"/>
    <xf numFmtId="164" fontId="34" fillId="5" borderId="20" xfId="0" applyNumberFormat="1" applyFont="1" applyFill="1" applyBorder="1"/>
    <xf numFmtId="0" fontId="15" fillId="5" borderId="20" xfId="0" applyFont="1" applyFill="1" applyBorder="1"/>
    <xf numFmtId="164" fontId="15" fillId="5" borderId="20" xfId="0" applyNumberFormat="1" applyFont="1" applyFill="1" applyBorder="1"/>
    <xf numFmtId="10" fontId="29" fillId="0" borderId="0" xfId="1" applyNumberFormat="1" applyFont="1"/>
    <xf numFmtId="10" fontId="29" fillId="6" borderId="0" xfId="1" applyNumberFormat="1" applyFont="1" applyFill="1" applyBorder="1"/>
    <xf numFmtId="10" fontId="29" fillId="7" borderId="0" xfId="1" applyNumberFormat="1" applyFont="1" applyFill="1" applyBorder="1"/>
    <xf numFmtId="10" fontId="33" fillId="0" borderId="0" xfId="1" applyNumberFormat="1" applyFont="1"/>
    <xf numFmtId="10" fontId="20" fillId="0" borderId="0" xfId="1" applyNumberFormat="1" applyFont="1"/>
    <xf numFmtId="0" fontId="29" fillId="7" borderId="0" xfId="1" applyNumberFormat="1" applyFont="1" applyFill="1" applyBorder="1"/>
    <xf numFmtId="0" fontId="29" fillId="0" borderId="0" xfId="1" applyNumberFormat="1" applyFont="1"/>
    <xf numFmtId="0" fontId="29" fillId="6" borderId="0" xfId="1" applyNumberFormat="1" applyFont="1" applyFill="1" applyBorder="1" applyAlignment="1">
      <alignment horizontal="right"/>
    </xf>
    <xf numFmtId="10" fontId="29" fillId="6" borderId="0" xfId="1" applyNumberFormat="1" applyFont="1" applyFill="1" applyBorder="1" applyAlignment="1">
      <alignment horizontal="right"/>
    </xf>
    <xf numFmtId="10" fontId="33" fillId="6" borderId="20" xfId="1" applyNumberFormat="1" applyFont="1" applyFill="1" applyBorder="1"/>
    <xf numFmtId="10" fontId="29" fillId="6" borderId="24" xfId="1" applyNumberFormat="1" applyFont="1" applyFill="1" applyBorder="1"/>
    <xf numFmtId="10" fontId="29" fillId="7" borderId="24" xfId="1" applyNumberFormat="1" applyFont="1" applyFill="1" applyBorder="1"/>
    <xf numFmtId="10" fontId="20" fillId="6" borderId="29" xfId="1" applyNumberFormat="1" applyFont="1" applyFill="1" applyBorder="1"/>
    <xf numFmtId="10" fontId="33" fillId="7" borderId="20" xfId="1" applyNumberFormat="1" applyFont="1" applyFill="1" applyBorder="1"/>
    <xf numFmtId="10" fontId="20" fillId="7" borderId="29" xfId="1" applyNumberFormat="1" applyFont="1" applyFill="1" applyBorder="1"/>
    <xf numFmtId="0" fontId="33" fillId="0" borderId="0" xfId="1" applyNumberFormat="1" applyFont="1"/>
    <xf numFmtId="10" fontId="18" fillId="0" borderId="32" xfId="1" applyNumberFormat="1" applyFont="1" applyBorder="1"/>
    <xf numFmtId="0" fontId="12" fillId="0" borderId="0" xfId="0" applyFont="1" applyBorder="1"/>
    <xf numFmtId="9" fontId="18" fillId="0" borderId="0" xfId="1" applyFont="1"/>
    <xf numFmtId="9" fontId="18" fillId="0" borderId="21" xfId="1" applyFont="1" applyBorder="1"/>
    <xf numFmtId="0" fontId="12" fillId="0" borderId="0" xfId="0" applyFont="1" applyFill="1"/>
    <xf numFmtId="9" fontId="18" fillId="0" borderId="0" xfId="1" applyFont="1" applyBorder="1"/>
    <xf numFmtId="9" fontId="12" fillId="0" borderId="0" xfId="1" applyFont="1"/>
    <xf numFmtId="0" fontId="22" fillId="0" borderId="0" xfId="0" applyFont="1"/>
    <xf numFmtId="0" fontId="22" fillId="0" borderId="0" xfId="0" applyFont="1" applyFill="1"/>
    <xf numFmtId="0" fontId="0" fillId="0" borderId="0" xfId="0" applyNumberFormat="1"/>
    <xf numFmtId="0" fontId="12" fillId="0" borderId="0" xfId="0" applyFont="1" applyFill="1" applyBorder="1"/>
    <xf numFmtId="0" fontId="18" fillId="0" borderId="21" xfId="0" applyFont="1" applyFill="1" applyBorder="1"/>
    <xf numFmtId="0" fontId="7" fillId="0" borderId="0" xfId="0" applyFont="1" applyFill="1"/>
    <xf numFmtId="0" fontId="8" fillId="0" borderId="36" xfId="0" applyFont="1" applyBorder="1"/>
    <xf numFmtId="0" fontId="7" fillId="2" borderId="0" xfId="0" applyFont="1" applyFill="1" applyBorder="1"/>
    <xf numFmtId="0" fontId="8" fillId="0" borderId="20" xfId="0" applyFont="1" applyFill="1" applyBorder="1"/>
    <xf numFmtId="0" fontId="12" fillId="0" borderId="38" xfId="0" applyFont="1" applyBorder="1"/>
    <xf numFmtId="1" fontId="8" fillId="0" borderId="20" xfId="0" applyNumberFormat="1" applyFont="1" applyBorder="1"/>
    <xf numFmtId="0" fontId="8" fillId="0" borderId="0" xfId="0" applyNumberFormat="1" applyFont="1"/>
    <xf numFmtId="0" fontId="21" fillId="0" borderId="20" xfId="1" applyNumberFormat="1" applyFont="1" applyBorder="1"/>
    <xf numFmtId="10" fontId="30" fillId="0" borderId="0" xfId="1" applyNumberFormat="1" applyFont="1"/>
    <xf numFmtId="0" fontId="27" fillId="0" borderId="38" xfId="0" applyFont="1" applyBorder="1"/>
    <xf numFmtId="0" fontId="0" fillId="0" borderId="38" xfId="0" applyBorder="1"/>
    <xf numFmtId="43" fontId="16" fillId="0" borderId="0" xfId="194" applyFont="1" applyFill="1"/>
    <xf numFmtId="0" fontId="12" fillId="0" borderId="0" xfId="0" applyFont="1" applyAlignment="1">
      <alignment horizontal="left" indent="1"/>
    </xf>
    <xf numFmtId="0" fontId="36" fillId="0" borderId="0" xfId="0" applyFont="1" applyFill="1"/>
    <xf numFmtId="9" fontId="18" fillId="0" borderId="0" xfId="1" applyFont="1" applyFill="1"/>
    <xf numFmtId="0" fontId="18" fillId="0" borderId="0" xfId="1" applyNumberFormat="1" applyFont="1" applyFill="1"/>
    <xf numFmtId="10" fontId="19" fillId="0" borderId="0" xfId="1" applyNumberFormat="1" applyFont="1" applyBorder="1"/>
    <xf numFmtId="10" fontId="8" fillId="0" borderId="0" xfId="1" applyNumberFormat="1" applyFont="1" applyBorder="1"/>
    <xf numFmtId="14" fontId="0" fillId="0" borderId="0" xfId="0" applyNumberFormat="1"/>
    <xf numFmtId="0" fontId="0" fillId="0" borderId="0" xfId="0" applyFont="1" applyFill="1" applyBorder="1"/>
    <xf numFmtId="0" fontId="21" fillId="0" borderId="0" xfId="0" applyFont="1" applyFill="1" applyAlignment="1">
      <alignment horizontal="center"/>
    </xf>
    <xf numFmtId="0" fontId="27" fillId="0" borderId="0" xfId="0" applyFont="1" applyFill="1" applyAlignment="1">
      <alignment horizontal="center"/>
    </xf>
    <xf numFmtId="9" fontId="18" fillId="0" borderId="0" xfId="1" applyFont="1" applyFill="1" applyAlignment="1">
      <alignment horizontal="center"/>
    </xf>
    <xf numFmtId="0" fontId="29" fillId="0" borderId="0" xfId="0" applyFont="1" applyFill="1" applyAlignment="1">
      <alignment horizontal="center"/>
    </xf>
    <xf numFmtId="9" fontId="29" fillId="0" borderId="0" xfId="1" applyFont="1" applyFill="1"/>
    <xf numFmtId="9" fontId="29" fillId="0" borderId="0" xfId="1" applyFont="1" applyFill="1" applyAlignment="1">
      <alignment horizontal="center"/>
    </xf>
    <xf numFmtId="9" fontId="33" fillId="0" borderId="0" xfId="1" applyFont="1" applyFill="1"/>
    <xf numFmtId="9" fontId="33" fillId="0" borderId="0" xfId="1" applyFont="1" applyFill="1" applyAlignment="1">
      <alignment horizontal="center"/>
    </xf>
    <xf numFmtId="9" fontId="19" fillId="0" borderId="0" xfId="1" applyFont="1"/>
    <xf numFmtId="0" fontId="28" fillId="0" borderId="0" xfId="0" applyFont="1" applyFill="1" applyBorder="1"/>
    <xf numFmtId="10" fontId="18" fillId="0" borderId="0" xfId="0" applyNumberFormat="1" applyFont="1" applyFill="1" applyBorder="1"/>
    <xf numFmtId="10" fontId="12" fillId="0" borderId="0" xfId="1" applyNumberFormat="1" applyFont="1" applyFill="1"/>
    <xf numFmtId="10" fontId="8" fillId="0" borderId="0" xfId="1" applyNumberFormat="1" applyFont="1" applyFill="1"/>
    <xf numFmtId="9" fontId="0" fillId="0" borderId="0" xfId="1" applyFont="1" applyFill="1"/>
    <xf numFmtId="9" fontId="21" fillId="0" borderId="0" xfId="1" applyFont="1" applyFill="1"/>
    <xf numFmtId="10" fontId="29" fillId="0" borderId="0" xfId="1" applyNumberFormat="1" applyFont="1" applyFill="1"/>
    <xf numFmtId="0" fontId="29" fillId="0" borderId="0" xfId="0" applyNumberFormat="1" applyFont="1" applyFill="1"/>
    <xf numFmtId="10" fontId="18" fillId="0" borderId="0" xfId="1" applyNumberFormat="1" applyFont="1" applyFill="1" applyAlignment="1">
      <alignment horizontal="right"/>
    </xf>
    <xf numFmtId="0" fontId="12" fillId="0" borderId="0" xfId="0" applyFont="1" applyFill="1" applyAlignment="1">
      <alignment horizontal="right"/>
    </xf>
    <xf numFmtId="0" fontId="11" fillId="0" borderId="24" xfId="0" applyFont="1" applyFill="1" applyBorder="1" applyAlignment="1">
      <alignment horizontal="right"/>
    </xf>
    <xf numFmtId="0" fontId="12" fillId="0" borderId="0" xfId="0" applyFont="1" applyFill="1" applyBorder="1" applyAlignment="1">
      <alignment horizontal="right"/>
    </xf>
    <xf numFmtId="10" fontId="18" fillId="0" borderId="0" xfId="1" applyNumberFormat="1" applyFont="1" applyFill="1" applyBorder="1" applyAlignment="1">
      <alignment horizontal="right"/>
    </xf>
    <xf numFmtId="10" fontId="33" fillId="0" borderId="0" xfId="1" applyNumberFormat="1" applyFont="1" applyFill="1" applyBorder="1" applyAlignment="1">
      <alignment horizontal="right"/>
    </xf>
    <xf numFmtId="9" fontId="12" fillId="0" borderId="0" xfId="0" applyNumberFormat="1" applyFont="1" applyFill="1" applyBorder="1" applyAlignment="1">
      <alignment horizontal="right"/>
    </xf>
    <xf numFmtId="9" fontId="12" fillId="0" borderId="0" xfId="1" applyFont="1" applyFill="1" applyBorder="1" applyAlignment="1">
      <alignment horizontal="right"/>
    </xf>
    <xf numFmtId="9" fontId="12" fillId="0" borderId="0" xfId="1" applyFont="1" applyFill="1" applyBorder="1"/>
    <xf numFmtId="9" fontId="12" fillId="0" borderId="0" xfId="0" applyNumberFormat="1" applyFont="1" applyFill="1" applyBorder="1"/>
    <xf numFmtId="9" fontId="8" fillId="0" borderId="20" xfId="1" applyFont="1" applyFill="1" applyBorder="1"/>
    <xf numFmtId="9" fontId="0" fillId="0" borderId="0" xfId="1" applyFont="1" applyFill="1" applyBorder="1"/>
    <xf numFmtId="10" fontId="18" fillId="0" borderId="29" xfId="0" applyNumberFormat="1" applyFont="1" applyFill="1" applyBorder="1"/>
    <xf numFmtId="10" fontId="29" fillId="0" borderId="0" xfId="1" applyNumberFormat="1" applyFont="1" applyFill="1" applyBorder="1"/>
    <xf numFmtId="10" fontId="29" fillId="9" borderId="0" xfId="1" applyNumberFormat="1" applyFont="1" applyFill="1" applyBorder="1"/>
    <xf numFmtId="10" fontId="29" fillId="0" borderId="24" xfId="1" applyNumberFormat="1" applyFont="1" applyFill="1" applyBorder="1"/>
    <xf numFmtId="0" fontId="29" fillId="0" borderId="0" xfId="1" applyNumberFormat="1" applyFont="1" applyFill="1" applyBorder="1"/>
    <xf numFmtId="9" fontId="29" fillId="0" borderId="0" xfId="1" applyFont="1" applyFill="1" applyBorder="1"/>
    <xf numFmtId="0" fontId="29" fillId="0" borderId="0" xfId="0" applyNumberFormat="1" applyFont="1" applyFill="1" applyBorder="1"/>
    <xf numFmtId="9" fontId="29" fillId="0" borderId="0" xfId="0" applyNumberFormat="1" applyFont="1" applyFill="1" applyBorder="1"/>
    <xf numFmtId="0" fontId="33" fillId="0" borderId="0" xfId="0" applyNumberFormat="1" applyFont="1" applyFill="1" applyBorder="1"/>
    <xf numFmtId="0" fontId="29" fillId="0" borderId="3" xfId="0" applyNumberFormat="1" applyFont="1" applyFill="1" applyBorder="1"/>
    <xf numFmtId="10" fontId="29" fillId="9" borderId="24" xfId="1" applyNumberFormat="1" applyFont="1" applyFill="1" applyBorder="1"/>
    <xf numFmtId="0" fontId="29" fillId="9" borderId="0" xfId="1" applyNumberFormat="1" applyFont="1" applyFill="1" applyBorder="1"/>
    <xf numFmtId="10" fontId="18" fillId="0" borderId="0" xfId="1" applyNumberFormat="1" applyFont="1" applyFill="1" applyBorder="1"/>
    <xf numFmtId="10" fontId="33" fillId="0" borderId="0" xfId="1" applyNumberFormat="1" applyFont="1" applyFill="1" applyBorder="1"/>
    <xf numFmtId="0" fontId="29" fillId="0" borderId="0" xfId="0" applyFont="1" applyFill="1" applyBorder="1"/>
    <xf numFmtId="0" fontId="11" fillId="0" borderId="0" xfId="0" applyFont="1" applyFill="1" applyBorder="1"/>
    <xf numFmtId="10" fontId="21" fillId="0" borderId="0" xfId="1" applyNumberFormat="1" applyFont="1" applyFill="1" applyBorder="1"/>
    <xf numFmtId="9" fontId="8" fillId="0" borderId="0" xfId="1" applyFont="1" applyFill="1" applyBorder="1"/>
    <xf numFmtId="10" fontId="12" fillId="0" borderId="0" xfId="1" applyNumberFormat="1" applyFont="1" applyFill="1" applyBorder="1"/>
    <xf numFmtId="10" fontId="8" fillId="0" borderId="0" xfId="1" applyNumberFormat="1" applyFont="1" applyFill="1" applyBorder="1"/>
    <xf numFmtId="9" fontId="21" fillId="0" borderId="0" xfId="1" applyFont="1" applyFill="1" applyBorder="1"/>
    <xf numFmtId="9" fontId="18" fillId="0" borderId="0" xfId="1" applyFont="1" applyFill="1" applyBorder="1"/>
    <xf numFmtId="0" fontId="21" fillId="0" borderId="0" xfId="0" applyFont="1" applyFill="1" applyBorder="1"/>
    <xf numFmtId="0" fontId="27" fillId="0" borderId="0" xfId="0" applyFont="1" applyFill="1" applyBorder="1"/>
    <xf numFmtId="0" fontId="33" fillId="0" borderId="0" xfId="0" applyFont="1" applyFill="1" applyBorder="1"/>
    <xf numFmtId="9" fontId="33" fillId="0" borderId="0" xfId="1" applyFont="1" applyFill="1" applyBorder="1"/>
    <xf numFmtId="9" fontId="27" fillId="0" borderId="0" xfId="1" applyFont="1" applyFill="1" applyBorder="1"/>
    <xf numFmtId="10" fontId="19" fillId="0" borderId="0" xfId="1" applyNumberFormat="1" applyFont="1" applyFill="1" applyBorder="1"/>
    <xf numFmtId="9" fontId="19" fillId="0" borderId="0" xfId="1" applyFont="1" applyFill="1" applyBorder="1"/>
    <xf numFmtId="0" fontId="29" fillId="0" borderId="0" xfId="1" applyNumberFormat="1" applyFont="1" applyFill="1"/>
    <xf numFmtId="10" fontId="33" fillId="0" borderId="0" xfId="1" applyNumberFormat="1" applyFont="1" applyFill="1"/>
    <xf numFmtId="10" fontId="18" fillId="0" borderId="21" xfId="1" applyNumberFormat="1" applyFont="1" applyFill="1" applyBorder="1"/>
    <xf numFmtId="0" fontId="29" fillId="0" borderId="24" xfId="1" applyNumberFormat="1" applyFont="1" applyFill="1" applyBorder="1"/>
    <xf numFmtId="0" fontId="29" fillId="0" borderId="0" xfId="1" applyNumberFormat="1" applyFont="1" applyFill="1" applyBorder="1" applyAlignment="1">
      <alignment horizontal="right"/>
    </xf>
    <xf numFmtId="0" fontId="33" fillId="0" borderId="0" xfId="1" applyNumberFormat="1" applyFont="1" applyFill="1" applyBorder="1" applyAlignment="1">
      <alignment horizontal="right"/>
    </xf>
    <xf numFmtId="10" fontId="33" fillId="0" borderId="20" xfId="1" applyNumberFormat="1" applyFont="1" applyFill="1" applyBorder="1"/>
    <xf numFmtId="10" fontId="20" fillId="0" borderId="29" xfId="1" applyNumberFormat="1" applyFont="1" applyFill="1" applyBorder="1"/>
    <xf numFmtId="10" fontId="33" fillId="9" borderId="20" xfId="1" applyNumberFormat="1" applyFont="1" applyFill="1" applyBorder="1"/>
    <xf numFmtId="10" fontId="20" fillId="9" borderId="29" xfId="1" applyNumberFormat="1" applyFont="1" applyFill="1" applyBorder="1"/>
    <xf numFmtId="9" fontId="8" fillId="0" borderId="0" xfId="1" applyFont="1" applyFill="1"/>
    <xf numFmtId="10" fontId="29" fillId="0" borderId="0" xfId="1" applyNumberFormat="1" applyFont="1" applyFill="1" applyBorder="1" applyAlignment="1">
      <alignment horizontal="right"/>
    </xf>
    <xf numFmtId="164" fontId="8" fillId="0" borderId="3" xfId="194" applyNumberFormat="1" applyFont="1" applyFill="1" applyBorder="1"/>
    <xf numFmtId="164" fontId="8" fillId="0" borderId="20" xfId="194" applyNumberFormat="1" applyFont="1" applyFill="1" applyBorder="1"/>
    <xf numFmtId="164" fontId="12" fillId="0" borderId="0" xfId="194" applyNumberFormat="1" applyFont="1" applyFill="1" applyBorder="1"/>
    <xf numFmtId="164" fontId="18" fillId="0" borderId="0" xfId="194" applyNumberFormat="1" applyFont="1" applyFill="1" applyBorder="1"/>
    <xf numFmtId="164" fontId="11" fillId="0" borderId="0" xfId="194" applyNumberFormat="1" applyFont="1" applyFill="1" applyBorder="1"/>
    <xf numFmtId="43" fontId="16" fillId="0" borderId="31" xfId="194" applyFont="1" applyFill="1" applyBorder="1"/>
    <xf numFmtId="43" fontId="16" fillId="0" borderId="24" xfId="194" applyFont="1" applyFill="1" applyBorder="1"/>
    <xf numFmtId="43" fontId="27" fillId="0" borderId="32" xfId="194" applyFont="1" applyFill="1" applyBorder="1"/>
    <xf numFmtId="43" fontId="27" fillId="0" borderId="0" xfId="194" applyFont="1" applyFill="1" applyBorder="1"/>
    <xf numFmtId="43" fontId="29" fillId="0" borderId="0" xfId="194" applyFont="1" applyFill="1" applyBorder="1"/>
    <xf numFmtId="43" fontId="21" fillId="0" borderId="32" xfId="194" applyFont="1" applyFill="1" applyBorder="1"/>
    <xf numFmtId="43" fontId="21" fillId="0" borderId="0" xfId="194" applyFont="1" applyFill="1" applyBorder="1"/>
    <xf numFmtId="43" fontId="29" fillId="0" borderId="0" xfId="194" applyNumberFormat="1" applyFont="1" applyFill="1" applyBorder="1"/>
    <xf numFmtId="0" fontId="8" fillId="0" borderId="32" xfId="0" applyFont="1" applyFill="1" applyBorder="1"/>
    <xf numFmtId="0" fontId="23" fillId="0" borderId="0" xfId="0" applyFont="1" applyFill="1" applyBorder="1"/>
    <xf numFmtId="165" fontId="11" fillId="0" borderId="0" xfId="194" applyNumberFormat="1" applyFont="1" applyFill="1" applyBorder="1"/>
    <xf numFmtId="0" fontId="0" fillId="0" borderId="32" xfId="0" applyBorder="1"/>
    <xf numFmtId="0" fontId="18" fillId="0" borderId="0" xfId="0" applyFont="1" applyBorder="1"/>
    <xf numFmtId="0" fontId="18" fillId="0" borderId="32" xfId="0" applyFont="1" applyBorder="1"/>
    <xf numFmtId="43" fontId="18" fillId="0" borderId="0" xfId="0" applyNumberFormat="1" applyFont="1" applyFill="1" applyBorder="1"/>
    <xf numFmtId="9" fontId="18" fillId="0" borderId="32" xfId="1" applyFont="1" applyBorder="1"/>
    <xf numFmtId="0" fontId="0" fillId="0" borderId="33" xfId="0" applyBorder="1"/>
    <xf numFmtId="0" fontId="0" fillId="0" borderId="29" xfId="0" applyBorder="1"/>
    <xf numFmtId="0" fontId="12" fillId="0" borderId="29" xfId="0" applyFont="1" applyFill="1" applyBorder="1"/>
    <xf numFmtId="0" fontId="0" fillId="0" borderId="32" xfId="0" applyFill="1" applyBorder="1"/>
    <xf numFmtId="9" fontId="18" fillId="0" borderId="32" xfId="1" applyFont="1" applyFill="1" applyBorder="1"/>
    <xf numFmtId="43" fontId="16" fillId="0" borderId="0" xfId="194" applyFont="1" applyFill="1" applyBorder="1"/>
    <xf numFmtId="0" fontId="20" fillId="0" borderId="0" xfId="0" applyFont="1" applyFill="1" applyBorder="1"/>
    <xf numFmtId="1" fontId="8" fillId="0" borderId="0" xfId="0" applyNumberFormat="1" applyFont="1" applyFill="1"/>
    <xf numFmtId="1" fontId="8" fillId="0" borderId="0" xfId="0" applyNumberFormat="1" applyFont="1" applyFill="1" applyBorder="1"/>
    <xf numFmtId="0" fontId="11" fillId="0" borderId="0" xfId="0" applyFont="1" applyFill="1"/>
    <xf numFmtId="1" fontId="12" fillId="0" borderId="0" xfId="0" applyNumberFormat="1" applyFont="1" applyFill="1"/>
    <xf numFmtId="1" fontId="11" fillId="0" borderId="20" xfId="0" applyNumberFormat="1" applyFont="1" applyFill="1" applyBorder="1"/>
    <xf numFmtId="0" fontId="7" fillId="2" borderId="0" xfId="0" applyFont="1" applyFill="1" applyAlignment="1">
      <alignment horizontal="center" vertical="center"/>
    </xf>
    <xf numFmtId="43" fontId="23" fillId="0" borderId="0" xfId="0" applyNumberFormat="1" applyFont="1"/>
    <xf numFmtId="9" fontId="12" fillId="0" borderId="0" xfId="1" applyFont="1" applyFill="1"/>
    <xf numFmtId="0" fontId="8" fillId="0" borderId="0" xfId="0" applyNumberFormat="1" applyFont="1" applyFill="1"/>
    <xf numFmtId="2" fontId="12" fillId="0" borderId="0" xfId="0" applyNumberFormat="1" applyFont="1" applyFill="1" applyBorder="1"/>
    <xf numFmtId="10" fontId="30" fillId="0" borderId="0" xfId="1" applyNumberFormat="1" applyFont="1" applyFill="1"/>
    <xf numFmtId="2" fontId="12" fillId="0" borderId="38" xfId="0" applyNumberFormat="1" applyFont="1" applyFill="1" applyBorder="1"/>
    <xf numFmtId="2" fontId="12" fillId="0" borderId="0" xfId="0" applyNumberFormat="1" applyFont="1" applyFill="1"/>
    <xf numFmtId="2" fontId="21" fillId="0" borderId="0" xfId="0" applyNumberFormat="1" applyFont="1" applyFill="1" applyAlignment="1">
      <alignment horizontal="right"/>
    </xf>
    <xf numFmtId="2" fontId="29" fillId="0" borderId="0" xfId="0" applyNumberFormat="1" applyFont="1" applyFill="1"/>
    <xf numFmtId="2" fontId="33" fillId="0" borderId="0" xfId="0" applyNumberFormat="1" applyFont="1" applyFill="1"/>
    <xf numFmtId="2" fontId="0" fillId="0" borderId="0" xfId="0" applyNumberFormat="1" applyFill="1"/>
    <xf numFmtId="2" fontId="8" fillId="0" borderId="20" xfId="0" applyNumberFormat="1" applyFont="1" applyFill="1" applyBorder="1"/>
    <xf numFmtId="0" fontId="27" fillId="0" borderId="0" xfId="0" applyFont="1" applyBorder="1"/>
    <xf numFmtId="2" fontId="21" fillId="0" borderId="20" xfId="0" applyNumberFormat="1" applyFont="1" applyFill="1" applyBorder="1"/>
    <xf numFmtId="0" fontId="21" fillId="0" borderId="0" xfId="1" applyNumberFormat="1" applyFont="1" applyBorder="1"/>
    <xf numFmtId="0" fontId="21" fillId="0" borderId="20" xfId="1" applyNumberFormat="1" applyFont="1" applyFill="1" applyBorder="1"/>
    <xf numFmtId="43" fontId="27" fillId="0" borderId="24" xfId="0" applyNumberFormat="1" applyFont="1" applyFill="1" applyBorder="1"/>
    <xf numFmtId="2" fontId="27" fillId="0" borderId="0" xfId="0" applyNumberFormat="1" applyFont="1" applyFill="1" applyBorder="1"/>
    <xf numFmtId="9" fontId="41" fillId="0" borderId="0" xfId="1" applyFont="1" applyFill="1"/>
    <xf numFmtId="9" fontId="41" fillId="0" borderId="0" xfId="1" applyFont="1" applyFill="1" applyBorder="1"/>
    <xf numFmtId="9" fontId="18" fillId="0" borderId="21" xfId="1" applyFont="1" applyFill="1" applyBorder="1"/>
    <xf numFmtId="0" fontId="33" fillId="0" borderId="0" xfId="1" applyNumberFormat="1" applyFont="1" applyFill="1" applyBorder="1"/>
    <xf numFmtId="10" fontId="20" fillId="0" borderId="0" xfId="1" applyNumberFormat="1" applyFont="1" applyFill="1" applyBorder="1"/>
    <xf numFmtId="10" fontId="38" fillId="0" borderId="0" xfId="1" applyNumberFormat="1" applyFont="1" applyFill="1" applyBorder="1"/>
    <xf numFmtId="10" fontId="39" fillId="0" borderId="0" xfId="1" applyNumberFormat="1" applyFont="1" applyFill="1" applyBorder="1"/>
    <xf numFmtId="1" fontId="18" fillId="0" borderId="0" xfId="1" applyNumberFormat="1" applyFont="1" applyFill="1"/>
    <xf numFmtId="1" fontId="29" fillId="0" borderId="0" xfId="1" applyNumberFormat="1" applyFont="1" applyFill="1"/>
    <xf numFmtId="0" fontId="42" fillId="2" borderId="0" xfId="0" applyFont="1" applyFill="1" applyAlignment="1">
      <alignment horizontal="left"/>
    </xf>
    <xf numFmtId="0" fontId="42" fillId="2" borderId="0" xfId="0" applyFont="1" applyFill="1" applyAlignment="1">
      <alignment horizontal="center" vertical="center"/>
    </xf>
    <xf numFmtId="0" fontId="11" fillId="0" borderId="40" xfId="0" applyFont="1" applyBorder="1" applyAlignment="1">
      <alignment horizontal="left"/>
    </xf>
    <xf numFmtId="0" fontId="11" fillId="0" borderId="38" xfId="0" applyFont="1" applyBorder="1" applyAlignment="1">
      <alignment horizontal="left"/>
    </xf>
    <xf numFmtId="0" fontId="11" fillId="0" borderId="42" xfId="0" applyFont="1" applyBorder="1" applyAlignment="1">
      <alignment horizontal="left"/>
    </xf>
    <xf numFmtId="0" fontId="12" fillId="0" borderId="2" xfId="0" applyFont="1" applyBorder="1"/>
    <xf numFmtId="2" fontId="12" fillId="0" borderId="0" xfId="0" applyNumberFormat="1" applyFont="1" applyBorder="1" applyAlignment="1">
      <alignment horizontal="center" vertical="center"/>
    </xf>
    <xf numFmtId="2" fontId="12" fillId="0" borderId="21" xfId="0" applyNumberFormat="1" applyFont="1" applyBorder="1" applyAlignment="1">
      <alignment horizontal="center" vertical="center"/>
    </xf>
    <xf numFmtId="2" fontId="43" fillId="0" borderId="3" xfId="0" applyNumberFormat="1" applyFont="1" applyBorder="1" applyAlignment="1">
      <alignment horizontal="center" vertical="center"/>
    </xf>
    <xf numFmtId="2" fontId="43" fillId="0" borderId="30" xfId="0" applyNumberFormat="1" applyFont="1" applyBorder="1" applyAlignment="1">
      <alignment horizontal="center" vertical="center"/>
    </xf>
    <xf numFmtId="2" fontId="12" fillId="0" borderId="0" xfId="0" applyNumberFormat="1" applyFont="1" applyAlignment="1">
      <alignment horizontal="center"/>
    </xf>
    <xf numFmtId="2" fontId="11" fillId="0" borderId="0" xfId="0" applyNumberFormat="1" applyFont="1" applyFill="1" applyAlignment="1">
      <alignment horizontal="center"/>
    </xf>
    <xf numFmtId="2" fontId="29" fillId="0" borderId="0" xfId="0" applyNumberFormat="1" applyFont="1" applyFill="1" applyAlignment="1">
      <alignment horizontal="center"/>
    </xf>
    <xf numFmtId="2" fontId="29" fillId="0" borderId="0" xfId="194" applyNumberFormat="1" applyFont="1" applyFill="1" applyAlignment="1">
      <alignment horizontal="center"/>
    </xf>
    <xf numFmtId="0" fontId="21" fillId="0" borderId="0" xfId="0" applyFont="1" applyFill="1" applyBorder="1" applyAlignment="1">
      <alignment horizontal="center"/>
    </xf>
    <xf numFmtId="0" fontId="7" fillId="2" borderId="0" xfId="0" applyFont="1" applyFill="1" applyBorder="1" applyAlignment="1">
      <alignment horizontal="center" vertical="center"/>
    </xf>
    <xf numFmtId="0" fontId="11" fillId="0" borderId="20" xfId="0" applyFont="1" applyFill="1" applyBorder="1"/>
    <xf numFmtId="0" fontId="7" fillId="0" borderId="0" xfId="0" applyFont="1" applyFill="1" applyAlignment="1">
      <alignment horizontal="center" vertical="center"/>
    </xf>
    <xf numFmtId="0" fontId="17" fillId="0" borderId="0" xfId="0" applyFont="1" applyFill="1" applyAlignment="1">
      <alignment horizontal="center" vertical="center"/>
    </xf>
    <xf numFmtId="0" fontId="0" fillId="0" borderId="0" xfId="0" applyFont="1" applyAlignment="1">
      <alignment horizontal="right"/>
    </xf>
    <xf numFmtId="0" fontId="27" fillId="0" borderId="0" xfId="0" applyFont="1" applyFill="1" applyAlignment="1">
      <alignment horizontal="left" vertical="center"/>
    </xf>
    <xf numFmtId="0" fontId="0" fillId="0" borderId="0" xfId="0" applyFont="1" applyAlignment="1">
      <alignment horizontal="left"/>
    </xf>
    <xf numFmtId="0" fontId="0" fillId="0" borderId="0" xfId="0" applyFill="1" applyAlignment="1">
      <alignment horizontal="right"/>
    </xf>
    <xf numFmtId="0" fontId="11" fillId="0" borderId="31" xfId="0" applyFont="1" applyFill="1" applyBorder="1"/>
    <xf numFmtId="0" fontId="11" fillId="0" borderId="24" xfId="0" applyFont="1" applyFill="1" applyBorder="1"/>
    <xf numFmtId="0" fontId="12" fillId="0" borderId="32" xfId="0" applyFont="1" applyFill="1" applyBorder="1"/>
    <xf numFmtId="0" fontId="0" fillId="0" borderId="0" xfId="0" applyFill="1" applyBorder="1" applyAlignment="1">
      <alignment horizontal="right"/>
    </xf>
    <xf numFmtId="10" fontId="18" fillId="0" borderId="32" xfId="1" applyNumberFormat="1" applyFont="1" applyFill="1" applyBorder="1"/>
    <xf numFmtId="10" fontId="21" fillId="0" borderId="0" xfId="1" applyNumberFormat="1" applyFont="1" applyFill="1"/>
    <xf numFmtId="10" fontId="33" fillId="0" borderId="32" xfId="1" applyNumberFormat="1" applyFont="1" applyFill="1" applyBorder="1"/>
    <xf numFmtId="10" fontId="21" fillId="0" borderId="0" xfId="1" applyNumberFormat="1" applyFont="1" applyFill="1" applyBorder="1" applyAlignment="1">
      <alignment horizontal="right"/>
    </xf>
    <xf numFmtId="0" fontId="11" fillId="0" borderId="32" xfId="0" applyFont="1" applyFill="1" applyBorder="1"/>
    <xf numFmtId="9" fontId="11" fillId="0" borderId="34" xfId="1" applyFont="1" applyFill="1" applyBorder="1"/>
    <xf numFmtId="9" fontId="12" fillId="0" borderId="32" xfId="1" applyFont="1" applyFill="1" applyBorder="1"/>
    <xf numFmtId="0" fontId="28" fillId="0" borderId="33" xfId="0" applyFont="1" applyFill="1" applyBorder="1"/>
    <xf numFmtId="10" fontId="27" fillId="0" borderId="0" xfId="1" applyNumberFormat="1" applyFont="1" applyFill="1"/>
    <xf numFmtId="9" fontId="27" fillId="0" borderId="0" xfId="1" applyFont="1" applyFill="1"/>
    <xf numFmtId="10" fontId="33" fillId="0" borderId="31" xfId="1" applyNumberFormat="1" applyFont="1" applyFill="1" applyBorder="1"/>
    <xf numFmtId="0" fontId="29" fillId="0" borderId="32" xfId="1" applyNumberFormat="1" applyFont="1" applyFill="1" applyBorder="1"/>
    <xf numFmtId="0" fontId="33" fillId="0" borderId="32" xfId="1" applyNumberFormat="1" applyFont="1" applyFill="1" applyBorder="1"/>
    <xf numFmtId="0" fontId="29" fillId="0" borderId="32" xfId="0" applyNumberFormat="1" applyFont="1" applyFill="1" applyBorder="1"/>
    <xf numFmtId="0" fontId="33" fillId="0" borderId="0" xfId="0" applyNumberFormat="1" applyFont="1" applyFill="1"/>
    <xf numFmtId="0" fontId="29" fillId="0" borderId="35" xfId="1" applyNumberFormat="1" applyFont="1" applyFill="1" applyBorder="1"/>
    <xf numFmtId="0" fontId="7" fillId="2" borderId="0" xfId="0" applyFont="1" applyFill="1" applyBorder="1" applyAlignment="1">
      <alignment horizontal="center"/>
    </xf>
    <xf numFmtId="2" fontId="8" fillId="0" borderId="0" xfId="0" applyNumberFormat="1" applyFont="1" applyFill="1"/>
    <xf numFmtId="0" fontId="8" fillId="0" borderId="21" xfId="0" applyFont="1" applyFill="1" applyBorder="1"/>
    <xf numFmtId="0" fontId="12" fillId="0" borderId="21" xfId="0" applyFont="1" applyFill="1" applyBorder="1"/>
    <xf numFmtId="0" fontId="0" fillId="0" borderId="21" xfId="0" applyFill="1" applyBorder="1"/>
    <xf numFmtId="2" fontId="8" fillId="0" borderId="0" xfId="0" applyNumberFormat="1" applyFont="1" applyFill="1" applyBorder="1"/>
    <xf numFmtId="0" fontId="8" fillId="0" borderId="24" xfId="0" applyFont="1" applyFill="1" applyBorder="1"/>
    <xf numFmtId="2" fontId="11" fillId="0" borderId="0" xfId="0" applyNumberFormat="1" applyFont="1" applyFill="1" applyBorder="1"/>
    <xf numFmtId="1" fontId="20" fillId="0" borderId="0" xfId="0" applyNumberFormat="1" applyFont="1" applyFill="1"/>
    <xf numFmtId="0" fontId="21" fillId="0" borderId="21" xfId="0" applyFont="1" applyFill="1" applyBorder="1"/>
    <xf numFmtId="0" fontId="27" fillId="0" borderId="21" xfId="0" applyFont="1" applyFill="1" applyBorder="1"/>
    <xf numFmtId="0" fontId="33" fillId="0" borderId="20" xfId="0" applyFont="1" applyFill="1" applyBorder="1"/>
    <xf numFmtId="0" fontId="7" fillId="0" borderId="0" xfId="0" applyFont="1" applyFill="1" applyBorder="1"/>
    <xf numFmtId="0" fontId="12" fillId="0" borderId="38" xfId="0" applyFont="1" applyFill="1" applyBorder="1"/>
    <xf numFmtId="1" fontId="8" fillId="0" borderId="20" xfId="0" applyNumberFormat="1" applyFont="1" applyFill="1" applyBorder="1"/>
    <xf numFmtId="0" fontId="21" fillId="0" borderId="20" xfId="0" applyFont="1" applyFill="1" applyBorder="1"/>
    <xf numFmtId="1" fontId="21" fillId="0" borderId="20" xfId="0" applyNumberFormat="1" applyFont="1" applyFill="1" applyBorder="1"/>
    <xf numFmtId="0" fontId="21" fillId="0" borderId="0" xfId="0" applyFont="1" applyFill="1" applyAlignment="1">
      <alignment horizontal="right"/>
    </xf>
    <xf numFmtId="0" fontId="29" fillId="0" borderId="0" xfId="0" applyFont="1" applyFill="1" applyAlignment="1">
      <alignment horizontal="right"/>
    </xf>
    <xf numFmtId="2" fontId="29" fillId="0" borderId="0" xfId="0" applyNumberFormat="1" applyFont="1" applyFill="1" applyAlignment="1">
      <alignment horizontal="right"/>
    </xf>
    <xf numFmtId="0" fontId="21" fillId="0" borderId="20" xfId="0" applyFont="1" applyFill="1" applyBorder="1" applyAlignment="1">
      <alignment horizontal="right"/>
    </xf>
    <xf numFmtId="2" fontId="21" fillId="0" borderId="20" xfId="0" applyNumberFormat="1" applyFont="1" applyFill="1" applyBorder="1" applyAlignment="1">
      <alignment horizontal="right"/>
    </xf>
    <xf numFmtId="2" fontId="27" fillId="0" borderId="0" xfId="0" applyNumberFormat="1" applyFont="1" applyFill="1" applyAlignment="1">
      <alignment horizontal="right"/>
    </xf>
    <xf numFmtId="10" fontId="29" fillId="0" borderId="0" xfId="1" applyNumberFormat="1" applyFont="1" applyFill="1" applyAlignment="1">
      <alignment horizontal="right"/>
    </xf>
    <xf numFmtId="2" fontId="33" fillId="0" borderId="20" xfId="0" applyNumberFormat="1" applyFont="1" applyFill="1" applyBorder="1"/>
    <xf numFmtId="2" fontId="20" fillId="0" borderId="0" xfId="0" applyNumberFormat="1" applyFont="1" applyFill="1"/>
    <xf numFmtId="2" fontId="11" fillId="0" borderId="0" xfId="0" applyNumberFormat="1" applyFont="1" applyFill="1"/>
    <xf numFmtId="0" fontId="21" fillId="0" borderId="0" xfId="0" applyNumberFormat="1" applyFont="1" applyFill="1"/>
    <xf numFmtId="2" fontId="21" fillId="0" borderId="0" xfId="0" applyNumberFormat="1" applyFont="1" applyFill="1"/>
    <xf numFmtId="0" fontId="27" fillId="0" borderId="0" xfId="0" applyNumberFormat="1" applyFont="1" applyFill="1"/>
    <xf numFmtId="0" fontId="21" fillId="0" borderId="20" xfId="0" applyNumberFormat="1" applyFont="1" applyFill="1" applyBorder="1"/>
    <xf numFmtId="9" fontId="29" fillId="0" borderId="0" xfId="0" applyNumberFormat="1" applyFont="1" applyFill="1"/>
    <xf numFmtId="0" fontId="12" fillId="0" borderId="0" xfId="0" applyNumberFormat="1" applyFont="1" applyFill="1"/>
    <xf numFmtId="1" fontId="21" fillId="0" borderId="0" xfId="0" applyNumberFormat="1" applyFont="1" applyFill="1" applyBorder="1"/>
    <xf numFmtId="2" fontId="21" fillId="0" borderId="0" xfId="0" applyNumberFormat="1" applyFont="1" applyFill="1" applyBorder="1" applyAlignment="1">
      <alignment horizontal="right"/>
    </xf>
    <xf numFmtId="9" fontId="30" fillId="0" borderId="0" xfId="1" applyFont="1" applyFill="1"/>
    <xf numFmtId="1" fontId="0" fillId="0" borderId="0" xfId="0" applyNumberFormat="1" applyFill="1"/>
    <xf numFmtId="0" fontId="19" fillId="0" borderId="20" xfId="0" applyFont="1" applyBorder="1" applyAlignment="1">
      <alignment horizontal="center"/>
    </xf>
    <xf numFmtId="0" fontId="44" fillId="0" borderId="20" xfId="0" applyFont="1" applyFill="1" applyBorder="1" applyAlignment="1">
      <alignment horizontal="center"/>
    </xf>
    <xf numFmtId="0" fontId="7" fillId="2" borderId="20" xfId="0" applyFont="1" applyFill="1" applyBorder="1" applyAlignment="1">
      <alignment horizontal="center"/>
    </xf>
    <xf numFmtId="0" fontId="7" fillId="0" borderId="20" xfId="0" applyFont="1" applyBorder="1" applyAlignment="1">
      <alignment horizontal="center"/>
    </xf>
    <xf numFmtId="0" fontId="8" fillId="0" borderId="2" xfId="0" applyFont="1" applyFill="1" applyBorder="1"/>
    <xf numFmtId="0" fontId="18" fillId="0" borderId="20" xfId="0" applyFont="1" applyBorder="1"/>
    <xf numFmtId="0" fontId="0" fillId="0" borderId="20" xfId="0" applyBorder="1"/>
    <xf numFmtId="10" fontId="30" fillId="0" borderId="0" xfId="1" applyNumberFormat="1" applyFont="1" applyBorder="1"/>
    <xf numFmtId="0" fontId="14" fillId="0" borderId="0" xfId="0" applyFont="1" applyBorder="1"/>
    <xf numFmtId="0" fontId="23" fillId="0" borderId="0" xfId="0" applyFont="1" applyBorder="1"/>
    <xf numFmtId="0" fontId="7" fillId="0" borderId="0" xfId="0" applyFont="1" applyBorder="1" applyAlignment="1">
      <alignment horizontal="center"/>
    </xf>
    <xf numFmtId="0" fontId="14" fillId="0" borderId="0" xfId="0" applyFont="1" applyBorder="1" applyAlignment="1">
      <alignment horizontal="center" vertical="center"/>
    </xf>
    <xf numFmtId="9" fontId="30" fillId="0" borderId="0" xfId="1" applyFont="1" applyBorder="1"/>
    <xf numFmtId="0" fontId="12" fillId="0" borderId="0" xfId="0" applyFont="1" applyBorder="1" applyAlignment="1">
      <alignment horizontal="left" indent="1"/>
    </xf>
    <xf numFmtId="0" fontId="0" fillId="0" borderId="20" xfId="0" applyFill="1" applyBorder="1"/>
    <xf numFmtId="0" fontId="8" fillId="0" borderId="3" xfId="0" applyFont="1" applyBorder="1"/>
    <xf numFmtId="0" fontId="8" fillId="0" borderId="3" xfId="0" applyFont="1" applyFill="1" applyBorder="1"/>
    <xf numFmtId="0" fontId="0" fillId="8" borderId="20" xfId="0" applyFill="1" applyBorder="1"/>
    <xf numFmtId="0" fontId="21" fillId="0" borderId="0" xfId="0" applyFont="1" applyBorder="1"/>
    <xf numFmtId="0" fontId="7" fillId="0" borderId="20" xfId="0" applyFont="1" applyFill="1" applyBorder="1"/>
    <xf numFmtId="0" fontId="7" fillId="2" borderId="20" xfId="0" applyFont="1" applyFill="1" applyBorder="1"/>
    <xf numFmtId="43" fontId="8" fillId="0" borderId="0" xfId="0" applyNumberFormat="1" applyFont="1" applyFill="1" applyBorder="1"/>
    <xf numFmtId="9" fontId="18" fillId="0" borderId="0" xfId="1" applyFont="1" applyFill="1" applyBorder="1" applyAlignment="1">
      <alignment horizontal="center" vertical="center"/>
    </xf>
    <xf numFmtId="2" fontId="29" fillId="0" borderId="0" xfId="1" applyNumberFormat="1" applyFont="1" applyFill="1" applyBorder="1"/>
    <xf numFmtId="43" fontId="29" fillId="0" borderId="0" xfId="1" applyNumberFormat="1" applyFont="1" applyFill="1" applyBorder="1"/>
    <xf numFmtId="2" fontId="0" fillId="0" borderId="0" xfId="0" applyNumberFormat="1" applyFill="1" applyBorder="1"/>
    <xf numFmtId="1" fontId="20" fillId="0" borderId="0" xfId="0" applyNumberFormat="1" applyFont="1" applyFill="1" applyBorder="1"/>
    <xf numFmtId="1" fontId="12" fillId="0" borderId="0" xfId="0" applyNumberFormat="1" applyFont="1" applyFill="1" applyBorder="1"/>
    <xf numFmtId="2" fontId="29" fillId="0" borderId="0" xfId="0" applyNumberFormat="1" applyFont="1" applyFill="1" applyBorder="1" applyAlignment="1">
      <alignment horizontal="right"/>
    </xf>
    <xf numFmtId="2" fontId="27" fillId="0" borderId="0" xfId="0" applyNumberFormat="1" applyFont="1" applyFill="1" applyBorder="1" applyAlignment="1">
      <alignment horizontal="right"/>
    </xf>
    <xf numFmtId="2" fontId="29" fillId="0" borderId="0" xfId="0" applyNumberFormat="1" applyFont="1" applyFill="1" applyBorder="1"/>
    <xf numFmtId="2" fontId="20" fillId="0" borderId="0" xfId="0" applyNumberFormat="1" applyFont="1" applyFill="1" applyBorder="1"/>
    <xf numFmtId="0" fontId="8" fillId="0" borderId="0" xfId="0" applyNumberFormat="1" applyFont="1" applyFill="1" applyBorder="1"/>
    <xf numFmtId="0" fontId="0" fillId="0" borderId="0" xfId="0" applyNumberFormat="1" applyFill="1" applyBorder="1"/>
    <xf numFmtId="0" fontId="12" fillId="0" borderId="0" xfId="0" applyNumberFormat="1" applyFont="1" applyFill="1" applyBorder="1"/>
    <xf numFmtId="10" fontId="0" fillId="0" borderId="0" xfId="1" applyNumberFormat="1" applyFont="1" applyFill="1" applyBorder="1"/>
    <xf numFmtId="43" fontId="23" fillId="0" borderId="0" xfId="0" applyNumberFormat="1" applyFont="1" applyBorder="1"/>
    <xf numFmtId="0" fontId="20" fillId="0" borderId="0" xfId="0" applyFont="1" applyBorder="1"/>
    <xf numFmtId="0" fontId="22" fillId="0" borderId="0" xfId="0" applyFont="1" applyBorder="1"/>
    <xf numFmtId="0" fontId="31" fillId="0" borderId="0" xfId="0" applyFont="1" applyBorder="1"/>
    <xf numFmtId="0" fontId="32" fillId="0" borderId="0" xfId="0" applyFont="1" applyBorder="1"/>
    <xf numFmtId="0" fontId="29" fillId="0" borderId="0" xfId="0" applyFont="1" applyBorder="1"/>
    <xf numFmtId="0" fontId="22" fillId="0" borderId="0" xfId="0" applyFont="1" applyFill="1" applyBorder="1"/>
    <xf numFmtId="10" fontId="29" fillId="0" borderId="0" xfId="1" applyNumberFormat="1" applyFont="1" applyBorder="1"/>
    <xf numFmtId="0" fontId="33" fillId="0" borderId="0" xfId="0" applyFont="1" applyBorder="1"/>
    <xf numFmtId="0" fontId="8" fillId="0" borderId="0" xfId="0" applyNumberFormat="1" applyFont="1" applyBorder="1"/>
    <xf numFmtId="0" fontId="0" fillId="0" borderId="0" xfId="0" applyNumberFormat="1" applyBorder="1"/>
    <xf numFmtId="10" fontId="0" fillId="0" borderId="0" xfId="1" applyNumberFormat="1" applyFont="1" applyBorder="1"/>
    <xf numFmtId="0" fontId="11" fillId="0" borderId="20" xfId="0" applyFont="1" applyBorder="1"/>
    <xf numFmtId="10" fontId="12" fillId="0" borderId="0" xfId="0" applyNumberFormat="1" applyFont="1"/>
    <xf numFmtId="0" fontId="45" fillId="0" borderId="0" xfId="0" applyFont="1"/>
    <xf numFmtId="0" fontId="0" fillId="0" borderId="0" xfId="0" applyAlignment="1">
      <alignment horizontal="center"/>
    </xf>
    <xf numFmtId="9" fontId="12" fillId="0" borderId="0" xfId="0" applyNumberFormat="1" applyFont="1"/>
    <xf numFmtId="10" fontId="12" fillId="0" borderId="0" xfId="1" applyNumberFormat="1" applyFont="1" applyBorder="1"/>
    <xf numFmtId="0" fontId="12" fillId="0" borderId="0" xfId="0" applyNumberFormat="1" applyFont="1"/>
    <xf numFmtId="0" fontId="12" fillId="0" borderId="0" xfId="0" applyNumberFormat="1" applyFont="1" applyBorder="1"/>
    <xf numFmtId="1" fontId="11" fillId="0" borderId="20" xfId="0" applyNumberFormat="1" applyFont="1" applyBorder="1"/>
    <xf numFmtId="9" fontId="11" fillId="0" borderId="0" xfId="1" applyFont="1"/>
    <xf numFmtId="9" fontId="11" fillId="0" borderId="3" xfId="1" applyFont="1" applyBorder="1"/>
    <xf numFmtId="9" fontId="18" fillId="0" borderId="3" xfId="1" applyFont="1" applyBorder="1"/>
    <xf numFmtId="2" fontId="12" fillId="0" borderId="2" xfId="0" applyNumberFormat="1" applyFont="1" applyBorder="1"/>
    <xf numFmtId="10" fontId="12" fillId="0" borderId="2" xfId="1" applyNumberFormat="1" applyFont="1" applyBorder="1"/>
    <xf numFmtId="2" fontId="12" fillId="0" borderId="0" xfId="0" applyNumberFormat="1" applyFont="1" applyBorder="1"/>
    <xf numFmtId="0" fontId="12" fillId="0" borderId="3" xfId="0" applyFont="1" applyBorder="1"/>
    <xf numFmtId="2" fontId="12" fillId="0" borderId="3" xfId="0" applyNumberFormat="1" applyFont="1" applyBorder="1"/>
    <xf numFmtId="10" fontId="12" fillId="0" borderId="3" xfId="1" applyNumberFormat="1" applyFont="1"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0" fillId="0" borderId="0" xfId="0" applyAlignment="1">
      <alignment horizontal="center" vertical="center"/>
    </xf>
    <xf numFmtId="0" fontId="7" fillId="2" borderId="45"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2" xfId="0" applyFont="1" applyFill="1" applyBorder="1" applyAlignment="1">
      <alignment horizontal="center" vertical="center"/>
    </xf>
    <xf numFmtId="1" fontId="12" fillId="0" borderId="3" xfId="0" applyNumberFormat="1" applyFont="1" applyBorder="1"/>
    <xf numFmtId="0" fontId="12" fillId="0" borderId="38" xfId="0" applyFont="1" applyBorder="1" applyAlignment="1">
      <alignment horizontal="left"/>
    </xf>
    <xf numFmtId="0" fontId="12" fillId="0" borderId="0" xfId="0" applyFont="1" applyAlignment="1">
      <alignment horizontal="center"/>
    </xf>
    <xf numFmtId="0" fontId="12" fillId="0" borderId="0" xfId="0" applyFont="1" applyBorder="1" applyAlignment="1">
      <alignment horizontal="center" vertical="center"/>
    </xf>
    <xf numFmtId="0" fontId="12" fillId="0" borderId="0" xfId="0" applyFont="1" applyAlignment="1">
      <alignment horizontal="center" vertical="center"/>
    </xf>
    <xf numFmtId="10" fontId="12" fillId="0" borderId="0" xfId="0" applyNumberFormat="1" applyFont="1" applyBorder="1" applyAlignment="1">
      <alignment horizontal="center" vertical="center"/>
    </xf>
    <xf numFmtId="0" fontId="11" fillId="0" borderId="36" xfId="0" applyFont="1" applyBorder="1" applyAlignment="1">
      <alignment horizontal="left"/>
    </xf>
    <xf numFmtId="0" fontId="42" fillId="2" borderId="39" xfId="0" applyFont="1" applyFill="1" applyBorder="1" applyAlignment="1">
      <alignment horizontal="center"/>
    </xf>
    <xf numFmtId="9" fontId="12" fillId="0" borderId="21" xfId="0" applyNumberFormat="1" applyFont="1" applyBorder="1" applyAlignment="1">
      <alignment horizontal="center" vertical="center"/>
    </xf>
    <xf numFmtId="9" fontId="11" fillId="0" borderId="22" xfId="0" applyNumberFormat="1" applyFont="1" applyBorder="1" applyAlignment="1">
      <alignment horizontal="center" vertical="center"/>
    </xf>
    <xf numFmtId="0" fontId="42" fillId="2" borderId="45" xfId="0" applyFont="1" applyFill="1" applyBorder="1" applyAlignment="1">
      <alignment horizontal="center" vertical="center"/>
    </xf>
    <xf numFmtId="9" fontId="12" fillId="0" borderId="21" xfId="1" applyFont="1" applyBorder="1" applyAlignment="1">
      <alignment horizontal="center" vertical="center"/>
    </xf>
    <xf numFmtId="0" fontId="11" fillId="0" borderId="36" xfId="0" applyFont="1" applyBorder="1"/>
    <xf numFmtId="0" fontId="11" fillId="0" borderId="20" xfId="0" applyFont="1" applyBorder="1" applyAlignment="1">
      <alignment horizontal="center" vertical="center"/>
    </xf>
    <xf numFmtId="9" fontId="11" fillId="0" borderId="22" xfId="1" applyFont="1" applyBorder="1" applyAlignment="1">
      <alignment horizontal="center" vertical="center"/>
    </xf>
    <xf numFmtId="0" fontId="42" fillId="2" borderId="39" xfId="0" applyFont="1" applyFill="1" applyBorder="1"/>
    <xf numFmtId="0" fontId="46" fillId="0" borderId="38" xfId="0" applyFont="1" applyBorder="1"/>
    <xf numFmtId="0" fontId="46" fillId="0" borderId="0" xfId="0" applyFont="1" applyAlignment="1">
      <alignment horizontal="center" vertical="center"/>
    </xf>
    <xf numFmtId="9" fontId="46" fillId="0" borderId="21" xfId="0" applyNumberFormat="1" applyFont="1" applyBorder="1" applyAlignment="1">
      <alignment horizontal="center" vertical="center"/>
    </xf>
    <xf numFmtId="0" fontId="46" fillId="0" borderId="0" xfId="0" applyFont="1"/>
    <xf numFmtId="0" fontId="47" fillId="0" borderId="36" xfId="0" applyFont="1" applyBorder="1"/>
    <xf numFmtId="0" fontId="47" fillId="0" borderId="20" xfId="0" applyFont="1" applyBorder="1" applyAlignment="1">
      <alignment horizontal="center" vertical="center"/>
    </xf>
    <xf numFmtId="9" fontId="47" fillId="0" borderId="22" xfId="0" applyNumberFormat="1" applyFont="1" applyBorder="1" applyAlignment="1">
      <alignment horizontal="center" vertical="center"/>
    </xf>
    <xf numFmtId="0" fontId="48" fillId="3" borderId="39" xfId="0" applyFont="1" applyFill="1" applyBorder="1"/>
    <xf numFmtId="0" fontId="37" fillId="0" borderId="0" xfId="0" applyFont="1" applyFill="1" applyAlignment="1"/>
    <xf numFmtId="0" fontId="11" fillId="0" borderId="0" xfId="0" applyFont="1" applyAlignment="1">
      <alignment horizontal="center" vertical="center"/>
    </xf>
    <xf numFmtId="0" fontId="7" fillId="2" borderId="39" xfId="0" applyFont="1" applyFill="1" applyBorder="1"/>
    <xf numFmtId="10" fontId="12" fillId="0" borderId="21" xfId="1" applyNumberFormat="1" applyFont="1" applyBorder="1" applyAlignment="1">
      <alignment horizontal="center" vertical="center"/>
    </xf>
    <xf numFmtId="2" fontId="11" fillId="0" borderId="20" xfId="0" applyNumberFormat="1" applyFont="1" applyBorder="1" applyAlignment="1">
      <alignment horizontal="center" vertical="center"/>
    </xf>
    <xf numFmtId="10" fontId="11" fillId="0" borderId="22" xfId="1" applyNumberFormat="1" applyFont="1" applyBorder="1" applyAlignment="1">
      <alignment horizontal="center" vertical="center"/>
    </xf>
    <xf numFmtId="9" fontId="18" fillId="0" borderId="0" xfId="1" applyFont="1" applyFill="1" applyAlignment="1">
      <alignment horizontal="center" vertical="center"/>
    </xf>
    <xf numFmtId="0" fontId="0" fillId="0" borderId="0" xfId="0" applyFill="1" applyAlignment="1">
      <alignment horizontal="center" vertical="center"/>
    </xf>
    <xf numFmtId="0" fontId="12" fillId="0" borderId="0" xfId="0" applyFont="1" applyFill="1" applyAlignment="1">
      <alignment horizontal="center" vertical="center"/>
    </xf>
    <xf numFmtId="9" fontId="41" fillId="0" borderId="0" xfId="1" applyFont="1"/>
    <xf numFmtId="9" fontId="41" fillId="0" borderId="0" xfId="1" applyFont="1" applyAlignment="1">
      <alignment horizontal="center" vertical="center"/>
    </xf>
    <xf numFmtId="9" fontId="18" fillId="0" borderId="3" xfId="1" applyFont="1" applyFill="1" applyBorder="1" applyAlignment="1">
      <alignment horizontal="center" vertical="center"/>
    </xf>
    <xf numFmtId="9" fontId="18" fillId="0" borderId="0" xfId="1" applyFont="1" applyAlignment="1">
      <alignment horizontal="center" vertical="center"/>
    </xf>
    <xf numFmtId="0" fontId="7" fillId="2" borderId="45" xfId="0" applyFont="1" applyFill="1" applyBorder="1"/>
    <xf numFmtId="0" fontId="12" fillId="0" borderId="21" xfId="0" applyFont="1" applyBorder="1" applyAlignment="1">
      <alignment horizontal="center" vertical="center"/>
    </xf>
    <xf numFmtId="9" fontId="18" fillId="0" borderId="38" xfId="1" applyFont="1" applyFill="1" applyBorder="1"/>
    <xf numFmtId="9" fontId="18" fillId="0" borderId="21" xfId="1" applyFont="1" applyFill="1" applyBorder="1" applyAlignment="1">
      <alignment horizontal="center" vertical="center"/>
    </xf>
    <xf numFmtId="0" fontId="11" fillId="0" borderId="22" xfId="0" applyFont="1" applyBorder="1" applyAlignment="1">
      <alignment horizontal="center" vertical="center"/>
    </xf>
    <xf numFmtId="9" fontId="18" fillId="0" borderId="44" xfId="1" applyFont="1" applyFill="1" applyBorder="1"/>
    <xf numFmtId="9" fontId="18" fillId="0" borderId="30" xfId="1" applyFont="1" applyFill="1" applyBorder="1" applyAlignment="1">
      <alignment horizontal="center" vertical="center"/>
    </xf>
    <xf numFmtId="9" fontId="18" fillId="0" borderId="38" xfId="1" applyFont="1" applyBorder="1"/>
    <xf numFmtId="9" fontId="18" fillId="0" borderId="0" xfId="1" applyFont="1" applyBorder="1" applyAlignment="1">
      <alignment horizontal="center" vertical="center"/>
    </xf>
    <xf numFmtId="9" fontId="18" fillId="0" borderId="21" xfId="1" applyFont="1" applyBorder="1" applyAlignment="1">
      <alignment horizontal="center" vertical="center"/>
    </xf>
    <xf numFmtId="9" fontId="18" fillId="0" borderId="44" xfId="1" applyFont="1" applyBorder="1"/>
    <xf numFmtId="9" fontId="18" fillId="0" borderId="3" xfId="1" applyFont="1" applyBorder="1" applyAlignment="1">
      <alignment horizontal="center" vertical="center"/>
    </xf>
    <xf numFmtId="9" fontId="18" fillId="0" borderId="30" xfId="1" applyFont="1" applyBorder="1" applyAlignment="1">
      <alignment horizontal="center" vertical="center"/>
    </xf>
    <xf numFmtId="0" fontId="11" fillId="0" borderId="0" xfId="1" applyNumberFormat="1" applyFont="1"/>
    <xf numFmtId="0" fontId="11" fillId="0" borderId="0" xfId="1" applyNumberFormat="1" applyFont="1" applyAlignment="1">
      <alignment horizontal="center" vertical="center"/>
    </xf>
    <xf numFmtId="0" fontId="11" fillId="0" borderId="20" xfId="1" applyNumberFormat="1" applyFont="1" applyBorder="1" applyAlignment="1">
      <alignment horizontal="center" vertical="center"/>
    </xf>
    <xf numFmtId="0" fontId="11" fillId="0" borderId="36" xfId="1" applyNumberFormat="1" applyFont="1" applyBorder="1"/>
    <xf numFmtId="0" fontId="11" fillId="0" borderId="22" xfId="1" applyNumberFormat="1" applyFont="1" applyBorder="1" applyAlignment="1">
      <alignment horizontal="center" vertical="center"/>
    </xf>
    <xf numFmtId="0" fontId="11" fillId="0" borderId="44" xfId="1" applyNumberFormat="1" applyFont="1" applyFill="1" applyBorder="1"/>
    <xf numFmtId="0" fontId="11" fillId="0" borderId="0" xfId="0" applyNumberFormat="1" applyFont="1" applyAlignment="1">
      <alignment horizontal="center" vertical="center"/>
    </xf>
    <xf numFmtId="0" fontId="11" fillId="0" borderId="0" xfId="0" applyNumberFormat="1" applyFont="1"/>
    <xf numFmtId="0" fontId="11" fillId="0" borderId="3" xfId="1" applyNumberFormat="1" applyFont="1" applyFill="1" applyBorder="1" applyAlignment="1">
      <alignment horizontal="center" vertical="center"/>
    </xf>
    <xf numFmtId="0" fontId="11" fillId="0" borderId="30" xfId="1" applyNumberFormat="1" applyFont="1" applyFill="1" applyBorder="1" applyAlignment="1">
      <alignment horizontal="center" vertical="center"/>
    </xf>
    <xf numFmtId="9" fontId="18" fillId="0" borderId="39" xfId="1" applyFont="1" applyFill="1" applyBorder="1"/>
    <xf numFmtId="9" fontId="18" fillId="0" borderId="2" xfId="1" applyFont="1" applyFill="1" applyBorder="1" applyAlignment="1">
      <alignment horizontal="center" vertical="center"/>
    </xf>
    <xf numFmtId="9" fontId="18" fillId="0" borderId="45" xfId="1" applyFont="1" applyFill="1" applyBorder="1" applyAlignment="1">
      <alignment horizontal="center" vertical="center"/>
    </xf>
    <xf numFmtId="0" fontId="11" fillId="0" borderId="20" xfId="0" applyNumberFormat="1" applyFont="1" applyBorder="1" applyAlignment="1">
      <alignment horizontal="center" vertical="center"/>
    </xf>
    <xf numFmtId="0" fontId="11" fillId="0" borderId="22" xfId="0" applyNumberFormat="1" applyFont="1" applyBorder="1" applyAlignment="1">
      <alignment horizontal="center" vertical="center"/>
    </xf>
    <xf numFmtId="0" fontId="11" fillId="0" borderId="30" xfId="1" applyNumberFormat="1" applyFont="1" applyBorder="1" applyAlignment="1">
      <alignment horizontal="center" vertical="center"/>
    </xf>
    <xf numFmtId="0" fontId="43" fillId="0" borderId="0" xfId="1" applyNumberFormat="1" applyFont="1" applyAlignment="1">
      <alignment horizontal="center" vertical="center"/>
    </xf>
    <xf numFmtId="0" fontId="43" fillId="0" borderId="0" xfId="1" applyNumberFormat="1" applyFont="1"/>
    <xf numFmtId="0" fontId="11" fillId="0" borderId="36" xfId="0" applyNumberFormat="1" applyFont="1" applyBorder="1"/>
    <xf numFmtId="9" fontId="19" fillId="0" borderId="0" xfId="1" applyFont="1" applyAlignment="1">
      <alignment horizontal="center" vertical="center"/>
    </xf>
    <xf numFmtId="9" fontId="18" fillId="0" borderId="39" xfId="1" applyFont="1" applyBorder="1"/>
    <xf numFmtId="9" fontId="18" fillId="0" borderId="2" xfId="1" applyFont="1" applyBorder="1" applyAlignment="1">
      <alignment horizontal="center" vertical="center"/>
    </xf>
    <xf numFmtId="9" fontId="18" fillId="0" borderId="45" xfId="1" applyFont="1" applyBorder="1" applyAlignment="1">
      <alignment horizontal="center" vertical="center"/>
    </xf>
    <xf numFmtId="0" fontId="33" fillId="0" borderId="20" xfId="0" applyNumberFormat="1" applyFont="1" applyBorder="1" applyAlignment="1">
      <alignment horizontal="center" vertical="center"/>
    </xf>
    <xf numFmtId="0" fontId="33" fillId="0" borderId="22" xfId="0" applyNumberFormat="1" applyFont="1" applyBorder="1" applyAlignment="1">
      <alignment horizontal="center" vertical="center"/>
    </xf>
    <xf numFmtId="0" fontId="33" fillId="0" borderId="0" xfId="0" applyNumberFormat="1" applyFont="1" applyAlignment="1">
      <alignment horizontal="center" vertical="center"/>
    </xf>
    <xf numFmtId="0" fontId="33" fillId="0" borderId="0" xfId="0" applyNumberFormat="1" applyFont="1"/>
    <xf numFmtId="0" fontId="33" fillId="0" borderId="0" xfId="1" applyNumberFormat="1" applyFont="1" applyAlignment="1">
      <alignment horizontal="center" vertical="center"/>
    </xf>
    <xf numFmtId="0" fontId="12" fillId="0" borderId="44" xfId="0" applyFont="1" applyBorder="1"/>
    <xf numFmtId="0" fontId="33" fillId="0" borderId="36" xfId="0" applyNumberFormat="1" applyFont="1" applyBorder="1"/>
    <xf numFmtId="0" fontId="33" fillId="0" borderId="20" xfId="1" applyNumberFormat="1" applyFont="1" applyBorder="1" applyAlignment="1">
      <alignment horizontal="center" vertical="center"/>
    </xf>
    <xf numFmtId="0" fontId="33" fillId="0" borderId="22" xfId="1" applyNumberFormat="1" applyFont="1" applyBorder="1" applyAlignment="1">
      <alignment horizontal="center" vertical="center"/>
    </xf>
    <xf numFmtId="0" fontId="49" fillId="0" borderId="0" xfId="0" applyFont="1" applyFill="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0" xfId="0" applyFont="1" applyFill="1" applyBorder="1" applyAlignment="1">
      <alignment horizontal="center" vertical="center"/>
    </xf>
    <xf numFmtId="9" fontId="20" fillId="0" borderId="0" xfId="1" applyFont="1" applyFill="1"/>
    <xf numFmtId="9" fontId="20" fillId="0" borderId="0" xfId="1" applyFont="1" applyFill="1" applyAlignment="1">
      <alignment horizontal="center" vertical="center"/>
    </xf>
    <xf numFmtId="9" fontId="18" fillId="0" borderId="18" xfId="1" applyFont="1" applyBorder="1"/>
    <xf numFmtId="9" fontId="18" fillId="0" borderId="18" xfId="1" applyFont="1" applyBorder="1" applyAlignment="1">
      <alignment horizontal="center" vertical="center"/>
    </xf>
    <xf numFmtId="0" fontId="0" fillId="0" borderId="18" xfId="0" applyBorder="1" applyAlignment="1">
      <alignment horizontal="center" vertical="center"/>
    </xf>
    <xf numFmtId="0" fontId="0" fillId="0" borderId="18" xfId="0" applyBorder="1"/>
    <xf numFmtId="9" fontId="41" fillId="0" borderId="18" xfId="1" applyFont="1" applyBorder="1"/>
    <xf numFmtId="9" fontId="41" fillId="0" borderId="18" xfId="1" applyFont="1" applyBorder="1" applyAlignment="1">
      <alignment horizontal="center" vertical="center"/>
    </xf>
    <xf numFmtId="0" fontId="40" fillId="11" borderId="0" xfId="0" applyFont="1" applyFill="1"/>
    <xf numFmtId="0" fontId="0" fillId="11" borderId="0" xfId="0" applyFill="1" applyAlignment="1">
      <alignment horizontal="center" vertical="center"/>
    </xf>
    <xf numFmtId="0" fontId="0" fillId="11" borderId="0" xfId="0" applyFill="1"/>
    <xf numFmtId="17" fontId="7" fillId="2" borderId="0" xfId="0" applyNumberFormat="1" applyFont="1" applyFill="1" applyAlignment="1">
      <alignment horizontal="center" vertical="center"/>
    </xf>
    <xf numFmtId="0" fontId="7" fillId="2" borderId="0" xfId="0" applyNumberFormat="1" applyFont="1" applyFill="1"/>
    <xf numFmtId="9" fontId="12" fillId="0" borderId="0" xfId="0" applyNumberFormat="1" applyFont="1" applyAlignment="1">
      <alignment horizontal="center" vertical="center"/>
    </xf>
    <xf numFmtId="0" fontId="42" fillId="2" borderId="0" xfId="0" applyNumberFormat="1" applyFont="1" applyFill="1"/>
    <xf numFmtId="0" fontId="12" fillId="0" borderId="0" xfId="0" applyNumberFormat="1" applyFont="1" applyAlignment="1">
      <alignment horizontal="center" vertical="center"/>
    </xf>
    <xf numFmtId="0" fontId="42" fillId="0" borderId="0" xfId="0" applyNumberFormat="1" applyFont="1" applyFill="1"/>
    <xf numFmtId="9" fontId="18" fillId="0" borderId="0" xfId="0" applyNumberFormat="1" applyFont="1" applyFill="1" applyAlignment="1">
      <alignment horizontal="center" vertical="center"/>
    </xf>
    <xf numFmtId="0" fontId="8" fillId="0" borderId="0" xfId="0" applyFont="1" applyAlignment="1">
      <alignment horizontal="center" vertical="center"/>
    </xf>
    <xf numFmtId="9" fontId="0" fillId="0" borderId="0" xfId="1" applyFont="1" applyAlignment="1">
      <alignment horizontal="center" vertical="center"/>
    </xf>
    <xf numFmtId="1" fontId="12" fillId="0" borderId="0" xfId="0" applyNumberFormat="1" applyFont="1" applyAlignment="1">
      <alignment horizontal="center" vertical="center"/>
    </xf>
    <xf numFmtId="9" fontId="12" fillId="0" borderId="0" xfId="1" applyFont="1" applyAlignment="1">
      <alignment horizontal="center" vertical="center"/>
    </xf>
    <xf numFmtId="1" fontId="11" fillId="0" borderId="0" xfId="0" applyNumberFormat="1" applyFont="1" applyAlignment="1">
      <alignment horizontal="center" vertical="center"/>
    </xf>
    <xf numFmtId="1" fontId="18" fillId="0" borderId="0" xfId="0" applyNumberFormat="1" applyFont="1" applyAlignment="1">
      <alignment horizontal="center" vertical="center"/>
    </xf>
    <xf numFmtId="0" fontId="50" fillId="14" borderId="0" xfId="0" applyFont="1" applyFill="1"/>
    <xf numFmtId="0" fontId="53" fillId="0" borderId="0" xfId="1087" applyNumberFormat="1" applyFont="1"/>
    <xf numFmtId="0" fontId="53" fillId="0" borderId="0" xfId="1088" applyNumberFormat="1" applyFont="1"/>
    <xf numFmtId="0" fontId="53" fillId="0" borderId="0" xfId="1089" applyNumberFormat="1" applyFont="1"/>
    <xf numFmtId="0" fontId="54" fillId="0" borderId="0" xfId="1" applyNumberFormat="1" applyFont="1"/>
    <xf numFmtId="0" fontId="11" fillId="0" borderId="0" xfId="0" applyNumberFormat="1" applyFont="1" applyFill="1"/>
    <xf numFmtId="0" fontId="55" fillId="0" borderId="0" xfId="1087" applyNumberFormat="1" applyFont="1"/>
    <xf numFmtId="0" fontId="56" fillId="0" borderId="0" xfId="1" applyNumberFormat="1" applyFont="1"/>
    <xf numFmtId="168" fontId="57" fillId="0" borderId="0" xfId="1087" applyNumberFormat="1" applyFont="1"/>
    <xf numFmtId="0" fontId="57" fillId="0" borderId="0" xfId="1088" applyFont="1"/>
    <xf numFmtId="9" fontId="57" fillId="0" borderId="0" xfId="1" applyFont="1"/>
    <xf numFmtId="0" fontId="58" fillId="0" borderId="0" xfId="0" applyFont="1"/>
    <xf numFmtId="0" fontId="58" fillId="0" borderId="0" xfId="0" applyFont="1" applyAlignment="1">
      <alignment horizontal="center" vertical="center"/>
    </xf>
    <xf numFmtId="0" fontId="58" fillId="0" borderId="0" xfId="0" applyFont="1" applyFill="1"/>
    <xf numFmtId="0" fontId="59" fillId="0" borderId="0" xfId="0" applyFont="1"/>
    <xf numFmtId="168" fontId="60" fillId="0" borderId="0" xfId="1087" applyNumberFormat="1" applyFont="1"/>
    <xf numFmtId="0" fontId="59" fillId="0" borderId="0" xfId="0" applyFont="1" applyAlignment="1">
      <alignment horizontal="center" vertical="center"/>
    </xf>
    <xf numFmtId="0" fontId="59" fillId="0" borderId="0" xfId="0" applyFont="1" applyFill="1"/>
    <xf numFmtId="9" fontId="61" fillId="0" borderId="0" xfId="1" applyFont="1"/>
    <xf numFmtId="9" fontId="61" fillId="0" borderId="0" xfId="1" applyFont="1" applyAlignment="1">
      <alignment horizontal="center" vertical="center"/>
    </xf>
    <xf numFmtId="9" fontId="61" fillId="0" borderId="0" xfId="1" applyFont="1" applyFill="1"/>
    <xf numFmtId="9" fontId="62" fillId="0" borderId="0" xfId="1" applyFont="1"/>
    <xf numFmtId="9" fontId="62" fillId="0" borderId="0" xfId="1" applyFont="1" applyAlignment="1">
      <alignment horizontal="center" vertical="center"/>
    </xf>
    <xf numFmtId="9" fontId="62" fillId="0" borderId="0" xfId="1" applyFont="1" applyFill="1"/>
    <xf numFmtId="10" fontId="62" fillId="0" borderId="0" xfId="0" applyNumberFormat="1" applyFont="1" applyAlignment="1">
      <alignment horizontal="center" vertical="center"/>
    </xf>
    <xf numFmtId="0" fontId="62" fillId="0" borderId="0" xfId="0" applyFont="1" applyAlignment="1">
      <alignment horizontal="center" vertical="center"/>
    </xf>
    <xf numFmtId="0" fontId="62" fillId="0" borderId="0" xfId="0" applyFont="1" applyFill="1" applyAlignment="1">
      <alignment horizontal="center" vertical="center"/>
    </xf>
    <xf numFmtId="1" fontId="59" fillId="0" borderId="0" xfId="0" applyNumberFormat="1" applyFont="1" applyAlignment="1">
      <alignment horizontal="center" vertical="center"/>
    </xf>
    <xf numFmtId="168" fontId="57" fillId="0" borderId="0" xfId="1087" applyNumberFormat="1" applyFont="1" applyAlignment="1">
      <alignment horizontal="center" vertical="center"/>
    </xf>
    <xf numFmtId="0" fontId="57" fillId="0" borderId="0" xfId="1088" applyFont="1" applyAlignment="1">
      <alignment horizontal="center" vertical="center"/>
    </xf>
    <xf numFmtId="9" fontId="62" fillId="0" borderId="0" xfId="1" applyFont="1" applyAlignment="1">
      <alignment horizontal="left" vertical="top"/>
    </xf>
    <xf numFmtId="0" fontId="63" fillId="0" borderId="0" xfId="0" applyFont="1" applyFill="1" applyBorder="1" applyAlignment="1">
      <alignment horizontal="center"/>
    </xf>
    <xf numFmtId="1" fontId="11" fillId="0" borderId="0" xfId="0" applyNumberFormat="1" applyFont="1" applyFill="1" applyBorder="1"/>
    <xf numFmtId="43" fontId="0" fillId="0" borderId="0" xfId="0" applyNumberFormat="1" applyBorder="1"/>
    <xf numFmtId="0" fontId="7" fillId="0" borderId="0" xfId="0" applyFont="1" applyFill="1" applyBorder="1" applyAlignment="1">
      <alignment horizontal="center"/>
    </xf>
    <xf numFmtId="0" fontId="0" fillId="0" borderId="29" xfId="0" applyFill="1" applyBorder="1"/>
    <xf numFmtId="0" fontId="12" fillId="0" borderId="39" xfId="0" applyFont="1" applyBorder="1"/>
    <xf numFmtId="0" fontId="12" fillId="0" borderId="21" xfId="0" applyFont="1" applyBorder="1"/>
    <xf numFmtId="0" fontId="11" fillId="0" borderId="38" xfId="0" applyFont="1" applyBorder="1"/>
    <xf numFmtId="0" fontId="11" fillId="0" borderId="44" xfId="0" applyFont="1" applyBorder="1"/>
    <xf numFmtId="2" fontId="12" fillId="0" borderId="21" xfId="0" applyNumberFormat="1" applyFont="1" applyBorder="1"/>
    <xf numFmtId="2" fontId="43" fillId="0" borderId="20" xfId="0" applyNumberFormat="1" applyFont="1" applyBorder="1"/>
    <xf numFmtId="2" fontId="43" fillId="0" borderId="22" xfId="0" applyNumberFormat="1" applyFont="1" applyBorder="1"/>
    <xf numFmtId="0" fontId="12" fillId="0" borderId="2" xfId="0" applyFont="1" applyBorder="1" applyAlignment="1">
      <alignment horizontal="center" vertical="center"/>
    </xf>
    <xf numFmtId="0" fontId="12" fillId="0" borderId="45" xfId="0" applyFont="1" applyBorder="1" applyAlignment="1">
      <alignment horizontal="center" vertical="center"/>
    </xf>
    <xf numFmtId="2" fontId="43" fillId="0" borderId="20" xfId="0" applyNumberFormat="1" applyFont="1" applyBorder="1" applyAlignment="1">
      <alignment horizontal="center" vertical="center"/>
    </xf>
    <xf numFmtId="2" fontId="43" fillId="0" borderId="22" xfId="0" applyNumberFormat="1" applyFont="1" applyBorder="1" applyAlignment="1">
      <alignment horizontal="center" vertical="center"/>
    </xf>
    <xf numFmtId="2" fontId="12" fillId="5" borderId="0" xfId="0" applyNumberFormat="1" applyFont="1" applyFill="1" applyBorder="1" applyAlignment="1">
      <alignment horizontal="center" vertical="center"/>
    </xf>
    <xf numFmtId="2" fontId="12" fillId="5" borderId="21" xfId="0" applyNumberFormat="1" applyFont="1" applyFill="1" applyBorder="1" applyAlignment="1">
      <alignment horizontal="center" vertical="center"/>
    </xf>
    <xf numFmtId="0" fontId="11" fillId="5" borderId="38" xfId="0" applyFont="1" applyFill="1" applyBorder="1"/>
    <xf numFmtId="0" fontId="12" fillId="5" borderId="0" xfId="0" applyFont="1" applyFill="1" applyBorder="1"/>
    <xf numFmtId="2" fontId="12" fillId="5" borderId="0" xfId="0" applyNumberFormat="1" applyFont="1" applyFill="1" applyBorder="1"/>
    <xf numFmtId="0" fontId="12" fillId="5" borderId="38" xfId="0" applyFont="1" applyFill="1" applyBorder="1"/>
    <xf numFmtId="10" fontId="12" fillId="5" borderId="0" xfId="1" applyNumberFormat="1" applyFont="1" applyFill="1" applyBorder="1"/>
    <xf numFmtId="10" fontId="12" fillId="5" borderId="21" xfId="1" applyNumberFormat="1" applyFont="1" applyFill="1" applyBorder="1"/>
    <xf numFmtId="10" fontId="12" fillId="0" borderId="21" xfId="1" applyNumberFormat="1" applyFont="1" applyBorder="1"/>
    <xf numFmtId="0" fontId="43" fillId="0" borderId="20" xfId="0" applyFont="1" applyBorder="1"/>
    <xf numFmtId="10" fontId="43" fillId="0" borderId="20" xfId="1" applyNumberFormat="1" applyFont="1" applyBorder="1"/>
    <xf numFmtId="10" fontId="43" fillId="0" borderId="22" xfId="1" applyNumberFormat="1" applyFont="1" applyBorder="1"/>
    <xf numFmtId="0" fontId="12" fillId="5" borderId="44" xfId="0" applyFont="1" applyFill="1" applyBorder="1"/>
    <xf numFmtId="0" fontId="12" fillId="5" borderId="3" xfId="0" applyFont="1" applyFill="1" applyBorder="1"/>
    <xf numFmtId="0" fontId="12" fillId="5" borderId="30" xfId="0" applyFont="1" applyFill="1" applyBorder="1"/>
    <xf numFmtId="0" fontId="43" fillId="0" borderId="36" xfId="0" applyFont="1" applyBorder="1"/>
    <xf numFmtId="0" fontId="33" fillId="0" borderId="0" xfId="0" applyFont="1" applyFill="1" applyBorder="1" applyAlignment="1">
      <alignment horizontal="center" vertical="center"/>
    </xf>
    <xf numFmtId="0" fontId="33" fillId="0" borderId="21" xfId="0" applyFont="1" applyFill="1" applyBorder="1" applyAlignment="1">
      <alignment horizontal="center" vertical="center"/>
    </xf>
    <xf numFmtId="0" fontId="64" fillId="0" borderId="38" xfId="0" applyFont="1" applyFill="1" applyBorder="1" applyAlignment="1">
      <alignment horizontal="left" vertical="center"/>
    </xf>
    <xf numFmtId="0" fontId="40" fillId="0" borderId="38" xfId="0" applyFont="1" applyBorder="1"/>
    <xf numFmtId="0" fontId="65" fillId="11" borderId="44" xfId="0" applyFont="1" applyFill="1" applyBorder="1"/>
    <xf numFmtId="0" fontId="65" fillId="11" borderId="3" xfId="0" applyFont="1" applyFill="1" applyBorder="1"/>
    <xf numFmtId="2" fontId="65" fillId="11" borderId="3" xfId="0" applyNumberFormat="1" applyFont="1" applyFill="1" applyBorder="1"/>
    <xf numFmtId="2" fontId="65" fillId="11" borderId="30" xfId="0" applyNumberFormat="1" applyFont="1" applyFill="1" applyBorder="1"/>
    <xf numFmtId="10" fontId="65" fillId="11" borderId="3" xfId="1" applyNumberFormat="1" applyFont="1" applyFill="1" applyBorder="1"/>
    <xf numFmtId="10" fontId="65" fillId="11" borderId="30" xfId="1" applyNumberFormat="1" applyFont="1" applyFill="1" applyBorder="1"/>
    <xf numFmtId="0" fontId="7" fillId="0" borderId="0" xfId="0" applyFont="1" applyFill="1" applyBorder="1" applyAlignment="1">
      <alignment vertical="center"/>
    </xf>
    <xf numFmtId="0" fontId="11" fillId="0" borderId="3" xfId="0" applyFont="1" applyBorder="1"/>
    <xf numFmtId="9" fontId="12" fillId="0" borderId="2" xfId="1" applyNumberFormat="1" applyFont="1" applyBorder="1" applyAlignment="1">
      <alignment horizontal="center" vertical="center"/>
    </xf>
    <xf numFmtId="9" fontId="12" fillId="0" borderId="47" xfId="1" applyNumberFormat="1" applyFont="1" applyBorder="1" applyAlignment="1">
      <alignment horizontal="center" vertical="center"/>
    </xf>
    <xf numFmtId="9" fontId="12" fillId="0" borderId="0" xfId="1" applyNumberFormat="1" applyFont="1" applyBorder="1" applyAlignment="1">
      <alignment horizontal="center" vertical="center"/>
    </xf>
    <xf numFmtId="9" fontId="12" fillId="0" borderId="48" xfId="1" applyNumberFormat="1" applyFont="1" applyBorder="1" applyAlignment="1">
      <alignment horizontal="center" vertical="center"/>
    </xf>
    <xf numFmtId="9" fontId="12" fillId="0" borderId="3" xfId="1" applyNumberFormat="1" applyFont="1" applyBorder="1" applyAlignment="1">
      <alignment horizontal="center" vertical="center"/>
    </xf>
    <xf numFmtId="9" fontId="11" fillId="0" borderId="3" xfId="1" applyNumberFormat="1" applyFont="1" applyBorder="1" applyAlignment="1">
      <alignment horizontal="center" vertical="center"/>
    </xf>
    <xf numFmtId="9" fontId="11" fillId="0" borderId="49" xfId="1" applyNumberFormat="1" applyFont="1" applyBorder="1" applyAlignment="1">
      <alignment horizontal="center" vertical="center"/>
    </xf>
    <xf numFmtId="9" fontId="11" fillId="0" borderId="47" xfId="1" applyNumberFormat="1" applyFont="1" applyBorder="1" applyAlignment="1">
      <alignment horizontal="center" vertical="center"/>
    </xf>
    <xf numFmtId="9" fontId="11" fillId="0" borderId="48" xfId="1" applyNumberFormat="1" applyFont="1" applyBorder="1" applyAlignment="1">
      <alignment horizontal="center" vertical="center"/>
    </xf>
    <xf numFmtId="9" fontId="11" fillId="0" borderId="20" xfId="1" applyNumberFormat="1" applyFont="1" applyBorder="1" applyAlignment="1">
      <alignment horizontal="center" vertical="center"/>
    </xf>
    <xf numFmtId="9" fontId="11" fillId="0" borderId="46" xfId="1" applyNumberFormat="1" applyFont="1" applyBorder="1" applyAlignment="1">
      <alignment horizontal="center" vertical="center"/>
    </xf>
    <xf numFmtId="0" fontId="42" fillId="2" borderId="44" xfId="0" applyFont="1" applyFill="1" applyBorder="1" applyAlignment="1">
      <alignment horizontal="center" vertical="center"/>
    </xf>
    <xf numFmtId="0" fontId="42" fillId="2" borderId="3" xfId="0" applyFont="1" applyFill="1" applyBorder="1" applyAlignment="1">
      <alignment horizontal="center" vertical="center"/>
    </xf>
    <xf numFmtId="0" fontId="42" fillId="2" borderId="30" xfId="0" applyFont="1" applyFill="1" applyBorder="1" applyAlignment="1">
      <alignment horizontal="center" vertical="center"/>
    </xf>
    <xf numFmtId="9" fontId="0" fillId="0" borderId="0" xfId="1" applyFont="1" applyAlignment="1">
      <alignment horizontal="center"/>
    </xf>
    <xf numFmtId="0" fontId="0" fillId="0" borderId="0" xfId="1" applyNumberFormat="1" applyFont="1" applyAlignment="1">
      <alignment horizontal="center"/>
    </xf>
    <xf numFmtId="0" fontId="66" fillId="0" borderId="0" xfId="0" applyFont="1"/>
    <xf numFmtId="9" fontId="12" fillId="0" borderId="0" xfId="1" applyFont="1" applyBorder="1"/>
    <xf numFmtId="0" fontId="7" fillId="2" borderId="22" xfId="0" applyFont="1" applyFill="1" applyBorder="1" applyAlignment="1">
      <alignment horizontal="center"/>
    </xf>
    <xf numFmtId="0" fontId="7" fillId="2" borderId="46" xfId="0" applyFont="1" applyFill="1" applyBorder="1" applyAlignment="1">
      <alignment horizontal="center" vertical="center"/>
    </xf>
    <xf numFmtId="0" fontId="12" fillId="0" borderId="48" xfId="0" applyFont="1" applyBorder="1"/>
    <xf numFmtId="0" fontId="12" fillId="0" borderId="49" xfId="0" applyFont="1" applyBorder="1"/>
    <xf numFmtId="0" fontId="44" fillId="0" borderId="36" xfId="0" applyFont="1" applyFill="1" applyBorder="1" applyAlignment="1">
      <alignment horizontal="center"/>
    </xf>
    <xf numFmtId="0" fontId="7" fillId="2" borderId="2" xfId="0" applyFont="1" applyFill="1" applyBorder="1" applyAlignment="1">
      <alignment horizontal="center"/>
    </xf>
    <xf numFmtId="9" fontId="21" fillId="0" borderId="36" xfId="1" applyFont="1" applyBorder="1"/>
    <xf numFmtId="10" fontId="12" fillId="0" borderId="21" xfId="1" applyNumberFormat="1" applyFont="1" applyFill="1" applyBorder="1"/>
    <xf numFmtId="9" fontId="18" fillId="0" borderId="3" xfId="1" applyFont="1" applyFill="1" applyBorder="1"/>
    <xf numFmtId="0" fontId="8" fillId="0" borderId="38" xfId="0" applyFont="1" applyFill="1" applyBorder="1"/>
    <xf numFmtId="0" fontId="44" fillId="0" borderId="38" xfId="0" applyFont="1" applyFill="1" applyBorder="1" applyAlignment="1">
      <alignment horizontal="center"/>
    </xf>
    <xf numFmtId="0" fontId="44" fillId="0" borderId="0" xfId="0" applyFont="1" applyFill="1" applyBorder="1" applyAlignment="1">
      <alignment horizontal="center"/>
    </xf>
    <xf numFmtId="0" fontId="8" fillId="0" borderId="36" xfId="0" applyFont="1" applyFill="1" applyBorder="1"/>
    <xf numFmtId="9" fontId="18" fillId="0" borderId="0" xfId="1" applyNumberFormat="1" applyFont="1" applyFill="1" applyBorder="1"/>
    <xf numFmtId="9" fontId="21" fillId="0" borderId="36" xfId="1" applyFont="1" applyFill="1" applyBorder="1"/>
    <xf numFmtId="0" fontId="21" fillId="0" borderId="36" xfId="0" applyFont="1" applyFill="1" applyBorder="1" applyAlignment="1">
      <alignment horizontal="center"/>
    </xf>
    <xf numFmtId="0" fontId="21" fillId="0" borderId="20" xfId="0" applyFont="1" applyFill="1" applyBorder="1" applyAlignment="1">
      <alignment horizontal="center"/>
    </xf>
    <xf numFmtId="9" fontId="19" fillId="0" borderId="3" xfId="1" applyFont="1" applyFill="1" applyBorder="1"/>
    <xf numFmtId="0" fontId="12" fillId="0" borderId="2" xfId="0" applyFont="1" applyFill="1" applyBorder="1"/>
    <xf numFmtId="9" fontId="18" fillId="0" borderId="30" xfId="1" applyFont="1" applyFill="1" applyBorder="1"/>
    <xf numFmtId="0" fontId="7" fillId="2" borderId="46" xfId="0" applyFont="1" applyFill="1" applyBorder="1" applyAlignment="1">
      <alignment horizontal="center"/>
    </xf>
    <xf numFmtId="9" fontId="19" fillId="0" borderId="0" xfId="1" applyNumberFormat="1" applyFont="1" applyFill="1" applyBorder="1"/>
    <xf numFmtId="0" fontId="11" fillId="0" borderId="38" xfId="0" applyFont="1" applyFill="1" applyBorder="1"/>
    <xf numFmtId="10" fontId="19" fillId="0" borderId="38" xfId="1" applyNumberFormat="1" applyFont="1" applyFill="1" applyBorder="1"/>
    <xf numFmtId="10" fontId="18" fillId="0" borderId="38" xfId="1" applyNumberFormat="1" applyFont="1" applyFill="1" applyBorder="1"/>
    <xf numFmtId="10" fontId="11" fillId="0" borderId="21" xfId="1" applyNumberFormat="1" applyFont="1" applyFill="1" applyBorder="1"/>
    <xf numFmtId="0" fontId="21" fillId="14" borderId="36" xfId="0" applyFont="1" applyFill="1" applyBorder="1"/>
    <xf numFmtId="0" fontId="21" fillId="14" borderId="20" xfId="0" applyFont="1" applyFill="1" applyBorder="1" applyAlignment="1">
      <alignment horizontal="center"/>
    </xf>
    <xf numFmtId="9" fontId="12" fillId="0" borderId="0" xfId="0" applyNumberFormat="1" applyFont="1" applyBorder="1"/>
    <xf numFmtId="9" fontId="12" fillId="0" borderId="21" xfId="1" applyFont="1" applyBorder="1"/>
    <xf numFmtId="0" fontId="7" fillId="2" borderId="36" xfId="0" applyFont="1" applyFill="1" applyBorder="1" applyAlignment="1">
      <alignment horizontal="center" vertical="center" wrapText="1"/>
    </xf>
    <xf numFmtId="0" fontId="7" fillId="2" borderId="36" xfId="0" applyFont="1" applyFill="1" applyBorder="1"/>
    <xf numFmtId="0" fontId="32" fillId="0" borderId="0" xfId="1" applyNumberFormat="1" applyFont="1"/>
    <xf numFmtId="0" fontId="32" fillId="0" borderId="0" xfId="1" applyNumberFormat="1" applyFont="1" applyAlignment="1">
      <alignment horizontal="center" vertical="center"/>
    </xf>
    <xf numFmtId="0" fontId="32" fillId="0" borderId="0" xfId="1" applyNumberFormat="1" applyFont="1" applyFill="1"/>
    <xf numFmtId="0" fontId="7" fillId="2" borderId="20" xfId="0" applyFont="1" applyFill="1" applyBorder="1" applyAlignment="1">
      <alignment horizontal="center" vertical="center" wrapText="1"/>
    </xf>
    <xf numFmtId="0" fontId="7" fillId="2" borderId="22" xfId="0" applyFont="1" applyFill="1" applyBorder="1" applyAlignment="1">
      <alignment horizontal="center" vertical="center" wrapText="1"/>
    </xf>
    <xf numFmtId="9" fontId="8" fillId="0" borderId="3" xfId="1" applyFont="1" applyBorder="1"/>
    <xf numFmtId="9" fontId="8" fillId="0" borderId="30" xfId="1" applyFont="1" applyBorder="1"/>
    <xf numFmtId="0" fontId="7" fillId="2" borderId="36" xfId="0" applyFont="1" applyFill="1" applyBorder="1" applyAlignment="1">
      <alignment horizontal="left"/>
    </xf>
    <xf numFmtId="2" fontId="12" fillId="0" borderId="0" xfId="1" applyNumberFormat="1" applyFont="1" applyFill="1" applyBorder="1"/>
    <xf numFmtId="9" fontId="12" fillId="0" borderId="38" xfId="1" applyFont="1" applyFill="1" applyBorder="1"/>
    <xf numFmtId="0" fontId="7" fillId="2" borderId="22" xfId="0" applyFont="1" applyFill="1" applyBorder="1"/>
    <xf numFmtId="0" fontId="21" fillId="0" borderId="36" xfId="0" applyFont="1" applyFill="1" applyBorder="1"/>
    <xf numFmtId="1" fontId="29" fillId="0" borderId="0" xfId="1" applyNumberFormat="1" applyFont="1" applyFill="1" applyBorder="1"/>
    <xf numFmtId="10" fontId="8" fillId="0" borderId="38" xfId="1" applyNumberFormat="1" applyFont="1" applyFill="1" applyBorder="1"/>
    <xf numFmtId="10" fontId="8" fillId="0" borderId="21" xfId="1" applyNumberFormat="1" applyFont="1" applyFill="1" applyBorder="1"/>
    <xf numFmtId="0" fontId="8" fillId="0" borderId="38" xfId="0" applyFont="1" applyBorder="1"/>
    <xf numFmtId="1" fontId="8" fillId="0" borderId="0" xfId="0" applyNumberFormat="1" applyFont="1" applyBorder="1"/>
    <xf numFmtId="9" fontId="18" fillId="0" borderId="21" xfId="1" applyNumberFormat="1" applyFont="1" applyFill="1" applyBorder="1"/>
    <xf numFmtId="9" fontId="19" fillId="0" borderId="38" xfId="1" applyFont="1" applyFill="1" applyBorder="1"/>
    <xf numFmtId="0" fontId="26" fillId="0" borderId="38" xfId="0" applyFont="1" applyBorder="1"/>
    <xf numFmtId="0" fontId="27" fillId="0" borderId="20" xfId="0" applyFont="1" applyFill="1" applyBorder="1"/>
    <xf numFmtId="0" fontId="8" fillId="0" borderId="39" xfId="0" applyFont="1" applyFill="1" applyBorder="1"/>
    <xf numFmtId="0" fontId="7" fillId="2" borderId="47" xfId="0" applyFont="1" applyFill="1" applyBorder="1"/>
    <xf numFmtId="0" fontId="26" fillId="0" borderId="38" xfId="0" applyFont="1" applyFill="1" applyBorder="1"/>
    <xf numFmtId="10" fontId="7" fillId="2" borderId="36" xfId="1" applyNumberFormat="1" applyFont="1" applyFill="1" applyBorder="1" applyAlignment="1">
      <alignment horizontal="center"/>
    </xf>
    <xf numFmtId="10" fontId="7" fillId="2" borderId="22" xfId="1" applyNumberFormat="1" applyFont="1" applyFill="1" applyBorder="1" applyAlignment="1">
      <alignment horizontal="center"/>
    </xf>
    <xf numFmtId="9" fontId="11" fillId="0" borderId="0" xfId="1" applyFont="1" applyFill="1" applyBorder="1"/>
    <xf numFmtId="1" fontId="8" fillId="0" borderId="3" xfId="0" applyNumberFormat="1" applyFont="1" applyFill="1" applyBorder="1"/>
    <xf numFmtId="0" fontId="12" fillId="0" borderId="38" xfId="0" applyFont="1" applyBorder="1" applyAlignment="1">
      <alignment horizontal="left" indent="1"/>
    </xf>
    <xf numFmtId="0" fontId="21" fillId="0" borderId="36" xfId="0" applyFont="1" applyBorder="1"/>
    <xf numFmtId="0" fontId="8" fillId="0" borderId="20" xfId="0" applyFont="1" applyFill="1" applyBorder="1" applyAlignment="1">
      <alignment horizontal="center"/>
    </xf>
    <xf numFmtId="10" fontId="12" fillId="0" borderId="0" xfId="0" applyNumberFormat="1" applyFont="1" applyBorder="1"/>
    <xf numFmtId="22" fontId="52" fillId="0" borderId="0" xfId="1496" applyNumberFormat="1" applyFont="1" applyFill="1" applyBorder="1" applyAlignment="1" applyProtection="1"/>
    <xf numFmtId="171" fontId="0" fillId="0" borderId="0" xfId="0" applyNumberFormat="1"/>
    <xf numFmtId="14" fontId="0" fillId="5" borderId="0" xfId="0" applyNumberFormat="1" applyFill="1"/>
    <xf numFmtId="0" fontId="8" fillId="0" borderId="44" xfId="0" applyFont="1" applyBorder="1"/>
    <xf numFmtId="0" fontId="8" fillId="0" borderId="39" xfId="0" applyFont="1" applyBorder="1"/>
    <xf numFmtId="43" fontId="12" fillId="0" borderId="0" xfId="194" applyNumberFormat="1" applyFont="1" applyFill="1" applyBorder="1"/>
    <xf numFmtId="164" fontId="12" fillId="0" borderId="0" xfId="0" applyNumberFormat="1" applyFont="1"/>
    <xf numFmtId="10" fontId="18" fillId="1" borderId="0" xfId="1" applyNumberFormat="1" applyFont="1" applyFill="1" applyBorder="1"/>
    <xf numFmtId="164" fontId="8" fillId="1" borderId="0" xfId="194" applyNumberFormat="1" applyFont="1" applyFill="1" applyBorder="1"/>
    <xf numFmtId="164" fontId="12" fillId="1" borderId="0" xfId="194" applyNumberFormat="1" applyFont="1" applyFill="1" applyBorder="1"/>
    <xf numFmtId="0" fontId="12" fillId="1" borderId="0" xfId="0" applyFont="1" applyFill="1" applyBorder="1"/>
    <xf numFmtId="44" fontId="12" fillId="0" borderId="0" xfId="0" applyNumberFormat="1" applyFont="1" applyAlignment="1">
      <alignment horizontal="left"/>
    </xf>
    <xf numFmtId="41" fontId="12" fillId="0" borderId="0" xfId="0" applyNumberFormat="1" applyFont="1" applyAlignment="1">
      <alignment horizontal="left"/>
    </xf>
    <xf numFmtId="44" fontId="40" fillId="0" borderId="38" xfId="0" applyNumberFormat="1" applyFont="1" applyBorder="1" applyAlignment="1">
      <alignment horizontal="left"/>
    </xf>
    <xf numFmtId="44" fontId="12" fillId="0" borderId="38" xfId="0" applyNumberFormat="1" applyFont="1" applyBorder="1" applyAlignment="1">
      <alignment horizontal="left"/>
    </xf>
    <xf numFmtId="41" fontId="29" fillId="0" borderId="0" xfId="0" applyNumberFormat="1" applyFont="1" applyFill="1" applyBorder="1" applyAlignment="1">
      <alignment horizontal="left"/>
    </xf>
    <xf numFmtId="41" fontId="29" fillId="0" borderId="21" xfId="0" applyNumberFormat="1" applyFont="1" applyFill="1" applyBorder="1" applyAlignment="1">
      <alignment horizontal="left"/>
    </xf>
    <xf numFmtId="1" fontId="11" fillId="0" borderId="0" xfId="0" applyNumberFormat="1" applyFont="1" applyBorder="1"/>
    <xf numFmtId="2" fontId="11" fillId="0" borderId="0" xfId="0" applyNumberFormat="1" applyFont="1" applyBorder="1"/>
    <xf numFmtId="10" fontId="18" fillId="0" borderId="3" xfId="1" applyNumberFormat="1" applyFont="1" applyFill="1" applyBorder="1"/>
    <xf numFmtId="0" fontId="7" fillId="2" borderId="0" xfId="0" applyFont="1" applyFill="1" applyAlignment="1">
      <alignment horizontal="center" vertical="center"/>
    </xf>
    <xf numFmtId="10" fontId="11" fillId="0" borderId="0" xfId="1" applyNumberFormat="1" applyFont="1" applyBorder="1"/>
    <xf numFmtId="0" fontId="7" fillId="2" borderId="36" xfId="0" applyFont="1" applyFill="1" applyBorder="1" applyAlignment="1">
      <alignment horizontal="center"/>
    </xf>
    <xf numFmtId="0" fontId="7" fillId="2" borderId="22" xfId="0" applyFont="1" applyFill="1" applyBorder="1" applyAlignment="1">
      <alignment horizontal="center"/>
    </xf>
    <xf numFmtId="0" fontId="7" fillId="2" borderId="39" xfId="0" applyFont="1" applyFill="1" applyBorder="1" applyAlignment="1">
      <alignment horizontal="center"/>
    </xf>
    <xf numFmtId="0" fontId="7" fillId="2" borderId="45" xfId="0" applyFont="1" applyFill="1" applyBorder="1" applyAlignment="1">
      <alignment horizontal="center"/>
    </xf>
    <xf numFmtId="0" fontId="43" fillId="0" borderId="0" xfId="0" applyFont="1"/>
    <xf numFmtId="0" fontId="12" fillId="0" borderId="0" xfId="0" applyFont="1" applyAlignment="1">
      <alignment horizontal="right" vertical="center"/>
    </xf>
    <xf numFmtId="0" fontId="0" fillId="0" borderId="0" xfId="0" applyAlignment="1">
      <alignment horizontal="right" vertical="center"/>
    </xf>
    <xf numFmtId="2" fontId="12" fillId="0" borderId="0" xfId="0" applyNumberFormat="1" applyFont="1" applyAlignment="1">
      <alignment horizontal="right" vertical="center"/>
    </xf>
    <xf numFmtId="166" fontId="12" fillId="0" borderId="0" xfId="0" applyNumberFormat="1" applyFont="1" applyAlignment="1">
      <alignment horizontal="right" vertical="center"/>
    </xf>
    <xf numFmtId="0" fontId="12" fillId="0" borderId="0" xfId="0" applyFont="1" applyAlignment="1">
      <alignment horizontal="left" vertical="center"/>
    </xf>
    <xf numFmtId="0" fontId="67" fillId="0" borderId="0" xfId="0" applyFont="1" applyFill="1"/>
    <xf numFmtId="0" fontId="7" fillId="2" borderId="22" xfId="0" applyFont="1" applyFill="1" applyBorder="1" applyAlignment="1">
      <alignment horizontal="center"/>
    </xf>
    <xf numFmtId="10" fontId="11" fillId="0" borderId="38" xfId="1" applyNumberFormat="1" applyFont="1" applyFill="1" applyBorder="1"/>
    <xf numFmtId="0" fontId="7" fillId="0" borderId="39" xfId="0" applyFont="1" applyFill="1" applyBorder="1" applyAlignment="1">
      <alignment horizontal="center"/>
    </xf>
    <xf numFmtId="0" fontId="7" fillId="0" borderId="45" xfId="0" applyFont="1" applyFill="1" applyBorder="1" applyAlignment="1">
      <alignment horizontal="center"/>
    </xf>
    <xf numFmtId="0" fontId="7" fillId="0" borderId="2" xfId="0" applyFont="1" applyFill="1" applyBorder="1" applyAlignment="1">
      <alignment horizontal="center"/>
    </xf>
    <xf numFmtId="10" fontId="11" fillId="0" borderId="21" xfId="1" applyNumberFormat="1" applyFont="1" applyFill="1" applyBorder="1" applyAlignment="1">
      <alignment horizontal="right"/>
    </xf>
    <xf numFmtId="10" fontId="11" fillId="0" borderId="38" xfId="1" applyNumberFormat="1" applyFont="1" applyFill="1" applyBorder="1" applyAlignment="1">
      <alignment horizontal="right"/>
    </xf>
    <xf numFmtId="10" fontId="11" fillId="0" borderId="44" xfId="1" applyNumberFormat="1" applyFont="1" applyFill="1" applyBorder="1" applyAlignment="1">
      <alignment horizontal="right"/>
    </xf>
    <xf numFmtId="10" fontId="11" fillId="0" borderId="30" xfId="1" applyNumberFormat="1" applyFont="1" applyFill="1" applyBorder="1" applyAlignment="1">
      <alignment horizontal="right"/>
    </xf>
    <xf numFmtId="169" fontId="11" fillId="0" borderId="38" xfId="1" applyNumberFormat="1" applyFont="1" applyFill="1" applyBorder="1" applyAlignment="1">
      <alignment horizontal="right"/>
    </xf>
    <xf numFmtId="169" fontId="11" fillId="0" borderId="21" xfId="1" applyNumberFormat="1" applyFont="1" applyFill="1" applyBorder="1" applyAlignment="1">
      <alignment horizontal="right"/>
    </xf>
    <xf numFmtId="9" fontId="19" fillId="0" borderId="0" xfId="1" applyFont="1" applyFill="1" applyBorder="1" applyAlignment="1">
      <alignment horizontal="right"/>
    </xf>
    <xf numFmtId="9" fontId="12" fillId="0" borderId="30" xfId="1" applyFont="1" applyFill="1" applyBorder="1"/>
    <xf numFmtId="9" fontId="11" fillId="0" borderId="38" xfId="1" applyFont="1" applyFill="1" applyBorder="1" applyAlignment="1">
      <alignment horizontal="right"/>
    </xf>
    <xf numFmtId="9" fontId="11" fillId="0" borderId="21" xfId="1" applyFont="1" applyFill="1" applyBorder="1" applyAlignment="1">
      <alignment horizontal="right"/>
    </xf>
    <xf numFmtId="9" fontId="11" fillId="0" borderId="44" xfId="1" applyFont="1" applyFill="1" applyBorder="1" applyAlignment="1">
      <alignment horizontal="right"/>
    </xf>
    <xf numFmtId="9" fontId="11" fillId="0" borderId="30" xfId="1" applyFont="1" applyFill="1" applyBorder="1" applyAlignment="1">
      <alignment horizontal="right"/>
    </xf>
    <xf numFmtId="10" fontId="47" fillId="0" borderId="38" xfId="0" applyNumberFormat="1" applyFont="1" applyBorder="1" applyAlignment="1">
      <alignment horizontal="right"/>
    </xf>
    <xf numFmtId="10" fontId="47" fillId="0" borderId="21" xfId="0" applyNumberFormat="1" applyFont="1" applyBorder="1" applyAlignment="1">
      <alignment horizontal="right"/>
    </xf>
    <xf numFmtId="9" fontId="47" fillId="0" borderId="38" xfId="0" applyNumberFormat="1" applyFont="1" applyBorder="1" applyAlignment="1">
      <alignment horizontal="right"/>
    </xf>
    <xf numFmtId="9" fontId="47" fillId="0" borderId="21" xfId="0" applyNumberFormat="1" applyFont="1" applyBorder="1" applyAlignment="1">
      <alignment horizontal="right"/>
    </xf>
    <xf numFmtId="9" fontId="47" fillId="0" borderId="44" xfId="0" applyNumberFormat="1" applyFont="1" applyBorder="1" applyAlignment="1">
      <alignment horizontal="right"/>
    </xf>
    <xf numFmtId="9" fontId="47" fillId="0" borderId="30" xfId="0" applyNumberFormat="1" applyFont="1" applyBorder="1" applyAlignment="1">
      <alignment horizontal="right"/>
    </xf>
    <xf numFmtId="2" fontId="12" fillId="0" borderId="21" xfId="0" applyNumberFormat="1" applyFont="1" applyFill="1" applyBorder="1"/>
    <xf numFmtId="2" fontId="8" fillId="0" borderId="22" xfId="0" applyNumberFormat="1" applyFont="1" applyFill="1" applyBorder="1"/>
    <xf numFmtId="2" fontId="29" fillId="0" borderId="0" xfId="194" applyNumberFormat="1" applyFont="1" applyFill="1" applyBorder="1" applyAlignment="1">
      <alignment horizontal="right"/>
    </xf>
    <xf numFmtId="0" fontId="29" fillId="0" borderId="38" xfId="0" applyFont="1" applyFill="1" applyBorder="1"/>
    <xf numFmtId="2" fontId="29" fillId="0" borderId="21" xfId="0" applyNumberFormat="1" applyFont="1" applyFill="1" applyBorder="1"/>
    <xf numFmtId="0" fontId="12" fillId="0" borderId="44" xfId="0" applyFont="1" applyFill="1" applyBorder="1"/>
    <xf numFmtId="9" fontId="12" fillId="0" borderId="3" xfId="1" applyFont="1" applyFill="1" applyBorder="1"/>
    <xf numFmtId="0" fontId="11" fillId="0" borderId="21" xfId="0" applyFont="1" applyFill="1" applyBorder="1"/>
    <xf numFmtId="41" fontId="12" fillId="0" borderId="0" xfId="0" applyNumberFormat="1" applyFont="1" applyFill="1" applyBorder="1"/>
    <xf numFmtId="41" fontId="12" fillId="0" borderId="21" xfId="0" applyNumberFormat="1" applyFont="1" applyFill="1" applyBorder="1"/>
    <xf numFmtId="0" fontId="21" fillId="0" borderId="39" xfId="0" applyFont="1" applyFill="1" applyBorder="1" applyAlignment="1">
      <alignment horizontal="center"/>
    </xf>
    <xf numFmtId="0" fontId="21" fillId="0" borderId="2" xfId="0" applyFont="1" applyFill="1" applyBorder="1" applyAlignment="1">
      <alignment horizontal="center"/>
    </xf>
    <xf numFmtId="41" fontId="12" fillId="0" borderId="0" xfId="0" applyNumberFormat="1" applyFont="1" applyBorder="1"/>
    <xf numFmtId="0" fontId="0" fillId="0" borderId="38" xfId="0" applyFill="1" applyBorder="1"/>
    <xf numFmtId="0" fontId="11" fillId="0" borderId="36" xfId="0" applyFont="1" applyFill="1" applyBorder="1"/>
    <xf numFmtId="41" fontId="11" fillId="0" borderId="20" xfId="0" applyNumberFormat="1" applyFont="1" applyBorder="1"/>
    <xf numFmtId="41" fontId="11" fillId="0" borderId="20" xfId="0" applyNumberFormat="1" applyFont="1" applyFill="1" applyBorder="1"/>
    <xf numFmtId="41" fontId="11" fillId="0" borderId="0" xfId="0" applyNumberFormat="1" applyFont="1" applyFill="1" applyBorder="1"/>
    <xf numFmtId="0" fontId="0" fillId="0" borderId="3" xfId="0" applyBorder="1"/>
    <xf numFmtId="10" fontId="18" fillId="0" borderId="2" xfId="1" applyNumberFormat="1" applyFont="1" applyFill="1" applyBorder="1"/>
    <xf numFmtId="0" fontId="13" fillId="0" borderId="0" xfId="0" applyFont="1" applyFill="1" applyBorder="1"/>
    <xf numFmtId="10" fontId="33" fillId="0" borderId="31" xfId="1" applyNumberFormat="1" applyFont="1" applyBorder="1"/>
    <xf numFmtId="0" fontId="29" fillId="0" borderId="32" xfId="1" applyNumberFormat="1" applyFont="1" applyBorder="1"/>
    <xf numFmtId="10" fontId="29" fillId="0" borderId="32" xfId="1" applyNumberFormat="1" applyFont="1" applyBorder="1"/>
    <xf numFmtId="10" fontId="33" fillId="0" borderId="34" xfId="1" applyNumberFormat="1" applyFont="1" applyBorder="1"/>
    <xf numFmtId="10" fontId="20" fillId="0" borderId="33" xfId="1" applyNumberFormat="1" applyFont="1" applyBorder="1"/>
    <xf numFmtId="0" fontId="47" fillId="0" borderId="0" xfId="0" applyFont="1" applyFill="1" applyBorder="1"/>
    <xf numFmtId="41" fontId="29" fillId="0" borderId="0" xfId="1" applyNumberFormat="1" applyFont="1" applyFill="1" applyBorder="1"/>
    <xf numFmtId="10" fontId="21" fillId="0" borderId="38" xfId="1" applyNumberFormat="1" applyFont="1" applyFill="1" applyBorder="1" applyAlignment="1">
      <alignment horizontal="right"/>
    </xf>
    <xf numFmtId="10" fontId="21" fillId="0" borderId="21" xfId="1" applyNumberFormat="1" applyFont="1" applyFill="1" applyBorder="1" applyAlignment="1">
      <alignment horizontal="right"/>
    </xf>
    <xf numFmtId="0" fontId="21" fillId="0" borderId="38" xfId="0" applyFont="1" applyFill="1" applyBorder="1" applyAlignment="1">
      <alignment horizontal="right"/>
    </xf>
    <xf numFmtId="0" fontId="21" fillId="0" borderId="21" xfId="0" applyFont="1" applyFill="1" applyBorder="1" applyAlignment="1">
      <alignment horizontal="right"/>
    </xf>
    <xf numFmtId="0" fontId="7" fillId="0" borderId="0" xfId="0" applyFont="1" applyFill="1" applyAlignment="1"/>
    <xf numFmtId="0" fontId="7" fillId="0" borderId="0" xfId="0" applyFont="1" applyFill="1" applyBorder="1" applyAlignment="1">
      <alignment horizontal="center" vertical="center"/>
    </xf>
    <xf numFmtId="9" fontId="29" fillId="0" borderId="0" xfId="1" applyNumberFormat="1" applyFont="1" applyFill="1" applyBorder="1"/>
    <xf numFmtId="2" fontId="8" fillId="0" borderId="21" xfId="0" applyNumberFormat="1" applyFont="1" applyFill="1" applyBorder="1"/>
    <xf numFmtId="2" fontId="12" fillId="0" borderId="3" xfId="0" applyNumberFormat="1" applyFont="1" applyFill="1" applyBorder="1"/>
    <xf numFmtId="2" fontId="12" fillId="0" borderId="30" xfId="0" applyNumberFormat="1" applyFont="1" applyFill="1" applyBorder="1"/>
    <xf numFmtId="0" fontId="18" fillId="0" borderId="38" xfId="0" applyFont="1" applyFill="1" applyBorder="1"/>
    <xf numFmtId="0" fontId="28" fillId="0" borderId="0" xfId="0" applyFont="1" applyBorder="1"/>
    <xf numFmtId="2" fontId="11" fillId="0" borderId="21" xfId="0" applyNumberFormat="1" applyFont="1" applyFill="1" applyBorder="1"/>
    <xf numFmtId="0" fontId="17" fillId="3" borderId="20" xfId="0" applyFont="1" applyFill="1" applyBorder="1"/>
    <xf numFmtId="0" fontId="17" fillId="3" borderId="22" xfId="0" applyFont="1" applyFill="1" applyBorder="1"/>
    <xf numFmtId="41" fontId="21" fillId="0" borderId="20" xfId="1" applyNumberFormat="1" applyFont="1" applyFill="1" applyBorder="1"/>
    <xf numFmtId="41" fontId="8" fillId="0" borderId="20" xfId="0" applyNumberFormat="1" applyFont="1" applyFill="1" applyBorder="1"/>
    <xf numFmtId="41" fontId="0" fillId="0" borderId="0" xfId="0" applyNumberFormat="1" applyFill="1" applyBorder="1"/>
    <xf numFmtId="0" fontId="21" fillId="0" borderId="36" xfId="1" applyNumberFormat="1" applyFont="1" applyBorder="1"/>
    <xf numFmtId="10" fontId="8" fillId="0" borderId="38" xfId="1" applyNumberFormat="1" applyFont="1" applyBorder="1" applyAlignment="1">
      <alignment horizontal="right"/>
    </xf>
    <xf numFmtId="10" fontId="8" fillId="0" borderId="21" xfId="1" applyNumberFormat="1" applyFont="1" applyBorder="1" applyAlignment="1">
      <alignment horizontal="right"/>
    </xf>
    <xf numFmtId="10" fontId="21" fillId="0" borderId="38" xfId="0" applyNumberFormat="1" applyFont="1" applyBorder="1" applyAlignment="1">
      <alignment horizontal="right"/>
    </xf>
    <xf numFmtId="10" fontId="21" fillId="0" borderId="21" xfId="0" applyNumberFormat="1" applyFont="1" applyBorder="1" applyAlignment="1">
      <alignment horizontal="right"/>
    </xf>
    <xf numFmtId="10" fontId="21" fillId="0" borderId="0" xfId="0" applyNumberFormat="1" applyFont="1" applyFill="1" applyBorder="1" applyAlignment="1">
      <alignment horizontal="right"/>
    </xf>
    <xf numFmtId="41" fontId="27" fillId="0" borderId="24" xfId="0" applyNumberFormat="1" applyFont="1" applyFill="1" applyBorder="1"/>
    <xf numFmtId="41" fontId="27" fillId="0" borderId="0" xfId="0" applyNumberFormat="1" applyFont="1" applyFill="1" applyBorder="1"/>
    <xf numFmtId="0" fontId="27" fillId="0" borderId="40" xfId="0" applyFont="1" applyBorder="1"/>
    <xf numFmtId="41" fontId="18" fillId="0" borderId="0" xfId="1" applyNumberFormat="1" applyFont="1" applyFill="1"/>
    <xf numFmtId="41" fontId="18" fillId="0" borderId="0" xfId="1" applyNumberFormat="1" applyFont="1" applyFill="1" applyAlignment="1">
      <alignment horizontal="right"/>
    </xf>
    <xf numFmtId="41" fontId="0" fillId="0" borderId="21" xfId="0" applyNumberFormat="1" applyFill="1" applyBorder="1"/>
    <xf numFmtId="41" fontId="8" fillId="0" borderId="22" xfId="0" applyNumberFormat="1" applyFont="1" applyFill="1" applyBorder="1"/>
    <xf numFmtId="9" fontId="18" fillId="1" borderId="0" xfId="1" applyNumberFormat="1" applyFont="1" applyFill="1" applyBorder="1"/>
    <xf numFmtId="43" fontId="29" fillId="0" borderId="0" xfId="194" applyNumberFormat="1" applyFont="1" applyFill="1" applyBorder="1" applyAlignment="1">
      <alignment horizontal="center" vertical="center"/>
    </xf>
    <xf numFmtId="43" fontId="12" fillId="0" borderId="0" xfId="0" applyNumberFormat="1" applyFont="1" applyAlignment="1">
      <alignment horizontal="center" vertical="center"/>
    </xf>
    <xf numFmtId="43" fontId="29" fillId="0" borderId="32" xfId="194" applyFont="1" applyFill="1" applyBorder="1"/>
    <xf numFmtId="0" fontId="33" fillId="0" borderId="32" xfId="0" applyFont="1" applyFill="1" applyBorder="1"/>
    <xf numFmtId="0" fontId="12" fillId="0" borderId="32" xfId="0" applyFont="1" applyBorder="1"/>
    <xf numFmtId="0" fontId="11" fillId="0" borderId="32" xfId="0" applyFont="1" applyBorder="1"/>
    <xf numFmtId="43" fontId="33" fillId="0" borderId="20" xfId="194" applyNumberFormat="1" applyFont="1" applyFill="1" applyBorder="1"/>
    <xf numFmtId="43" fontId="11" fillId="0" borderId="20" xfId="194" applyNumberFormat="1" applyFont="1" applyFill="1" applyBorder="1"/>
    <xf numFmtId="0" fontId="29" fillId="0" borderId="0" xfId="194" applyNumberFormat="1" applyFont="1" applyFill="1" applyBorder="1"/>
    <xf numFmtId="0" fontId="21" fillId="0" borderId="24" xfId="194" applyNumberFormat="1" applyFont="1" applyFill="1" applyBorder="1"/>
    <xf numFmtId="0" fontId="21" fillId="0" borderId="0" xfId="194" applyNumberFormat="1" applyFont="1" applyFill="1" applyBorder="1"/>
    <xf numFmtId="2" fontId="12" fillId="0" borderId="29" xfId="0" applyNumberFormat="1" applyFont="1" applyFill="1" applyBorder="1"/>
    <xf numFmtId="0" fontId="8" fillId="0" borderId="44" xfId="0" applyFont="1" applyFill="1" applyBorder="1"/>
    <xf numFmtId="164" fontId="8" fillId="0" borderId="30" xfId="194" applyNumberFormat="1" applyFont="1" applyFill="1" applyBorder="1"/>
    <xf numFmtId="9" fontId="19" fillId="0" borderId="21" xfId="1" applyNumberFormat="1" applyFont="1" applyFill="1" applyBorder="1"/>
    <xf numFmtId="0" fontId="0" fillId="0" borderId="38" xfId="0" applyFont="1" applyFill="1" applyBorder="1"/>
    <xf numFmtId="164" fontId="12" fillId="0" borderId="21" xfId="194" applyNumberFormat="1" applyFont="1" applyFill="1" applyBorder="1"/>
    <xf numFmtId="164" fontId="8" fillId="0" borderId="22" xfId="194" applyNumberFormat="1" applyFont="1" applyFill="1" applyBorder="1"/>
    <xf numFmtId="10" fontId="18" fillId="1" borderId="21" xfId="1" applyNumberFormat="1" applyFont="1" applyFill="1" applyBorder="1"/>
    <xf numFmtId="0" fontId="12" fillId="1" borderId="21" xfId="0" applyFont="1" applyFill="1" applyBorder="1"/>
    <xf numFmtId="0" fontId="8" fillId="1" borderId="0" xfId="0" applyFont="1" applyFill="1" applyBorder="1"/>
    <xf numFmtId="0" fontId="8" fillId="1" borderId="21" xfId="0" applyFont="1" applyFill="1" applyBorder="1"/>
    <xf numFmtId="10" fontId="18" fillId="1" borderId="38" xfId="1" applyNumberFormat="1" applyFont="1" applyFill="1" applyBorder="1"/>
    <xf numFmtId="0" fontId="14" fillId="1" borderId="38" xfId="0" applyFont="1" applyFill="1" applyBorder="1"/>
    <xf numFmtId="164" fontId="20" fillId="1" borderId="0" xfId="194" applyNumberFormat="1" applyFont="1" applyFill="1" applyBorder="1"/>
    <xf numFmtId="0" fontId="20" fillId="1" borderId="0" xfId="0" applyFont="1" applyFill="1" applyBorder="1"/>
    <xf numFmtId="0" fontId="20" fillId="1" borderId="21" xfId="0" applyFont="1" applyFill="1" applyBorder="1"/>
    <xf numFmtId="0" fontId="0" fillId="1" borderId="0" xfId="0" applyFont="1" applyFill="1" applyBorder="1"/>
    <xf numFmtId="0" fontId="0" fillId="1" borderId="21" xfId="0" applyFont="1" applyFill="1" applyBorder="1"/>
    <xf numFmtId="0" fontId="0" fillId="0" borderId="21" xfId="0" applyFont="1" applyFill="1" applyBorder="1"/>
    <xf numFmtId="164" fontId="8" fillId="0" borderId="0" xfId="194" applyNumberFormat="1" applyFont="1" applyFill="1" applyBorder="1"/>
    <xf numFmtId="164" fontId="11" fillId="0" borderId="21" xfId="194" applyNumberFormat="1" applyFont="1" applyFill="1" applyBorder="1"/>
    <xf numFmtId="9" fontId="19" fillId="0" borderId="44" xfId="1" applyFont="1" applyFill="1" applyBorder="1"/>
    <xf numFmtId="9" fontId="19" fillId="0" borderId="30" xfId="1" applyFont="1" applyFill="1" applyBorder="1"/>
    <xf numFmtId="43" fontId="16" fillId="0" borderId="52" xfId="194" applyFont="1" applyFill="1" applyBorder="1"/>
    <xf numFmtId="43" fontId="29" fillId="0" borderId="26" xfId="194" applyNumberFormat="1" applyFont="1" applyFill="1" applyBorder="1" applyAlignment="1">
      <alignment horizontal="center" vertical="center"/>
    </xf>
    <xf numFmtId="43" fontId="27" fillId="0" borderId="26" xfId="194" applyFont="1" applyFill="1" applyBorder="1"/>
    <xf numFmtId="43" fontId="21" fillId="0" borderId="26" xfId="194" applyFont="1" applyFill="1" applyBorder="1"/>
    <xf numFmtId="43" fontId="29" fillId="0" borderId="26" xfId="194" applyNumberFormat="1" applyFont="1" applyFill="1" applyBorder="1"/>
    <xf numFmtId="9" fontId="18" fillId="0" borderId="26" xfId="1" applyFont="1" applyFill="1" applyBorder="1"/>
    <xf numFmtId="43" fontId="33" fillId="0" borderId="53" xfId="194" applyNumberFormat="1" applyFont="1" applyFill="1" applyBorder="1"/>
    <xf numFmtId="0" fontId="8" fillId="0" borderId="26" xfId="0" applyFont="1" applyFill="1" applyBorder="1"/>
    <xf numFmtId="0" fontId="0" fillId="0" borderId="26" xfId="0" applyFill="1" applyBorder="1"/>
    <xf numFmtId="43" fontId="12" fillId="0" borderId="26" xfId="194" applyNumberFormat="1" applyFont="1" applyFill="1" applyBorder="1"/>
    <xf numFmtId="9" fontId="12" fillId="0" borderId="26" xfId="0" applyNumberFormat="1" applyFont="1" applyFill="1" applyBorder="1"/>
    <xf numFmtId="164" fontId="12" fillId="0" borderId="26" xfId="194" applyNumberFormat="1" applyFont="1" applyFill="1" applyBorder="1"/>
    <xf numFmtId="10" fontId="18" fillId="0" borderId="26" xfId="1" applyNumberFormat="1" applyFont="1" applyFill="1" applyBorder="1"/>
    <xf numFmtId="0" fontId="18" fillId="0" borderId="26" xfId="0" applyFont="1" applyFill="1" applyBorder="1"/>
    <xf numFmtId="0" fontId="12" fillId="0" borderId="37" xfId="0" applyFont="1" applyFill="1" applyBorder="1"/>
    <xf numFmtId="1" fontId="33" fillId="0" borderId="0" xfId="0" applyNumberFormat="1" applyFont="1" applyFill="1" applyBorder="1"/>
    <xf numFmtId="0" fontId="14" fillId="0" borderId="44" xfId="0" applyFont="1" applyBorder="1" applyAlignment="1">
      <alignment horizontal="center" vertical="center"/>
    </xf>
    <xf numFmtId="1" fontId="20" fillId="0" borderId="3" xfId="0" applyNumberFormat="1" applyFont="1" applyBorder="1" applyAlignment="1">
      <alignment horizontal="center" vertical="center"/>
    </xf>
    <xf numFmtId="1" fontId="20" fillId="0" borderId="3" xfId="0" applyNumberFormat="1" applyFont="1" applyFill="1" applyBorder="1" applyAlignment="1">
      <alignment horizontal="center" vertical="center"/>
    </xf>
    <xf numFmtId="1" fontId="20" fillId="0" borderId="30" xfId="0" applyNumberFormat="1" applyFont="1" applyFill="1" applyBorder="1" applyAlignment="1">
      <alignment horizontal="center" vertical="center"/>
    </xf>
    <xf numFmtId="41" fontId="33" fillId="0" borderId="0" xfId="0" applyNumberFormat="1" applyFont="1" applyFill="1" applyBorder="1"/>
    <xf numFmtId="41" fontId="33" fillId="0" borderId="21" xfId="0" applyNumberFormat="1" applyFont="1" applyFill="1" applyBorder="1"/>
    <xf numFmtId="41" fontId="29" fillId="0" borderId="0" xfId="0" applyNumberFormat="1" applyFont="1" applyFill="1" applyBorder="1"/>
    <xf numFmtId="41" fontId="29" fillId="0" borderId="21" xfId="0" applyNumberFormat="1" applyFont="1" applyFill="1" applyBorder="1"/>
    <xf numFmtId="41" fontId="33" fillId="0" borderId="20" xfId="0" applyNumberFormat="1" applyFont="1" applyFill="1" applyBorder="1"/>
    <xf numFmtId="41" fontId="33" fillId="0" borderId="22" xfId="0" applyNumberFormat="1" applyFont="1" applyFill="1" applyBorder="1"/>
    <xf numFmtId="41" fontId="8" fillId="0" borderId="0" xfId="0" applyNumberFormat="1" applyFont="1" applyFill="1" applyBorder="1"/>
    <xf numFmtId="41" fontId="8" fillId="0" borderId="21" xfId="0" applyNumberFormat="1" applyFont="1" applyFill="1" applyBorder="1"/>
    <xf numFmtId="41" fontId="28" fillId="0" borderId="0" xfId="0" applyNumberFormat="1" applyFont="1" applyBorder="1"/>
    <xf numFmtId="41" fontId="11" fillId="0" borderId="0" xfId="0" applyNumberFormat="1" applyFont="1" applyBorder="1"/>
    <xf numFmtId="41" fontId="20" fillId="0" borderId="0" xfId="0" applyNumberFormat="1" applyFont="1" applyBorder="1"/>
    <xf numFmtId="41" fontId="11" fillId="0" borderId="1" xfId="0" applyNumberFormat="1" applyFont="1" applyFill="1" applyBorder="1"/>
    <xf numFmtId="41" fontId="11" fillId="0" borderId="2" xfId="0" applyNumberFormat="1" applyFont="1" applyFill="1" applyBorder="1"/>
    <xf numFmtId="41" fontId="31" fillId="0" borderId="2" xfId="0" applyNumberFormat="1" applyFont="1" applyFill="1" applyBorder="1"/>
    <xf numFmtId="41" fontId="20" fillId="0" borderId="3" xfId="0" applyNumberFormat="1" applyFont="1" applyFill="1" applyBorder="1"/>
    <xf numFmtId="41" fontId="11" fillId="0" borderId="38" xfId="0" applyNumberFormat="1" applyFont="1" applyFill="1" applyBorder="1"/>
    <xf numFmtId="41" fontId="11" fillId="0" borderId="21" xfId="0" applyNumberFormat="1" applyFont="1" applyFill="1" applyBorder="1"/>
    <xf numFmtId="41" fontId="12" fillId="0" borderId="38" xfId="0" applyNumberFormat="1" applyFont="1" applyFill="1" applyBorder="1"/>
    <xf numFmtId="41" fontId="11" fillId="0" borderId="54" xfId="0" applyNumberFormat="1" applyFont="1" applyFill="1" applyBorder="1"/>
    <xf numFmtId="41" fontId="11" fillId="0" borderId="55" xfId="0" applyNumberFormat="1" applyFont="1" applyFill="1" applyBorder="1"/>
    <xf numFmtId="41" fontId="12" fillId="0" borderId="0" xfId="194" applyNumberFormat="1" applyFont="1" applyFill="1" applyBorder="1"/>
    <xf numFmtId="41" fontId="11" fillId="0" borderId="39" xfId="0" applyNumberFormat="1" applyFont="1" applyFill="1" applyBorder="1"/>
    <xf numFmtId="41" fontId="11" fillId="0" borderId="45" xfId="0" applyNumberFormat="1" applyFont="1" applyFill="1" applyBorder="1"/>
    <xf numFmtId="41" fontId="20" fillId="0" borderId="44" xfId="0" applyNumberFormat="1" applyFont="1" applyFill="1" applyBorder="1"/>
    <xf numFmtId="41" fontId="20" fillId="0" borderId="30" xfId="0" applyNumberFormat="1" applyFont="1" applyFill="1" applyBorder="1"/>
    <xf numFmtId="41" fontId="12" fillId="0" borderId="0" xfId="0" applyNumberFormat="1" applyFont="1" applyBorder="1" applyAlignment="1">
      <alignment horizontal="right" indent="1"/>
    </xf>
    <xf numFmtId="41" fontId="12" fillId="0" borderId="0" xfId="0" applyNumberFormat="1" applyFont="1" applyFill="1" applyBorder="1" applyAlignment="1">
      <alignment horizontal="left" indent="1"/>
    </xf>
    <xf numFmtId="41" fontId="12" fillId="0" borderId="21" xfId="0" applyNumberFormat="1" applyFont="1" applyFill="1" applyBorder="1" applyAlignment="1">
      <alignment horizontal="left" indent="1"/>
    </xf>
    <xf numFmtId="0" fontId="12" fillId="0" borderId="38" xfId="0" applyFont="1" applyBorder="1" applyAlignment="1"/>
    <xf numFmtId="0" fontId="11" fillId="0" borderId="36" xfId="0" applyFont="1" applyBorder="1" applyAlignment="1"/>
    <xf numFmtId="41" fontId="11" fillId="0" borderId="22" xfId="0" applyNumberFormat="1" applyFont="1" applyFill="1" applyBorder="1"/>
    <xf numFmtId="0" fontId="19" fillId="0" borderId="0" xfId="0" applyFont="1" applyBorder="1" applyAlignment="1">
      <alignment horizontal="center"/>
    </xf>
    <xf numFmtId="41" fontId="12" fillId="0" borderId="21" xfId="0" applyNumberFormat="1" applyFont="1" applyBorder="1"/>
    <xf numFmtId="41" fontId="63" fillId="0" borderId="0" xfId="0" applyNumberFormat="1" applyFont="1" applyFill="1" applyBorder="1" applyAlignment="1">
      <alignment horizontal="right"/>
    </xf>
    <xf numFmtId="41" fontId="33" fillId="0" borderId="0" xfId="0" applyNumberFormat="1" applyFont="1" applyFill="1" applyBorder="1" applyAlignment="1">
      <alignment horizontal="right"/>
    </xf>
    <xf numFmtId="41" fontId="29" fillId="0" borderId="0" xfId="0" applyNumberFormat="1" applyFont="1" applyFill="1" applyBorder="1" applyAlignment="1">
      <alignment horizontal="right"/>
    </xf>
    <xf numFmtId="0" fontId="21" fillId="0" borderId="36" xfId="0" applyFont="1" applyFill="1" applyBorder="1" applyAlignment="1">
      <alignment horizontal="left"/>
    </xf>
    <xf numFmtId="9" fontId="41" fillId="0" borderId="0" xfId="1" applyFont="1" applyBorder="1"/>
    <xf numFmtId="10" fontId="12" fillId="0" borderId="0" xfId="1" applyNumberFormat="1" applyFont="1"/>
    <xf numFmtId="41" fontId="11" fillId="0" borderId="18" xfId="0" applyNumberFormat="1" applyFont="1" applyFill="1" applyBorder="1"/>
    <xf numFmtId="41" fontId="11" fillId="0" borderId="56" xfId="0" applyNumberFormat="1" applyFont="1" applyFill="1" applyBorder="1"/>
    <xf numFmtId="0" fontId="7" fillId="2" borderId="0" xfId="0" applyFont="1" applyFill="1" applyAlignment="1">
      <alignment horizontal="center" vertical="center"/>
    </xf>
    <xf numFmtId="10" fontId="12" fillId="0" borderId="0" xfId="1" applyNumberFormat="1" applyFont="1" applyBorder="1" applyAlignment="1">
      <alignment horizontal="center" vertical="center"/>
    </xf>
    <xf numFmtId="2" fontId="12" fillId="0" borderId="0" xfId="1" applyNumberFormat="1" applyFont="1" applyBorder="1" applyAlignment="1">
      <alignment horizontal="center" vertical="center"/>
    </xf>
    <xf numFmtId="2" fontId="46" fillId="0" borderId="0" xfId="0" applyNumberFormat="1" applyFont="1" applyBorder="1" applyAlignment="1">
      <alignment horizontal="center" vertical="center"/>
    </xf>
    <xf numFmtId="2" fontId="12" fillId="0" borderId="21" xfId="1" applyNumberFormat="1" applyFont="1" applyBorder="1" applyAlignment="1">
      <alignment horizontal="center" vertical="center"/>
    </xf>
    <xf numFmtId="2" fontId="46" fillId="0" borderId="3" xfId="0" applyNumberFormat="1" applyFont="1" applyBorder="1" applyAlignment="1">
      <alignment horizontal="center" vertical="center"/>
    </xf>
    <xf numFmtId="41" fontId="12" fillId="0" borderId="0" xfId="0" applyNumberFormat="1" applyFont="1"/>
    <xf numFmtId="41" fontId="8" fillId="0" borderId="20" xfId="0" applyNumberFormat="1" applyFont="1" applyBorder="1"/>
    <xf numFmtId="41" fontId="8" fillId="0" borderId="22" xfId="0" applyNumberFormat="1" applyFont="1" applyBorder="1"/>
    <xf numFmtId="41" fontId="8" fillId="0" borderId="46" xfId="0" applyNumberFormat="1" applyFont="1" applyBorder="1"/>
    <xf numFmtId="41" fontId="8" fillId="0" borderId="30" xfId="0" applyNumberFormat="1" applyFont="1" applyBorder="1"/>
    <xf numFmtId="41" fontId="8" fillId="0" borderId="2" xfId="0" applyNumberFormat="1" applyFont="1" applyBorder="1"/>
    <xf numFmtId="41" fontId="8" fillId="0" borderId="45" xfId="0" applyNumberFormat="1" applyFont="1" applyBorder="1"/>
    <xf numFmtId="1" fontId="12" fillId="0" borderId="0" xfId="0" applyNumberFormat="1" applyFont="1" applyBorder="1"/>
    <xf numFmtId="41" fontId="12" fillId="0" borderId="0" xfId="0" applyNumberFormat="1" applyFont="1" applyAlignment="1">
      <alignment horizontal="left" vertical="center"/>
    </xf>
    <xf numFmtId="41" fontId="0" fillId="0" borderId="0" xfId="0" applyNumberFormat="1"/>
    <xf numFmtId="0" fontId="67" fillId="0" borderId="0" xfId="0" applyFont="1"/>
    <xf numFmtId="41" fontId="29" fillId="0" borderId="0" xfId="0" applyNumberFormat="1" applyFont="1" applyFill="1" applyAlignment="1">
      <alignment horizontal="left" vertical="center"/>
    </xf>
    <xf numFmtId="172" fontId="12" fillId="0" borderId="0" xfId="0" applyNumberFormat="1" applyFont="1"/>
    <xf numFmtId="0" fontId="7" fillId="2" borderId="22" xfId="0" applyFont="1" applyFill="1" applyBorder="1" applyAlignment="1">
      <alignment horizontal="center"/>
    </xf>
    <xf numFmtId="41" fontId="8" fillId="0" borderId="0" xfId="0" applyNumberFormat="1" applyFont="1" applyFill="1" applyBorder="1" applyAlignment="1">
      <alignment horizontal="right"/>
    </xf>
    <xf numFmtId="41" fontId="11" fillId="0" borderId="0" xfId="0" applyNumberFormat="1" applyFont="1" applyFill="1" applyBorder="1" applyAlignment="1">
      <alignment horizontal="right"/>
    </xf>
    <xf numFmtId="41" fontId="12" fillId="0" borderId="0" xfId="0" applyNumberFormat="1" applyFont="1" applyFill="1" applyBorder="1" applyAlignment="1">
      <alignment horizontal="right"/>
    </xf>
    <xf numFmtId="10" fontId="11" fillId="0" borderId="0" xfId="1" applyNumberFormat="1" applyFont="1" applyFill="1" applyBorder="1"/>
    <xf numFmtId="9" fontId="12" fillId="0" borderId="0" xfId="1" applyNumberFormat="1" applyFont="1" applyFill="1" applyBorder="1" applyAlignment="1">
      <alignment horizontal="right"/>
    </xf>
    <xf numFmtId="41" fontId="12" fillId="0" borderId="21" xfId="0" applyNumberFormat="1" applyFont="1" applyFill="1" applyBorder="1" applyAlignment="1">
      <alignment horizontal="right"/>
    </xf>
    <xf numFmtId="41" fontId="11" fillId="0" borderId="21" xfId="0" applyNumberFormat="1" applyFont="1" applyFill="1" applyBorder="1" applyAlignment="1">
      <alignment horizontal="right"/>
    </xf>
    <xf numFmtId="41" fontId="12" fillId="0" borderId="0" xfId="0" applyNumberFormat="1" applyFont="1" applyBorder="1" applyAlignment="1">
      <alignment horizontal="right"/>
    </xf>
    <xf numFmtId="41" fontId="12" fillId="0" borderId="21" xfId="0" applyNumberFormat="1" applyFont="1" applyBorder="1" applyAlignment="1">
      <alignment horizontal="right"/>
    </xf>
    <xf numFmtId="9" fontId="12" fillId="0" borderId="21" xfId="1" applyFont="1" applyFill="1" applyBorder="1" applyAlignment="1">
      <alignment horizontal="right"/>
    </xf>
    <xf numFmtId="9" fontId="11" fillId="0" borderId="3" xfId="1" applyFont="1" applyFill="1" applyBorder="1" applyAlignment="1">
      <alignment horizontal="right"/>
    </xf>
    <xf numFmtId="1" fontId="8" fillId="0" borderId="2" xfId="0" applyNumberFormat="1" applyFont="1" applyFill="1" applyBorder="1"/>
    <xf numFmtId="9" fontId="12" fillId="0" borderId="21" xfId="1" applyNumberFormat="1" applyFont="1" applyFill="1" applyBorder="1" applyAlignment="1">
      <alignment horizontal="right"/>
    </xf>
    <xf numFmtId="9" fontId="11" fillId="0" borderId="3" xfId="1" applyNumberFormat="1" applyFont="1" applyFill="1" applyBorder="1" applyAlignment="1">
      <alignment horizontal="right"/>
    </xf>
    <xf numFmtId="9" fontId="11" fillId="0" borderId="30" xfId="1" applyNumberFormat="1" applyFont="1" applyFill="1" applyBorder="1" applyAlignment="1">
      <alignment horizontal="right"/>
    </xf>
    <xf numFmtId="10" fontId="8" fillId="0" borderId="39" xfId="1" applyNumberFormat="1" applyFont="1" applyFill="1" applyBorder="1"/>
    <xf numFmtId="2" fontId="11" fillId="0" borderId="38" xfId="0" applyNumberFormat="1" applyFont="1" applyFill="1" applyBorder="1"/>
    <xf numFmtId="10" fontId="12" fillId="0" borderId="38" xfId="1" applyNumberFormat="1" applyFont="1" applyFill="1" applyBorder="1"/>
    <xf numFmtId="2" fontId="12" fillId="0" borderId="44" xfId="0" applyNumberFormat="1" applyFont="1" applyFill="1" applyBorder="1"/>
    <xf numFmtId="0" fontId="21" fillId="0" borderId="0" xfId="0" applyFont="1" applyFill="1" applyBorder="1" applyAlignment="1">
      <alignment horizontal="right"/>
    </xf>
    <xf numFmtId="0" fontId="29" fillId="0" borderId="0" xfId="0" applyFont="1" applyFill="1" applyBorder="1" applyAlignment="1">
      <alignment horizontal="right"/>
    </xf>
    <xf numFmtId="9" fontId="27" fillId="0" borderId="21" xfId="1" applyFont="1" applyFill="1" applyBorder="1"/>
    <xf numFmtId="0" fontId="71" fillId="0" borderId="0" xfId="0" applyFont="1"/>
    <xf numFmtId="0" fontId="42" fillId="0" borderId="0" xfId="0" applyFont="1" applyFill="1" applyAlignment="1">
      <alignment horizontal="center" vertical="center"/>
    </xf>
    <xf numFmtId="0" fontId="48" fillId="0" borderId="0" xfId="0" applyFont="1" applyFill="1" applyAlignment="1">
      <alignment horizontal="center" vertical="center"/>
    </xf>
    <xf numFmtId="0" fontId="71" fillId="0" borderId="0" xfId="0" applyFont="1" applyFill="1"/>
    <xf numFmtId="2" fontId="33" fillId="0" borderId="0" xfId="0" applyNumberFormat="1" applyFont="1" applyFill="1" applyBorder="1"/>
    <xf numFmtId="2" fontId="33" fillId="0" borderId="21" xfId="0" applyNumberFormat="1" applyFont="1" applyFill="1" applyBorder="1"/>
    <xf numFmtId="0" fontId="33" fillId="0" borderId="0" xfId="0" applyFont="1" applyFill="1" applyAlignment="1">
      <alignment horizontal="center" vertical="center"/>
    </xf>
    <xf numFmtId="0" fontId="20" fillId="0" borderId="38" xfId="0" applyFont="1" applyBorder="1"/>
    <xf numFmtId="10" fontId="20" fillId="0" borderId="0" xfId="0" applyNumberFormat="1" applyFont="1" applyFill="1" applyBorder="1"/>
    <xf numFmtId="9" fontId="20" fillId="0" borderId="0" xfId="1" applyFont="1" applyFill="1" applyAlignment="1">
      <alignment horizontal="center"/>
    </xf>
    <xf numFmtId="10" fontId="20" fillId="0" borderId="3" xfId="1" applyNumberFormat="1" applyFont="1" applyFill="1" applyBorder="1"/>
    <xf numFmtId="0" fontId="29" fillId="0" borderId="21" xfId="0" applyFont="1" applyFill="1" applyBorder="1"/>
    <xf numFmtId="9" fontId="20" fillId="0" borderId="0" xfId="1" applyFont="1"/>
    <xf numFmtId="9" fontId="20" fillId="0" borderId="44" xfId="1" applyFont="1" applyBorder="1"/>
    <xf numFmtId="9" fontId="20" fillId="0" borderId="3" xfId="1" applyFont="1" applyBorder="1"/>
    <xf numFmtId="9" fontId="45" fillId="0" borderId="0" xfId="1" applyFont="1" applyFill="1" applyBorder="1"/>
    <xf numFmtId="9" fontId="32" fillId="0" borderId="0" xfId="1" applyFont="1" applyFill="1" applyBorder="1"/>
    <xf numFmtId="0" fontId="20" fillId="0" borderId="44" xfId="0" applyFont="1" applyBorder="1"/>
    <xf numFmtId="0" fontId="20" fillId="0" borderId="3" xfId="0" applyFont="1" applyBorder="1"/>
    <xf numFmtId="41" fontId="11" fillId="0" borderId="0" xfId="0" applyNumberFormat="1" applyFont="1" applyFill="1"/>
    <xf numFmtId="0" fontId="7" fillId="2" borderId="2" xfId="0" applyFont="1" applyFill="1" applyBorder="1"/>
    <xf numFmtId="0" fontId="7" fillId="10" borderId="39" xfId="0" applyFont="1" applyFill="1" applyBorder="1"/>
    <xf numFmtId="41" fontId="29" fillId="0" borderId="21" xfId="1" applyNumberFormat="1" applyFont="1" applyFill="1" applyBorder="1"/>
    <xf numFmtId="41" fontId="12" fillId="0" borderId="0" xfId="1" applyNumberFormat="1" applyFont="1" applyFill="1" applyBorder="1"/>
    <xf numFmtId="41" fontId="44" fillId="0" borderId="0" xfId="0" applyNumberFormat="1" applyFont="1" applyFill="1" applyBorder="1" applyAlignment="1">
      <alignment horizontal="center"/>
    </xf>
    <xf numFmtId="41" fontId="44" fillId="0" borderId="2" xfId="0" applyNumberFormat="1" applyFont="1" applyFill="1" applyBorder="1" applyAlignment="1">
      <alignment horizontal="center"/>
    </xf>
    <xf numFmtId="41" fontId="7" fillId="0" borderId="2" xfId="0" applyNumberFormat="1" applyFont="1" applyFill="1" applyBorder="1" applyAlignment="1">
      <alignment horizontal="center"/>
    </xf>
    <xf numFmtId="41" fontId="18" fillId="0" borderId="0" xfId="1" applyNumberFormat="1" applyFont="1" applyFill="1" applyBorder="1"/>
    <xf numFmtId="41" fontId="21" fillId="0" borderId="20" xfId="0" applyNumberFormat="1" applyFont="1" applyFill="1" applyBorder="1"/>
    <xf numFmtId="41" fontId="18" fillId="0" borderId="0" xfId="1" applyNumberFormat="1" applyFont="1" applyBorder="1"/>
    <xf numFmtId="41" fontId="27" fillId="0" borderId="20" xfId="0" applyNumberFormat="1" applyFont="1" applyFill="1" applyBorder="1"/>
    <xf numFmtId="41" fontId="21" fillId="0" borderId="20" xfId="0" applyNumberFormat="1" applyFont="1" applyFill="1" applyBorder="1" applyAlignment="1">
      <alignment horizontal="center"/>
    </xf>
    <xf numFmtId="41" fontId="7" fillId="2" borderId="20" xfId="0" applyNumberFormat="1" applyFont="1" applyFill="1" applyBorder="1" applyAlignment="1">
      <alignment horizontal="center"/>
    </xf>
    <xf numFmtId="41" fontId="0" fillId="0" borderId="0" xfId="0" applyNumberFormat="1" applyFill="1"/>
    <xf numFmtId="41" fontId="11" fillId="0" borderId="38" xfId="0" applyNumberFormat="1" applyFont="1" applyBorder="1" applyAlignment="1">
      <alignment horizontal="left"/>
    </xf>
    <xf numFmtId="41" fontId="18" fillId="0" borderId="0" xfId="0" applyNumberFormat="1" applyFont="1" applyFill="1"/>
    <xf numFmtId="41" fontId="8" fillId="0" borderId="0" xfId="0" applyNumberFormat="1" applyFont="1" applyFill="1"/>
    <xf numFmtId="41" fontId="7" fillId="0" borderId="0" xfId="0" applyNumberFormat="1" applyFont="1" applyFill="1"/>
    <xf numFmtId="41" fontId="36" fillId="0" borderId="0" xfId="0" applyNumberFormat="1" applyFont="1" applyFill="1"/>
    <xf numFmtId="41" fontId="11" fillId="0" borderId="44" xfId="0" applyNumberFormat="1" applyFont="1" applyBorder="1" applyAlignment="1">
      <alignment horizontal="left"/>
    </xf>
    <xf numFmtId="41" fontId="71" fillId="0" borderId="0" xfId="1" applyNumberFormat="1" applyFont="1" applyFill="1" applyBorder="1"/>
    <xf numFmtId="41" fontId="42" fillId="0" borderId="0" xfId="0" applyNumberFormat="1" applyFont="1" applyFill="1" applyAlignment="1">
      <alignment horizontal="center" vertical="center"/>
    </xf>
    <xf numFmtId="41" fontId="20" fillId="0" borderId="0" xfId="1" applyNumberFormat="1" applyFont="1" applyFill="1" applyBorder="1"/>
    <xf numFmtId="41" fontId="33" fillId="0" borderId="0" xfId="0" applyNumberFormat="1" applyFont="1" applyFill="1" applyAlignment="1">
      <alignment horizontal="center" vertical="center"/>
    </xf>
    <xf numFmtId="41" fontId="39" fillId="0" borderId="0" xfId="1" applyNumberFormat="1" applyFont="1" applyFill="1" applyBorder="1"/>
    <xf numFmtId="41" fontId="29" fillId="0" borderId="0" xfId="1" applyNumberFormat="1" applyFont="1" applyFill="1" applyBorder="1" applyAlignment="1">
      <alignment horizontal="right"/>
    </xf>
    <xf numFmtId="41" fontId="29" fillId="6" borderId="0" xfId="1" applyNumberFormat="1" applyFont="1" applyFill="1" applyBorder="1" applyAlignment="1">
      <alignment horizontal="right"/>
    </xf>
    <xf numFmtId="41" fontId="33" fillId="0" borderId="20" xfId="1" applyNumberFormat="1" applyFont="1" applyFill="1" applyBorder="1"/>
    <xf numFmtId="41" fontId="33" fillId="6" borderId="20" xfId="1" applyNumberFormat="1" applyFont="1" applyFill="1" applyBorder="1"/>
    <xf numFmtId="41" fontId="29" fillId="6" borderId="0" xfId="1" applyNumberFormat="1" applyFont="1" applyFill="1" applyBorder="1"/>
    <xf numFmtId="41" fontId="20" fillId="0" borderId="29" xfId="1" applyNumberFormat="1" applyFont="1" applyFill="1" applyBorder="1"/>
    <xf numFmtId="41" fontId="20" fillId="6" borderId="29" xfId="1" applyNumberFormat="1" applyFont="1" applyFill="1" applyBorder="1"/>
    <xf numFmtId="41" fontId="33" fillId="0" borderId="0" xfId="1" applyNumberFormat="1" applyFont="1" applyFill="1" applyBorder="1"/>
    <xf numFmtId="41" fontId="29" fillId="0" borderId="0" xfId="0" applyNumberFormat="1" applyFont="1" applyFill="1"/>
    <xf numFmtId="41" fontId="21" fillId="0" borderId="2" xfId="0" applyNumberFormat="1" applyFont="1" applyFill="1" applyBorder="1" applyAlignment="1">
      <alignment horizontal="center"/>
    </xf>
    <xf numFmtId="41" fontId="7" fillId="2" borderId="2" xfId="0" applyNumberFormat="1" applyFont="1" applyFill="1" applyBorder="1" applyAlignment="1">
      <alignment horizontal="center"/>
    </xf>
    <xf numFmtId="41" fontId="8" fillId="0" borderId="2" xfId="0" applyNumberFormat="1" applyFont="1" applyFill="1" applyBorder="1"/>
    <xf numFmtId="41" fontId="19" fillId="0" borderId="0" xfId="1" applyNumberFormat="1" applyFont="1" applyFill="1" applyBorder="1"/>
    <xf numFmtId="41" fontId="21" fillId="14" borderId="20" xfId="0" applyNumberFormat="1" applyFont="1" applyFill="1" applyBorder="1" applyAlignment="1">
      <alignment horizontal="center"/>
    </xf>
    <xf numFmtId="41" fontId="7" fillId="2" borderId="22" xfId="0" applyNumberFormat="1" applyFont="1" applyFill="1" applyBorder="1" applyAlignment="1">
      <alignment horizontal="center"/>
    </xf>
    <xf numFmtId="41" fontId="18" fillId="0" borderId="0" xfId="1" applyNumberFormat="1" applyFont="1" applyFill="1" applyBorder="1" applyAlignment="1">
      <alignment horizontal="right"/>
    </xf>
    <xf numFmtId="41" fontId="12" fillId="0" borderId="0" xfId="0" applyNumberFormat="1" applyFont="1" applyFill="1" applyAlignment="1">
      <alignment horizontal="right"/>
    </xf>
    <xf numFmtId="41" fontId="11" fillId="0" borderId="24" xfId="0" applyNumberFormat="1" applyFont="1" applyFill="1" applyBorder="1" applyAlignment="1">
      <alignment horizontal="right"/>
    </xf>
    <xf numFmtId="41" fontId="33" fillId="0" borderId="0" xfId="1" applyNumberFormat="1" applyFont="1" applyFill="1" applyBorder="1" applyAlignment="1">
      <alignment horizontal="right"/>
    </xf>
    <xf numFmtId="41" fontId="12" fillId="0" borderId="0" xfId="1" applyNumberFormat="1" applyFont="1" applyFill="1" applyBorder="1" applyAlignment="1">
      <alignment horizontal="right"/>
    </xf>
    <xf numFmtId="41" fontId="18" fillId="0" borderId="0" xfId="0" applyNumberFormat="1" applyFont="1" applyFill="1" applyBorder="1"/>
    <xf numFmtId="41" fontId="27" fillId="0" borderId="0" xfId="0" applyNumberFormat="1" applyFont="1" applyFill="1"/>
    <xf numFmtId="41" fontId="72" fillId="0" borderId="0" xfId="1" applyNumberFormat="1" applyFont="1" applyFill="1" applyBorder="1"/>
    <xf numFmtId="0" fontId="32" fillId="0" borderId="0" xfId="0" applyFont="1" applyFill="1" applyBorder="1"/>
    <xf numFmtId="9" fontId="45" fillId="0" borderId="0" xfId="1" applyFont="1"/>
    <xf numFmtId="9" fontId="70" fillId="0" borderId="0" xfId="1" applyFont="1" applyFill="1" applyBorder="1"/>
    <xf numFmtId="9" fontId="45" fillId="0" borderId="0" xfId="1" applyFont="1" applyFill="1"/>
    <xf numFmtId="9" fontId="72" fillId="0" borderId="0" xfId="1" applyFont="1" applyFill="1" applyBorder="1"/>
    <xf numFmtId="9" fontId="73" fillId="0" borderId="0" xfId="1" applyFont="1"/>
    <xf numFmtId="9" fontId="32" fillId="0" borderId="0" xfId="1" applyFont="1" applyFill="1" applyBorder="1" applyAlignment="1">
      <alignment horizontal="right"/>
    </xf>
    <xf numFmtId="9" fontId="45" fillId="0" borderId="0" xfId="1" applyFont="1" applyFill="1" applyBorder="1" applyAlignment="1">
      <alignment horizontal="right"/>
    </xf>
    <xf numFmtId="9" fontId="45" fillId="0" borderId="32" xfId="1" applyFont="1" applyFill="1" applyBorder="1"/>
    <xf numFmtId="9" fontId="70" fillId="0" borderId="32" xfId="1" applyFont="1" applyFill="1" applyBorder="1"/>
    <xf numFmtId="41" fontId="0" fillId="0" borderId="0" xfId="0" applyNumberFormat="1" applyFill="1" applyBorder="1" applyAlignment="1">
      <alignment horizontal="right"/>
    </xf>
    <xf numFmtId="9" fontId="41" fillId="0" borderId="26" xfId="1" applyFont="1" applyFill="1" applyBorder="1"/>
    <xf numFmtId="9" fontId="41" fillId="0" borderId="29" xfId="1" applyFont="1" applyFill="1" applyBorder="1"/>
    <xf numFmtId="9" fontId="41" fillId="0" borderId="37" xfId="1" applyFont="1" applyFill="1" applyBorder="1"/>
    <xf numFmtId="9" fontId="41" fillId="0" borderId="33" xfId="1" applyFont="1" applyFill="1" applyBorder="1"/>
    <xf numFmtId="9" fontId="70" fillId="0" borderId="0" xfId="1" applyFont="1" applyFill="1"/>
    <xf numFmtId="9" fontId="32" fillId="0" borderId="0" xfId="1" applyFont="1" applyFill="1"/>
    <xf numFmtId="9" fontId="72" fillId="0" borderId="0" xfId="1" applyFont="1" applyFill="1" applyBorder="1" applyAlignment="1">
      <alignment horizontal="right"/>
    </xf>
    <xf numFmtId="9" fontId="70" fillId="0" borderId="0" xfId="1" applyFont="1" applyFill="1" applyBorder="1" applyAlignment="1">
      <alignment horizontal="right"/>
    </xf>
    <xf numFmtId="9" fontId="18" fillId="0" borderId="0" xfId="1" applyFont="1" applyFill="1" applyBorder="1" applyAlignment="1">
      <alignment horizontal="right"/>
    </xf>
    <xf numFmtId="0" fontId="8" fillId="0" borderId="31" xfId="0" applyFont="1" applyFill="1" applyBorder="1"/>
    <xf numFmtId="0" fontId="8" fillId="0" borderId="52" xfId="0" applyFont="1" applyFill="1" applyBorder="1"/>
    <xf numFmtId="41" fontId="11" fillId="0" borderId="26" xfId="0" applyNumberFormat="1" applyFont="1" applyFill="1" applyBorder="1"/>
    <xf numFmtId="9" fontId="41" fillId="0" borderId="32" xfId="1" applyFont="1" applyFill="1" applyBorder="1"/>
    <xf numFmtId="41" fontId="0" fillId="0" borderId="0" xfId="0" applyNumberFormat="1" applyBorder="1"/>
    <xf numFmtId="0" fontId="29" fillId="0" borderId="31" xfId="1" applyNumberFormat="1" applyFont="1" applyFill="1" applyBorder="1" applyAlignment="1">
      <alignment horizontal="right"/>
    </xf>
    <xf numFmtId="0" fontId="29" fillId="0" borderId="24" xfId="1" applyNumberFormat="1" applyFont="1" applyFill="1" applyBorder="1" applyAlignment="1">
      <alignment horizontal="right"/>
    </xf>
    <xf numFmtId="0" fontId="29" fillId="0" borderId="32" xfId="1" applyNumberFormat="1" applyFont="1" applyFill="1" applyBorder="1" applyAlignment="1">
      <alignment horizontal="right"/>
    </xf>
    <xf numFmtId="9" fontId="32" fillId="0" borderId="32" xfId="1" applyFont="1" applyFill="1" applyBorder="1" applyAlignment="1">
      <alignment horizontal="right"/>
    </xf>
    <xf numFmtId="9" fontId="72" fillId="0" borderId="32" xfId="1" applyFont="1" applyFill="1" applyBorder="1" applyAlignment="1">
      <alignment horizontal="right"/>
    </xf>
    <xf numFmtId="9" fontId="32" fillId="0" borderId="33" xfId="1" applyFont="1" applyFill="1" applyBorder="1" applyAlignment="1">
      <alignment horizontal="right"/>
    </xf>
    <xf numFmtId="9" fontId="32" fillId="0" borderId="29" xfId="1" applyFont="1" applyFill="1" applyBorder="1" applyAlignment="1">
      <alignment horizontal="right"/>
    </xf>
    <xf numFmtId="41" fontId="21" fillId="0" borderId="22" xfId="0" applyNumberFormat="1" applyFont="1" applyFill="1" applyBorder="1" applyAlignment="1">
      <alignment horizontal="center"/>
    </xf>
    <xf numFmtId="41" fontId="7" fillId="0" borderId="0" xfId="0" applyNumberFormat="1" applyFont="1" applyFill="1" applyBorder="1" applyAlignment="1">
      <alignment horizontal="center"/>
    </xf>
    <xf numFmtId="41" fontId="8" fillId="0" borderId="20" xfId="1" applyNumberFormat="1" applyFont="1" applyFill="1" applyBorder="1"/>
    <xf numFmtId="41" fontId="0" fillId="0" borderId="0" xfId="1" applyNumberFormat="1" applyFont="1" applyFill="1" applyBorder="1"/>
    <xf numFmtId="41" fontId="44" fillId="0" borderId="20" xfId="0" applyNumberFormat="1" applyFont="1" applyFill="1" applyBorder="1" applyAlignment="1">
      <alignment horizontal="center"/>
    </xf>
    <xf numFmtId="41" fontId="18" fillId="0" borderId="2" xfId="0" applyNumberFormat="1" applyFont="1" applyFill="1" applyBorder="1"/>
    <xf numFmtId="1" fontId="18" fillId="0" borderId="0" xfId="0" applyNumberFormat="1" applyFont="1" applyFill="1"/>
    <xf numFmtId="1" fontId="18" fillId="0" borderId="0" xfId="0" applyNumberFormat="1" applyFont="1" applyFill="1" applyBorder="1"/>
    <xf numFmtId="10" fontId="72" fillId="0" borderId="0" xfId="1" applyNumberFormat="1" applyFont="1" applyFill="1"/>
    <xf numFmtId="10" fontId="72" fillId="0" borderId="21" xfId="1" applyNumberFormat="1" applyFont="1" applyFill="1" applyBorder="1"/>
    <xf numFmtId="10" fontId="72" fillId="0" borderId="0" xfId="1" applyNumberFormat="1" applyFont="1" applyFill="1" applyBorder="1"/>
    <xf numFmtId="0" fontId="21" fillId="0" borderId="3" xfId="0" applyFont="1" applyFill="1" applyBorder="1"/>
    <xf numFmtId="41" fontId="18" fillId="0" borderId="21" xfId="0" applyNumberFormat="1" applyFont="1" applyFill="1" applyBorder="1"/>
    <xf numFmtId="0" fontId="18" fillId="0" borderId="44" xfId="0" applyFont="1" applyFill="1" applyBorder="1"/>
    <xf numFmtId="41" fontId="18" fillId="0" borderId="3" xfId="0" applyNumberFormat="1" applyFont="1" applyFill="1" applyBorder="1"/>
    <xf numFmtId="41" fontId="18" fillId="0" borderId="30" xfId="0" applyNumberFormat="1" applyFont="1" applyFill="1" applyBorder="1"/>
    <xf numFmtId="0" fontId="0" fillId="0" borderId="39" xfId="0" applyBorder="1"/>
    <xf numFmtId="0" fontId="0" fillId="0" borderId="2" xfId="0" applyBorder="1"/>
    <xf numFmtId="0" fontId="29" fillId="0" borderId="39" xfId="1" applyNumberFormat="1" applyFont="1" applyFill="1" applyBorder="1" applyAlignment="1">
      <alignment horizontal="right"/>
    </xf>
    <xf numFmtId="0" fontId="29" fillId="0" borderId="2" xfId="1" applyNumberFormat="1" applyFont="1" applyFill="1" applyBorder="1" applyAlignment="1">
      <alignment horizontal="right"/>
    </xf>
    <xf numFmtId="0" fontId="29" fillId="0" borderId="38" xfId="1" applyNumberFormat="1" applyFont="1" applyFill="1" applyBorder="1" applyAlignment="1">
      <alignment horizontal="right"/>
    </xf>
    <xf numFmtId="0" fontId="33" fillId="0" borderId="38" xfId="1" applyNumberFormat="1" applyFont="1" applyFill="1" applyBorder="1" applyAlignment="1">
      <alignment horizontal="right"/>
    </xf>
    <xf numFmtId="10" fontId="33" fillId="0" borderId="36" xfId="1" applyNumberFormat="1" applyFont="1" applyFill="1" applyBorder="1"/>
    <xf numFmtId="10" fontId="29" fillId="0" borderId="38" xfId="1" applyNumberFormat="1" applyFont="1" applyFill="1" applyBorder="1"/>
    <xf numFmtId="10" fontId="20" fillId="0" borderId="42" xfId="1" applyNumberFormat="1" applyFont="1" applyFill="1" applyBorder="1"/>
    <xf numFmtId="10" fontId="72" fillId="0" borderId="38" xfId="1" applyNumberFormat="1" applyFont="1" applyFill="1" applyBorder="1"/>
    <xf numFmtId="41" fontId="72" fillId="0" borderId="21" xfId="1" applyNumberFormat="1" applyFont="1" applyFill="1" applyBorder="1"/>
    <xf numFmtId="10" fontId="72" fillId="0" borderId="44" xfId="1" applyNumberFormat="1" applyFont="1" applyFill="1" applyBorder="1"/>
    <xf numFmtId="41" fontId="72" fillId="0" borderId="3" xfId="1" applyNumberFormat="1" applyFont="1" applyFill="1" applyBorder="1"/>
    <xf numFmtId="41" fontId="72" fillId="0" borderId="30" xfId="1" applyNumberFormat="1" applyFont="1" applyFill="1" applyBorder="1"/>
    <xf numFmtId="9" fontId="0" fillId="0" borderId="38" xfId="1" applyFont="1" applyFill="1" applyBorder="1"/>
    <xf numFmtId="41" fontId="0" fillId="0" borderId="21" xfId="1" applyNumberFormat="1" applyFont="1" applyFill="1" applyBorder="1"/>
    <xf numFmtId="41" fontId="8" fillId="0" borderId="0" xfId="1" applyNumberFormat="1" applyFont="1" applyFill="1" applyBorder="1"/>
    <xf numFmtId="41" fontId="45" fillId="0" borderId="0" xfId="1" applyNumberFormat="1" applyFont="1" applyFill="1" applyBorder="1"/>
    <xf numFmtId="0" fontId="21" fillId="0" borderId="38" xfId="0" applyFont="1" applyFill="1" applyBorder="1"/>
    <xf numFmtId="0" fontId="27" fillId="0" borderId="38" xfId="0" applyFont="1" applyFill="1" applyBorder="1"/>
    <xf numFmtId="0" fontId="20" fillId="0" borderId="3" xfId="0" applyFont="1" applyFill="1" applyBorder="1"/>
    <xf numFmtId="0" fontId="18" fillId="0" borderId="3" xfId="0" applyFont="1" applyFill="1" applyBorder="1"/>
    <xf numFmtId="0" fontId="18" fillId="0" borderId="30" xfId="0" applyFont="1" applyFill="1" applyBorder="1"/>
    <xf numFmtId="0" fontId="0" fillId="0" borderId="44" xfId="0" applyBorder="1"/>
    <xf numFmtId="0" fontId="21" fillId="0" borderId="44" xfId="0" applyFont="1" applyFill="1" applyBorder="1" applyAlignment="1">
      <alignment horizontal="center"/>
    </xf>
    <xf numFmtId="0" fontId="21" fillId="0" borderId="3" xfId="0" applyFont="1" applyFill="1" applyBorder="1" applyAlignment="1">
      <alignment horizontal="center"/>
    </xf>
    <xf numFmtId="0" fontId="44" fillId="14" borderId="36" xfId="0" applyFont="1" applyFill="1" applyBorder="1"/>
    <xf numFmtId="0" fontId="44" fillId="14" borderId="20" xfId="0" applyFont="1" applyFill="1" applyBorder="1"/>
    <xf numFmtId="0" fontId="74" fillId="14" borderId="36" xfId="0" applyFont="1" applyFill="1" applyBorder="1"/>
    <xf numFmtId="0" fontId="74" fillId="14" borderId="20" xfId="0" applyFont="1" applyFill="1" applyBorder="1"/>
    <xf numFmtId="2" fontId="0" fillId="0" borderId="21" xfId="0" applyNumberFormat="1" applyFill="1" applyBorder="1"/>
    <xf numFmtId="0" fontId="20" fillId="0" borderId="30" xfId="0" applyFont="1" applyFill="1" applyBorder="1"/>
    <xf numFmtId="0" fontId="0" fillId="0" borderId="44" xfId="0" applyFill="1" applyBorder="1"/>
    <xf numFmtId="0" fontId="0" fillId="0" borderId="3" xfId="0" applyFill="1" applyBorder="1"/>
    <xf numFmtId="0" fontId="0" fillId="0" borderId="2" xfId="0" applyFill="1" applyBorder="1"/>
    <xf numFmtId="9" fontId="27" fillId="0" borderId="38" xfId="1" applyFont="1" applyFill="1" applyBorder="1"/>
    <xf numFmtId="9" fontId="32" fillId="0" borderId="2" xfId="1" applyFont="1" applyFill="1" applyBorder="1"/>
    <xf numFmtId="41" fontId="21" fillId="0" borderId="0" xfId="1" applyNumberFormat="1" applyFont="1" applyBorder="1"/>
    <xf numFmtId="0" fontId="21" fillId="0" borderId="36" xfId="1" applyNumberFormat="1" applyFont="1" applyFill="1" applyBorder="1"/>
    <xf numFmtId="41" fontId="8" fillId="0" borderId="36" xfId="1" applyNumberFormat="1" applyFont="1" applyFill="1" applyBorder="1"/>
    <xf numFmtId="41" fontId="8" fillId="0" borderId="33" xfId="1" applyNumberFormat="1" applyFont="1" applyFill="1" applyBorder="1"/>
    <xf numFmtId="41" fontId="8" fillId="0" borderId="29" xfId="1" applyNumberFormat="1" applyFont="1" applyFill="1" applyBorder="1"/>
    <xf numFmtId="41" fontId="8" fillId="0" borderId="0" xfId="1" applyNumberFormat="1" applyFont="1" applyBorder="1"/>
    <xf numFmtId="41" fontId="0" fillId="0" borderId="3" xfId="0" applyNumberFormat="1" applyFill="1" applyBorder="1"/>
    <xf numFmtId="0" fontId="7" fillId="2" borderId="3" xfId="0" applyFont="1" applyFill="1" applyBorder="1" applyAlignment="1">
      <alignment horizontal="center"/>
    </xf>
    <xf numFmtId="0" fontId="18" fillId="0" borderId="0" xfId="1" applyNumberFormat="1" applyFont="1" applyFill="1" applyBorder="1"/>
    <xf numFmtId="2" fontId="29" fillId="0" borderId="0" xfId="1" applyNumberFormat="1" applyFont="1" applyBorder="1"/>
    <xf numFmtId="41" fontId="21" fillId="0" borderId="3" xfId="0" applyNumberFormat="1" applyFont="1" applyFill="1" applyBorder="1"/>
    <xf numFmtId="2" fontId="12" fillId="0" borderId="24" xfId="1" applyNumberFormat="1" applyFont="1" applyBorder="1" applyAlignment="1">
      <alignment horizontal="center"/>
    </xf>
    <xf numFmtId="2" fontId="12" fillId="0" borderId="41" xfId="1" applyNumberFormat="1" applyFont="1" applyBorder="1" applyAlignment="1">
      <alignment horizontal="center"/>
    </xf>
    <xf numFmtId="2" fontId="12" fillId="0" borderId="0" xfId="1" applyNumberFormat="1" applyFont="1" applyBorder="1" applyAlignment="1">
      <alignment horizontal="center"/>
    </xf>
    <xf numFmtId="2" fontId="12" fillId="0" borderId="21" xfId="1" applyNumberFormat="1" applyFont="1" applyBorder="1" applyAlignment="1">
      <alignment horizontal="center"/>
    </xf>
    <xf numFmtId="2" fontId="12" fillId="0" borderId="29" xfId="1" applyNumberFormat="1" applyFont="1" applyBorder="1" applyAlignment="1">
      <alignment horizontal="center"/>
    </xf>
    <xf numFmtId="2" fontId="12" fillId="0" borderId="43" xfId="1" applyNumberFormat="1" applyFont="1" applyBorder="1" applyAlignment="1">
      <alignment horizontal="center"/>
    </xf>
    <xf numFmtId="2" fontId="12" fillId="0" borderId="0" xfId="1" quotePrefix="1" applyNumberFormat="1" applyFont="1" applyBorder="1" applyAlignment="1">
      <alignment horizontal="center"/>
    </xf>
    <xf numFmtId="2" fontId="12" fillId="0" borderId="3" xfId="1" applyNumberFormat="1" applyFont="1" applyBorder="1" applyAlignment="1">
      <alignment horizontal="center"/>
    </xf>
    <xf numFmtId="2" fontId="12" fillId="0" borderId="30" xfId="1" applyNumberFormat="1" applyFont="1" applyBorder="1" applyAlignment="1">
      <alignment horizontal="center"/>
    </xf>
    <xf numFmtId="0" fontId="42" fillId="0" borderId="0" xfId="0" applyFont="1" applyFill="1" applyBorder="1" applyAlignment="1">
      <alignment horizontal="left"/>
    </xf>
    <xf numFmtId="0" fontId="42" fillId="0" borderId="0" xfId="0" applyFont="1" applyFill="1" applyBorder="1" applyAlignment="1">
      <alignment horizontal="center" vertical="center"/>
    </xf>
    <xf numFmtId="2" fontId="12" fillId="0" borderId="0" xfId="0" applyNumberFormat="1" applyFont="1" applyFill="1" applyBorder="1" applyAlignment="1">
      <alignment horizontal="center"/>
    </xf>
    <xf numFmtId="41" fontId="43" fillId="0" borderId="0" xfId="0" applyNumberFormat="1" applyFont="1" applyFill="1" applyBorder="1"/>
    <xf numFmtId="41" fontId="43" fillId="0" borderId="0" xfId="0" applyNumberFormat="1" applyFont="1" applyFill="1" applyBorder="1" applyAlignment="1">
      <alignment horizontal="center"/>
    </xf>
    <xf numFmtId="9" fontId="45" fillId="0" borderId="0" xfId="1" applyFont="1" applyFill="1" applyBorder="1" applyAlignment="1">
      <alignment horizontal="center"/>
    </xf>
    <xf numFmtId="0" fontId="45" fillId="0" borderId="0" xfId="0" applyFont="1" applyFill="1" applyBorder="1"/>
    <xf numFmtId="41" fontId="45" fillId="0" borderId="0" xfId="0" applyNumberFormat="1" applyFont="1" applyFill="1" applyBorder="1"/>
    <xf numFmtId="0" fontId="74" fillId="0" borderId="0" xfId="0" applyFont="1" applyFill="1" applyBorder="1"/>
    <xf numFmtId="2" fontId="11" fillId="0" borderId="39" xfId="0" applyNumberFormat="1" applyFont="1" applyFill="1" applyBorder="1" applyAlignment="1">
      <alignment horizontal="left"/>
    </xf>
    <xf numFmtId="2" fontId="11" fillId="0" borderId="38" xfId="0" applyNumberFormat="1" applyFont="1" applyBorder="1" applyAlignment="1">
      <alignment horizontal="left"/>
    </xf>
    <xf numFmtId="2" fontId="43" fillId="0" borderId="38" xfId="1" applyNumberFormat="1" applyFont="1" applyBorder="1" applyAlignment="1">
      <alignment horizontal="left"/>
    </xf>
    <xf numFmtId="2" fontId="11" fillId="0" borderId="38" xfId="1" applyNumberFormat="1" applyFont="1" applyBorder="1" applyAlignment="1">
      <alignment horizontal="left"/>
    </xf>
    <xf numFmtId="2" fontId="43" fillId="0" borderId="44" xfId="0" applyNumberFormat="1" applyFont="1" applyBorder="1" applyAlignment="1">
      <alignment horizontal="left"/>
    </xf>
    <xf numFmtId="2" fontId="12" fillId="0" borderId="45" xfId="0" applyNumberFormat="1" applyFont="1" applyBorder="1"/>
    <xf numFmtId="2" fontId="43" fillId="0" borderId="0" xfId="1" applyNumberFormat="1" applyFont="1" applyBorder="1" applyAlignment="1">
      <alignment horizontal="center" vertical="center"/>
    </xf>
    <xf numFmtId="2" fontId="43" fillId="0" borderId="21" xfId="1" applyNumberFormat="1" applyFont="1" applyBorder="1" applyAlignment="1">
      <alignment horizontal="center" vertical="center"/>
    </xf>
    <xf numFmtId="9" fontId="42" fillId="2" borderId="0" xfId="1" applyFont="1" applyFill="1" applyAlignment="1">
      <alignment horizontal="left"/>
    </xf>
    <xf numFmtId="0" fontId="42" fillId="2" borderId="0" xfId="1" applyNumberFormat="1" applyFont="1" applyFill="1" applyAlignment="1">
      <alignment horizontal="center" vertical="center"/>
    </xf>
    <xf numFmtId="9" fontId="19" fillId="0" borderId="21" xfId="1" applyFont="1" applyFill="1" applyBorder="1"/>
    <xf numFmtId="9" fontId="18" fillId="0" borderId="3" xfId="1" applyFont="1" applyFill="1" applyBorder="1" applyAlignment="1">
      <alignment horizontal="right"/>
    </xf>
    <xf numFmtId="172" fontId="27" fillId="0" borderId="24" xfId="0" applyNumberFormat="1" applyFont="1" applyFill="1" applyBorder="1"/>
    <xf numFmtId="172" fontId="27" fillId="0" borderId="0" xfId="0" applyNumberFormat="1" applyFont="1" applyFill="1" applyBorder="1"/>
    <xf numFmtId="171" fontId="13" fillId="0" borderId="0" xfId="0" applyNumberFormat="1" applyFont="1"/>
    <xf numFmtId="14" fontId="13" fillId="0" borderId="0" xfId="0" applyNumberFormat="1" applyFont="1"/>
    <xf numFmtId="0" fontId="0" fillId="0" borderId="22" xfId="0" applyBorder="1"/>
    <xf numFmtId="2" fontId="0" fillId="0" borderId="36" xfId="0" applyNumberFormat="1" applyBorder="1"/>
    <xf numFmtId="2" fontId="0" fillId="0" borderId="0" xfId="0" applyNumberFormat="1"/>
    <xf numFmtId="0" fontId="75" fillId="0" borderId="0" xfId="0" applyFont="1"/>
    <xf numFmtId="0" fontId="75" fillId="0" borderId="0" xfId="0" applyFont="1" applyAlignment="1">
      <alignment wrapText="1"/>
    </xf>
    <xf numFmtId="170" fontId="12" fillId="0" borderId="0" xfId="0" applyNumberFormat="1" applyFont="1" applyFill="1" applyBorder="1" applyAlignment="1">
      <alignment horizontal="right" vertical="center"/>
    </xf>
    <xf numFmtId="169" fontId="12" fillId="0" borderId="21" xfId="1" applyNumberFormat="1" applyFont="1" applyFill="1" applyBorder="1" applyAlignment="1">
      <alignment horizontal="right" vertical="center"/>
    </xf>
    <xf numFmtId="170" fontId="11" fillId="0" borderId="20" xfId="0" applyNumberFormat="1" applyFont="1" applyFill="1" applyBorder="1" applyAlignment="1">
      <alignment horizontal="right" vertical="center"/>
    </xf>
    <xf numFmtId="169" fontId="11" fillId="0" borderId="22" xfId="1" applyNumberFormat="1" applyFont="1" applyFill="1" applyBorder="1" applyAlignment="1">
      <alignment horizontal="right" vertical="center"/>
    </xf>
    <xf numFmtId="14" fontId="0" fillId="0" borderId="0" xfId="0" applyNumberFormat="1" applyAlignment="1">
      <alignment horizontal="left"/>
    </xf>
    <xf numFmtId="14" fontId="45" fillId="0" borderId="0" xfId="0" applyNumberFormat="1" applyFont="1" applyAlignment="1">
      <alignment horizontal="left"/>
    </xf>
    <xf numFmtId="2" fontId="0" fillId="0" borderId="0" xfId="0" applyNumberFormat="1" applyAlignment="1">
      <alignment horizontal="left"/>
    </xf>
    <xf numFmtId="2" fontId="45" fillId="0" borderId="0" xfId="1" applyNumberFormat="1" applyFont="1" applyAlignment="1">
      <alignment horizontal="left"/>
    </xf>
    <xf numFmtId="2" fontId="45" fillId="0" borderId="0" xfId="0" applyNumberFormat="1" applyFont="1" applyAlignment="1">
      <alignment horizontal="left"/>
    </xf>
    <xf numFmtId="14" fontId="45" fillId="0" borderId="0" xfId="1" applyNumberFormat="1" applyFont="1" applyAlignment="1">
      <alignment horizontal="left"/>
    </xf>
    <xf numFmtId="0" fontId="76" fillId="0" borderId="0" xfId="0" applyFont="1" applyFill="1" applyAlignment="1">
      <alignment horizontal="left" vertical="center"/>
    </xf>
    <xf numFmtId="0" fontId="75" fillId="0" borderId="0" xfId="0" applyFont="1" applyBorder="1"/>
    <xf numFmtId="41" fontId="8" fillId="0" borderId="0" xfId="0" applyNumberFormat="1" applyFont="1" applyBorder="1"/>
    <xf numFmtId="9" fontId="21" fillId="0" borderId="0" xfId="0" applyNumberFormat="1" applyFont="1" applyBorder="1"/>
    <xf numFmtId="10" fontId="11" fillId="0" borderId="0" xfId="1" applyNumberFormat="1" applyFont="1" applyFill="1" applyBorder="1" applyAlignment="1">
      <alignment horizontal="right"/>
    </xf>
    <xf numFmtId="169" fontId="11" fillId="0" borderId="0" xfId="1" applyNumberFormat="1" applyFont="1" applyFill="1" applyBorder="1" applyAlignment="1">
      <alignment horizontal="right"/>
    </xf>
    <xf numFmtId="9" fontId="21" fillId="0" borderId="0" xfId="1" applyFont="1" applyBorder="1"/>
    <xf numFmtId="41" fontId="21" fillId="0" borderId="0" xfId="0" applyNumberFormat="1" applyFont="1" applyFill="1" applyBorder="1"/>
    <xf numFmtId="41" fontId="21" fillId="0" borderId="0" xfId="0" applyNumberFormat="1" applyFont="1" applyFill="1" applyBorder="1" applyAlignment="1">
      <alignment horizontal="center"/>
    </xf>
    <xf numFmtId="0" fontId="75" fillId="0" borderId="0" xfId="0" applyFont="1" applyFill="1" applyBorder="1"/>
    <xf numFmtId="0" fontId="11" fillId="0" borderId="0" xfId="0" applyFont="1" applyFill="1" applyBorder="1" applyAlignment="1">
      <alignment horizontal="right"/>
    </xf>
    <xf numFmtId="9" fontId="11" fillId="0" borderId="0" xfId="1" applyFont="1" applyFill="1" applyBorder="1" applyAlignment="1">
      <alignment horizontal="right"/>
    </xf>
    <xf numFmtId="0" fontId="7" fillId="2" borderId="39" xfId="0" applyFont="1" applyFill="1" applyBorder="1" applyAlignment="1">
      <alignment horizontal="center"/>
    </xf>
    <xf numFmtId="0" fontId="7" fillId="2" borderId="2" xfId="0" applyFont="1" applyFill="1" applyBorder="1" applyAlignment="1">
      <alignment horizontal="center" vertical="center"/>
    </xf>
    <xf numFmtId="0" fontId="7" fillId="2" borderId="45" xfId="0" applyFont="1" applyFill="1" applyBorder="1" applyAlignment="1">
      <alignment horizontal="center" vertical="center"/>
    </xf>
    <xf numFmtId="0" fontId="12" fillId="0" borderId="0" xfId="0" applyFont="1" applyBorder="1" applyAlignment="1">
      <alignment horizontal="left" vertical="center"/>
    </xf>
    <xf numFmtId="0" fontId="12" fillId="0" borderId="0" xfId="0" applyFont="1" applyAlignment="1">
      <alignment horizontal="left"/>
    </xf>
    <xf numFmtId="0" fontId="12" fillId="0" borderId="0" xfId="0" applyFont="1" applyBorder="1" applyAlignment="1">
      <alignment horizontal="left"/>
    </xf>
    <xf numFmtId="0" fontId="12" fillId="0" borderId="18" xfId="0" applyFont="1" applyBorder="1" applyAlignment="1">
      <alignment horizontal="left"/>
    </xf>
    <xf numFmtId="0" fontId="0" fillId="0" borderId="38" xfId="0" applyFont="1" applyBorder="1"/>
    <xf numFmtId="0" fontId="46" fillId="0" borderId="18" xfId="0" applyFont="1" applyBorder="1" applyAlignment="1">
      <alignment horizontal="left"/>
    </xf>
    <xf numFmtId="0" fontId="46" fillId="0" borderId="0" xfId="0" applyFont="1" applyBorder="1"/>
    <xf numFmtId="172" fontId="29" fillId="0" borderId="0" xfId="194" applyNumberFormat="1" applyFont="1" applyFill="1" applyBorder="1" applyAlignment="1">
      <alignment horizontal="right"/>
    </xf>
    <xf numFmtId="172" fontId="29" fillId="0" borderId="0" xfId="0" applyNumberFormat="1" applyFont="1" applyFill="1" applyBorder="1"/>
    <xf numFmtId="172" fontId="29" fillId="0" borderId="21" xfId="0" applyNumberFormat="1" applyFont="1" applyFill="1" applyBorder="1"/>
    <xf numFmtId="2" fontId="12" fillId="0" borderId="0" xfId="0" applyNumberFormat="1" applyFont="1" applyBorder="1" applyAlignment="1">
      <alignment horizontal="center"/>
    </xf>
    <xf numFmtId="169" fontId="12" fillId="0" borderId="0" xfId="1" applyNumberFormat="1" applyFont="1" applyBorder="1" applyAlignment="1">
      <alignment horizontal="center" vertical="center"/>
    </xf>
    <xf numFmtId="169" fontId="12" fillId="0" borderId="21" xfId="1" applyNumberFormat="1" applyFont="1" applyBorder="1" applyAlignment="1">
      <alignment horizontal="center" vertical="center"/>
    </xf>
    <xf numFmtId="169" fontId="12" fillId="0" borderId="3" xfId="1" applyNumberFormat="1" applyFont="1" applyBorder="1" applyAlignment="1">
      <alignment horizontal="center" vertical="center"/>
    </xf>
    <xf numFmtId="169" fontId="11" fillId="0" borderId="38" xfId="0" applyNumberFormat="1" applyFont="1" applyBorder="1" applyAlignment="1">
      <alignment horizontal="center" vertical="center"/>
    </xf>
    <xf numFmtId="169" fontId="11" fillId="0" borderId="21" xfId="0" applyNumberFormat="1" applyFont="1" applyBorder="1" applyAlignment="1">
      <alignment horizontal="center" vertical="center"/>
    </xf>
    <xf numFmtId="169" fontId="11" fillId="0" borderId="44" xfId="0" applyNumberFormat="1" applyFont="1" applyBorder="1" applyAlignment="1">
      <alignment horizontal="center" vertical="center"/>
    </xf>
    <xf numFmtId="169" fontId="11" fillId="0" borderId="30" xfId="0" applyNumberFormat="1" applyFont="1" applyBorder="1" applyAlignment="1">
      <alignment horizontal="center" vertical="center"/>
    </xf>
    <xf numFmtId="0" fontId="7" fillId="2" borderId="47" xfId="0" applyFont="1" applyFill="1" applyBorder="1" applyAlignment="1">
      <alignment horizontal="center" vertical="center"/>
    </xf>
    <xf numFmtId="0" fontId="11" fillId="0" borderId="51" xfId="0" applyFont="1" applyBorder="1"/>
    <xf numFmtId="169" fontId="12" fillId="0" borderId="13" xfId="1" applyNumberFormat="1" applyFont="1" applyBorder="1" applyAlignment="1">
      <alignment horizontal="center" vertical="center"/>
    </xf>
    <xf numFmtId="169" fontId="12" fillId="0" borderId="59" xfId="1" applyNumberFormat="1" applyFont="1" applyBorder="1" applyAlignment="1">
      <alignment horizontal="center" vertical="center"/>
    </xf>
    <xf numFmtId="169" fontId="11" fillId="0" borderId="51" xfId="0" applyNumberFormat="1" applyFont="1" applyBorder="1" applyAlignment="1">
      <alignment horizontal="center" vertical="center"/>
    </xf>
    <xf numFmtId="169" fontId="11" fillId="0" borderId="59" xfId="0" applyNumberFormat="1" applyFont="1" applyBorder="1" applyAlignment="1">
      <alignment horizontal="center" vertical="center"/>
    </xf>
    <xf numFmtId="0" fontId="12" fillId="0" borderId="3" xfId="0" applyFont="1" applyBorder="1" applyAlignment="1">
      <alignment horizontal="left"/>
    </xf>
    <xf numFmtId="9" fontId="12" fillId="0" borderId="0" xfId="0" applyNumberFormat="1" applyFont="1" applyBorder="1" applyAlignment="1">
      <alignment horizontal="center" vertical="center"/>
    </xf>
    <xf numFmtId="2" fontId="12" fillId="0" borderId="3" xfId="0" applyNumberFormat="1" applyFont="1" applyBorder="1" applyAlignment="1">
      <alignment horizontal="center"/>
    </xf>
    <xf numFmtId="2" fontId="12" fillId="0" borderId="48" xfId="0" applyNumberFormat="1" applyFont="1" applyBorder="1" applyAlignment="1">
      <alignment horizontal="center"/>
    </xf>
    <xf numFmtId="2" fontId="12" fillId="0" borderId="49" xfId="0" applyNumberFormat="1" applyFont="1" applyBorder="1" applyAlignment="1">
      <alignment horizontal="center"/>
    </xf>
    <xf numFmtId="2" fontId="11" fillId="0" borderId="48" xfId="0" applyNumberFormat="1" applyFont="1" applyBorder="1" applyAlignment="1">
      <alignment horizontal="center" vertical="center"/>
    </xf>
    <xf numFmtId="0" fontId="12" fillId="0" borderId="18" xfId="0" applyFont="1" applyBorder="1" applyAlignment="1">
      <alignment horizontal="center" vertical="center"/>
    </xf>
    <xf numFmtId="0" fontId="46" fillId="0" borderId="18" xfId="0" applyFont="1" applyBorder="1" applyAlignment="1">
      <alignment horizontal="center" vertical="center"/>
    </xf>
    <xf numFmtId="2" fontId="12" fillId="0" borderId="18" xfId="0" applyNumberFormat="1" applyFont="1" applyBorder="1" applyAlignment="1">
      <alignment horizontal="center" vertical="center"/>
    </xf>
    <xf numFmtId="2" fontId="46" fillId="0" borderId="18" xfId="0" applyNumberFormat="1" applyFont="1" applyBorder="1" applyAlignment="1">
      <alignment horizontal="center" vertical="center"/>
    </xf>
    <xf numFmtId="0" fontId="46" fillId="0" borderId="0" xfId="0" applyFont="1" applyBorder="1" applyAlignment="1">
      <alignment horizontal="left"/>
    </xf>
    <xf numFmtId="0" fontId="46" fillId="0" borderId="0" xfId="0" applyFont="1" applyBorder="1" applyAlignment="1">
      <alignment horizontal="center" vertical="center"/>
    </xf>
    <xf numFmtId="9" fontId="12" fillId="0" borderId="3" xfId="0" applyNumberFormat="1" applyFont="1" applyBorder="1" applyAlignment="1">
      <alignment horizontal="center" vertical="center"/>
    </xf>
    <xf numFmtId="9" fontId="0" fillId="0" borderId="0" xfId="0" applyNumberFormat="1" applyAlignment="1">
      <alignment horizontal="center" vertical="center"/>
    </xf>
    <xf numFmtId="9" fontId="7" fillId="2" borderId="20" xfId="0" applyNumberFormat="1" applyFont="1" applyFill="1" applyBorder="1" applyAlignment="1">
      <alignment horizontal="center" vertical="center"/>
    </xf>
    <xf numFmtId="9" fontId="12" fillId="0" borderId="18" xfId="0" applyNumberFormat="1" applyFont="1" applyBorder="1" applyAlignment="1">
      <alignment horizontal="center" vertical="center"/>
    </xf>
    <xf numFmtId="0" fontId="12" fillId="0" borderId="60" xfId="0" applyFont="1" applyBorder="1"/>
    <xf numFmtId="10" fontId="46" fillId="0" borderId="0" xfId="0" applyNumberFormat="1" applyFont="1" applyBorder="1" applyAlignment="1">
      <alignment horizontal="center" vertical="center"/>
    </xf>
    <xf numFmtId="0" fontId="46" fillId="0" borderId="3" xfId="0" applyFont="1" applyBorder="1" applyAlignment="1">
      <alignment horizontal="left"/>
    </xf>
    <xf numFmtId="0" fontId="46" fillId="0" borderId="3" xfId="0" applyFont="1" applyBorder="1"/>
    <xf numFmtId="0" fontId="12" fillId="0" borderId="3" xfId="0" applyFont="1" applyBorder="1" applyAlignment="1">
      <alignment horizontal="center" vertical="center"/>
    </xf>
    <xf numFmtId="0" fontId="43" fillId="4" borderId="38" xfId="0" applyFont="1" applyFill="1" applyBorder="1"/>
    <xf numFmtId="0" fontId="78" fillId="4" borderId="38" xfId="0" applyFont="1" applyFill="1" applyBorder="1"/>
    <xf numFmtId="0" fontId="67" fillId="4" borderId="38" xfId="0" applyFont="1" applyFill="1" applyBorder="1"/>
    <xf numFmtId="0" fontId="78" fillId="4" borderId="0" xfId="0" applyFont="1" applyFill="1" applyBorder="1"/>
    <xf numFmtId="0" fontId="43" fillId="4" borderId="0" xfId="0" applyFont="1" applyFill="1" applyBorder="1"/>
    <xf numFmtId="0" fontId="43" fillId="4" borderId="38" xfId="0" applyFont="1" applyFill="1" applyBorder="1" applyAlignment="1">
      <alignment horizontal="left" vertical="center"/>
    </xf>
    <xf numFmtId="0" fontId="43" fillId="4" borderId="0" xfId="0" applyFont="1" applyFill="1" applyBorder="1" applyAlignment="1">
      <alignment horizontal="left" vertical="center"/>
    </xf>
    <xf numFmtId="2" fontId="12" fillId="5" borderId="0" xfId="0" applyNumberFormat="1" applyFont="1" applyFill="1" applyBorder="1" applyAlignment="1">
      <alignment horizontal="center"/>
    </xf>
    <xf numFmtId="2" fontId="46" fillId="5" borderId="0" xfId="0" applyNumberFormat="1" applyFont="1" applyFill="1" applyBorder="1" applyAlignment="1">
      <alignment horizontal="center" vertical="center"/>
    </xf>
    <xf numFmtId="2" fontId="11" fillId="4" borderId="48" xfId="0" applyNumberFormat="1" applyFont="1" applyFill="1" applyBorder="1" applyAlignment="1">
      <alignment horizontal="center" vertical="center"/>
    </xf>
    <xf numFmtId="2" fontId="12" fillId="15" borderId="0" xfId="0" applyNumberFormat="1" applyFont="1" applyFill="1" applyBorder="1" applyAlignment="1">
      <alignment horizontal="center" vertical="center"/>
    </xf>
    <xf numFmtId="2" fontId="12" fillId="17" borderId="0" xfId="0" applyNumberFormat="1" applyFont="1" applyFill="1" applyBorder="1" applyAlignment="1">
      <alignment horizontal="center" vertical="center"/>
    </xf>
    <xf numFmtId="2" fontId="12" fillId="17" borderId="18" xfId="0" applyNumberFormat="1" applyFont="1" applyFill="1" applyBorder="1" applyAlignment="1">
      <alignment horizontal="center" vertical="center"/>
    </xf>
    <xf numFmtId="2" fontId="12" fillId="16" borderId="0" xfId="0" applyNumberFormat="1" applyFont="1" applyFill="1" applyBorder="1" applyAlignment="1">
      <alignment horizontal="center" vertical="center"/>
    </xf>
    <xf numFmtId="2" fontId="46" fillId="16" borderId="0" xfId="0" applyNumberFormat="1" applyFont="1" applyFill="1" applyBorder="1" applyAlignment="1">
      <alignment horizontal="center" vertical="center"/>
    </xf>
    <xf numFmtId="2" fontId="46" fillId="16" borderId="18" xfId="0" applyNumberFormat="1" applyFont="1" applyFill="1" applyBorder="1" applyAlignment="1">
      <alignment horizontal="center" vertical="center"/>
    </xf>
    <xf numFmtId="2" fontId="46" fillId="17" borderId="0" xfId="0" applyNumberFormat="1" applyFont="1" applyFill="1" applyBorder="1" applyAlignment="1">
      <alignment horizontal="center" vertical="center"/>
    </xf>
    <xf numFmtId="2" fontId="46" fillId="17" borderId="18" xfId="0" applyNumberFormat="1" applyFont="1" applyFill="1" applyBorder="1" applyAlignment="1">
      <alignment horizontal="center" vertical="center"/>
    </xf>
    <xf numFmtId="2" fontId="46" fillId="17" borderId="3" xfId="0" applyNumberFormat="1" applyFont="1" applyFill="1" applyBorder="1" applyAlignment="1">
      <alignment horizontal="center" vertical="center"/>
    </xf>
    <xf numFmtId="2" fontId="12" fillId="17" borderId="0" xfId="0" applyNumberFormat="1" applyFont="1" applyFill="1" applyBorder="1" applyAlignment="1">
      <alignment horizontal="center"/>
    </xf>
    <xf numFmtId="2" fontId="12" fillId="17" borderId="3" xfId="0" applyNumberFormat="1" applyFont="1" applyFill="1" applyBorder="1" applyAlignment="1">
      <alignment horizontal="center"/>
    </xf>
    <xf numFmtId="0" fontId="65" fillId="0" borderId="36" xfId="0" applyFont="1" applyBorder="1"/>
    <xf numFmtId="0" fontId="65" fillId="0" borderId="20" xfId="0" applyFont="1" applyBorder="1"/>
    <xf numFmtId="0" fontId="65" fillId="0" borderId="20" xfId="0" applyFont="1" applyBorder="1" applyAlignment="1">
      <alignment horizontal="center" vertical="center"/>
    </xf>
    <xf numFmtId="9" fontId="65" fillId="0" borderId="20" xfId="0" applyNumberFormat="1" applyFont="1" applyBorder="1" applyAlignment="1">
      <alignment horizontal="center" vertical="center"/>
    </xf>
    <xf numFmtId="2" fontId="65" fillId="0" borderId="22" xfId="0" applyNumberFormat="1" applyFont="1" applyBorder="1" applyAlignment="1">
      <alignment horizontal="center"/>
    </xf>
    <xf numFmtId="41" fontId="8" fillId="0" borderId="3" xfId="0" applyNumberFormat="1" applyFont="1" applyFill="1" applyBorder="1"/>
    <xf numFmtId="0" fontId="21" fillId="0" borderId="0" xfId="1" applyNumberFormat="1" applyFont="1" applyFill="1" applyBorder="1"/>
    <xf numFmtId="41" fontId="21" fillId="0" borderId="0" xfId="1" applyNumberFormat="1" applyFont="1" applyFill="1" applyBorder="1"/>
    <xf numFmtId="9" fontId="28" fillId="0" borderId="38" xfId="1" applyFont="1" applyFill="1" applyBorder="1" applyAlignment="1">
      <alignment horizontal="right"/>
    </xf>
    <xf numFmtId="9" fontId="28" fillId="0" borderId="21" xfId="1" applyFont="1" applyFill="1" applyBorder="1" applyAlignment="1">
      <alignment horizontal="right"/>
    </xf>
    <xf numFmtId="9" fontId="28" fillId="0" borderId="0" xfId="1" applyFont="1" applyFill="1" applyBorder="1" applyAlignment="1">
      <alignment horizontal="right"/>
    </xf>
    <xf numFmtId="9" fontId="28" fillId="0" borderId="44" xfId="1" applyFont="1" applyFill="1" applyBorder="1" applyAlignment="1">
      <alignment horizontal="right"/>
    </xf>
    <xf numFmtId="9" fontId="28" fillId="0" borderId="30" xfId="1" applyFont="1" applyFill="1" applyBorder="1" applyAlignment="1">
      <alignment horizontal="right"/>
    </xf>
    <xf numFmtId="10" fontId="19" fillId="0" borderId="0" xfId="1" applyNumberFormat="1" applyFont="1" applyFill="1" applyBorder="1" applyAlignment="1">
      <alignment horizontal="right"/>
    </xf>
    <xf numFmtId="10" fontId="47" fillId="0" borderId="0" xfId="0" applyNumberFormat="1" applyFont="1" applyFill="1" applyBorder="1" applyAlignment="1">
      <alignment horizontal="right"/>
    </xf>
    <xf numFmtId="9" fontId="47" fillId="0" borderId="0" xfId="0" applyNumberFormat="1" applyFont="1" applyFill="1" applyBorder="1" applyAlignment="1">
      <alignment horizontal="right"/>
    </xf>
    <xf numFmtId="10" fontId="0" fillId="0" borderId="21" xfId="1" applyNumberFormat="1" applyFont="1" applyFill="1" applyBorder="1"/>
    <xf numFmtId="0" fontId="26" fillId="0" borderId="0" xfId="0" applyFont="1" applyFill="1" applyBorder="1"/>
    <xf numFmtId="0" fontId="75" fillId="0" borderId="0" xfId="0" applyFont="1" applyAlignment="1">
      <alignment horizontal="center" vertical="center"/>
    </xf>
    <xf numFmtId="0" fontId="75" fillId="0" borderId="0" xfId="0" applyFont="1" applyAlignment="1">
      <alignment horizontal="left" vertical="top"/>
    </xf>
    <xf numFmtId="0" fontId="75" fillId="0" borderId="0" xfId="0" applyFont="1" applyAlignment="1">
      <alignment horizontal="left"/>
    </xf>
    <xf numFmtId="0" fontId="79" fillId="0" borderId="0" xfId="0" applyFont="1" applyAlignment="1">
      <alignment horizontal="left" vertical="center"/>
    </xf>
    <xf numFmtId="9" fontId="27" fillId="0" borderId="0" xfId="1" applyFont="1" applyAlignment="1">
      <alignment horizontal="left" vertical="center"/>
    </xf>
    <xf numFmtId="0" fontId="44" fillId="0" borderId="20" xfId="0" applyFont="1" applyFill="1" applyBorder="1" applyAlignment="1">
      <alignment horizontal="center" vertical="center"/>
    </xf>
    <xf numFmtId="0" fontId="76" fillId="14" borderId="0" xfId="0" applyFont="1" applyFill="1"/>
    <xf numFmtId="0" fontId="76" fillId="0" borderId="0" xfId="0" applyFont="1" applyFill="1" applyBorder="1" applyAlignment="1">
      <alignment horizontal="left" vertical="center"/>
    </xf>
    <xf numFmtId="0" fontId="75" fillId="0" borderId="0" xfId="0" applyFont="1" applyFill="1"/>
    <xf numFmtId="10" fontId="7" fillId="2" borderId="46" xfId="1" applyNumberFormat="1" applyFont="1" applyFill="1" applyBorder="1"/>
    <xf numFmtId="41" fontId="20" fillId="0" borderId="48" xfId="1" applyNumberFormat="1" applyFont="1" applyFill="1" applyBorder="1"/>
    <xf numFmtId="10" fontId="20" fillId="0" borderId="48" xfId="1" applyNumberFormat="1" applyFont="1" applyFill="1" applyBorder="1"/>
    <xf numFmtId="10" fontId="20" fillId="0" borderId="49" xfId="1" applyNumberFormat="1" applyFont="1" applyFill="1" applyBorder="1"/>
    <xf numFmtId="10" fontId="7" fillId="0" borderId="0" xfId="1" applyNumberFormat="1" applyFont="1" applyFill="1" applyBorder="1"/>
    <xf numFmtId="0" fontId="71" fillId="0" borderId="0" xfId="0" applyFont="1" applyFill="1" applyBorder="1"/>
    <xf numFmtId="2" fontId="71" fillId="0" borderId="0" xfId="0" applyNumberFormat="1" applyFont="1" applyFill="1" applyBorder="1"/>
    <xf numFmtId="2" fontId="71" fillId="0" borderId="0" xfId="0" applyNumberFormat="1" applyFont="1" applyFill="1" applyBorder="1" applyAlignment="1">
      <alignment horizontal="center"/>
    </xf>
    <xf numFmtId="2" fontId="39" fillId="0" borderId="0" xfId="0" applyNumberFormat="1" applyFont="1" applyFill="1" applyBorder="1" applyAlignment="1">
      <alignment horizontal="center"/>
    </xf>
    <xf numFmtId="41" fontId="39" fillId="0" borderId="0" xfId="0" applyNumberFormat="1" applyFont="1" applyFill="1" applyBorder="1" applyAlignment="1">
      <alignment horizontal="center"/>
    </xf>
    <xf numFmtId="0" fontId="7" fillId="2" borderId="39" xfId="0" applyFont="1" applyFill="1" applyBorder="1" applyAlignment="1">
      <alignment horizontal="center"/>
    </xf>
    <xf numFmtId="0" fontId="7" fillId="2" borderId="45" xfId="0" applyFont="1" applyFill="1" applyBorder="1" applyAlignment="1">
      <alignment horizontal="center"/>
    </xf>
    <xf numFmtId="9" fontId="68" fillId="0" borderId="0" xfId="1" applyFont="1" applyFill="1" applyBorder="1" applyAlignment="1">
      <alignment horizontal="right"/>
    </xf>
    <xf numFmtId="0" fontId="76" fillId="0" borderId="0" xfId="0" applyFont="1" applyFill="1" applyBorder="1"/>
    <xf numFmtId="10" fontId="69" fillId="0" borderId="0" xfId="1" applyNumberFormat="1" applyFont="1" applyFill="1" applyBorder="1" applyAlignment="1">
      <alignment horizontal="right"/>
    </xf>
    <xf numFmtId="9" fontId="21" fillId="0" borderId="0" xfId="1" applyFont="1" applyFill="1" applyBorder="1" applyAlignment="1">
      <alignment horizontal="right"/>
    </xf>
    <xf numFmtId="0" fontId="21" fillId="0" borderId="0" xfId="0" applyFont="1" applyFill="1" applyBorder="1" applyAlignment="1">
      <alignment horizontal="left"/>
    </xf>
    <xf numFmtId="10" fontId="7" fillId="0" borderId="0" xfId="1" applyNumberFormat="1" applyFont="1" applyFill="1" applyBorder="1" applyAlignment="1">
      <alignment horizontal="center"/>
    </xf>
    <xf numFmtId="0" fontId="39" fillId="0" borderId="0" xfId="0" applyFont="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29" fillId="0" borderId="0" xfId="0" applyFont="1" applyFill="1" applyBorder="1" applyAlignment="1">
      <alignment horizontal="center"/>
    </xf>
    <xf numFmtId="0" fontId="29" fillId="0" borderId="0" xfId="0" applyFont="1" applyFill="1" applyBorder="1" applyAlignment="1">
      <alignment horizontal="left"/>
    </xf>
    <xf numFmtId="41" fontId="21" fillId="0" borderId="20" xfId="0" applyNumberFormat="1" applyFont="1" applyFill="1" applyBorder="1" applyAlignment="1">
      <alignment horizontal="right"/>
    </xf>
    <xf numFmtId="41" fontId="21" fillId="0" borderId="22" xfId="0" applyNumberFormat="1" applyFont="1" applyFill="1" applyBorder="1" applyAlignment="1">
      <alignment horizontal="right"/>
    </xf>
    <xf numFmtId="10" fontId="21" fillId="0" borderId="44" xfId="1" applyNumberFormat="1" applyFont="1" applyBorder="1"/>
    <xf numFmtId="10" fontId="21" fillId="0" borderId="30" xfId="1" applyNumberFormat="1" applyFont="1" applyBorder="1"/>
    <xf numFmtId="41" fontId="21" fillId="0" borderId="0" xfId="0" applyNumberFormat="1" applyFont="1" applyFill="1" applyBorder="1" applyAlignment="1">
      <alignment horizontal="right"/>
    </xf>
    <xf numFmtId="0" fontId="40" fillId="0" borderId="0" xfId="0" applyFont="1" applyFill="1" applyBorder="1"/>
    <xf numFmtId="0" fontId="12" fillId="0" borderId="0" xfId="0" applyFont="1" applyFill="1" applyBorder="1" applyAlignment="1">
      <alignment horizontal="left" indent="1"/>
    </xf>
    <xf numFmtId="0" fontId="8" fillId="0" borderId="0" xfId="0" applyFont="1" applyFill="1" applyBorder="1" applyAlignment="1">
      <alignment horizontal="center"/>
    </xf>
    <xf numFmtId="10" fontId="12" fillId="0" borderId="0" xfId="0" applyNumberFormat="1" applyFont="1" applyFill="1" applyBorder="1"/>
    <xf numFmtId="2" fontId="11" fillId="0" borderId="20" xfId="0" applyNumberFormat="1" applyFont="1" applyBorder="1"/>
    <xf numFmtId="10" fontId="11" fillId="0" borderId="20" xfId="1" applyNumberFormat="1" applyFont="1" applyBorder="1"/>
    <xf numFmtId="172" fontId="12" fillId="0" borderId="0" xfId="0" applyNumberFormat="1" applyFont="1" applyBorder="1"/>
    <xf numFmtId="0" fontId="8" fillId="0" borderId="21" xfId="0" applyFont="1" applyBorder="1"/>
    <xf numFmtId="0" fontId="8" fillId="0" borderId="30" xfId="0" applyFont="1" applyBorder="1"/>
    <xf numFmtId="9" fontId="8" fillId="0" borderId="22" xfId="1" applyFont="1" applyBorder="1"/>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7" fillId="2" borderId="0" xfId="0" applyFont="1" applyFill="1" applyAlignment="1">
      <alignment horizontal="center" vertical="center"/>
    </xf>
    <xf numFmtId="1" fontId="7" fillId="2" borderId="36" xfId="0" applyNumberFormat="1" applyFont="1" applyFill="1" applyBorder="1" applyAlignment="1">
      <alignment horizontal="center" vertical="center"/>
    </xf>
    <xf numFmtId="0" fontId="43" fillId="0" borderId="0" xfId="0" applyFont="1" applyBorder="1"/>
    <xf numFmtId="0" fontId="43" fillId="0" borderId="0" xfId="0" applyFont="1" applyFill="1" applyBorder="1"/>
    <xf numFmtId="10" fontId="43" fillId="0" borderId="0" xfId="1" applyNumberFormat="1" applyFont="1" applyBorder="1"/>
    <xf numFmtId="10" fontId="8" fillId="0" borderId="20" xfId="1" applyNumberFormat="1" applyFont="1" applyBorder="1"/>
    <xf numFmtId="0" fontId="67" fillId="0" borderId="0" xfId="0" applyFont="1" applyFill="1" applyBorder="1" applyAlignment="1">
      <alignment horizontal="center"/>
    </xf>
    <xf numFmtId="164" fontId="11" fillId="0" borderId="0" xfId="0" applyNumberFormat="1" applyFont="1" applyBorder="1"/>
    <xf numFmtId="164" fontId="0" fillId="0" borderId="0" xfId="0" applyNumberFormat="1" applyFont="1" applyBorder="1"/>
    <xf numFmtId="0" fontId="43" fillId="0" borderId="0" xfId="0" applyNumberFormat="1" applyFont="1" applyAlignment="1">
      <alignment horizontal="left" vertical="center"/>
    </xf>
    <xf numFmtId="9" fontId="11" fillId="0" borderId="0" xfId="1" applyNumberFormat="1" applyFont="1" applyAlignment="1">
      <alignment horizontal="right"/>
    </xf>
    <xf numFmtId="9" fontId="12" fillId="0" borderId="0" xfId="1" applyNumberFormat="1" applyFont="1"/>
    <xf numFmtId="0" fontId="80" fillId="0" borderId="0" xfId="0" applyFont="1" applyFill="1"/>
    <xf numFmtId="43" fontId="12" fillId="0" borderId="0" xfId="0" applyNumberFormat="1" applyFont="1"/>
    <xf numFmtId="9" fontId="43" fillId="0" borderId="0" xfId="1" applyFont="1" applyFill="1" applyBorder="1" applyAlignment="1">
      <alignment horizontal="center"/>
    </xf>
    <xf numFmtId="1" fontId="7" fillId="0" borderId="0" xfId="0" applyNumberFormat="1" applyFont="1" applyFill="1" applyBorder="1" applyAlignment="1">
      <alignment horizontal="center" vertical="center"/>
    </xf>
    <xf numFmtId="10" fontId="7" fillId="0" borderId="0" xfId="1" applyNumberFormat="1" applyFont="1" applyFill="1" applyBorder="1" applyAlignment="1">
      <alignment horizontal="center" vertical="center"/>
    </xf>
    <xf numFmtId="9" fontId="43" fillId="0" borderId="0" xfId="1" applyNumberFormat="1" applyFont="1" applyFill="1" applyBorder="1" applyAlignment="1">
      <alignment horizontal="center"/>
    </xf>
    <xf numFmtId="43" fontId="12" fillId="0" borderId="0" xfId="1" applyNumberFormat="1" applyFont="1" applyFill="1" applyBorder="1"/>
    <xf numFmtId="43" fontId="8" fillId="0" borderId="0" xfId="1" applyNumberFormat="1" applyFont="1" applyFill="1" applyBorder="1"/>
    <xf numFmtId="0" fontId="7" fillId="2" borderId="39" xfId="0" applyFont="1" applyFill="1" applyBorder="1" applyAlignment="1">
      <alignment horizontal="center"/>
    </xf>
    <xf numFmtId="0" fontId="7" fillId="2" borderId="45" xfId="0" applyFont="1" applyFill="1" applyBorder="1" applyAlignment="1">
      <alignment horizontal="center"/>
    </xf>
    <xf numFmtId="0" fontId="7" fillId="2" borderId="36" xfId="0" applyFont="1" applyFill="1" applyBorder="1" applyAlignment="1">
      <alignment horizontal="center"/>
    </xf>
    <xf numFmtId="0" fontId="7" fillId="2" borderId="22" xfId="0" applyFont="1" applyFill="1" applyBorder="1" applyAlignment="1">
      <alignment horizontal="center"/>
    </xf>
    <xf numFmtId="0" fontId="7" fillId="2" borderId="22" xfId="0" applyFont="1" applyFill="1" applyBorder="1" applyAlignment="1">
      <alignment horizontal="center" vertical="center"/>
    </xf>
    <xf numFmtId="0" fontId="7" fillId="0" borderId="0" xfId="0" applyFont="1" applyFill="1" applyBorder="1" applyAlignment="1">
      <alignment horizontal="center"/>
    </xf>
    <xf numFmtId="0" fontId="7" fillId="2" borderId="22" xfId="0" applyFont="1" applyFill="1" applyBorder="1" applyAlignment="1">
      <alignment horizontal="center"/>
    </xf>
    <xf numFmtId="0" fontId="7" fillId="2" borderId="39" xfId="0" applyFont="1" applyFill="1" applyBorder="1" applyAlignment="1">
      <alignment horizontal="center"/>
    </xf>
    <xf numFmtId="0" fontId="7" fillId="2" borderId="45" xfId="0" applyFont="1" applyFill="1" applyBorder="1" applyAlignment="1">
      <alignment horizontal="center"/>
    </xf>
    <xf numFmtId="0" fontId="7" fillId="0" borderId="0" xfId="0" applyFont="1" applyFill="1" applyBorder="1" applyAlignment="1">
      <alignment horizontal="center"/>
    </xf>
    <xf numFmtId="0" fontId="0" fillId="0" borderId="48" xfId="0" applyFont="1" applyBorder="1"/>
    <xf numFmtId="0" fontId="0" fillId="0" borderId="44" xfId="0" applyFont="1" applyBorder="1"/>
    <xf numFmtId="0" fontId="0" fillId="0" borderId="49" xfId="0" applyFont="1" applyBorder="1"/>
    <xf numFmtId="41" fontId="0" fillId="0" borderId="0" xfId="0" applyNumberFormat="1" applyFont="1" applyFill="1" applyBorder="1"/>
    <xf numFmtId="10" fontId="8" fillId="0" borderId="39" xfId="1" applyNumberFormat="1" applyFont="1" applyFill="1" applyBorder="1" applyAlignment="1">
      <alignment horizontal="right"/>
    </xf>
    <xf numFmtId="10" fontId="8" fillId="0" borderId="45" xfId="1" applyNumberFormat="1" applyFont="1" applyFill="1" applyBorder="1" applyAlignment="1">
      <alignment horizontal="right"/>
    </xf>
    <xf numFmtId="9" fontId="14" fillId="0" borderId="0" xfId="1" applyFont="1" applyFill="1" applyBorder="1"/>
    <xf numFmtId="41" fontId="14" fillId="0" borderId="0" xfId="1" applyNumberFormat="1" applyFont="1" applyFill="1" applyBorder="1"/>
    <xf numFmtId="9" fontId="23" fillId="0" borderId="0" xfId="1" applyFont="1" applyFill="1" applyBorder="1"/>
    <xf numFmtId="10" fontId="8" fillId="0" borderId="0" xfId="1" applyNumberFormat="1" applyFont="1" applyFill="1" applyBorder="1" applyAlignment="1">
      <alignment horizontal="right"/>
    </xf>
    <xf numFmtId="9" fontId="14" fillId="0" borderId="0" xfId="1" applyFont="1" applyBorder="1"/>
    <xf numFmtId="10" fontId="8" fillId="0" borderId="38" xfId="1" applyNumberFormat="1" applyFont="1" applyFill="1" applyBorder="1" applyAlignment="1">
      <alignment horizontal="right"/>
    </xf>
    <xf numFmtId="10" fontId="8" fillId="0" borderId="21" xfId="1" applyNumberFormat="1" applyFont="1" applyFill="1" applyBorder="1" applyAlignment="1">
      <alignment horizontal="right"/>
    </xf>
    <xf numFmtId="9" fontId="14" fillId="0" borderId="0" xfId="1" applyNumberFormat="1" applyFont="1" applyFill="1" applyBorder="1"/>
    <xf numFmtId="9" fontId="20" fillId="0" borderId="38" xfId="1" applyFont="1" applyBorder="1"/>
    <xf numFmtId="9" fontId="20" fillId="0" borderId="0" xfId="1" applyFont="1" applyFill="1" applyBorder="1"/>
    <xf numFmtId="9" fontId="20" fillId="0" borderId="0" xfId="1" applyFont="1" applyBorder="1"/>
    <xf numFmtId="9" fontId="33" fillId="0" borderId="0" xfId="0" applyNumberFormat="1" applyFont="1" applyBorder="1"/>
    <xf numFmtId="41" fontId="33" fillId="0" borderId="0" xfId="0" applyNumberFormat="1" applyFont="1" applyBorder="1"/>
    <xf numFmtId="41" fontId="33" fillId="0" borderId="0" xfId="0" applyNumberFormat="1" applyFont="1" applyFill="1" applyBorder="1" applyAlignment="1">
      <alignment horizontal="center"/>
    </xf>
    <xf numFmtId="41" fontId="42" fillId="0" borderId="0" xfId="0" applyNumberFormat="1" applyFont="1" applyFill="1" applyBorder="1" applyAlignment="1">
      <alignment horizontal="center"/>
    </xf>
    <xf numFmtId="0" fontId="42" fillId="0" borderId="0" xfId="0" applyFont="1" applyFill="1" applyBorder="1" applyAlignment="1">
      <alignment horizontal="center"/>
    </xf>
    <xf numFmtId="9" fontId="28" fillId="0" borderId="0" xfId="1" applyFont="1" applyFill="1" applyBorder="1"/>
    <xf numFmtId="9" fontId="20" fillId="0" borderId="0" xfId="1" applyNumberFormat="1" applyFont="1" applyFill="1" applyBorder="1"/>
    <xf numFmtId="9" fontId="20" fillId="0" borderId="3" xfId="1" applyFont="1" applyFill="1" applyBorder="1"/>
    <xf numFmtId="9" fontId="20" fillId="0" borderId="3" xfId="1" applyNumberFormat="1" applyFont="1" applyFill="1" applyBorder="1"/>
    <xf numFmtId="41" fontId="14" fillId="0" borderId="0" xfId="1" applyNumberFormat="1" applyFont="1" applyBorder="1"/>
    <xf numFmtId="0" fontId="14" fillId="0" borderId="0" xfId="1" applyNumberFormat="1" applyFont="1" applyBorder="1"/>
    <xf numFmtId="41" fontId="0" fillId="0" borderId="0" xfId="0" applyNumberFormat="1" applyFont="1" applyBorder="1"/>
    <xf numFmtId="9" fontId="23" fillId="0" borderId="0" xfId="1" applyFont="1" applyFill="1" applyBorder="1" applyAlignment="1">
      <alignment horizontal="right"/>
    </xf>
    <xf numFmtId="9" fontId="0" fillId="0" borderId="0" xfId="0" applyNumberFormat="1" applyFont="1" applyBorder="1"/>
    <xf numFmtId="9" fontId="20" fillId="0" borderId="38" xfId="1" applyFont="1" applyFill="1" applyBorder="1"/>
    <xf numFmtId="41" fontId="20" fillId="0" borderId="0" xfId="1" applyNumberFormat="1" applyFont="1" applyBorder="1"/>
    <xf numFmtId="9" fontId="20" fillId="0" borderId="44" xfId="1" applyFont="1" applyFill="1" applyBorder="1"/>
    <xf numFmtId="0" fontId="0" fillId="0" borderId="20" xfId="0" applyFont="1" applyFill="1" applyBorder="1"/>
    <xf numFmtId="41" fontId="20" fillId="0" borderId="3" xfId="1" applyNumberFormat="1" applyFont="1" applyFill="1" applyBorder="1"/>
    <xf numFmtId="0" fontId="76" fillId="0" borderId="0" xfId="0" applyFont="1" applyFill="1" applyBorder="1" applyAlignment="1">
      <alignment horizontal="center"/>
    </xf>
    <xf numFmtId="0" fontId="0" fillId="0" borderId="39" xfId="0" applyFont="1" applyFill="1" applyBorder="1"/>
    <xf numFmtId="0" fontId="0" fillId="0" borderId="2" xfId="0" applyFont="1" applyFill="1" applyBorder="1"/>
    <xf numFmtId="41" fontId="0" fillId="0" borderId="2" xfId="0" applyNumberFormat="1" applyFont="1" applyFill="1" applyBorder="1"/>
    <xf numFmtId="9" fontId="28" fillId="0" borderId="3" xfId="1" applyFont="1" applyFill="1" applyBorder="1"/>
    <xf numFmtId="0" fontId="8" fillId="0" borderId="2" xfId="0" applyFont="1" applyFill="1" applyBorder="1" applyAlignment="1">
      <alignment horizontal="right"/>
    </xf>
    <xf numFmtId="41" fontId="8" fillId="0" borderId="2" xfId="0" applyNumberFormat="1" applyFont="1" applyFill="1" applyBorder="1" applyAlignment="1">
      <alignment horizontal="right"/>
    </xf>
    <xf numFmtId="41" fontId="0" fillId="0" borderId="2" xfId="0" applyNumberFormat="1" applyFont="1" applyFill="1" applyBorder="1" applyAlignment="1">
      <alignment horizontal="right"/>
    </xf>
    <xf numFmtId="10" fontId="14" fillId="0" borderId="38" xfId="1" applyNumberFormat="1" applyFont="1" applyFill="1" applyBorder="1"/>
    <xf numFmtId="10" fontId="14" fillId="0" borderId="0" xfId="1" applyNumberFormat="1" applyFont="1" applyFill="1" applyBorder="1"/>
    <xf numFmtId="9" fontId="28" fillId="0" borderId="0" xfId="1" applyFont="1" applyFill="1"/>
    <xf numFmtId="9" fontId="28" fillId="0" borderId="38" xfId="1" applyFont="1" applyFill="1" applyBorder="1"/>
    <xf numFmtId="9" fontId="20" fillId="0" borderId="0" xfId="1" applyFont="1" applyFill="1" applyBorder="1" applyAlignment="1">
      <alignment horizontal="right"/>
    </xf>
    <xf numFmtId="9" fontId="20" fillId="0" borderId="38" xfId="1" applyFont="1" applyFill="1" applyBorder="1" applyAlignment="1">
      <alignment horizontal="right"/>
    </xf>
    <xf numFmtId="9" fontId="20" fillId="0" borderId="21" xfId="1" applyFont="1" applyFill="1" applyBorder="1" applyAlignment="1">
      <alignment horizontal="right"/>
    </xf>
    <xf numFmtId="9" fontId="20" fillId="0" borderId="3" xfId="1" applyFont="1" applyFill="1" applyBorder="1" applyAlignment="1">
      <alignment horizontal="right"/>
    </xf>
    <xf numFmtId="9" fontId="20" fillId="0" borderId="44" xfId="1" applyFont="1" applyFill="1" applyBorder="1" applyAlignment="1">
      <alignment horizontal="right"/>
    </xf>
    <xf numFmtId="9" fontId="20" fillId="0" borderId="30" xfId="1" applyFont="1" applyFill="1" applyBorder="1" applyAlignment="1">
      <alignment horizontal="right"/>
    </xf>
    <xf numFmtId="9" fontId="20" fillId="0" borderId="2" xfId="1" applyFont="1" applyFill="1" applyBorder="1"/>
    <xf numFmtId="9" fontId="20" fillId="0" borderId="45" xfId="1" applyFont="1" applyFill="1" applyBorder="1"/>
    <xf numFmtId="9" fontId="20" fillId="0" borderId="30" xfId="1" applyFont="1" applyFill="1" applyBorder="1"/>
    <xf numFmtId="0" fontId="0" fillId="0" borderId="32" xfId="0" applyFont="1" applyFill="1" applyBorder="1"/>
    <xf numFmtId="9" fontId="20" fillId="0" borderId="31" xfId="1" applyFont="1" applyFill="1" applyBorder="1"/>
    <xf numFmtId="9" fontId="20" fillId="0" borderId="24" xfId="1" applyFont="1" applyFill="1" applyBorder="1"/>
    <xf numFmtId="9" fontId="20" fillId="0" borderId="32" xfId="1" applyFont="1" applyFill="1" applyBorder="1"/>
    <xf numFmtId="9" fontId="20" fillId="0" borderId="36" xfId="1" applyFont="1" applyFill="1" applyBorder="1"/>
    <xf numFmtId="9" fontId="20" fillId="0" borderId="20" xfId="1" applyFont="1" applyFill="1" applyBorder="1"/>
    <xf numFmtId="10" fontId="8" fillId="0" borderId="45" xfId="1" applyNumberFormat="1" applyFont="1" applyFill="1" applyBorder="1"/>
    <xf numFmtId="9" fontId="28" fillId="0" borderId="21" xfId="1" applyFont="1" applyFill="1" applyBorder="1"/>
    <xf numFmtId="9" fontId="20" fillId="0" borderId="21" xfId="1" applyFont="1" applyFill="1" applyBorder="1"/>
    <xf numFmtId="10" fontId="28" fillId="0" borderId="0" xfId="1" applyNumberFormat="1" applyFont="1" applyFill="1" applyBorder="1" applyAlignment="1">
      <alignment horizontal="right"/>
    </xf>
    <xf numFmtId="9" fontId="28" fillId="0" borderId="0" xfId="1" applyNumberFormat="1" applyFont="1" applyFill="1" applyBorder="1"/>
    <xf numFmtId="1" fontId="0" fillId="0" borderId="0" xfId="0" applyNumberFormat="1" applyFont="1" applyFill="1" applyBorder="1"/>
    <xf numFmtId="2" fontId="27" fillId="0" borderId="38" xfId="1" applyNumberFormat="1" applyFont="1" applyBorder="1"/>
    <xf numFmtId="2" fontId="27" fillId="0" borderId="0" xfId="1" applyNumberFormat="1" applyFont="1" applyFill="1" applyBorder="1"/>
    <xf numFmtId="41" fontId="27" fillId="0" borderId="0" xfId="1" applyNumberFormat="1" applyFont="1" applyFill="1" applyBorder="1"/>
    <xf numFmtId="9" fontId="20" fillId="0" borderId="39" xfId="1" applyFont="1" applyFill="1" applyBorder="1"/>
    <xf numFmtId="10" fontId="8" fillId="0" borderId="47" xfId="1" applyNumberFormat="1" applyFont="1" applyFill="1" applyBorder="1" applyAlignment="1">
      <alignment horizontal="right"/>
    </xf>
    <xf numFmtId="10" fontId="8" fillId="0" borderId="48" xfId="1" applyNumberFormat="1" applyFont="1" applyFill="1" applyBorder="1" applyAlignment="1">
      <alignment horizontal="right"/>
    </xf>
    <xf numFmtId="10" fontId="28" fillId="0" borderId="48" xfId="1" applyNumberFormat="1" applyFont="1" applyFill="1" applyBorder="1" applyAlignment="1">
      <alignment horizontal="right"/>
    </xf>
    <xf numFmtId="10" fontId="28" fillId="0" borderId="21" xfId="1" applyNumberFormat="1" applyFont="1" applyFill="1" applyBorder="1" applyAlignment="1">
      <alignment horizontal="right"/>
    </xf>
    <xf numFmtId="10" fontId="28" fillId="0" borderId="49" xfId="1" applyNumberFormat="1" applyFont="1" applyFill="1" applyBorder="1" applyAlignment="1">
      <alignment horizontal="right"/>
    </xf>
    <xf numFmtId="10" fontId="28" fillId="0" borderId="30" xfId="1" applyNumberFormat="1" applyFont="1" applyFill="1" applyBorder="1" applyAlignment="1">
      <alignment horizontal="right"/>
    </xf>
    <xf numFmtId="0" fontId="26" fillId="0" borderId="39" xfId="0" applyFont="1" applyFill="1" applyBorder="1"/>
    <xf numFmtId="9" fontId="28" fillId="0" borderId="0" xfId="1" applyFont="1"/>
    <xf numFmtId="0" fontId="26" fillId="0" borderId="39" xfId="1609" applyNumberFormat="1" applyFont="1" applyFill="1" applyBorder="1"/>
    <xf numFmtId="41" fontId="8" fillId="0" borderId="3" xfId="1609" applyNumberFormat="1" applyFont="1" applyFill="1" applyBorder="1"/>
    <xf numFmtId="10" fontId="14" fillId="0" borderId="21" xfId="1" applyNumberFormat="1" applyFont="1" applyFill="1" applyBorder="1"/>
    <xf numFmtId="0" fontId="26" fillId="0" borderId="38" xfId="0" applyNumberFormat="1" applyFont="1" applyBorder="1"/>
    <xf numFmtId="9" fontId="0" fillId="0" borderId="0" xfId="1" applyFont="1" applyBorder="1"/>
    <xf numFmtId="9" fontId="0" fillId="0" borderId="21" xfId="1" applyFont="1" applyBorder="1"/>
    <xf numFmtId="9" fontId="0" fillId="0" borderId="3" xfId="0" applyNumberFormat="1" applyFont="1" applyBorder="1"/>
    <xf numFmtId="9" fontId="0" fillId="0" borderId="3" xfId="1" applyFont="1" applyBorder="1"/>
    <xf numFmtId="9" fontId="0" fillId="0" borderId="30" xfId="1" applyFont="1" applyBorder="1"/>
    <xf numFmtId="0" fontId="8" fillId="0" borderId="2" xfId="0" applyFont="1" applyBorder="1" applyAlignment="1">
      <alignment horizontal="center" vertical="center"/>
    </xf>
    <xf numFmtId="0" fontId="8" fillId="0" borderId="44" xfId="0" applyFont="1" applyBorder="1" applyAlignment="1">
      <alignment horizontal="center" vertical="center"/>
    </xf>
    <xf numFmtId="0" fontId="8" fillId="0" borderId="3" xfId="0" applyFont="1" applyBorder="1" applyAlignment="1">
      <alignment horizontal="center" vertical="center"/>
    </xf>
    <xf numFmtId="0" fontId="8" fillId="0" borderId="30" xfId="0" applyFont="1" applyBorder="1" applyAlignment="1">
      <alignment horizontal="center" vertical="center"/>
    </xf>
    <xf numFmtId="10" fontId="0" fillId="0" borderId="38" xfId="0" applyNumberFormat="1" applyFont="1" applyBorder="1" applyAlignment="1">
      <alignment horizontal="center" vertical="center"/>
    </xf>
    <xf numFmtId="0" fontId="0" fillId="0" borderId="0" xfId="0" applyFont="1" applyBorder="1" applyAlignment="1">
      <alignment horizontal="center" vertical="center"/>
    </xf>
    <xf numFmtId="10" fontId="0" fillId="0" borderId="0" xfId="0" applyNumberFormat="1" applyFont="1" applyBorder="1" applyAlignment="1">
      <alignment horizontal="center" vertical="center"/>
    </xf>
    <xf numFmtId="0" fontId="0" fillId="0" borderId="21" xfId="0" applyFont="1" applyBorder="1" applyAlignment="1">
      <alignment horizontal="center" vertical="center"/>
    </xf>
    <xf numFmtId="0" fontId="0" fillId="0" borderId="38" xfId="0" applyFont="1" applyBorder="1" applyAlignment="1">
      <alignment horizontal="center" vertical="center"/>
    </xf>
    <xf numFmtId="10" fontId="0" fillId="0" borderId="21" xfId="0" applyNumberFormat="1" applyFont="1" applyBorder="1" applyAlignment="1">
      <alignment horizontal="center" vertical="center"/>
    </xf>
    <xf numFmtId="10" fontId="0" fillId="0" borderId="36" xfId="1" applyNumberFormat="1" applyFont="1" applyBorder="1" applyAlignment="1">
      <alignment horizontal="center" vertical="center"/>
    </xf>
    <xf numFmtId="10" fontId="0" fillId="0" borderId="20" xfId="1" applyNumberFormat="1" applyFont="1" applyBorder="1" applyAlignment="1">
      <alignment horizontal="center" vertical="center"/>
    </xf>
    <xf numFmtId="10" fontId="0" fillId="0" borderId="22" xfId="1" applyNumberFormat="1" applyFont="1" applyBorder="1" applyAlignment="1">
      <alignment horizontal="center" vertical="center"/>
    </xf>
    <xf numFmtId="9" fontId="27" fillId="0" borderId="38" xfId="1" applyFont="1" applyBorder="1"/>
    <xf numFmtId="9" fontId="27" fillId="0" borderId="0" xfId="1" applyFont="1" applyBorder="1"/>
    <xf numFmtId="9" fontId="27" fillId="0" borderId="21" xfId="1" applyFont="1" applyBorder="1"/>
    <xf numFmtId="9" fontId="27" fillId="0" borderId="44" xfId="1" applyFont="1" applyBorder="1"/>
    <xf numFmtId="9" fontId="27" fillId="0" borderId="3" xfId="1" applyFont="1" applyBorder="1"/>
    <xf numFmtId="9" fontId="27" fillId="0" borderId="30" xfId="1" applyFont="1" applyBorder="1"/>
    <xf numFmtId="0" fontId="0" fillId="0" borderId="39" xfId="0" applyFont="1" applyBorder="1"/>
    <xf numFmtId="41" fontId="0" fillId="0" borderId="2" xfId="0" applyNumberFormat="1" applyFont="1" applyBorder="1"/>
    <xf numFmtId="41" fontId="0" fillId="0" borderId="45" xfId="0" applyNumberFormat="1" applyFont="1" applyBorder="1"/>
    <xf numFmtId="2" fontId="0" fillId="0" borderId="0" xfId="0" applyNumberFormat="1" applyFont="1" applyBorder="1"/>
    <xf numFmtId="2" fontId="0" fillId="0" borderId="21" xfId="0" applyNumberFormat="1" applyFont="1" applyBorder="1"/>
    <xf numFmtId="0" fontId="21" fillId="14" borderId="38" xfId="0" applyFont="1" applyFill="1" applyBorder="1"/>
    <xf numFmtId="0" fontId="21" fillId="14" borderId="0" xfId="0" applyFont="1" applyFill="1" applyBorder="1"/>
    <xf numFmtId="38" fontId="21" fillId="14" borderId="21" xfId="194" applyNumberFormat="1" applyFont="1" applyFill="1" applyBorder="1"/>
    <xf numFmtId="0" fontId="21" fillId="14" borderId="44" xfId="0" applyFont="1" applyFill="1" applyBorder="1"/>
    <xf numFmtId="0" fontId="21" fillId="14" borderId="3" xfId="0" applyFont="1" applyFill="1" applyBorder="1"/>
    <xf numFmtId="38" fontId="21" fillId="14" borderId="30" xfId="194" applyNumberFormat="1" applyFont="1" applyFill="1" applyBorder="1"/>
    <xf numFmtId="0" fontId="27" fillId="14" borderId="0" xfId="0" applyFont="1" applyFill="1" applyBorder="1"/>
    <xf numFmtId="0" fontId="8" fillId="0" borderId="38" xfId="0" applyNumberFormat="1" applyFont="1" applyFill="1" applyBorder="1"/>
    <xf numFmtId="0" fontId="27" fillId="0" borderId="38" xfId="1" applyNumberFormat="1" applyFont="1" applyFill="1" applyBorder="1"/>
    <xf numFmtId="43" fontId="27" fillId="0" borderId="38" xfId="1" applyNumberFormat="1" applyFont="1" applyFill="1" applyBorder="1"/>
    <xf numFmtId="1" fontId="27" fillId="0" borderId="0" xfId="1" applyNumberFormat="1" applyFont="1" applyFill="1" applyBorder="1"/>
    <xf numFmtId="0" fontId="27" fillId="0" borderId="0" xfId="1" applyNumberFormat="1" applyFont="1" applyFill="1" applyBorder="1"/>
    <xf numFmtId="9" fontId="27" fillId="0" borderId="0" xfId="1" applyNumberFormat="1" applyFont="1" applyFill="1" applyBorder="1"/>
    <xf numFmtId="10" fontId="27" fillId="0" borderId="0" xfId="1" applyNumberFormat="1" applyFont="1" applyFill="1" applyBorder="1"/>
    <xf numFmtId="2" fontId="0" fillId="0" borderId="0" xfId="0" applyNumberFormat="1" applyFont="1" applyFill="1" applyBorder="1"/>
    <xf numFmtId="2" fontId="0" fillId="0" borderId="0" xfId="1" applyNumberFormat="1" applyFont="1" applyFill="1" applyBorder="1"/>
    <xf numFmtId="10" fontId="28" fillId="0" borderId="38" xfId="1" applyNumberFormat="1" applyFont="1" applyFill="1" applyBorder="1"/>
    <xf numFmtId="10" fontId="28" fillId="0" borderId="21" xfId="1" applyNumberFormat="1" applyFont="1" applyFill="1" applyBorder="1"/>
    <xf numFmtId="10" fontId="28" fillId="0" borderId="0" xfId="1" applyNumberFormat="1" applyFont="1" applyFill="1" applyBorder="1"/>
    <xf numFmtId="0" fontId="36" fillId="16" borderId="39" xfId="0" applyFont="1" applyFill="1" applyBorder="1"/>
    <xf numFmtId="2" fontId="36" fillId="16" borderId="2" xfId="0" applyNumberFormat="1" applyFont="1" applyFill="1" applyBorder="1"/>
    <xf numFmtId="2" fontId="36" fillId="16" borderId="2" xfId="0" applyNumberFormat="1" applyFont="1" applyFill="1" applyBorder="1" applyAlignment="1">
      <alignment horizontal="center"/>
    </xf>
    <xf numFmtId="2" fontId="81" fillId="16" borderId="2" xfId="0" applyNumberFormat="1" applyFont="1" applyFill="1" applyBorder="1" applyAlignment="1">
      <alignment horizontal="center"/>
    </xf>
    <xf numFmtId="41" fontId="36" fillId="0" borderId="48" xfId="1" applyNumberFormat="1" applyFont="1" applyFill="1" applyBorder="1"/>
    <xf numFmtId="2" fontId="8" fillId="0" borderId="0" xfId="0" applyNumberFormat="1" applyFont="1" applyBorder="1"/>
    <xf numFmtId="41" fontId="21" fillId="0" borderId="21" xfId="0" applyNumberFormat="1" applyFont="1" applyFill="1" applyBorder="1"/>
    <xf numFmtId="10" fontId="8" fillId="0" borderId="48" xfId="1" applyNumberFormat="1" applyFont="1" applyFill="1" applyBorder="1"/>
    <xf numFmtId="0" fontId="14" fillId="0" borderId="38" xfId="0" applyFont="1" applyBorder="1"/>
    <xf numFmtId="10" fontId="14" fillId="0" borderId="0" xfId="0" applyNumberFormat="1" applyFont="1" applyFill="1" applyBorder="1"/>
    <xf numFmtId="41" fontId="14" fillId="0" borderId="48" xfId="1" applyNumberFormat="1" applyFont="1" applyFill="1" applyBorder="1"/>
    <xf numFmtId="2" fontId="21" fillId="0" borderId="0" xfId="0" applyNumberFormat="1" applyFont="1" applyFill="1" applyBorder="1"/>
    <xf numFmtId="2" fontId="21" fillId="0" borderId="21" xfId="0" applyNumberFormat="1" applyFont="1" applyFill="1" applyBorder="1"/>
    <xf numFmtId="41" fontId="81" fillId="0" borderId="0" xfId="1" applyNumberFormat="1" applyFont="1" applyFill="1" applyBorder="1"/>
    <xf numFmtId="41" fontId="81" fillId="0" borderId="21" xfId="1" applyNumberFormat="1" applyFont="1" applyFill="1" applyBorder="1"/>
    <xf numFmtId="10" fontId="81" fillId="0" borderId="0" xfId="1" applyNumberFormat="1" applyFont="1" applyFill="1" applyBorder="1"/>
    <xf numFmtId="10" fontId="81" fillId="0" borderId="21" xfId="1" applyNumberFormat="1" applyFont="1" applyFill="1" applyBorder="1"/>
    <xf numFmtId="10" fontId="14" fillId="0" borderId="48" xfId="1" applyNumberFormat="1" applyFont="1" applyFill="1" applyBorder="1"/>
    <xf numFmtId="2" fontId="27" fillId="0" borderId="21" xfId="0" applyNumberFormat="1" applyFont="1" applyFill="1" applyBorder="1"/>
    <xf numFmtId="10" fontId="27" fillId="0" borderId="48" xfId="1" applyNumberFormat="1" applyFont="1" applyFill="1" applyBorder="1"/>
    <xf numFmtId="0" fontId="21" fillId="0" borderId="38" xfId="0" applyFont="1" applyBorder="1"/>
    <xf numFmtId="10" fontId="21" fillId="0" borderId="48" xfId="1" applyNumberFormat="1" applyFont="1" applyFill="1" applyBorder="1"/>
    <xf numFmtId="9" fontId="20" fillId="0" borderId="0" xfId="0" applyNumberFormat="1" applyFont="1" applyFill="1" applyBorder="1"/>
    <xf numFmtId="9" fontId="20" fillId="0" borderId="21" xfId="1" applyNumberFormat="1" applyFont="1" applyFill="1" applyBorder="1"/>
    <xf numFmtId="9" fontId="20" fillId="0" borderId="30" xfId="1" applyNumberFormat="1" applyFont="1" applyFill="1" applyBorder="1"/>
    <xf numFmtId="41" fontId="0" fillId="0" borderId="45" xfId="0" applyNumberFormat="1" applyFont="1" applyFill="1" applyBorder="1"/>
    <xf numFmtId="10" fontId="8" fillId="0" borderId="47" xfId="1" applyNumberFormat="1" applyFont="1" applyBorder="1" applyAlignment="1">
      <alignment horizontal="right"/>
    </xf>
    <xf numFmtId="41" fontId="0" fillId="0" borderId="21" xfId="0" applyNumberFormat="1" applyFont="1" applyFill="1" applyBorder="1"/>
    <xf numFmtId="0" fontId="8" fillId="0" borderId="48" xfId="0" applyFont="1" applyBorder="1" applyAlignment="1">
      <alignment horizontal="right"/>
    </xf>
    <xf numFmtId="0" fontId="8" fillId="0" borderId="21" xfId="0" applyFont="1" applyBorder="1" applyAlignment="1">
      <alignment horizontal="right"/>
    </xf>
    <xf numFmtId="1" fontId="0" fillId="0" borderId="21" xfId="0" applyNumberFormat="1" applyFont="1" applyFill="1" applyBorder="1"/>
    <xf numFmtId="10" fontId="8" fillId="0" borderId="48" xfId="1" applyNumberFormat="1" applyFont="1" applyBorder="1" applyAlignment="1">
      <alignment horizontal="right"/>
    </xf>
    <xf numFmtId="9" fontId="30" fillId="0" borderId="38" xfId="1" applyFont="1" applyFill="1" applyBorder="1"/>
    <xf numFmtId="9" fontId="30" fillId="0" borderId="0" xfId="1" applyFont="1" applyFill="1" applyBorder="1"/>
    <xf numFmtId="9" fontId="30" fillId="0" borderId="21" xfId="1" applyFont="1" applyFill="1" applyBorder="1"/>
    <xf numFmtId="9" fontId="31" fillId="0" borderId="48" xfId="1" applyFont="1" applyFill="1" applyBorder="1" applyAlignment="1">
      <alignment horizontal="right"/>
    </xf>
    <xf numFmtId="9" fontId="31" fillId="0" borderId="21" xfId="1" applyFont="1" applyFill="1" applyBorder="1" applyAlignment="1">
      <alignment horizontal="right"/>
    </xf>
    <xf numFmtId="9" fontId="28" fillId="0" borderId="49" xfId="1" applyFont="1" applyFill="1" applyBorder="1" applyAlignment="1">
      <alignment horizontal="right"/>
    </xf>
    <xf numFmtId="9" fontId="28" fillId="0" borderId="48" xfId="1" applyFont="1" applyFill="1" applyBorder="1" applyAlignment="1">
      <alignment horizontal="right"/>
    </xf>
    <xf numFmtId="41" fontId="27" fillId="0" borderId="2" xfId="1" applyNumberFormat="1" applyFont="1" applyFill="1" applyBorder="1"/>
    <xf numFmtId="10" fontId="21" fillId="0" borderId="39" xfId="1" applyNumberFormat="1" applyFont="1" applyFill="1" applyBorder="1" applyAlignment="1">
      <alignment horizontal="right"/>
    </xf>
    <xf numFmtId="10" fontId="21" fillId="0" borderId="45" xfId="1" applyNumberFormat="1" applyFont="1" applyFill="1" applyBorder="1" applyAlignment="1">
      <alignment horizontal="right"/>
    </xf>
    <xf numFmtId="10" fontId="64" fillId="0" borderId="38" xfId="1" applyNumberFormat="1" applyFont="1" applyFill="1" applyBorder="1" applyAlignment="1">
      <alignment horizontal="right"/>
    </xf>
    <xf numFmtId="10" fontId="64" fillId="0" borderId="21" xfId="1" applyNumberFormat="1" applyFont="1" applyFill="1" applyBorder="1" applyAlignment="1">
      <alignment horizontal="right"/>
    </xf>
    <xf numFmtId="9" fontId="11" fillId="0" borderId="0" xfId="1" applyFont="1" applyFill="1"/>
    <xf numFmtId="9" fontId="33" fillId="0" borderId="38" xfId="1" applyFont="1" applyFill="1" applyBorder="1" applyAlignment="1">
      <alignment horizontal="right"/>
    </xf>
    <xf numFmtId="9" fontId="33" fillId="0" borderId="21" xfId="1" applyFont="1" applyFill="1" applyBorder="1" applyAlignment="1">
      <alignment horizontal="right"/>
    </xf>
    <xf numFmtId="0" fontId="21" fillId="0" borderId="38" xfId="0" applyFont="1" applyFill="1" applyBorder="1" applyAlignment="1">
      <alignment horizontal="left"/>
    </xf>
    <xf numFmtId="41" fontId="21" fillId="0" borderId="2" xfId="0" applyNumberFormat="1" applyFont="1" applyFill="1" applyBorder="1" applyAlignment="1">
      <alignment horizontal="right"/>
    </xf>
    <xf numFmtId="41" fontId="21" fillId="0" borderId="45" xfId="0" applyNumberFormat="1" applyFont="1" applyFill="1" applyBorder="1" applyAlignment="1">
      <alignment horizontal="right"/>
    </xf>
    <xf numFmtId="10" fontId="27" fillId="0" borderId="38" xfId="1" applyNumberFormat="1" applyFont="1" applyBorder="1"/>
    <xf numFmtId="10" fontId="27" fillId="0" borderId="21" xfId="1" applyNumberFormat="1" applyFont="1" applyBorder="1"/>
    <xf numFmtId="0" fontId="27" fillId="0" borderId="38" xfId="0" applyFont="1" applyFill="1" applyBorder="1" applyAlignment="1">
      <alignment horizontal="left"/>
    </xf>
    <xf numFmtId="0" fontId="27" fillId="0" borderId="0" xfId="0" applyFont="1" applyFill="1" applyBorder="1" applyAlignment="1">
      <alignment horizontal="center"/>
    </xf>
    <xf numFmtId="41" fontId="27" fillId="0" borderId="0" xfId="0" applyNumberFormat="1" applyFont="1" applyFill="1" applyBorder="1" applyAlignment="1">
      <alignment horizontal="right"/>
    </xf>
    <xf numFmtId="41" fontId="27" fillId="0" borderId="21" xfId="0" applyNumberFormat="1" applyFont="1" applyFill="1" applyBorder="1" applyAlignment="1">
      <alignment horizontal="right"/>
    </xf>
    <xf numFmtId="10" fontId="21" fillId="0" borderId="38" xfId="1" applyNumberFormat="1" applyFont="1" applyBorder="1"/>
    <xf numFmtId="10" fontId="21" fillId="0" borderId="21" xfId="1" applyNumberFormat="1" applyFont="1" applyBorder="1"/>
    <xf numFmtId="41" fontId="44" fillId="0" borderId="0" xfId="0" applyNumberFormat="1" applyFont="1" applyFill="1" applyBorder="1" applyAlignment="1">
      <alignment horizontal="right"/>
    </xf>
    <xf numFmtId="41" fontId="21" fillId="0" borderId="21" xfId="0" applyNumberFormat="1" applyFont="1" applyFill="1" applyBorder="1" applyAlignment="1">
      <alignment horizontal="right"/>
    </xf>
    <xf numFmtId="10" fontId="8" fillId="0" borderId="38" xfId="1" applyNumberFormat="1" applyFont="1" applyBorder="1"/>
    <xf numFmtId="10" fontId="8" fillId="0" borderId="21" xfId="1" applyNumberFormat="1" applyFont="1" applyBorder="1"/>
    <xf numFmtId="9" fontId="30" fillId="0" borderId="0" xfId="1" applyFont="1" applyBorder="1" applyAlignment="1">
      <alignment horizontal="left"/>
    </xf>
    <xf numFmtId="9" fontId="20" fillId="0" borderId="0" xfId="1" applyFont="1" applyBorder="1" applyAlignment="1">
      <alignment horizontal="left"/>
    </xf>
    <xf numFmtId="9" fontId="30" fillId="0" borderId="38" xfId="1" applyFont="1" applyFill="1" applyBorder="1" applyAlignment="1">
      <alignment horizontal="left"/>
    </xf>
    <xf numFmtId="9" fontId="30" fillId="0" borderId="0" xfId="1" applyFont="1" applyFill="1" applyBorder="1" applyAlignment="1">
      <alignment horizontal="left"/>
    </xf>
    <xf numFmtId="9" fontId="30" fillId="0" borderId="0" xfId="1" applyFont="1" applyFill="1" applyBorder="1" applyAlignment="1">
      <alignment horizontal="right"/>
    </xf>
    <xf numFmtId="9" fontId="30" fillId="0" borderId="21" xfId="1" applyFont="1" applyFill="1" applyBorder="1" applyAlignment="1">
      <alignment horizontal="right"/>
    </xf>
    <xf numFmtId="9" fontId="31" fillId="0" borderId="38" xfId="1" applyFont="1" applyBorder="1" applyAlignment="1">
      <alignment horizontal="left"/>
    </xf>
    <xf numFmtId="9" fontId="31" fillId="0" borderId="21" xfId="1" applyFont="1" applyBorder="1" applyAlignment="1">
      <alignment horizontal="left"/>
    </xf>
    <xf numFmtId="9" fontId="31" fillId="0" borderId="0" xfId="1" applyFont="1" applyFill="1" applyBorder="1" applyAlignment="1">
      <alignment horizontal="left"/>
    </xf>
    <xf numFmtId="0" fontId="0" fillId="0" borderId="38" xfId="0" applyFont="1" applyBorder="1" applyAlignment="1">
      <alignment horizontal="left" indent="1"/>
    </xf>
    <xf numFmtId="41" fontId="0" fillId="0" borderId="0" xfId="0" applyNumberFormat="1" applyFont="1" applyFill="1" applyBorder="1" applyAlignment="1">
      <alignment horizontal="right"/>
    </xf>
    <xf numFmtId="9" fontId="0" fillId="0" borderId="0" xfId="1" applyNumberFormat="1" applyFont="1" applyFill="1" applyBorder="1" applyAlignment="1">
      <alignment horizontal="right"/>
    </xf>
    <xf numFmtId="9" fontId="0" fillId="0" borderId="3" xfId="1" applyNumberFormat="1" applyFont="1" applyFill="1" applyBorder="1" applyAlignment="1">
      <alignment horizontal="right"/>
    </xf>
    <xf numFmtId="9" fontId="8" fillId="0" borderId="3" xfId="1" applyNumberFormat="1" applyFont="1" applyFill="1" applyBorder="1" applyAlignment="1">
      <alignment horizontal="right"/>
    </xf>
    <xf numFmtId="9" fontId="0" fillId="0" borderId="0" xfId="1" applyFont="1" applyFill="1" applyBorder="1" applyAlignment="1">
      <alignment horizontal="right"/>
    </xf>
    <xf numFmtId="9" fontId="8" fillId="0" borderId="3" xfId="1" applyFont="1" applyFill="1" applyBorder="1" applyAlignment="1">
      <alignment horizontal="right"/>
    </xf>
    <xf numFmtId="41" fontId="8" fillId="0" borderId="18" xfId="0" applyNumberFormat="1" applyFont="1" applyFill="1" applyBorder="1"/>
    <xf numFmtId="0" fontId="27" fillId="0" borderId="51" xfId="0" applyFont="1" applyBorder="1"/>
    <xf numFmtId="0" fontId="0" fillId="0" borderId="13" xfId="0" applyFont="1" applyFill="1" applyBorder="1"/>
    <xf numFmtId="41" fontId="27" fillId="0" borderId="21" xfId="0" applyNumberFormat="1" applyFont="1" applyFill="1" applyBorder="1"/>
    <xf numFmtId="9" fontId="30" fillId="0" borderId="38" xfId="1" applyFont="1" applyBorder="1"/>
    <xf numFmtId="9" fontId="30" fillId="0" borderId="44" xfId="1" applyFont="1" applyBorder="1"/>
    <xf numFmtId="9" fontId="30" fillId="0" borderId="3" xfId="1" applyFont="1" applyFill="1" applyBorder="1"/>
    <xf numFmtId="9" fontId="30" fillId="0" borderId="30" xfId="1" applyFont="1" applyFill="1" applyBorder="1"/>
    <xf numFmtId="0" fontId="8" fillId="0" borderId="36" xfId="0" applyFont="1" applyFill="1" applyBorder="1" applyAlignment="1">
      <alignment horizontal="left"/>
    </xf>
    <xf numFmtId="2" fontId="0" fillId="0" borderId="21" xfId="1" applyNumberFormat="1" applyFont="1" applyBorder="1" applyAlignment="1">
      <alignment horizontal="right" vertical="center"/>
    </xf>
    <xf numFmtId="2" fontId="0" fillId="0" borderId="21" xfId="0" applyNumberFormat="1" applyFont="1" applyBorder="1" applyAlignment="1">
      <alignment horizontal="right" vertical="center"/>
    </xf>
    <xf numFmtId="2" fontId="0" fillId="0" borderId="30" xfId="0" applyNumberFormat="1" applyFont="1" applyBorder="1" applyAlignment="1">
      <alignment horizontal="right"/>
    </xf>
    <xf numFmtId="0" fontId="0" fillId="0" borderId="44" xfId="0" applyFont="1" applyFill="1" applyBorder="1"/>
    <xf numFmtId="2" fontId="0" fillId="0" borderId="21" xfId="0" applyNumberFormat="1" applyFont="1" applyFill="1" applyBorder="1"/>
    <xf numFmtId="2" fontId="0" fillId="0" borderId="30" xfId="0" applyNumberFormat="1" applyFont="1" applyFill="1" applyBorder="1"/>
    <xf numFmtId="10" fontId="13" fillId="0" borderId="0" xfId="1" applyNumberFormat="1" applyFont="1" applyBorder="1" applyAlignment="1">
      <alignment horizontal="center" vertical="center"/>
    </xf>
    <xf numFmtId="10" fontId="8" fillId="0" borderId="21" xfId="1" applyNumberFormat="1" applyFont="1" applyBorder="1" applyAlignment="1">
      <alignment horizontal="center" vertical="center"/>
    </xf>
    <xf numFmtId="10" fontId="13" fillId="0" borderId="3" xfId="1" applyNumberFormat="1" applyFont="1" applyBorder="1" applyAlignment="1">
      <alignment horizontal="center" vertical="center"/>
    </xf>
    <xf numFmtId="10" fontId="8" fillId="0" borderId="30" xfId="1" applyNumberFormat="1" applyFont="1" applyBorder="1" applyAlignment="1">
      <alignment horizontal="center" vertical="center"/>
    </xf>
    <xf numFmtId="10" fontId="0" fillId="0" borderId="21" xfId="0" applyNumberFormat="1" applyFont="1" applyFill="1" applyBorder="1"/>
    <xf numFmtId="10" fontId="8" fillId="0" borderId="21" xfId="0" applyNumberFormat="1" applyFont="1" applyFill="1" applyBorder="1"/>
    <xf numFmtId="10" fontId="8" fillId="0" borderId="30" xfId="0" applyNumberFormat="1" applyFont="1" applyFill="1" applyBorder="1"/>
    <xf numFmtId="172" fontId="0" fillId="0" borderId="0" xfId="0" applyNumberFormat="1" applyFont="1" applyBorder="1"/>
    <xf numFmtId="10" fontId="7" fillId="2" borderId="46" xfId="1" applyNumberFormat="1" applyFont="1" applyFill="1" applyBorder="1" applyAlignment="1">
      <alignment horizontal="center" vertical="center"/>
    </xf>
    <xf numFmtId="10" fontId="8" fillId="0" borderId="46" xfId="1" applyNumberFormat="1" applyFont="1" applyBorder="1"/>
    <xf numFmtId="0" fontId="64" fillId="16" borderId="38" xfId="0" applyFont="1" applyFill="1" applyBorder="1" applyAlignment="1">
      <alignment horizontal="center"/>
    </xf>
    <xf numFmtId="9" fontId="40" fillId="16" borderId="0" xfId="1" applyFont="1" applyFill="1" applyBorder="1" applyAlignment="1">
      <alignment horizontal="center"/>
    </xf>
    <xf numFmtId="9" fontId="40" fillId="16" borderId="48" xfId="1" applyNumberFormat="1" applyFont="1" applyFill="1" applyBorder="1" applyAlignment="1">
      <alignment horizontal="center"/>
    </xf>
    <xf numFmtId="41" fontId="18" fillId="0" borderId="0" xfId="0" applyNumberFormat="1" applyFont="1"/>
    <xf numFmtId="10" fontId="12" fillId="0" borderId="21" xfId="1" applyNumberFormat="1" applyFont="1" applyBorder="1" applyAlignment="1">
      <alignment horizontal="right" vertical="center"/>
    </xf>
    <xf numFmtId="9" fontId="12" fillId="0" borderId="21" xfId="1" applyFont="1" applyBorder="1" applyAlignment="1">
      <alignment horizontal="right" vertical="center"/>
    </xf>
    <xf numFmtId="10" fontId="0" fillId="0" borderId="21" xfId="1" applyNumberFormat="1" applyFont="1" applyBorder="1" applyAlignment="1">
      <alignment horizontal="right" vertical="center"/>
    </xf>
    <xf numFmtId="9" fontId="0" fillId="0" borderId="21" xfId="1" applyFont="1" applyBorder="1" applyAlignment="1">
      <alignment horizontal="right" vertical="center"/>
    </xf>
    <xf numFmtId="164" fontId="0" fillId="0" borderId="30" xfId="0" applyNumberFormat="1" applyFont="1" applyFill="1" applyBorder="1"/>
    <xf numFmtId="10" fontId="0" fillId="0" borderId="0" xfId="0" applyNumberFormat="1" applyFont="1"/>
    <xf numFmtId="0" fontId="43" fillId="0" borderId="44" xfId="0" applyFont="1" applyBorder="1"/>
    <xf numFmtId="10" fontId="43" fillId="0" borderId="3" xfId="1" applyNumberFormat="1" applyFont="1" applyBorder="1"/>
    <xf numFmtId="10" fontId="43" fillId="0" borderId="3" xfId="1" applyNumberFormat="1" applyFont="1" applyBorder="1" applyAlignment="1">
      <alignment horizontal="right"/>
    </xf>
    <xf numFmtId="10" fontId="43" fillId="0" borderId="30" xfId="1" applyNumberFormat="1" applyFont="1" applyBorder="1" applyAlignment="1">
      <alignment horizontal="right"/>
    </xf>
    <xf numFmtId="2" fontId="42" fillId="2" borderId="36" xfId="0" applyNumberFormat="1" applyFont="1" applyFill="1" applyBorder="1" applyAlignment="1">
      <alignment horizontal="center" vertical="center"/>
    </xf>
    <xf numFmtId="2" fontId="42" fillId="2" borderId="22" xfId="1" applyNumberFormat="1" applyFont="1" applyFill="1" applyBorder="1" applyAlignment="1">
      <alignment horizontal="center" vertical="center"/>
    </xf>
    <xf numFmtId="9" fontId="12" fillId="0" borderId="0" xfId="1" applyFont="1" applyBorder="1" applyAlignment="1">
      <alignment horizontal="right" vertical="center"/>
    </xf>
    <xf numFmtId="10" fontId="12" fillId="0" borderId="0" xfId="0" applyNumberFormat="1" applyFont="1" applyBorder="1" applyAlignment="1">
      <alignment horizontal="right"/>
    </xf>
    <xf numFmtId="9" fontId="12" fillId="0" borderId="0" xfId="0" applyNumberFormat="1" applyFont="1" applyBorder="1" applyAlignment="1">
      <alignment horizontal="right"/>
    </xf>
    <xf numFmtId="9" fontId="12" fillId="0" borderId="21" xfId="0" applyNumberFormat="1" applyFont="1" applyBorder="1" applyAlignment="1">
      <alignment horizontal="right"/>
    </xf>
    <xf numFmtId="2" fontId="12" fillId="0" borderId="0" xfId="0" applyNumberFormat="1" applyFont="1" applyBorder="1" applyAlignment="1">
      <alignment horizontal="right"/>
    </xf>
    <xf numFmtId="2" fontId="12" fillId="0" borderId="21" xfId="0" applyNumberFormat="1" applyFont="1" applyBorder="1" applyAlignment="1">
      <alignment horizontal="right"/>
    </xf>
    <xf numFmtId="0" fontId="82" fillId="0" borderId="0" xfId="0" applyFont="1" applyFill="1" applyAlignment="1"/>
    <xf numFmtId="1" fontId="0" fillId="0" borderId="2" xfId="0" applyNumberFormat="1" applyFill="1" applyBorder="1"/>
    <xf numFmtId="41" fontId="0" fillId="0" borderId="2" xfId="0" applyNumberFormat="1" applyFill="1" applyBorder="1"/>
    <xf numFmtId="9" fontId="0" fillId="0" borderId="0" xfId="1" applyNumberFormat="1" applyFont="1" applyFill="1" applyBorder="1"/>
    <xf numFmtId="9" fontId="0" fillId="0" borderId="21" xfId="1" applyFont="1" applyFill="1" applyBorder="1"/>
    <xf numFmtId="166" fontId="0" fillId="0" borderId="3" xfId="0" applyNumberFormat="1" applyBorder="1"/>
    <xf numFmtId="166" fontId="0" fillId="0" borderId="30" xfId="0" applyNumberFormat="1" applyBorder="1"/>
    <xf numFmtId="10" fontId="30" fillId="0" borderId="0" xfId="1" applyNumberFormat="1" applyFont="1" applyFill="1" applyBorder="1"/>
    <xf numFmtId="9" fontId="16" fillId="0" borderId="0" xfId="1" applyFont="1" applyFill="1" applyBorder="1"/>
    <xf numFmtId="0" fontId="21" fillId="0" borderId="38" xfId="0" applyNumberFormat="1" applyFont="1" applyBorder="1"/>
    <xf numFmtId="0" fontId="27" fillId="0" borderId="38" xfId="0" applyNumberFormat="1" applyFont="1" applyBorder="1"/>
    <xf numFmtId="0" fontId="21" fillId="0" borderId="36" xfId="0" applyNumberFormat="1" applyFont="1" applyBorder="1"/>
    <xf numFmtId="0" fontId="0" fillId="0" borderId="3" xfId="0" applyFont="1" applyFill="1" applyBorder="1"/>
    <xf numFmtId="41" fontId="0" fillId="0" borderId="3" xfId="0" applyNumberFormat="1" applyFont="1" applyFill="1" applyBorder="1"/>
    <xf numFmtId="0" fontId="0" fillId="0" borderId="30" xfId="0" applyFont="1" applyFill="1" applyBorder="1"/>
    <xf numFmtId="0" fontId="0" fillId="0" borderId="20" xfId="0" applyFont="1" applyBorder="1"/>
    <xf numFmtId="41" fontId="0" fillId="0" borderId="20" xfId="0" applyNumberFormat="1" applyFont="1" applyFill="1" applyBorder="1"/>
    <xf numFmtId="41" fontId="0" fillId="0" borderId="22" xfId="0" applyNumberFormat="1" applyFont="1" applyFill="1" applyBorder="1"/>
    <xf numFmtId="9" fontId="16" fillId="0" borderId="0" xfId="1" applyFont="1"/>
    <xf numFmtId="9" fontId="16" fillId="0" borderId="0" xfId="1" applyFont="1" applyBorder="1"/>
    <xf numFmtId="9" fontId="14" fillId="0" borderId="0" xfId="1" applyFont="1"/>
    <xf numFmtId="0" fontId="14" fillId="0" borderId="0" xfId="0" applyFont="1" applyFill="1"/>
    <xf numFmtId="0" fontId="14" fillId="0" borderId="38" xfId="0" applyFont="1" applyFill="1" applyBorder="1"/>
    <xf numFmtId="0" fontId="14" fillId="0" borderId="0" xfId="0" applyFont="1" applyFill="1" applyBorder="1"/>
    <xf numFmtId="41" fontId="14" fillId="0" borderId="0" xfId="0" applyNumberFormat="1" applyFont="1" applyFill="1" applyBorder="1"/>
    <xf numFmtId="10" fontId="23" fillId="0" borderId="38" xfId="0" applyNumberFormat="1" applyFont="1" applyFill="1" applyBorder="1" applyAlignment="1">
      <alignment horizontal="right"/>
    </xf>
    <xf numFmtId="10" fontId="23" fillId="0" borderId="21" xfId="0" applyNumberFormat="1" applyFont="1" applyFill="1" applyBorder="1" applyAlignment="1">
      <alignment horizontal="right"/>
    </xf>
    <xf numFmtId="41" fontId="14" fillId="0" borderId="0" xfId="0" applyNumberFormat="1" applyFont="1" applyFill="1"/>
    <xf numFmtId="10" fontId="14" fillId="0" borderId="0" xfId="1" applyNumberFormat="1" applyFont="1"/>
    <xf numFmtId="10" fontId="14" fillId="0" borderId="0" xfId="1" applyNumberFormat="1" applyFont="1" applyBorder="1"/>
    <xf numFmtId="0" fontId="0" fillId="0" borderId="31" xfId="0" applyFont="1" applyFill="1" applyBorder="1"/>
    <xf numFmtId="0" fontId="0" fillId="0" borderId="24" xfId="0" applyFont="1" applyFill="1" applyBorder="1"/>
    <xf numFmtId="10" fontId="14" fillId="6" borderId="0" xfId="1" applyNumberFormat="1" applyFont="1" applyFill="1"/>
    <xf numFmtId="10" fontId="14" fillId="6" borderId="38" xfId="1" applyNumberFormat="1" applyFont="1" applyFill="1" applyBorder="1"/>
    <xf numFmtId="41" fontId="14" fillId="6" borderId="0" xfId="1" applyNumberFormat="1" applyFont="1" applyFill="1" applyBorder="1"/>
    <xf numFmtId="10" fontId="14" fillId="0" borderId="0" xfId="1" applyNumberFormat="1" applyFont="1" applyFill="1"/>
    <xf numFmtId="9" fontId="11" fillId="0" borderId="38" xfId="1" applyFont="1" applyFill="1" applyBorder="1"/>
    <xf numFmtId="9" fontId="11" fillId="0" borderId="21" xfId="1" applyFont="1" applyFill="1" applyBorder="1"/>
    <xf numFmtId="9" fontId="28" fillId="0" borderId="21" xfId="1" applyFont="1" applyBorder="1"/>
    <xf numFmtId="41" fontId="30" fillId="0" borderId="0" xfId="1" applyNumberFormat="1" applyFont="1"/>
    <xf numFmtId="41" fontId="30" fillId="0" borderId="44" xfId="1" applyNumberFormat="1" applyFont="1" applyBorder="1"/>
    <xf numFmtId="41" fontId="30" fillId="0" borderId="3" xfId="1" applyNumberFormat="1" applyFont="1" applyFill="1" applyBorder="1"/>
    <xf numFmtId="41" fontId="11" fillId="0" borderId="44" xfId="1" applyNumberFormat="1" applyFont="1" applyFill="1" applyBorder="1"/>
    <xf numFmtId="41" fontId="31" fillId="0" borderId="30" xfId="1" applyNumberFormat="1" applyFont="1" applyBorder="1"/>
    <xf numFmtId="41" fontId="30" fillId="0" borderId="0" xfId="1" applyNumberFormat="1" applyFont="1" applyBorder="1"/>
    <xf numFmtId="9" fontId="11" fillId="0" borderId="38" xfId="1" applyFont="1" applyBorder="1" applyAlignment="1">
      <alignment horizontal="right"/>
    </xf>
    <xf numFmtId="9" fontId="11" fillId="0" borderId="21" xfId="1" applyFont="1" applyBorder="1" applyAlignment="1">
      <alignment horizontal="right"/>
    </xf>
    <xf numFmtId="9" fontId="28" fillId="0" borderId="38" xfId="1" applyFont="1" applyBorder="1" applyAlignment="1">
      <alignment horizontal="right"/>
    </xf>
    <xf numFmtId="9" fontId="28" fillId="0" borderId="21" xfId="1" applyFont="1" applyBorder="1" applyAlignment="1">
      <alignment horizontal="right"/>
    </xf>
    <xf numFmtId="9" fontId="28" fillId="0" borderId="44" xfId="1" applyFont="1" applyBorder="1" applyAlignment="1">
      <alignment horizontal="right"/>
    </xf>
    <xf numFmtId="9" fontId="28" fillId="0" borderId="30" xfId="1" applyFont="1" applyBorder="1" applyAlignment="1">
      <alignment horizontal="right"/>
    </xf>
    <xf numFmtId="10" fontId="20" fillId="0" borderId="38" xfId="1" applyNumberFormat="1" applyFont="1" applyBorder="1"/>
    <xf numFmtId="10" fontId="20" fillId="0" borderId="0" xfId="1" applyNumberFormat="1" applyFont="1" applyBorder="1"/>
    <xf numFmtId="9" fontId="20" fillId="0" borderId="33" xfId="1" applyFont="1" applyFill="1" applyBorder="1"/>
    <xf numFmtId="9" fontId="20" fillId="0" borderId="29" xfId="1" applyFont="1" applyFill="1" applyBorder="1"/>
    <xf numFmtId="9" fontId="20" fillId="6" borderId="0" xfId="1" applyFont="1" applyFill="1"/>
    <xf numFmtId="9" fontId="20" fillId="6" borderId="38" xfId="1" applyFont="1" applyFill="1" applyBorder="1"/>
    <xf numFmtId="9" fontId="20" fillId="6" borderId="0" xfId="1" applyFont="1" applyFill="1" applyBorder="1"/>
    <xf numFmtId="41" fontId="20" fillId="0" borderId="0" xfId="1" applyNumberFormat="1" applyFont="1" applyFill="1" applyBorder="1" applyAlignment="1">
      <alignment horizontal="right"/>
    </xf>
    <xf numFmtId="41" fontId="20" fillId="0" borderId="2" xfId="1" applyNumberFormat="1" applyFont="1" applyFill="1" applyBorder="1"/>
    <xf numFmtId="41" fontId="20" fillId="0" borderId="0" xfId="1" applyNumberFormat="1" applyFont="1" applyFill="1"/>
    <xf numFmtId="41" fontId="20" fillId="0" borderId="21" xfId="1" applyNumberFormat="1" applyFont="1" applyFill="1" applyBorder="1"/>
    <xf numFmtId="0" fontId="44" fillId="14" borderId="0" xfId="0" applyFont="1" applyFill="1" applyBorder="1"/>
    <xf numFmtId="0" fontId="74" fillId="14" borderId="0" xfId="0" applyFont="1" applyFill="1" applyBorder="1"/>
    <xf numFmtId="0" fontId="8" fillId="2" borderId="0" xfId="0" applyFont="1" applyFill="1" applyBorder="1"/>
    <xf numFmtId="0" fontId="8" fillId="0" borderId="2" xfId="0" applyFont="1" applyBorder="1"/>
    <xf numFmtId="9" fontId="8" fillId="0" borderId="0" xfId="1" applyFont="1" applyFill="1" applyBorder="1" applyAlignment="1">
      <alignment horizontal="right"/>
    </xf>
    <xf numFmtId="41" fontId="3" fillId="0" borderId="2" xfId="1609" applyNumberFormat="1" applyFont="1" applyFill="1" applyBorder="1"/>
    <xf numFmtId="41" fontId="3" fillId="0" borderId="0" xfId="1609" applyNumberFormat="1" applyFont="1" applyFill="1" applyBorder="1"/>
    <xf numFmtId="41" fontId="8" fillId="0" borderId="0" xfId="1609" applyNumberFormat="1" applyFont="1" applyFill="1" applyBorder="1"/>
    <xf numFmtId="0" fontId="26" fillId="0" borderId="0" xfId="1609" applyNumberFormat="1" applyFont="1" applyFill="1" applyBorder="1"/>
    <xf numFmtId="41" fontId="3" fillId="0" borderId="0" xfId="0" applyNumberFormat="1" applyFont="1" applyFill="1" applyBorder="1"/>
    <xf numFmtId="0" fontId="26" fillId="0" borderId="0" xfId="0" applyNumberFormat="1" applyFont="1" applyFill="1" applyBorder="1"/>
    <xf numFmtId="41" fontId="8" fillId="0" borderId="20" xfId="1609" applyNumberFormat="1" applyFont="1" applyBorder="1"/>
    <xf numFmtId="0" fontId="26" fillId="0" borderId="38" xfId="1609" applyNumberFormat="1" applyFont="1" applyBorder="1"/>
    <xf numFmtId="41" fontId="3" fillId="0" borderId="21" xfId="1609" applyNumberFormat="1" applyFont="1" applyFill="1" applyBorder="1"/>
    <xf numFmtId="41" fontId="8" fillId="0" borderId="38" xfId="1609" applyNumberFormat="1" applyFont="1" applyFill="1" applyBorder="1"/>
    <xf numFmtId="41" fontId="8" fillId="0" borderId="20" xfId="1609" applyNumberFormat="1" applyFont="1" applyFill="1" applyBorder="1"/>
    <xf numFmtId="0" fontId="33" fillId="0" borderId="23" xfId="1" applyNumberFormat="1" applyFont="1" applyFill="1" applyBorder="1"/>
    <xf numFmtId="0" fontId="33" fillId="0" borderId="25" xfId="1" applyNumberFormat="1" applyFont="1" applyFill="1" applyBorder="1"/>
    <xf numFmtId="9" fontId="32" fillId="0" borderId="25" xfId="1" applyFont="1" applyFill="1" applyBorder="1"/>
    <xf numFmtId="0" fontId="29" fillId="0" borderId="25" xfId="1" applyNumberFormat="1" applyFont="1" applyFill="1" applyBorder="1"/>
    <xf numFmtId="0" fontId="29" fillId="0" borderId="52" xfId="1" applyNumberFormat="1" applyFont="1" applyFill="1" applyBorder="1"/>
    <xf numFmtId="41" fontId="29" fillId="0" borderId="26" xfId="1" applyNumberFormat="1" applyFont="1" applyFill="1" applyBorder="1"/>
    <xf numFmtId="9" fontId="32" fillId="0" borderId="26" xfId="1" applyFont="1" applyFill="1" applyBorder="1"/>
    <xf numFmtId="9" fontId="72" fillId="0" borderId="0" xfId="1" applyFont="1" applyFill="1"/>
    <xf numFmtId="9" fontId="72" fillId="0" borderId="25" xfId="1" applyFont="1" applyFill="1" applyBorder="1"/>
    <xf numFmtId="9" fontId="72" fillId="0" borderId="26" xfId="1" applyFont="1" applyFill="1" applyBorder="1"/>
    <xf numFmtId="9" fontId="32" fillId="0" borderId="29" xfId="1" applyFont="1" applyFill="1" applyBorder="1"/>
    <xf numFmtId="9" fontId="32" fillId="0" borderId="37" xfId="1" applyFont="1" applyFill="1" applyBorder="1"/>
    <xf numFmtId="0" fontId="29" fillId="0" borderId="45" xfId="1" applyNumberFormat="1" applyFont="1" applyFill="1" applyBorder="1" applyAlignment="1">
      <alignment horizontal="right"/>
    </xf>
    <xf numFmtId="0" fontId="29" fillId="0" borderId="21" xfId="1" applyNumberFormat="1" applyFont="1" applyFill="1" applyBorder="1" applyAlignment="1">
      <alignment horizontal="right"/>
    </xf>
    <xf numFmtId="41" fontId="29" fillId="0" borderId="21" xfId="1" applyNumberFormat="1" applyFont="1" applyFill="1" applyBorder="1" applyAlignment="1">
      <alignment horizontal="right"/>
    </xf>
    <xf numFmtId="0" fontId="33" fillId="0" borderId="0" xfId="1" applyNumberFormat="1" applyFont="1" applyFill="1"/>
    <xf numFmtId="41" fontId="33" fillId="0" borderId="21" xfId="1" applyNumberFormat="1" applyFont="1" applyFill="1" applyBorder="1" applyAlignment="1">
      <alignment horizontal="right"/>
    </xf>
    <xf numFmtId="10" fontId="33" fillId="0" borderId="27" xfId="1" applyNumberFormat="1" applyFont="1" applyFill="1" applyBorder="1"/>
    <xf numFmtId="41" fontId="33" fillId="0" borderId="22" xfId="1" applyNumberFormat="1" applyFont="1" applyFill="1" applyBorder="1"/>
    <xf numFmtId="10" fontId="29" fillId="0" borderId="25" xfId="1" applyNumberFormat="1" applyFont="1" applyFill="1" applyBorder="1"/>
    <xf numFmtId="10" fontId="20" fillId="0" borderId="0" xfId="1" applyNumberFormat="1" applyFont="1" applyFill="1"/>
    <xf numFmtId="10" fontId="20" fillId="0" borderId="28" xfId="1" applyNumberFormat="1" applyFont="1" applyFill="1" applyBorder="1"/>
    <xf numFmtId="41" fontId="20" fillId="0" borderId="43" xfId="1" applyNumberFormat="1" applyFont="1" applyFill="1" applyBorder="1"/>
    <xf numFmtId="0" fontId="74" fillId="0" borderId="36" xfId="0" applyFont="1" applyFill="1" applyBorder="1"/>
    <xf numFmtId="0" fontId="74" fillId="0" borderId="20" xfId="0" applyFont="1" applyFill="1" applyBorder="1"/>
    <xf numFmtId="0" fontId="0" fillId="0" borderId="22" xfId="0" applyFill="1" applyBorder="1"/>
    <xf numFmtId="9" fontId="67" fillId="0" borderId="38" xfId="1" applyFont="1" applyFill="1" applyBorder="1" applyAlignment="1">
      <alignment horizontal="right"/>
    </xf>
    <xf numFmtId="9" fontId="67" fillId="0" borderId="21" xfId="1" applyFont="1" applyFill="1" applyBorder="1" applyAlignment="1">
      <alignment horizontal="right"/>
    </xf>
    <xf numFmtId="9" fontId="39" fillId="0" borderId="0" xfId="1" applyFont="1" applyFill="1" applyBorder="1"/>
    <xf numFmtId="9" fontId="67" fillId="0" borderId="44" xfId="1" applyFont="1" applyFill="1" applyBorder="1" applyAlignment="1">
      <alignment horizontal="right"/>
    </xf>
    <xf numFmtId="9" fontId="67" fillId="0" borderId="30" xfId="1" applyFont="1" applyFill="1" applyBorder="1" applyAlignment="1">
      <alignment horizontal="right"/>
    </xf>
    <xf numFmtId="9" fontId="73" fillId="0" borderId="0" xfId="1" applyFont="1" applyFill="1" applyBorder="1"/>
    <xf numFmtId="0" fontId="27" fillId="0" borderId="0" xfId="1" applyNumberFormat="1" applyFont="1"/>
    <xf numFmtId="0" fontId="27" fillId="0" borderId="0" xfId="1" applyNumberFormat="1" applyFont="1" applyBorder="1"/>
    <xf numFmtId="43" fontId="27" fillId="0" borderId="0" xfId="1" applyNumberFormat="1" applyFont="1"/>
    <xf numFmtId="43" fontId="27" fillId="0" borderId="0" xfId="1" applyNumberFormat="1" applyFont="1" applyBorder="1"/>
    <xf numFmtId="43" fontId="27" fillId="0" borderId="0" xfId="1" applyNumberFormat="1" applyFont="1" applyFill="1" applyBorder="1"/>
    <xf numFmtId="9" fontId="27" fillId="0" borderId="0" xfId="1" applyFont="1"/>
    <xf numFmtId="2" fontId="0" fillId="0" borderId="38" xfId="0" applyNumberFormat="1" applyFont="1" applyFill="1" applyBorder="1"/>
    <xf numFmtId="2" fontId="8" fillId="0" borderId="38" xfId="0" applyNumberFormat="1" applyFont="1" applyFill="1" applyBorder="1"/>
    <xf numFmtId="9" fontId="16" fillId="0" borderId="0" xfId="1" applyNumberFormat="1" applyFont="1" applyFill="1" applyBorder="1"/>
    <xf numFmtId="9" fontId="16" fillId="0" borderId="21" xfId="1" applyNumberFormat="1" applyFont="1" applyFill="1" applyBorder="1"/>
    <xf numFmtId="0" fontId="21" fillId="0" borderId="0" xfId="0" applyFont="1" applyFill="1" applyAlignment="1">
      <alignment horizontal="center" vertical="center"/>
    </xf>
    <xf numFmtId="172" fontId="81" fillId="16" borderId="2" xfId="0" applyNumberFormat="1" applyFont="1" applyFill="1" applyBorder="1" applyAlignment="1">
      <alignment horizontal="center"/>
    </xf>
    <xf numFmtId="172" fontId="81" fillId="16" borderId="45" xfId="0" applyNumberFormat="1" applyFont="1" applyFill="1" applyBorder="1" applyAlignment="1">
      <alignment horizontal="center"/>
    </xf>
    <xf numFmtId="0" fontId="36" fillId="0" borderId="0" xfId="0" applyFont="1"/>
    <xf numFmtId="0" fontId="36" fillId="16" borderId="38" xfId="0" applyFont="1" applyFill="1" applyBorder="1"/>
    <xf numFmtId="0" fontId="36" fillId="16" borderId="0" xfId="0" applyFont="1" applyFill="1" applyBorder="1" applyAlignment="1">
      <alignment horizontal="center"/>
    </xf>
    <xf numFmtId="2" fontId="36" fillId="16" borderId="0" xfId="0" applyNumberFormat="1" applyFont="1" applyFill="1" applyBorder="1" applyAlignment="1">
      <alignment horizontal="center"/>
    </xf>
    <xf numFmtId="2" fontId="36" fillId="16" borderId="21" xfId="0" applyNumberFormat="1" applyFont="1" applyFill="1" applyBorder="1" applyAlignment="1">
      <alignment horizontal="center"/>
    </xf>
    <xf numFmtId="41" fontId="8" fillId="0" borderId="0" xfId="0" applyNumberFormat="1" applyFont="1"/>
    <xf numFmtId="41" fontId="8" fillId="0" borderId="38" xfId="0" applyNumberFormat="1" applyFont="1" applyBorder="1"/>
    <xf numFmtId="41" fontId="0" fillId="0" borderId="0" xfId="0" applyNumberFormat="1" applyFont="1"/>
    <xf numFmtId="41" fontId="0" fillId="0" borderId="38" xfId="0" applyNumberFormat="1" applyFont="1" applyBorder="1"/>
    <xf numFmtId="41" fontId="0" fillId="0" borderId="0" xfId="0" applyNumberFormat="1" applyFont="1" applyFill="1"/>
    <xf numFmtId="41" fontId="8" fillId="0" borderId="36" xfId="0" applyNumberFormat="1" applyFont="1" applyBorder="1"/>
    <xf numFmtId="41" fontId="0" fillId="0" borderId="0" xfId="1" applyNumberFormat="1" applyFont="1" applyFill="1"/>
    <xf numFmtId="41" fontId="0" fillId="0" borderId="0" xfId="1" applyNumberFormat="1" applyFont="1"/>
    <xf numFmtId="41" fontId="0" fillId="0" borderId="38" xfId="1" applyNumberFormat="1" applyFont="1" applyBorder="1"/>
    <xf numFmtId="41" fontId="0" fillId="0" borderId="0" xfId="1" applyNumberFormat="1" applyFont="1" applyBorder="1"/>
    <xf numFmtId="41" fontId="27" fillId="0" borderId="0" xfId="1" applyNumberFormat="1" applyFont="1" applyFill="1"/>
    <xf numFmtId="41" fontId="27" fillId="0" borderId="38" xfId="1" applyNumberFormat="1" applyFont="1" applyFill="1" applyBorder="1"/>
    <xf numFmtId="41" fontId="27" fillId="0" borderId="21" xfId="1" applyNumberFormat="1" applyFont="1" applyFill="1" applyBorder="1"/>
    <xf numFmtId="41" fontId="27" fillId="0" borderId="44" xfId="1" applyNumberFormat="1" applyFont="1" applyFill="1" applyBorder="1"/>
    <xf numFmtId="41" fontId="27" fillId="0" borderId="3" xfId="1" applyNumberFormat="1" applyFont="1" applyFill="1" applyBorder="1"/>
    <xf numFmtId="41" fontId="27" fillId="0" borderId="30" xfId="1" applyNumberFormat="1" applyFont="1" applyFill="1" applyBorder="1"/>
    <xf numFmtId="0" fontId="7" fillId="2" borderId="36" xfId="0" applyFont="1" applyFill="1" applyBorder="1" applyAlignment="1">
      <alignment horizontal="center"/>
    </xf>
    <xf numFmtId="0" fontId="7" fillId="2" borderId="22" xfId="0" applyFont="1" applyFill="1" applyBorder="1" applyAlignment="1">
      <alignment horizontal="center"/>
    </xf>
    <xf numFmtId="0" fontId="83" fillId="0" borderId="0" xfId="0" applyFont="1"/>
    <xf numFmtId="0" fontId="7" fillId="2" borderId="36" xfId="0" applyFont="1" applyFill="1" applyBorder="1" applyAlignment="1">
      <alignment horizontal="center" vertical="center"/>
    </xf>
    <xf numFmtId="10" fontId="0" fillId="0" borderId="0" xfId="1" applyNumberFormat="1" applyFont="1" applyFill="1"/>
    <xf numFmtId="9" fontId="85" fillId="0" borderId="0" xfId="1" applyFont="1" applyBorder="1"/>
    <xf numFmtId="0" fontId="84" fillId="0" borderId="0" xfId="0" applyFont="1" applyFill="1" applyBorder="1"/>
    <xf numFmtId="43" fontId="0" fillId="0" borderId="0" xfId="0" applyNumberFormat="1" applyFont="1" applyFill="1" applyBorder="1"/>
    <xf numFmtId="9" fontId="86" fillId="0" borderId="0" xfId="1" applyFont="1" applyFill="1" applyBorder="1"/>
    <xf numFmtId="0" fontId="87" fillId="0" borderId="0" xfId="0" applyFont="1" applyFill="1" applyBorder="1"/>
    <xf numFmtId="10" fontId="30" fillId="0" borderId="0" xfId="1" applyNumberFormat="1" applyFont="1" applyFill="1" applyBorder="1" applyAlignment="1">
      <alignment horizontal="right"/>
    </xf>
    <xf numFmtId="0" fontId="88" fillId="0" borderId="39" xfId="0" applyFont="1" applyFill="1" applyBorder="1" applyAlignment="1">
      <alignment horizontal="left"/>
    </xf>
    <xf numFmtId="0" fontId="34" fillId="0" borderId="2" xfId="0" applyFont="1" applyFill="1" applyBorder="1" applyAlignment="1">
      <alignment horizontal="center"/>
    </xf>
    <xf numFmtId="0" fontId="34" fillId="0" borderId="2" xfId="0" applyFont="1" applyFill="1" applyBorder="1"/>
    <xf numFmtId="0" fontId="34" fillId="0" borderId="45" xfId="0" applyFont="1" applyFill="1" applyBorder="1" applyAlignment="1">
      <alignment horizontal="center"/>
    </xf>
    <xf numFmtId="0" fontId="89" fillId="0" borderId="38" xfId="0" applyFont="1" applyFill="1" applyBorder="1" applyAlignment="1">
      <alignment horizontal="left" indent="2"/>
    </xf>
    <xf numFmtId="0" fontId="89" fillId="0" borderId="0" xfId="0" applyFont="1" applyFill="1" applyBorder="1" applyAlignment="1">
      <alignment horizontal="left"/>
    </xf>
    <xf numFmtId="2" fontId="89" fillId="0" borderId="0" xfId="0" applyNumberFormat="1" applyFont="1" applyFill="1" applyBorder="1" applyAlignment="1">
      <alignment horizontal="center" vertical="center"/>
    </xf>
    <xf numFmtId="10" fontId="89" fillId="0" borderId="0" xfId="0" applyNumberFormat="1" applyFont="1" applyFill="1" applyBorder="1" applyAlignment="1">
      <alignment horizontal="center" vertical="center"/>
    </xf>
    <xf numFmtId="2" fontId="90" fillId="0" borderId="21" xfId="0" applyNumberFormat="1" applyFont="1" applyBorder="1" applyAlignment="1">
      <alignment horizontal="center" vertical="center"/>
    </xf>
    <xf numFmtId="0" fontId="88" fillId="0" borderId="38" xfId="0" applyFont="1" applyFill="1" applyBorder="1" applyAlignment="1">
      <alignment horizontal="left"/>
    </xf>
    <xf numFmtId="0" fontId="34" fillId="0" borderId="0" xfId="0" applyFont="1" applyFill="1" applyBorder="1" applyAlignment="1">
      <alignment horizontal="center"/>
    </xf>
    <xf numFmtId="0" fontId="34" fillId="0" borderId="0" xfId="0" applyFont="1" applyFill="1" applyBorder="1"/>
    <xf numFmtId="0" fontId="34" fillId="0" borderId="0" xfId="0" applyFont="1" applyFill="1" applyBorder="1" applyAlignment="1">
      <alignment horizontal="center" vertical="center"/>
    </xf>
    <xf numFmtId="0" fontId="34" fillId="0" borderId="21" xfId="0" applyFont="1" applyFill="1" applyBorder="1" applyAlignment="1">
      <alignment horizontal="center" vertical="center"/>
    </xf>
    <xf numFmtId="0" fontId="90" fillId="0" borderId="38" xfId="0" applyFont="1" applyBorder="1" applyAlignment="1">
      <alignment horizontal="left" indent="1"/>
    </xf>
    <xf numFmtId="0" fontId="90" fillId="0" borderId="0" xfId="0" applyFont="1" applyBorder="1"/>
    <xf numFmtId="2" fontId="90" fillId="0" borderId="0" xfId="0" applyNumberFormat="1" applyFont="1" applyBorder="1" applyAlignment="1">
      <alignment horizontal="center" vertical="center"/>
    </xf>
    <xf numFmtId="10" fontId="90" fillId="0" borderId="0" xfId="0" applyNumberFormat="1" applyFont="1" applyBorder="1" applyAlignment="1">
      <alignment horizontal="center" vertical="center"/>
    </xf>
    <xf numFmtId="0" fontId="65" fillId="0" borderId="44" xfId="0" applyFont="1" applyBorder="1"/>
    <xf numFmtId="0" fontId="65" fillId="0" borderId="3" xfId="0" applyFont="1" applyBorder="1"/>
    <xf numFmtId="0" fontId="90" fillId="0" borderId="3" xfId="0" applyFont="1" applyBorder="1" applyAlignment="1">
      <alignment horizontal="center" vertical="center"/>
    </xf>
    <xf numFmtId="0" fontId="65" fillId="0" borderId="3" xfId="0" applyFont="1" applyBorder="1" applyAlignment="1">
      <alignment horizontal="center" vertical="center"/>
    </xf>
    <xf numFmtId="2" fontId="65" fillId="0" borderId="30" xfId="0" applyNumberFormat="1" applyFont="1" applyBorder="1" applyAlignment="1">
      <alignment horizontal="center" vertical="center"/>
    </xf>
    <xf numFmtId="0" fontId="37" fillId="2" borderId="39"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2" xfId="0" applyFont="1" applyFill="1" applyBorder="1" applyAlignment="1">
      <alignment horizontal="center" vertical="center" wrapText="1"/>
    </xf>
    <xf numFmtId="0" fontId="37" fillId="2" borderId="45" xfId="0" applyFont="1" applyFill="1" applyBorder="1" applyAlignment="1">
      <alignment horizontal="center" vertical="center"/>
    </xf>
    <xf numFmtId="43" fontId="29" fillId="0" borderId="0" xfId="0" applyNumberFormat="1" applyFont="1" applyFill="1" applyBorder="1"/>
    <xf numFmtId="10" fontId="8" fillId="0" borderId="21" xfId="0" applyNumberFormat="1" applyFont="1" applyBorder="1"/>
    <xf numFmtId="41" fontId="0" fillId="0" borderId="21" xfId="0" applyNumberFormat="1" applyFont="1" applyBorder="1"/>
    <xf numFmtId="2" fontId="2" fillId="0" borderId="0" xfId="1" applyNumberFormat="1" applyFont="1" applyBorder="1" applyAlignment="1">
      <alignment horizontal="center" vertical="center"/>
    </xf>
    <xf numFmtId="2" fontId="2" fillId="0" borderId="0" xfId="0" applyNumberFormat="1" applyFont="1" applyBorder="1" applyAlignment="1">
      <alignment horizontal="center" vertical="center"/>
    </xf>
    <xf numFmtId="10" fontId="2" fillId="0" borderId="0" xfId="1" applyNumberFormat="1" applyFont="1" applyBorder="1" applyAlignment="1">
      <alignment horizontal="center" vertical="center"/>
    </xf>
    <xf numFmtId="2" fontId="2" fillId="0" borderId="3" xfId="1" applyNumberFormat="1" applyFont="1" applyBorder="1" applyAlignment="1">
      <alignment horizontal="center" vertical="center"/>
    </xf>
    <xf numFmtId="2" fontId="2" fillId="0" borderId="3" xfId="0" applyNumberFormat="1" applyFont="1" applyBorder="1" applyAlignment="1">
      <alignment horizontal="center" vertical="center"/>
    </xf>
    <xf numFmtId="10" fontId="2" fillId="0" borderId="3" xfId="1" applyNumberFormat="1" applyFont="1" applyBorder="1" applyAlignment="1">
      <alignment horizontal="center" vertical="center"/>
    </xf>
    <xf numFmtId="9" fontId="2" fillId="0" borderId="0" xfId="1" applyNumberFormat="1" applyFont="1" applyBorder="1" applyAlignment="1">
      <alignment horizontal="center" vertical="center"/>
    </xf>
    <xf numFmtId="9" fontId="2" fillId="0" borderId="3" xfId="1" applyNumberFormat="1" applyFont="1" applyBorder="1" applyAlignment="1">
      <alignment horizontal="center" vertical="center"/>
    </xf>
    <xf numFmtId="9" fontId="8" fillId="0" borderId="0" xfId="0" applyNumberFormat="1" applyFont="1" applyFill="1"/>
    <xf numFmtId="0" fontId="7" fillId="2" borderId="39" xfId="0" applyFont="1" applyFill="1" applyBorder="1" applyAlignment="1">
      <alignment horizontal="center"/>
    </xf>
    <xf numFmtId="0" fontId="7" fillId="2" borderId="45" xfId="0" applyFont="1" applyFill="1" applyBorder="1" applyAlignment="1">
      <alignment horizontal="center"/>
    </xf>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10" fontId="12" fillId="0" borderId="0" xfId="0" applyNumberFormat="1" applyFont="1" applyAlignment="1">
      <alignment horizontal="center" vertical="center"/>
    </xf>
    <xf numFmtId="10" fontId="0" fillId="0" borderId="21" xfId="0" applyNumberFormat="1" applyFont="1" applyBorder="1"/>
    <xf numFmtId="10" fontId="0" fillId="0" borderId="30" xfId="0" applyNumberFormat="1" applyFont="1" applyBorder="1"/>
    <xf numFmtId="0" fontId="7" fillId="2" borderId="22" xfId="0" applyFont="1" applyFill="1" applyBorder="1" applyAlignment="1">
      <alignment horizontal="center"/>
    </xf>
    <xf numFmtId="0" fontId="7" fillId="2" borderId="36" xfId="0" applyFont="1" applyFill="1" applyBorder="1" applyAlignment="1">
      <alignment horizontal="center" vertical="center"/>
    </xf>
    <xf numFmtId="0" fontId="7" fillId="2" borderId="0" xfId="0" applyFont="1" applyFill="1" applyBorder="1" applyAlignment="1">
      <alignment horizontal="center" vertical="center"/>
    </xf>
    <xf numFmtId="41" fontId="8" fillId="0" borderId="21" xfId="0" applyNumberFormat="1" applyFont="1" applyBorder="1"/>
    <xf numFmtId="172" fontId="8" fillId="0" borderId="21" xfId="0" applyNumberFormat="1" applyFont="1" applyBorder="1"/>
    <xf numFmtId="172" fontId="8" fillId="0" borderId="20" xfId="1" applyNumberFormat="1" applyFont="1" applyBorder="1"/>
    <xf numFmtId="41" fontId="0" fillId="0" borderId="48" xfId="1" applyNumberFormat="1" applyFont="1" applyBorder="1"/>
    <xf numFmtId="41" fontId="8" fillId="0" borderId="46" xfId="1" applyNumberFormat="1" applyFont="1" applyBorder="1"/>
    <xf numFmtId="172" fontId="0" fillId="0" borderId="48" xfId="1" applyNumberFormat="1" applyFont="1" applyBorder="1"/>
    <xf numFmtId="172" fontId="8" fillId="0" borderId="46" xfId="1" applyNumberFormat="1" applyFont="1" applyBorder="1"/>
    <xf numFmtId="172" fontId="0" fillId="0" borderId="0" xfId="1" applyNumberFormat="1" applyFont="1" applyBorder="1"/>
    <xf numFmtId="172" fontId="1" fillId="0" borderId="47" xfId="1" applyNumberFormat="1" applyFont="1" applyBorder="1"/>
    <xf numFmtId="172" fontId="1" fillId="0" borderId="49" xfId="1" applyNumberFormat="1" applyFont="1" applyBorder="1"/>
    <xf numFmtId="43" fontId="8" fillId="0" borderId="45" xfId="0" applyNumberFormat="1" applyFont="1" applyBorder="1"/>
    <xf numFmtId="0" fontId="0" fillId="0" borderId="36" xfId="0" applyBorder="1"/>
    <xf numFmtId="0" fontId="0" fillId="0" borderId="59" xfId="0" applyBorder="1"/>
    <xf numFmtId="0" fontId="0" fillId="0" borderId="59" xfId="0" applyFill="1" applyBorder="1"/>
    <xf numFmtId="2" fontId="40" fillId="0" borderId="20" xfId="0" applyNumberFormat="1" applyFont="1" applyBorder="1"/>
    <xf numFmtId="0" fontId="0" fillId="0" borderId="59" xfId="0" applyFont="1" applyFill="1" applyBorder="1"/>
    <xf numFmtId="43" fontId="0" fillId="0" borderId="20" xfId="0" applyNumberFormat="1" applyBorder="1"/>
    <xf numFmtId="43" fontId="0" fillId="0" borderId="22" xfId="0" applyNumberFormat="1" applyBorder="1"/>
    <xf numFmtId="0" fontId="7" fillId="14" borderId="0" xfId="0" applyFont="1" applyFill="1" applyAlignment="1">
      <alignment horizontal="center" vertical="center"/>
    </xf>
    <xf numFmtId="0" fontId="8" fillId="19" borderId="38" xfId="0" applyFont="1" applyFill="1" applyBorder="1" applyAlignment="1">
      <alignment horizontal="center" vertical="center"/>
    </xf>
    <xf numFmtId="0" fontId="8" fillId="19" borderId="21" xfId="0" applyFont="1" applyFill="1" applyBorder="1" applyAlignment="1">
      <alignment horizontal="center" vertical="center"/>
    </xf>
    <xf numFmtId="0" fontId="0" fillId="0" borderId="38" xfId="0" quotePrefix="1" applyBorder="1"/>
    <xf numFmtId="41" fontId="0" fillId="0" borderId="21" xfId="0" applyNumberFormat="1" applyBorder="1"/>
    <xf numFmtId="172" fontId="0" fillId="0" borderId="21" xfId="0" applyNumberFormat="1" applyBorder="1"/>
    <xf numFmtId="172" fontId="0" fillId="0" borderId="30" xfId="0" applyNumberFormat="1" applyBorder="1"/>
    <xf numFmtId="44" fontId="0" fillId="0" borderId="0" xfId="0" applyNumberFormat="1" applyFont="1" applyBorder="1" applyAlignment="1">
      <alignment horizontal="left"/>
    </xf>
    <xf numFmtId="44" fontId="0" fillId="0" borderId="21" xfId="0" applyNumberFormat="1" applyFont="1" applyBorder="1" applyAlignment="1">
      <alignment horizontal="left"/>
    </xf>
    <xf numFmtId="44" fontId="8" fillId="0" borderId="38" xfId="0" applyNumberFormat="1" applyFont="1" applyBorder="1" applyAlignment="1">
      <alignment horizontal="left"/>
    </xf>
    <xf numFmtId="41" fontId="8" fillId="0" borderId="0" xfId="0" applyNumberFormat="1" applyFont="1" applyBorder="1" applyAlignment="1">
      <alignment horizontal="left"/>
    </xf>
    <xf numFmtId="44" fontId="0" fillId="0" borderId="38" xfId="0" applyNumberFormat="1" applyFont="1" applyBorder="1" applyAlignment="1">
      <alignment horizontal="left"/>
    </xf>
    <xf numFmtId="41" fontId="0" fillId="0" borderId="0" xfId="0" applyNumberFormat="1" applyFont="1" applyBorder="1" applyAlignment="1">
      <alignment horizontal="left"/>
    </xf>
    <xf numFmtId="41" fontId="8" fillId="0" borderId="21" xfId="0" applyNumberFormat="1" applyFont="1" applyBorder="1" applyAlignment="1">
      <alignment horizontal="left"/>
    </xf>
    <xf numFmtId="41" fontId="0" fillId="0" borderId="21" xfId="0" applyNumberFormat="1" applyFont="1" applyBorder="1" applyAlignment="1">
      <alignment horizontal="left"/>
    </xf>
    <xf numFmtId="44" fontId="15" fillId="0" borderId="36" xfId="0" applyNumberFormat="1" applyFont="1" applyBorder="1" applyAlignment="1">
      <alignment horizontal="left"/>
    </xf>
    <xf numFmtId="41" fontId="15" fillId="0" borderId="20" xfId="0" applyNumberFormat="1" applyFont="1" applyBorder="1" applyAlignment="1">
      <alignment horizontal="left"/>
    </xf>
    <xf numFmtId="41" fontId="15" fillId="0" borderId="22" xfId="0" applyNumberFormat="1" applyFont="1" applyBorder="1" applyAlignment="1">
      <alignment horizontal="left"/>
    </xf>
    <xf numFmtId="44" fontId="0" fillId="0" borderId="38" xfId="0" applyNumberFormat="1" applyBorder="1"/>
    <xf numFmtId="164" fontId="75" fillId="0" borderId="3" xfId="0" applyNumberFormat="1" applyFont="1" applyBorder="1" applyAlignment="1">
      <alignment horizontal="left"/>
    </xf>
    <xf numFmtId="164" fontId="12" fillId="0" borderId="3" xfId="0" applyNumberFormat="1" applyFont="1" applyBorder="1"/>
    <xf numFmtId="164" fontId="0" fillId="0" borderId="38" xfId="0" applyNumberFormat="1" applyFont="1" applyBorder="1"/>
    <xf numFmtId="164" fontId="0" fillId="0" borderId="21" xfId="0" applyNumberFormat="1" applyFont="1" applyBorder="1"/>
    <xf numFmtId="164" fontId="8" fillId="0" borderId="44" xfId="0" applyNumberFormat="1" applyFont="1" applyBorder="1"/>
    <xf numFmtId="164" fontId="8" fillId="0" borderId="3" xfId="0" applyNumberFormat="1" applyFont="1" applyBorder="1"/>
    <xf numFmtId="164" fontId="8" fillId="0" borderId="30" xfId="0" applyNumberFormat="1" applyFont="1" applyBorder="1"/>
    <xf numFmtId="10" fontId="0" fillId="0" borderId="0" xfId="0" applyNumberFormat="1" applyFont="1" applyBorder="1"/>
    <xf numFmtId="0" fontId="0" fillId="0" borderId="38" xfId="0" applyNumberFormat="1" applyFont="1" applyBorder="1"/>
    <xf numFmtId="43" fontId="0" fillId="0" borderId="0" xfId="0" applyNumberFormat="1" applyFont="1" applyBorder="1"/>
    <xf numFmtId="0" fontId="64" fillId="0" borderId="0" xfId="0" applyFont="1" applyFill="1" applyBorder="1" applyAlignment="1">
      <alignment horizontal="center"/>
    </xf>
    <xf numFmtId="9" fontId="40" fillId="0" borderId="0" xfId="1" applyFont="1" applyFill="1" applyBorder="1" applyAlignment="1">
      <alignment horizontal="center"/>
    </xf>
    <xf numFmtId="9" fontId="40" fillId="0" borderId="0" xfId="1" applyNumberFormat="1" applyFont="1" applyFill="1" applyBorder="1" applyAlignment="1">
      <alignment horizontal="center"/>
    </xf>
    <xf numFmtId="172" fontId="0" fillId="0" borderId="0" xfId="0" applyNumberFormat="1" applyFont="1" applyFill="1" applyBorder="1"/>
    <xf numFmtId="172" fontId="0" fillId="0" borderId="0" xfId="1" applyNumberFormat="1" applyFont="1" applyFill="1" applyBorder="1"/>
    <xf numFmtId="172" fontId="8" fillId="0" borderId="0" xfId="1" applyNumberFormat="1" applyFont="1" applyFill="1" applyBorder="1"/>
    <xf numFmtId="172" fontId="1" fillId="0" borderId="0" xfId="1" applyNumberFormat="1" applyFont="1" applyFill="1" applyBorder="1"/>
    <xf numFmtId="0" fontId="7" fillId="2" borderId="0" xfId="0" applyFont="1" applyFill="1" applyAlignment="1">
      <alignment horizontal="center"/>
    </xf>
    <xf numFmtId="0" fontId="82" fillId="12" borderId="0" xfId="0" applyFont="1" applyFill="1" applyAlignment="1">
      <alignment horizontal="center"/>
    </xf>
    <xf numFmtId="0" fontId="76" fillId="15" borderId="0" xfId="0" applyFont="1" applyFill="1" applyAlignment="1">
      <alignment horizontal="center"/>
    </xf>
    <xf numFmtId="0" fontId="76" fillId="18" borderId="0" xfId="0" applyFont="1" applyFill="1" applyAlignment="1">
      <alignment horizontal="center"/>
    </xf>
    <xf numFmtId="0" fontId="7" fillId="2" borderId="39" xfId="0" applyFont="1" applyFill="1" applyBorder="1" applyAlignment="1">
      <alignment horizontal="center"/>
    </xf>
    <xf numFmtId="0" fontId="7" fillId="2" borderId="45" xfId="0" applyFont="1" applyFill="1" applyBorder="1" applyAlignment="1">
      <alignment horizontal="center"/>
    </xf>
    <xf numFmtId="0" fontId="7" fillId="2" borderId="36" xfId="0" applyFont="1" applyFill="1" applyBorder="1" applyAlignment="1">
      <alignment horizontal="center"/>
    </xf>
    <xf numFmtId="0" fontId="7" fillId="2" borderId="22" xfId="0" applyFont="1" applyFill="1" applyBorder="1" applyAlignment="1">
      <alignment horizontal="center"/>
    </xf>
    <xf numFmtId="0" fontId="82" fillId="12" borderId="3" xfId="0" applyFont="1" applyFill="1" applyBorder="1" applyAlignment="1">
      <alignment horizontal="center"/>
    </xf>
    <xf numFmtId="0" fontId="7" fillId="2" borderId="36" xfId="0" applyFont="1" applyFill="1" applyBorder="1" applyAlignment="1">
      <alignment horizontal="center" vertical="center"/>
    </xf>
    <xf numFmtId="0" fontId="7" fillId="2" borderId="22" xfId="0" applyFont="1" applyFill="1" applyBorder="1" applyAlignment="1">
      <alignment horizontal="center" vertical="center"/>
    </xf>
    <xf numFmtId="0" fontId="77" fillId="0" borderId="38"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61" xfId="0" applyFont="1" applyBorder="1" applyAlignment="1">
      <alignment horizontal="center" vertical="center" wrapText="1"/>
    </xf>
    <xf numFmtId="0" fontId="77" fillId="0" borderId="58" xfId="0" applyFont="1" applyBorder="1" applyAlignment="1">
      <alignment horizontal="center" vertical="center" wrapText="1"/>
    </xf>
    <xf numFmtId="0" fontId="71" fillId="0" borderId="38" xfId="0" applyFont="1" applyBorder="1" applyAlignment="1">
      <alignment horizontal="center" vertical="center" wrapText="1"/>
    </xf>
    <xf numFmtId="0" fontId="71" fillId="0" borderId="0" xfId="0" applyFont="1" applyBorder="1" applyAlignment="1">
      <alignment horizontal="center" vertical="center" wrapText="1"/>
    </xf>
    <xf numFmtId="0" fontId="71" fillId="0" borderId="44" xfId="0" applyFont="1" applyBorder="1" applyAlignment="1">
      <alignment horizontal="center" vertical="center" wrapText="1"/>
    </xf>
    <xf numFmtId="0" fontId="71" fillId="0" borderId="3" xfId="0" applyFont="1" applyBorder="1" applyAlignment="1">
      <alignment horizontal="center" vertical="center" wrapText="1"/>
    </xf>
    <xf numFmtId="0" fontId="71" fillId="0" borderId="57" xfId="0" applyFont="1" applyBorder="1" applyAlignment="1">
      <alignment horizontal="center" vertical="center" wrapText="1"/>
    </xf>
    <xf numFmtId="0" fontId="71" fillId="0" borderId="18"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 xfId="0" applyFont="1" applyBorder="1" applyAlignment="1">
      <alignment horizontal="center" vertical="center" wrapText="1"/>
    </xf>
    <xf numFmtId="0" fontId="8" fillId="2" borderId="22" xfId="0" applyFont="1" applyFill="1" applyBorder="1" applyAlignment="1">
      <alignment horizontal="center"/>
    </xf>
    <xf numFmtId="0" fontId="7" fillId="8" borderId="0" xfId="0" applyFont="1" applyFill="1" applyAlignment="1">
      <alignment horizontal="center"/>
    </xf>
    <xf numFmtId="0" fontId="37" fillId="2" borderId="3" xfId="0" applyFont="1" applyFill="1" applyBorder="1" applyAlignment="1">
      <alignment horizontal="center"/>
    </xf>
    <xf numFmtId="0" fontId="7" fillId="8" borderId="36" xfId="0" applyFont="1" applyFill="1" applyBorder="1" applyAlignment="1">
      <alignment horizontal="center"/>
    </xf>
    <xf numFmtId="0" fontId="7" fillId="8" borderId="20" xfId="0" applyFont="1" applyFill="1" applyBorder="1" applyAlignment="1">
      <alignment horizontal="center"/>
    </xf>
    <xf numFmtId="0" fontId="7" fillId="8" borderId="22" xfId="0" applyFont="1" applyFill="1" applyBorder="1" applyAlignment="1">
      <alignment horizontal="center"/>
    </xf>
    <xf numFmtId="41" fontId="7" fillId="8" borderId="20" xfId="0" applyNumberFormat="1" applyFont="1" applyFill="1" applyBorder="1" applyAlignment="1">
      <alignment horizontal="center"/>
    </xf>
    <xf numFmtId="41" fontId="7" fillId="8" borderId="22" xfId="0" applyNumberFormat="1" applyFont="1" applyFill="1" applyBorder="1" applyAlignment="1">
      <alignment horizontal="center"/>
    </xf>
    <xf numFmtId="0" fontId="8" fillId="0" borderId="39"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39" xfId="0" applyFont="1" applyBorder="1" applyAlignment="1">
      <alignment horizontal="center" vertical="center"/>
    </xf>
    <xf numFmtId="0" fontId="8" fillId="0" borderId="2" xfId="0" applyFont="1" applyBorder="1" applyAlignment="1">
      <alignment horizontal="center" vertical="center"/>
    </xf>
    <xf numFmtId="0" fontId="8" fillId="0" borderId="45" xfId="0" applyFont="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3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5" xfId="0" applyFont="1" applyFill="1" applyBorder="1" applyAlignment="1">
      <alignment horizontal="center" vertical="center"/>
    </xf>
    <xf numFmtId="0" fontId="49" fillId="13" borderId="0" xfId="0" applyFont="1" applyFill="1" applyAlignment="1">
      <alignment horizontal="center"/>
    </xf>
    <xf numFmtId="0" fontId="48" fillId="3" borderId="2" xfId="0" applyFont="1" applyFill="1" applyBorder="1" applyAlignment="1">
      <alignment horizontal="center" vertical="center"/>
    </xf>
    <xf numFmtId="0" fontId="48" fillId="3" borderId="50" xfId="0" applyFont="1" applyFill="1" applyBorder="1" applyAlignment="1">
      <alignment horizontal="center" vertical="center"/>
    </xf>
    <xf numFmtId="0" fontId="37" fillId="12" borderId="0" xfId="0" applyFont="1" applyFill="1" applyAlignment="1">
      <alignment horizontal="center"/>
    </xf>
    <xf numFmtId="0" fontId="42" fillId="2" borderId="2" xfId="0" applyFont="1" applyFill="1" applyBorder="1" applyAlignment="1">
      <alignment horizontal="center" vertical="center"/>
    </xf>
    <xf numFmtId="0" fontId="42" fillId="2" borderId="4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30" xfId="0" applyFont="1" applyFill="1" applyBorder="1" applyAlignment="1">
      <alignment horizontal="center" vertical="center"/>
    </xf>
    <xf numFmtId="0" fontId="42" fillId="2" borderId="39" xfId="0" applyFont="1" applyFill="1" applyBorder="1" applyAlignment="1">
      <alignment horizontal="center" vertical="center"/>
    </xf>
    <xf numFmtId="0" fontId="7" fillId="2" borderId="0" xfId="0" applyFont="1" applyFill="1" applyAlignment="1">
      <alignment horizontal="center" vertical="center"/>
    </xf>
  </cellXfs>
  <cellStyles count="3824">
    <cellStyle name="blp_datetime" xfId="1496"/>
    <cellStyle name="Comma" xfId="194" builtinId="3"/>
    <cellStyle name="Comma 4" xfId="1087"/>
    <cellStyle name="Currency" xfId="1609"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Followed Hyperlink" xfId="1107" builtinId="9" hidden="1"/>
    <cellStyle name="Followed Hyperlink" xfId="1109" builtinId="9" hidden="1"/>
    <cellStyle name="Followed Hyperlink" xfId="1111" builtinId="9" hidden="1"/>
    <cellStyle name="Followed Hyperlink" xfId="1113" builtinId="9" hidden="1"/>
    <cellStyle name="Followed Hyperlink" xfId="1115" builtinId="9" hidden="1"/>
    <cellStyle name="Followed Hyperlink" xfId="1117" builtinId="9" hidden="1"/>
    <cellStyle name="Followed Hyperlink" xfId="1119" builtinId="9" hidden="1"/>
    <cellStyle name="Followed Hyperlink" xfId="1121" builtinId="9" hidden="1"/>
    <cellStyle name="Followed Hyperlink" xfId="1123" builtinId="9" hidden="1"/>
    <cellStyle name="Followed Hyperlink" xfId="1125" builtinId="9" hidden="1"/>
    <cellStyle name="Followed Hyperlink" xfId="1127" builtinId="9" hidden="1"/>
    <cellStyle name="Followed Hyperlink" xfId="1129" builtinId="9" hidden="1"/>
    <cellStyle name="Followed Hyperlink" xfId="1131" builtinId="9" hidden="1"/>
    <cellStyle name="Followed Hyperlink" xfId="1133" builtinId="9" hidden="1"/>
    <cellStyle name="Followed Hyperlink" xfId="1135" builtinId="9" hidden="1"/>
    <cellStyle name="Followed Hyperlink" xfId="1137" builtinId="9" hidden="1"/>
    <cellStyle name="Followed Hyperlink" xfId="1139" builtinId="9" hidden="1"/>
    <cellStyle name="Followed Hyperlink" xfId="1141" builtinId="9" hidden="1"/>
    <cellStyle name="Followed Hyperlink" xfId="1143" builtinId="9" hidden="1"/>
    <cellStyle name="Followed Hyperlink" xfId="1145" builtinId="9" hidden="1"/>
    <cellStyle name="Followed Hyperlink" xfId="1147" builtinId="9" hidden="1"/>
    <cellStyle name="Followed Hyperlink" xfId="1149" builtinId="9" hidden="1"/>
    <cellStyle name="Followed Hyperlink" xfId="1151" builtinId="9" hidden="1"/>
    <cellStyle name="Followed Hyperlink" xfId="1153" builtinId="9" hidden="1"/>
    <cellStyle name="Followed Hyperlink" xfId="1155" builtinId="9" hidden="1"/>
    <cellStyle name="Followed Hyperlink" xfId="1157" builtinId="9" hidden="1"/>
    <cellStyle name="Followed Hyperlink" xfId="1159" builtinId="9" hidden="1"/>
    <cellStyle name="Followed Hyperlink" xfId="1161"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Followed Hyperlink" xfId="1283" builtinId="9" hidden="1"/>
    <cellStyle name="Followed Hyperlink" xfId="1285" builtinId="9" hidden="1"/>
    <cellStyle name="Followed Hyperlink" xfId="1287" builtinId="9" hidden="1"/>
    <cellStyle name="Followed Hyperlink" xfId="1289" builtinId="9" hidden="1"/>
    <cellStyle name="Followed Hyperlink" xfId="1291" builtinId="9" hidden="1"/>
    <cellStyle name="Followed Hyperlink" xfId="1293" builtinId="9" hidden="1"/>
    <cellStyle name="Followed Hyperlink" xfId="1295" builtinId="9" hidden="1"/>
    <cellStyle name="Followed Hyperlink" xfId="1297" builtinId="9" hidden="1"/>
    <cellStyle name="Followed Hyperlink" xfId="1299" builtinId="9" hidden="1"/>
    <cellStyle name="Followed Hyperlink" xfId="1301" builtinId="9" hidden="1"/>
    <cellStyle name="Followed Hyperlink" xfId="1303" builtinId="9" hidden="1"/>
    <cellStyle name="Followed Hyperlink" xfId="1305" builtinId="9" hidden="1"/>
    <cellStyle name="Followed Hyperlink" xfId="1307" builtinId="9" hidden="1"/>
    <cellStyle name="Followed Hyperlink" xfId="1309" builtinId="9" hidden="1"/>
    <cellStyle name="Followed Hyperlink" xfId="1311" builtinId="9" hidden="1"/>
    <cellStyle name="Followed Hyperlink" xfId="1313" builtinId="9" hidden="1"/>
    <cellStyle name="Followed Hyperlink" xfId="1315" builtinId="9" hidden="1"/>
    <cellStyle name="Followed Hyperlink" xfId="1317" builtinId="9" hidden="1"/>
    <cellStyle name="Followed Hyperlink" xfId="1319" builtinId="9" hidden="1"/>
    <cellStyle name="Followed Hyperlink" xfId="1321" builtinId="9" hidden="1"/>
    <cellStyle name="Followed Hyperlink" xfId="1323" builtinId="9" hidden="1"/>
    <cellStyle name="Followed Hyperlink" xfId="1325" builtinId="9" hidden="1"/>
    <cellStyle name="Followed Hyperlink" xfId="1327" builtinId="9" hidden="1"/>
    <cellStyle name="Followed Hyperlink" xfId="1329" builtinId="9" hidden="1"/>
    <cellStyle name="Followed Hyperlink" xfId="1331" builtinId="9" hidden="1"/>
    <cellStyle name="Followed Hyperlink" xfId="1333" builtinId="9" hidden="1"/>
    <cellStyle name="Followed Hyperlink" xfId="1335" builtinId="9" hidden="1"/>
    <cellStyle name="Followed Hyperlink" xfId="1337" builtinId="9" hidden="1"/>
    <cellStyle name="Followed Hyperlink" xfId="1339" builtinId="9" hidden="1"/>
    <cellStyle name="Followed Hyperlink" xfId="1341" builtinId="9" hidden="1"/>
    <cellStyle name="Followed Hyperlink" xfId="1343" builtinId="9" hidden="1"/>
    <cellStyle name="Followed Hyperlink" xfId="1345" builtinId="9" hidden="1"/>
    <cellStyle name="Followed Hyperlink" xfId="1347" builtinId="9" hidden="1"/>
    <cellStyle name="Followed Hyperlink" xfId="1349" builtinId="9" hidden="1"/>
    <cellStyle name="Followed Hyperlink" xfId="1351" builtinId="9" hidden="1"/>
    <cellStyle name="Followed Hyperlink" xfId="1353" builtinId="9" hidden="1"/>
    <cellStyle name="Followed Hyperlink" xfId="1355" builtinId="9" hidden="1"/>
    <cellStyle name="Followed Hyperlink" xfId="1357" builtinId="9" hidden="1"/>
    <cellStyle name="Followed Hyperlink" xfId="1359" builtinId="9" hidden="1"/>
    <cellStyle name="Followed Hyperlink" xfId="1361" builtinId="9" hidden="1"/>
    <cellStyle name="Followed Hyperlink" xfId="1363" builtinId="9" hidden="1"/>
    <cellStyle name="Followed Hyperlink" xfId="1365" builtinId="9" hidden="1"/>
    <cellStyle name="Followed Hyperlink" xfId="1367" builtinId="9" hidden="1"/>
    <cellStyle name="Followed Hyperlink" xfId="1369" builtinId="9" hidden="1"/>
    <cellStyle name="Followed Hyperlink" xfId="1371" builtinId="9" hidden="1"/>
    <cellStyle name="Followed Hyperlink" xfId="1373" builtinId="9" hidden="1"/>
    <cellStyle name="Followed Hyperlink" xfId="1375" builtinId="9" hidden="1"/>
    <cellStyle name="Followed Hyperlink" xfId="1377" builtinId="9" hidden="1"/>
    <cellStyle name="Followed Hyperlink" xfId="1379" builtinId="9" hidden="1"/>
    <cellStyle name="Followed Hyperlink" xfId="1381" builtinId="9" hidden="1"/>
    <cellStyle name="Followed Hyperlink" xfId="1383" builtinId="9" hidden="1"/>
    <cellStyle name="Followed Hyperlink" xfId="1385" builtinId="9" hidden="1"/>
    <cellStyle name="Followed Hyperlink" xfId="1387" builtinId="9" hidden="1"/>
    <cellStyle name="Followed Hyperlink" xfId="1389" builtinId="9" hidden="1"/>
    <cellStyle name="Followed Hyperlink" xfId="1391" builtinId="9" hidden="1"/>
    <cellStyle name="Followed Hyperlink" xfId="1393" builtinId="9" hidden="1"/>
    <cellStyle name="Followed Hyperlink" xfId="1395" builtinId="9" hidden="1"/>
    <cellStyle name="Followed Hyperlink" xfId="1397" builtinId="9" hidden="1"/>
    <cellStyle name="Followed Hyperlink" xfId="1399" builtinId="9" hidden="1"/>
    <cellStyle name="Followed Hyperlink" xfId="1401" builtinId="9" hidden="1"/>
    <cellStyle name="Followed Hyperlink" xfId="1403" builtinId="9" hidden="1"/>
    <cellStyle name="Followed Hyperlink" xfId="1405" builtinId="9" hidden="1"/>
    <cellStyle name="Followed Hyperlink" xfId="1407" builtinId="9" hidden="1"/>
    <cellStyle name="Followed Hyperlink" xfId="1409" builtinId="9" hidden="1"/>
    <cellStyle name="Followed Hyperlink" xfId="1411" builtinId="9" hidden="1"/>
    <cellStyle name="Followed Hyperlink" xfId="1413" builtinId="9" hidden="1"/>
    <cellStyle name="Followed Hyperlink" xfId="1415" builtinId="9" hidden="1"/>
    <cellStyle name="Followed Hyperlink" xfId="1417" builtinId="9" hidden="1"/>
    <cellStyle name="Followed Hyperlink" xfId="1419" builtinId="9" hidden="1"/>
    <cellStyle name="Followed Hyperlink" xfId="1421" builtinId="9" hidden="1"/>
    <cellStyle name="Followed Hyperlink" xfId="1423" builtinId="9" hidden="1"/>
    <cellStyle name="Followed Hyperlink" xfId="1425" builtinId="9" hidden="1"/>
    <cellStyle name="Followed Hyperlink" xfId="1427" builtinId="9" hidden="1"/>
    <cellStyle name="Followed Hyperlink" xfId="1429" builtinId="9" hidden="1"/>
    <cellStyle name="Followed Hyperlink" xfId="1431" builtinId="9" hidden="1"/>
    <cellStyle name="Followed Hyperlink" xfId="1433" builtinId="9" hidden="1"/>
    <cellStyle name="Followed Hyperlink" xfId="1435" builtinId="9" hidden="1"/>
    <cellStyle name="Followed Hyperlink" xfId="1437" builtinId="9" hidden="1"/>
    <cellStyle name="Followed Hyperlink" xfId="1439" builtinId="9" hidden="1"/>
    <cellStyle name="Followed Hyperlink" xfId="1441" builtinId="9" hidden="1"/>
    <cellStyle name="Followed Hyperlink" xfId="1443" builtinId="9" hidden="1"/>
    <cellStyle name="Followed Hyperlink" xfId="1445" builtinId="9" hidden="1"/>
    <cellStyle name="Followed Hyperlink" xfId="1447" builtinId="9" hidden="1"/>
    <cellStyle name="Followed Hyperlink" xfId="1449" builtinId="9" hidden="1"/>
    <cellStyle name="Followed Hyperlink" xfId="1451" builtinId="9" hidden="1"/>
    <cellStyle name="Followed Hyperlink" xfId="1453" builtinId="9" hidden="1"/>
    <cellStyle name="Followed Hyperlink" xfId="1455" builtinId="9" hidden="1"/>
    <cellStyle name="Followed Hyperlink" xfId="1457" builtinId="9" hidden="1"/>
    <cellStyle name="Followed Hyperlink" xfId="1459" builtinId="9" hidden="1"/>
    <cellStyle name="Followed Hyperlink" xfId="1461" builtinId="9" hidden="1"/>
    <cellStyle name="Followed Hyperlink" xfId="1463" builtinId="9" hidden="1"/>
    <cellStyle name="Followed Hyperlink" xfId="1465" builtinId="9" hidden="1"/>
    <cellStyle name="Followed Hyperlink" xfId="1467" builtinId="9" hidden="1"/>
    <cellStyle name="Followed Hyperlink" xfId="1469" builtinId="9" hidden="1"/>
    <cellStyle name="Followed Hyperlink" xfId="1471" builtinId="9" hidden="1"/>
    <cellStyle name="Followed Hyperlink" xfId="1473" builtinId="9" hidden="1"/>
    <cellStyle name="Followed Hyperlink" xfId="1475" builtinId="9" hidden="1"/>
    <cellStyle name="Followed Hyperlink" xfId="1477" builtinId="9" hidden="1"/>
    <cellStyle name="Followed Hyperlink" xfId="1479" builtinId="9" hidden="1"/>
    <cellStyle name="Followed Hyperlink" xfId="1481" builtinId="9" hidden="1"/>
    <cellStyle name="Followed Hyperlink" xfId="1483" builtinId="9" hidden="1"/>
    <cellStyle name="Followed Hyperlink" xfId="1485" builtinId="9" hidden="1"/>
    <cellStyle name="Followed Hyperlink" xfId="1487" builtinId="9" hidden="1"/>
    <cellStyle name="Followed Hyperlink" xfId="1489" builtinId="9" hidden="1"/>
    <cellStyle name="Followed Hyperlink" xfId="1491" builtinId="9" hidden="1"/>
    <cellStyle name="Followed Hyperlink" xfId="1493" builtinId="9" hidden="1"/>
    <cellStyle name="Followed Hyperlink" xfId="1495"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1" builtinId="9" hidden="1"/>
    <cellStyle name="Followed Hyperlink" xfId="1613" builtinId="9" hidden="1"/>
    <cellStyle name="Followed Hyperlink" xfId="1615" builtinId="9" hidden="1"/>
    <cellStyle name="Followed Hyperlink" xfId="1617" builtinId="9" hidden="1"/>
    <cellStyle name="Followed Hyperlink" xfId="1619" builtinId="9" hidden="1"/>
    <cellStyle name="Followed Hyperlink" xfId="1621" builtinId="9" hidden="1"/>
    <cellStyle name="Followed Hyperlink" xfId="1623" builtinId="9" hidden="1"/>
    <cellStyle name="Followed Hyperlink" xfId="1625" builtinId="9" hidden="1"/>
    <cellStyle name="Followed Hyperlink" xfId="1627" builtinId="9" hidden="1"/>
    <cellStyle name="Followed Hyperlink" xfId="1629" builtinId="9" hidden="1"/>
    <cellStyle name="Followed Hyperlink" xfId="1631" builtinId="9" hidden="1"/>
    <cellStyle name="Followed Hyperlink" xfId="1633" builtinId="9" hidden="1"/>
    <cellStyle name="Followed Hyperlink" xfId="1635" builtinId="9" hidden="1"/>
    <cellStyle name="Followed Hyperlink" xfId="1637" builtinId="9" hidden="1"/>
    <cellStyle name="Followed Hyperlink" xfId="1639" builtinId="9" hidden="1"/>
    <cellStyle name="Followed Hyperlink" xfId="1641" builtinId="9" hidden="1"/>
    <cellStyle name="Followed Hyperlink" xfId="1643" builtinId="9" hidden="1"/>
    <cellStyle name="Followed Hyperlink" xfId="1645" builtinId="9" hidden="1"/>
    <cellStyle name="Followed Hyperlink" xfId="1647" builtinId="9" hidden="1"/>
    <cellStyle name="Followed Hyperlink" xfId="1649" builtinId="9" hidden="1"/>
    <cellStyle name="Followed Hyperlink" xfId="1651" builtinId="9" hidden="1"/>
    <cellStyle name="Followed Hyperlink" xfId="1653" builtinId="9" hidden="1"/>
    <cellStyle name="Followed Hyperlink" xfId="1655" builtinId="9" hidden="1"/>
    <cellStyle name="Followed Hyperlink" xfId="1657" builtinId="9" hidden="1"/>
    <cellStyle name="Followed Hyperlink" xfId="1659" builtinId="9" hidden="1"/>
    <cellStyle name="Followed Hyperlink" xfId="1661" builtinId="9" hidden="1"/>
    <cellStyle name="Followed Hyperlink" xfId="1663" builtinId="9" hidden="1"/>
    <cellStyle name="Followed Hyperlink" xfId="1665" builtinId="9" hidden="1"/>
    <cellStyle name="Followed Hyperlink" xfId="1667" builtinId="9" hidden="1"/>
    <cellStyle name="Followed Hyperlink" xfId="1669" builtinId="9" hidden="1"/>
    <cellStyle name="Followed Hyperlink" xfId="1671" builtinId="9" hidden="1"/>
    <cellStyle name="Followed Hyperlink" xfId="1673" builtinId="9" hidden="1"/>
    <cellStyle name="Followed Hyperlink" xfId="1675" builtinId="9" hidden="1"/>
    <cellStyle name="Followed Hyperlink" xfId="1677" builtinId="9" hidden="1"/>
    <cellStyle name="Followed Hyperlink" xfId="1679" builtinId="9" hidden="1"/>
    <cellStyle name="Followed Hyperlink" xfId="1681" builtinId="9" hidden="1"/>
    <cellStyle name="Followed Hyperlink" xfId="1683" builtinId="9" hidden="1"/>
    <cellStyle name="Followed Hyperlink" xfId="1685" builtinId="9" hidden="1"/>
    <cellStyle name="Followed Hyperlink" xfId="1687" builtinId="9" hidden="1"/>
    <cellStyle name="Followed Hyperlink" xfId="1689" builtinId="9" hidden="1"/>
    <cellStyle name="Followed Hyperlink" xfId="1691" builtinId="9" hidden="1"/>
    <cellStyle name="Followed Hyperlink" xfId="1693" builtinId="9" hidden="1"/>
    <cellStyle name="Followed Hyperlink" xfId="1695" builtinId="9" hidden="1"/>
    <cellStyle name="Followed Hyperlink" xfId="1697" builtinId="9" hidden="1"/>
    <cellStyle name="Followed Hyperlink" xfId="1699" builtinId="9" hidden="1"/>
    <cellStyle name="Followed Hyperlink" xfId="1701" builtinId="9" hidden="1"/>
    <cellStyle name="Followed Hyperlink" xfId="1703" builtinId="9" hidden="1"/>
    <cellStyle name="Followed Hyperlink" xfId="1705" builtinId="9" hidden="1"/>
    <cellStyle name="Followed Hyperlink" xfId="1707" builtinId="9" hidden="1"/>
    <cellStyle name="Followed Hyperlink" xfId="1709" builtinId="9" hidden="1"/>
    <cellStyle name="Followed Hyperlink" xfId="1711" builtinId="9" hidden="1"/>
    <cellStyle name="Followed Hyperlink" xfId="1713" builtinId="9" hidden="1"/>
    <cellStyle name="Followed Hyperlink" xfId="1715" builtinId="9" hidden="1"/>
    <cellStyle name="Followed Hyperlink" xfId="1717" builtinId="9" hidden="1"/>
    <cellStyle name="Followed Hyperlink" xfId="1719" builtinId="9" hidden="1"/>
    <cellStyle name="Followed Hyperlink" xfId="1721" builtinId="9" hidden="1"/>
    <cellStyle name="Followed Hyperlink" xfId="1723" builtinId="9" hidden="1"/>
    <cellStyle name="Followed Hyperlink" xfId="1725" builtinId="9" hidden="1"/>
    <cellStyle name="Followed Hyperlink" xfId="1727" builtinId="9" hidden="1"/>
    <cellStyle name="Followed Hyperlink" xfId="1729" builtinId="9" hidden="1"/>
    <cellStyle name="Followed Hyperlink" xfId="1731" builtinId="9" hidden="1"/>
    <cellStyle name="Followed Hyperlink" xfId="1733" builtinId="9" hidden="1"/>
    <cellStyle name="Followed Hyperlink" xfId="1735" builtinId="9" hidden="1"/>
    <cellStyle name="Followed Hyperlink" xfId="1737" builtinId="9" hidden="1"/>
    <cellStyle name="Followed Hyperlink" xfId="1739" builtinId="9" hidden="1"/>
    <cellStyle name="Followed Hyperlink" xfId="1741" builtinId="9" hidden="1"/>
    <cellStyle name="Followed Hyperlink" xfId="1743" builtinId="9" hidden="1"/>
    <cellStyle name="Followed Hyperlink" xfId="1745" builtinId="9" hidden="1"/>
    <cellStyle name="Followed Hyperlink" xfId="1747" builtinId="9" hidden="1"/>
    <cellStyle name="Followed Hyperlink" xfId="1749" builtinId="9" hidden="1"/>
    <cellStyle name="Followed Hyperlink" xfId="1751" builtinId="9" hidden="1"/>
    <cellStyle name="Followed Hyperlink" xfId="1753" builtinId="9" hidden="1"/>
    <cellStyle name="Followed Hyperlink" xfId="1755" builtinId="9" hidden="1"/>
    <cellStyle name="Followed Hyperlink" xfId="1757" builtinId="9" hidden="1"/>
    <cellStyle name="Followed Hyperlink" xfId="1759" builtinId="9" hidden="1"/>
    <cellStyle name="Followed Hyperlink" xfId="1761" builtinId="9" hidden="1"/>
    <cellStyle name="Followed Hyperlink" xfId="1763" builtinId="9" hidden="1"/>
    <cellStyle name="Followed Hyperlink" xfId="1765" builtinId="9" hidden="1"/>
    <cellStyle name="Followed Hyperlink" xfId="1767" builtinId="9" hidden="1"/>
    <cellStyle name="Followed Hyperlink" xfId="1769" builtinId="9" hidden="1"/>
    <cellStyle name="Followed Hyperlink" xfId="1771" builtinId="9" hidden="1"/>
    <cellStyle name="Followed Hyperlink" xfId="1773" builtinId="9" hidden="1"/>
    <cellStyle name="Followed Hyperlink" xfId="1775" builtinId="9" hidden="1"/>
    <cellStyle name="Followed Hyperlink" xfId="1777" builtinId="9" hidden="1"/>
    <cellStyle name="Followed Hyperlink" xfId="1779" builtinId="9" hidden="1"/>
    <cellStyle name="Followed Hyperlink" xfId="1781" builtinId="9" hidden="1"/>
    <cellStyle name="Followed Hyperlink" xfId="1783" builtinId="9" hidden="1"/>
    <cellStyle name="Followed Hyperlink" xfId="1785" builtinId="9" hidden="1"/>
    <cellStyle name="Followed Hyperlink" xfId="1787" builtinId="9" hidden="1"/>
    <cellStyle name="Followed Hyperlink" xfId="1789" builtinId="9" hidden="1"/>
    <cellStyle name="Followed Hyperlink" xfId="1791" builtinId="9" hidden="1"/>
    <cellStyle name="Followed Hyperlink" xfId="1793" builtinId="9" hidden="1"/>
    <cellStyle name="Followed Hyperlink" xfId="1795" builtinId="9" hidden="1"/>
    <cellStyle name="Followed Hyperlink" xfId="1797" builtinId="9" hidden="1"/>
    <cellStyle name="Followed Hyperlink" xfId="1799" builtinId="9" hidden="1"/>
    <cellStyle name="Followed Hyperlink" xfId="1801" builtinId="9" hidden="1"/>
    <cellStyle name="Followed Hyperlink" xfId="1803" builtinId="9" hidden="1"/>
    <cellStyle name="Followed Hyperlink" xfId="1805" builtinId="9" hidden="1"/>
    <cellStyle name="Followed Hyperlink" xfId="1807" builtinId="9" hidden="1"/>
    <cellStyle name="Followed Hyperlink" xfId="1809" builtinId="9" hidden="1"/>
    <cellStyle name="Followed Hyperlink" xfId="1811" builtinId="9" hidden="1"/>
    <cellStyle name="Followed Hyperlink" xfId="1813" builtinId="9" hidden="1"/>
    <cellStyle name="Followed Hyperlink" xfId="1815" builtinId="9" hidden="1"/>
    <cellStyle name="Followed Hyperlink" xfId="1817" builtinId="9" hidden="1"/>
    <cellStyle name="Followed Hyperlink" xfId="1819" builtinId="9" hidden="1"/>
    <cellStyle name="Followed Hyperlink" xfId="1821" builtinId="9" hidden="1"/>
    <cellStyle name="Followed Hyperlink" xfId="1823" builtinId="9" hidden="1"/>
    <cellStyle name="Followed Hyperlink" xfId="1825" builtinId="9" hidden="1"/>
    <cellStyle name="Followed Hyperlink" xfId="1827" builtinId="9" hidden="1"/>
    <cellStyle name="Followed Hyperlink" xfId="1829" builtinId="9" hidden="1"/>
    <cellStyle name="Followed Hyperlink" xfId="1831" builtinId="9" hidden="1"/>
    <cellStyle name="Followed Hyperlink" xfId="1833" builtinId="9" hidden="1"/>
    <cellStyle name="Followed Hyperlink" xfId="1835" builtinId="9" hidden="1"/>
    <cellStyle name="Followed Hyperlink" xfId="1837" builtinId="9" hidden="1"/>
    <cellStyle name="Followed Hyperlink" xfId="1839" builtinId="9" hidden="1"/>
    <cellStyle name="Followed Hyperlink" xfId="1841" builtinId="9" hidden="1"/>
    <cellStyle name="Followed Hyperlink" xfId="1843" builtinId="9" hidden="1"/>
    <cellStyle name="Followed Hyperlink" xfId="1845" builtinId="9" hidden="1"/>
    <cellStyle name="Followed Hyperlink" xfId="1847" builtinId="9" hidden="1"/>
    <cellStyle name="Followed Hyperlink" xfId="1849" builtinId="9" hidden="1"/>
    <cellStyle name="Followed Hyperlink" xfId="1851" builtinId="9" hidden="1"/>
    <cellStyle name="Followed Hyperlink" xfId="1853" builtinId="9" hidden="1"/>
    <cellStyle name="Followed Hyperlink" xfId="1855" builtinId="9" hidden="1"/>
    <cellStyle name="Followed Hyperlink" xfId="1857" builtinId="9" hidden="1"/>
    <cellStyle name="Followed Hyperlink" xfId="1859" builtinId="9" hidden="1"/>
    <cellStyle name="Followed Hyperlink" xfId="1861" builtinId="9" hidden="1"/>
    <cellStyle name="Followed Hyperlink" xfId="1863" builtinId="9" hidden="1"/>
    <cellStyle name="Followed Hyperlink" xfId="1865" builtinId="9" hidden="1"/>
    <cellStyle name="Followed Hyperlink" xfId="1867" builtinId="9" hidden="1"/>
    <cellStyle name="Followed Hyperlink" xfId="1869" builtinId="9" hidden="1"/>
    <cellStyle name="Followed Hyperlink" xfId="1871" builtinId="9" hidden="1"/>
    <cellStyle name="Followed Hyperlink" xfId="1873" builtinId="9" hidden="1"/>
    <cellStyle name="Followed Hyperlink" xfId="1875" builtinId="9" hidden="1"/>
    <cellStyle name="Followed Hyperlink" xfId="1877" builtinId="9" hidden="1"/>
    <cellStyle name="Followed Hyperlink" xfId="1879" builtinId="9" hidden="1"/>
    <cellStyle name="Followed Hyperlink" xfId="1881" builtinId="9" hidden="1"/>
    <cellStyle name="Followed Hyperlink" xfId="1883" builtinId="9" hidden="1"/>
    <cellStyle name="Followed Hyperlink" xfId="1885" builtinId="9" hidden="1"/>
    <cellStyle name="Followed Hyperlink" xfId="1887" builtinId="9" hidden="1"/>
    <cellStyle name="Followed Hyperlink" xfId="1889" builtinId="9" hidden="1"/>
    <cellStyle name="Followed Hyperlink" xfId="1891" builtinId="9" hidden="1"/>
    <cellStyle name="Followed Hyperlink" xfId="1893" builtinId="9" hidden="1"/>
    <cellStyle name="Followed Hyperlink" xfId="1895" builtinId="9" hidden="1"/>
    <cellStyle name="Followed Hyperlink" xfId="1897" builtinId="9" hidden="1"/>
    <cellStyle name="Followed Hyperlink" xfId="1899" builtinId="9" hidden="1"/>
    <cellStyle name="Followed Hyperlink" xfId="1901" builtinId="9" hidden="1"/>
    <cellStyle name="Followed Hyperlink" xfId="1903" builtinId="9" hidden="1"/>
    <cellStyle name="Followed Hyperlink" xfId="1905" builtinId="9" hidden="1"/>
    <cellStyle name="Followed Hyperlink" xfId="1907"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9" builtinId="9" hidden="1"/>
    <cellStyle name="Followed Hyperlink" xfId="2731" builtinId="9" hidden="1"/>
    <cellStyle name="Followed Hyperlink" xfId="2733" builtinId="9" hidden="1"/>
    <cellStyle name="Followed Hyperlink" xfId="2735" builtinId="9" hidden="1"/>
    <cellStyle name="Followed Hyperlink" xfId="2737" builtinId="9" hidden="1"/>
    <cellStyle name="Followed Hyperlink" xfId="2739" builtinId="9" hidden="1"/>
    <cellStyle name="Followed Hyperlink" xfId="2741" builtinId="9" hidden="1"/>
    <cellStyle name="Followed Hyperlink" xfId="2743" builtinId="9" hidden="1"/>
    <cellStyle name="Followed Hyperlink" xfId="2745" builtinId="9" hidden="1"/>
    <cellStyle name="Followed Hyperlink" xfId="2747" builtinId="9" hidden="1"/>
    <cellStyle name="Followed Hyperlink" xfId="2749" builtinId="9" hidden="1"/>
    <cellStyle name="Followed Hyperlink" xfId="2751" builtinId="9" hidden="1"/>
    <cellStyle name="Followed Hyperlink" xfId="2753" builtinId="9" hidden="1"/>
    <cellStyle name="Followed Hyperlink" xfId="2755" builtinId="9" hidden="1"/>
    <cellStyle name="Followed Hyperlink" xfId="2757" builtinId="9" hidden="1"/>
    <cellStyle name="Followed Hyperlink" xfId="2759" builtinId="9" hidden="1"/>
    <cellStyle name="Followed Hyperlink" xfId="2761" builtinId="9" hidden="1"/>
    <cellStyle name="Followed Hyperlink" xfId="2763" builtinId="9" hidden="1"/>
    <cellStyle name="Followed Hyperlink" xfId="2765" builtinId="9" hidden="1"/>
    <cellStyle name="Followed Hyperlink" xfId="2767" builtinId="9" hidden="1"/>
    <cellStyle name="Followed Hyperlink" xfId="2769" builtinId="9" hidden="1"/>
    <cellStyle name="Followed Hyperlink" xfId="2771" builtinId="9" hidden="1"/>
    <cellStyle name="Followed Hyperlink" xfId="2773" builtinId="9" hidden="1"/>
    <cellStyle name="Followed Hyperlink" xfId="2775" builtinId="9" hidden="1"/>
    <cellStyle name="Followed Hyperlink" xfId="2777" builtinId="9" hidden="1"/>
    <cellStyle name="Followed Hyperlink" xfId="2779" builtinId="9" hidden="1"/>
    <cellStyle name="Followed Hyperlink" xfId="2781" builtinId="9" hidden="1"/>
    <cellStyle name="Followed Hyperlink" xfId="2783" builtinId="9" hidden="1"/>
    <cellStyle name="Followed Hyperlink" xfId="2785" builtinId="9" hidden="1"/>
    <cellStyle name="Followed Hyperlink" xfId="2787" builtinId="9" hidden="1"/>
    <cellStyle name="Followed Hyperlink" xfId="2789" builtinId="9" hidden="1"/>
    <cellStyle name="Followed Hyperlink" xfId="2791" builtinId="9" hidden="1"/>
    <cellStyle name="Followed Hyperlink" xfId="2793" builtinId="9" hidden="1"/>
    <cellStyle name="Followed Hyperlink" xfId="2795" builtinId="9" hidden="1"/>
    <cellStyle name="Followed Hyperlink" xfId="2797" builtinId="9" hidden="1"/>
    <cellStyle name="Followed Hyperlink" xfId="2799" builtinId="9" hidden="1"/>
    <cellStyle name="Followed Hyperlink" xfId="2801" builtinId="9" hidden="1"/>
    <cellStyle name="Followed Hyperlink" xfId="2803" builtinId="9" hidden="1"/>
    <cellStyle name="Followed Hyperlink" xfId="2805" builtinId="9" hidden="1"/>
    <cellStyle name="Followed Hyperlink" xfId="2807" builtinId="9" hidden="1"/>
    <cellStyle name="Followed Hyperlink" xfId="2809" builtinId="9" hidden="1"/>
    <cellStyle name="Followed Hyperlink" xfId="2811" builtinId="9" hidden="1"/>
    <cellStyle name="Followed Hyperlink" xfId="2813" builtinId="9" hidden="1"/>
    <cellStyle name="Followed Hyperlink" xfId="2815" builtinId="9" hidden="1"/>
    <cellStyle name="Followed Hyperlink" xfId="2817" builtinId="9" hidden="1"/>
    <cellStyle name="Followed Hyperlink" xfId="2819" builtinId="9" hidden="1"/>
    <cellStyle name="Followed Hyperlink" xfId="2821" builtinId="9" hidden="1"/>
    <cellStyle name="Followed Hyperlink" xfId="2823" builtinId="9" hidden="1"/>
    <cellStyle name="Followed Hyperlink" xfId="2825" builtinId="9" hidden="1"/>
    <cellStyle name="Followed Hyperlink" xfId="2827" builtinId="9" hidden="1"/>
    <cellStyle name="Followed Hyperlink" xfId="2829" builtinId="9" hidden="1"/>
    <cellStyle name="Followed Hyperlink" xfId="2831" builtinId="9" hidden="1"/>
    <cellStyle name="Followed Hyperlink" xfId="2833" builtinId="9" hidden="1"/>
    <cellStyle name="Followed Hyperlink" xfId="2835" builtinId="9" hidden="1"/>
    <cellStyle name="Followed Hyperlink" xfId="2837" builtinId="9" hidden="1"/>
    <cellStyle name="Followed Hyperlink" xfId="2839" builtinId="9" hidden="1"/>
    <cellStyle name="Followed Hyperlink" xfId="2841" builtinId="9" hidden="1"/>
    <cellStyle name="Followed Hyperlink" xfId="2843" builtinId="9" hidden="1"/>
    <cellStyle name="Followed Hyperlink" xfId="2845" builtinId="9" hidden="1"/>
    <cellStyle name="Followed Hyperlink" xfId="2847" builtinId="9" hidden="1"/>
    <cellStyle name="Followed Hyperlink" xfId="2849" builtinId="9" hidden="1"/>
    <cellStyle name="Followed Hyperlink" xfId="2851" builtinId="9" hidden="1"/>
    <cellStyle name="Followed Hyperlink" xfId="2853" builtinId="9" hidden="1"/>
    <cellStyle name="Followed Hyperlink" xfId="2855" builtinId="9" hidden="1"/>
    <cellStyle name="Followed Hyperlink" xfId="2857" builtinId="9" hidden="1"/>
    <cellStyle name="Followed Hyperlink" xfId="2859" builtinId="9" hidden="1"/>
    <cellStyle name="Followed Hyperlink" xfId="2861" builtinId="9" hidden="1"/>
    <cellStyle name="Followed Hyperlink" xfId="2863" builtinId="9" hidden="1"/>
    <cellStyle name="Followed Hyperlink" xfId="2865" builtinId="9" hidden="1"/>
    <cellStyle name="Followed Hyperlink" xfId="2867" builtinId="9" hidden="1"/>
    <cellStyle name="Followed Hyperlink" xfId="2869"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79" builtinId="9" hidden="1"/>
    <cellStyle name="Followed Hyperlink" xfId="3181" builtinId="9" hidden="1"/>
    <cellStyle name="Followed Hyperlink" xfId="3183" builtinId="9" hidden="1"/>
    <cellStyle name="Followed Hyperlink" xfId="3185" builtinId="9" hidden="1"/>
    <cellStyle name="Followed Hyperlink" xfId="3187" builtinId="9" hidden="1"/>
    <cellStyle name="Followed Hyperlink" xfId="3189" builtinId="9" hidden="1"/>
    <cellStyle name="Followed Hyperlink" xfId="3191" builtinId="9" hidden="1"/>
    <cellStyle name="Followed Hyperlink" xfId="3193" builtinId="9" hidden="1"/>
    <cellStyle name="Followed Hyperlink" xfId="3195" builtinId="9" hidden="1"/>
    <cellStyle name="Followed Hyperlink" xfId="3197" builtinId="9" hidden="1"/>
    <cellStyle name="Followed Hyperlink" xfId="3199" builtinId="9" hidden="1"/>
    <cellStyle name="Followed Hyperlink" xfId="3201" builtinId="9" hidden="1"/>
    <cellStyle name="Followed Hyperlink" xfId="3203" builtinId="9" hidden="1"/>
    <cellStyle name="Followed Hyperlink" xfId="3205" builtinId="9" hidden="1"/>
    <cellStyle name="Followed Hyperlink" xfId="3207" builtinId="9" hidden="1"/>
    <cellStyle name="Followed Hyperlink" xfId="3209" builtinId="9" hidden="1"/>
    <cellStyle name="Followed Hyperlink" xfId="3211" builtinId="9" hidden="1"/>
    <cellStyle name="Followed Hyperlink" xfId="3213" builtinId="9" hidden="1"/>
    <cellStyle name="Followed Hyperlink" xfId="3215" builtinId="9" hidden="1"/>
    <cellStyle name="Followed Hyperlink" xfId="3217" builtinId="9" hidden="1"/>
    <cellStyle name="Followed Hyperlink" xfId="3219" builtinId="9" hidden="1"/>
    <cellStyle name="Followed Hyperlink" xfId="3221" builtinId="9" hidden="1"/>
    <cellStyle name="Followed Hyperlink" xfId="3223" builtinId="9" hidden="1"/>
    <cellStyle name="Followed Hyperlink" xfId="3225" builtinId="9" hidden="1"/>
    <cellStyle name="Followed Hyperlink" xfId="3227" builtinId="9" hidden="1"/>
    <cellStyle name="Followed Hyperlink" xfId="3229" builtinId="9" hidden="1"/>
    <cellStyle name="Followed Hyperlink" xfId="3231" builtinId="9" hidden="1"/>
    <cellStyle name="Followed Hyperlink" xfId="3233" builtinId="9" hidden="1"/>
    <cellStyle name="Followed Hyperlink" xfId="3235" builtinId="9" hidden="1"/>
    <cellStyle name="Followed Hyperlink" xfId="3237" builtinId="9" hidden="1"/>
    <cellStyle name="Followed Hyperlink" xfId="3239" builtinId="9" hidden="1"/>
    <cellStyle name="Followed Hyperlink" xfId="3241" builtinId="9" hidden="1"/>
    <cellStyle name="Followed Hyperlink" xfId="3243" builtinId="9" hidden="1"/>
    <cellStyle name="Followed Hyperlink" xfId="3245" builtinId="9" hidden="1"/>
    <cellStyle name="Followed Hyperlink" xfId="3247" builtinId="9" hidden="1"/>
    <cellStyle name="Followed Hyperlink" xfId="3249" builtinId="9" hidden="1"/>
    <cellStyle name="Followed Hyperlink" xfId="3251" builtinId="9" hidden="1"/>
    <cellStyle name="Followed Hyperlink" xfId="3253" builtinId="9" hidden="1"/>
    <cellStyle name="Followed Hyperlink" xfId="3255" builtinId="9" hidden="1"/>
    <cellStyle name="Followed Hyperlink" xfId="3257" builtinId="9" hidden="1"/>
    <cellStyle name="Followed Hyperlink" xfId="3259" builtinId="9" hidden="1"/>
    <cellStyle name="Followed Hyperlink" xfId="3261" builtinId="9" hidden="1"/>
    <cellStyle name="Followed Hyperlink" xfId="3263" builtinId="9" hidden="1"/>
    <cellStyle name="Followed Hyperlink" xfId="3265" builtinId="9" hidden="1"/>
    <cellStyle name="Followed Hyperlink" xfId="3267" builtinId="9" hidden="1"/>
    <cellStyle name="Followed Hyperlink" xfId="3269" builtinId="9" hidden="1"/>
    <cellStyle name="Followed Hyperlink" xfId="3271" builtinId="9" hidden="1"/>
    <cellStyle name="Followed Hyperlink" xfId="3273" builtinId="9" hidden="1"/>
    <cellStyle name="Followed Hyperlink" xfId="3275" builtinId="9" hidden="1"/>
    <cellStyle name="Followed Hyperlink" xfId="3277" builtinId="9" hidden="1"/>
    <cellStyle name="Followed Hyperlink" xfId="3279" builtinId="9" hidden="1"/>
    <cellStyle name="Followed Hyperlink" xfId="3281" builtinId="9" hidden="1"/>
    <cellStyle name="Followed Hyperlink" xfId="3283" builtinId="9" hidden="1"/>
    <cellStyle name="Followed Hyperlink" xfId="3285" builtinId="9" hidden="1"/>
    <cellStyle name="Followed Hyperlink" xfId="3287" builtinId="9" hidden="1"/>
    <cellStyle name="Followed Hyperlink" xfId="3289" builtinId="9" hidden="1"/>
    <cellStyle name="Followed Hyperlink" xfId="3291" builtinId="9" hidden="1"/>
    <cellStyle name="Followed Hyperlink" xfId="3293" builtinId="9" hidden="1"/>
    <cellStyle name="Followed Hyperlink" xfId="3295" builtinId="9" hidden="1"/>
    <cellStyle name="Followed Hyperlink" xfId="3297" builtinId="9" hidden="1"/>
    <cellStyle name="Followed Hyperlink" xfId="3299" builtinId="9" hidden="1"/>
    <cellStyle name="Followed Hyperlink" xfId="3301" builtinId="9" hidden="1"/>
    <cellStyle name="Followed Hyperlink" xfId="3303" builtinId="9" hidden="1"/>
    <cellStyle name="Followed Hyperlink" xfId="3305" builtinId="9" hidden="1"/>
    <cellStyle name="Followed Hyperlink" xfId="3307" builtinId="9" hidden="1"/>
    <cellStyle name="Followed Hyperlink" xfId="3309" builtinId="9" hidden="1"/>
    <cellStyle name="Followed Hyperlink" xfId="3311" builtinId="9" hidden="1"/>
    <cellStyle name="Followed Hyperlink" xfId="3313" builtinId="9" hidden="1"/>
    <cellStyle name="Followed Hyperlink" xfId="3315" builtinId="9" hidden="1"/>
    <cellStyle name="Followed Hyperlink" xfId="3317" builtinId="9" hidden="1"/>
    <cellStyle name="Followed Hyperlink" xfId="3319" builtinId="9" hidden="1"/>
    <cellStyle name="Followed Hyperlink" xfId="3321" builtinId="9" hidden="1"/>
    <cellStyle name="Followed Hyperlink" xfId="3323" builtinId="9" hidden="1"/>
    <cellStyle name="Followed Hyperlink" xfId="3325" builtinId="9" hidden="1"/>
    <cellStyle name="Followed Hyperlink" xfId="3327" builtinId="9" hidden="1"/>
    <cellStyle name="Followed Hyperlink" xfId="3329" builtinId="9" hidden="1"/>
    <cellStyle name="Followed Hyperlink" xfId="3331" builtinId="9" hidden="1"/>
    <cellStyle name="Followed Hyperlink" xfId="3333" builtinId="9" hidden="1"/>
    <cellStyle name="Followed Hyperlink" xfId="3335" builtinId="9" hidden="1"/>
    <cellStyle name="Followed Hyperlink" xfId="3337" builtinId="9" hidden="1"/>
    <cellStyle name="Followed Hyperlink" xfId="3339" builtinId="9" hidden="1"/>
    <cellStyle name="Followed Hyperlink" xfId="3341" builtinId="9" hidden="1"/>
    <cellStyle name="Followed Hyperlink" xfId="3343" builtinId="9" hidden="1"/>
    <cellStyle name="Followed Hyperlink" xfId="3345" builtinId="9" hidden="1"/>
    <cellStyle name="Followed Hyperlink" xfId="3347" builtinId="9" hidden="1"/>
    <cellStyle name="Followed Hyperlink" xfId="3349" builtinId="9" hidden="1"/>
    <cellStyle name="Followed Hyperlink" xfId="3351" builtinId="9" hidden="1"/>
    <cellStyle name="Followed Hyperlink" xfId="3353" builtinId="9" hidden="1"/>
    <cellStyle name="Followed Hyperlink" xfId="3355" builtinId="9" hidden="1"/>
    <cellStyle name="Followed Hyperlink" xfId="3357" builtinId="9" hidden="1"/>
    <cellStyle name="Followed Hyperlink" xfId="3359" builtinId="9" hidden="1"/>
    <cellStyle name="Followed Hyperlink" xfId="3361" builtinId="9" hidden="1"/>
    <cellStyle name="Followed Hyperlink" xfId="3363" builtinId="9" hidden="1"/>
    <cellStyle name="Followed Hyperlink" xfId="3365" builtinId="9" hidden="1"/>
    <cellStyle name="Followed Hyperlink" xfId="3367" builtinId="9" hidden="1"/>
    <cellStyle name="Followed Hyperlink" xfId="3369" builtinId="9" hidden="1"/>
    <cellStyle name="Followed Hyperlink" xfId="3371" builtinId="9" hidden="1"/>
    <cellStyle name="Followed Hyperlink" xfId="3373" builtinId="9" hidden="1"/>
    <cellStyle name="Followed Hyperlink" xfId="3375" builtinId="9" hidden="1"/>
    <cellStyle name="Followed Hyperlink" xfId="3377" builtinId="9" hidden="1"/>
    <cellStyle name="Followed Hyperlink" xfId="3379" builtinId="9" hidden="1"/>
    <cellStyle name="Followed Hyperlink" xfId="3381" builtinId="9" hidden="1"/>
    <cellStyle name="Followed Hyperlink" xfId="3383" builtinId="9" hidden="1"/>
    <cellStyle name="Followed Hyperlink" xfId="3385" builtinId="9" hidden="1"/>
    <cellStyle name="Followed Hyperlink" xfId="3387" builtinId="9" hidden="1"/>
    <cellStyle name="Followed Hyperlink" xfId="3389" builtinId="9" hidden="1"/>
    <cellStyle name="Followed Hyperlink" xfId="3391" builtinId="9" hidden="1"/>
    <cellStyle name="Followed Hyperlink" xfId="3393" builtinId="9" hidden="1"/>
    <cellStyle name="Followed Hyperlink" xfId="3395" builtinId="9" hidden="1"/>
    <cellStyle name="Followed Hyperlink" xfId="3397" builtinId="9" hidden="1"/>
    <cellStyle name="Followed Hyperlink" xfId="3399" builtinId="9" hidden="1"/>
    <cellStyle name="Followed Hyperlink" xfId="3401" builtinId="9" hidden="1"/>
    <cellStyle name="Followed Hyperlink" xfId="3403" builtinId="9" hidden="1"/>
    <cellStyle name="Followed Hyperlink" xfId="3405" builtinId="9" hidden="1"/>
    <cellStyle name="Followed Hyperlink" xfId="3407" builtinId="9" hidden="1"/>
    <cellStyle name="Followed Hyperlink" xfId="3409" builtinId="9" hidden="1"/>
    <cellStyle name="Followed Hyperlink" xfId="3411" builtinId="9" hidden="1"/>
    <cellStyle name="Followed Hyperlink" xfId="3413" builtinId="9" hidden="1"/>
    <cellStyle name="Followed Hyperlink" xfId="3415" builtinId="9" hidden="1"/>
    <cellStyle name="Followed Hyperlink" xfId="3417" builtinId="9" hidden="1"/>
    <cellStyle name="Followed Hyperlink" xfId="3419" builtinId="9" hidden="1"/>
    <cellStyle name="Followed Hyperlink" xfId="3421" builtinId="9" hidden="1"/>
    <cellStyle name="Followed Hyperlink" xfId="3423" builtinId="9" hidden="1"/>
    <cellStyle name="Followed Hyperlink" xfId="3425" builtinId="9" hidden="1"/>
    <cellStyle name="Followed Hyperlink" xfId="3427" builtinId="9" hidden="1"/>
    <cellStyle name="Followed Hyperlink" xfId="3429" builtinId="9" hidden="1"/>
    <cellStyle name="Followed Hyperlink" xfId="3431" builtinId="9" hidden="1"/>
    <cellStyle name="Followed Hyperlink" xfId="3433" builtinId="9" hidden="1"/>
    <cellStyle name="Followed Hyperlink" xfId="3435" builtinId="9" hidden="1"/>
    <cellStyle name="Followed Hyperlink" xfId="3437" builtinId="9" hidden="1"/>
    <cellStyle name="Followed Hyperlink" xfId="3439" builtinId="9" hidden="1"/>
    <cellStyle name="Followed Hyperlink" xfId="3441" builtinId="9" hidden="1"/>
    <cellStyle name="Followed Hyperlink" xfId="3443" builtinId="9" hidden="1"/>
    <cellStyle name="Followed Hyperlink" xfId="3445" builtinId="9" hidden="1"/>
    <cellStyle name="Followed Hyperlink" xfId="3447" builtinId="9" hidden="1"/>
    <cellStyle name="Followed Hyperlink" xfId="3449" builtinId="9" hidden="1"/>
    <cellStyle name="Followed Hyperlink" xfId="3451" builtinId="9" hidden="1"/>
    <cellStyle name="Followed Hyperlink" xfId="3453" builtinId="9" hidden="1"/>
    <cellStyle name="Followed Hyperlink" xfId="3455" builtinId="9" hidden="1"/>
    <cellStyle name="Followed Hyperlink" xfId="3457" builtinId="9" hidden="1"/>
    <cellStyle name="Followed Hyperlink" xfId="3459" builtinId="9" hidden="1"/>
    <cellStyle name="Followed Hyperlink" xfId="3461" builtinId="9" hidden="1"/>
    <cellStyle name="Followed Hyperlink" xfId="3463" builtinId="9" hidden="1"/>
    <cellStyle name="Followed Hyperlink" xfId="3465" builtinId="9" hidden="1"/>
    <cellStyle name="Followed Hyperlink" xfId="3467" builtinId="9" hidden="1"/>
    <cellStyle name="Followed Hyperlink" xfId="3469" builtinId="9" hidden="1"/>
    <cellStyle name="Followed Hyperlink" xfId="3471" builtinId="9" hidden="1"/>
    <cellStyle name="Followed Hyperlink" xfId="3473" builtinId="9" hidden="1"/>
    <cellStyle name="Followed Hyperlink" xfId="3475" builtinId="9" hidden="1"/>
    <cellStyle name="Followed Hyperlink" xfId="3477" builtinId="9" hidden="1"/>
    <cellStyle name="Followed Hyperlink" xfId="3479" builtinId="9" hidden="1"/>
    <cellStyle name="Followed Hyperlink" xfId="3481" builtinId="9" hidden="1"/>
    <cellStyle name="Followed Hyperlink" xfId="3483" builtinId="9" hidden="1"/>
    <cellStyle name="Followed Hyperlink" xfId="3485" builtinId="9" hidden="1"/>
    <cellStyle name="Followed Hyperlink" xfId="3487" builtinId="9" hidden="1"/>
    <cellStyle name="Followed Hyperlink" xfId="3489" builtinId="9" hidden="1"/>
    <cellStyle name="Followed Hyperlink" xfId="3491" builtinId="9" hidden="1"/>
    <cellStyle name="Followed Hyperlink" xfId="3493" builtinId="9" hidden="1"/>
    <cellStyle name="Followed Hyperlink" xfId="3495" builtinId="9" hidden="1"/>
    <cellStyle name="Followed Hyperlink" xfId="3497" builtinId="9" hidden="1"/>
    <cellStyle name="Followed Hyperlink" xfId="3499" builtinId="9" hidden="1"/>
    <cellStyle name="Followed Hyperlink" xfId="3501" builtinId="9" hidden="1"/>
    <cellStyle name="Followed Hyperlink" xfId="3503" builtinId="9" hidden="1"/>
    <cellStyle name="Followed Hyperlink" xfId="3505" builtinId="9" hidden="1"/>
    <cellStyle name="Followed Hyperlink" xfId="3507" builtinId="9" hidden="1"/>
    <cellStyle name="Followed Hyperlink" xfId="3509" builtinId="9" hidden="1"/>
    <cellStyle name="Followed Hyperlink" xfId="3511" builtinId="9" hidden="1"/>
    <cellStyle name="Followed Hyperlink" xfId="3513" builtinId="9" hidden="1"/>
    <cellStyle name="Followed Hyperlink" xfId="3515" builtinId="9" hidden="1"/>
    <cellStyle name="Followed Hyperlink" xfId="3517" builtinId="9" hidden="1"/>
    <cellStyle name="Followed Hyperlink" xfId="3519" builtinId="9" hidden="1"/>
    <cellStyle name="Followed Hyperlink" xfId="3521" builtinId="9" hidden="1"/>
    <cellStyle name="Followed Hyperlink" xfId="3523" builtinId="9" hidden="1"/>
    <cellStyle name="Followed Hyperlink" xfId="3525" builtinId="9" hidden="1"/>
    <cellStyle name="Followed Hyperlink" xfId="3527" builtinId="9" hidden="1"/>
    <cellStyle name="Followed Hyperlink" xfId="3529" builtinId="9" hidden="1"/>
    <cellStyle name="Followed Hyperlink" xfId="3531" builtinId="9" hidden="1"/>
    <cellStyle name="Followed Hyperlink" xfId="3533" builtinId="9" hidden="1"/>
    <cellStyle name="Followed Hyperlink" xfId="3535" builtinId="9" hidden="1"/>
    <cellStyle name="Followed Hyperlink" xfId="3537" builtinId="9" hidden="1"/>
    <cellStyle name="Followed Hyperlink" xfId="3539" builtinId="9" hidden="1"/>
    <cellStyle name="Followed Hyperlink" xfId="3541" builtinId="9" hidden="1"/>
    <cellStyle name="Followed Hyperlink" xfId="3543" builtinId="9" hidden="1"/>
    <cellStyle name="Followed Hyperlink" xfId="3545" builtinId="9" hidden="1"/>
    <cellStyle name="Followed Hyperlink" xfId="3547" builtinId="9" hidden="1"/>
    <cellStyle name="Followed Hyperlink" xfId="3549" builtinId="9" hidden="1"/>
    <cellStyle name="Followed Hyperlink" xfId="3551" builtinId="9" hidden="1"/>
    <cellStyle name="Followed Hyperlink" xfId="3553" builtinId="9" hidden="1"/>
    <cellStyle name="Followed Hyperlink" xfId="3555" builtinId="9" hidden="1"/>
    <cellStyle name="Followed Hyperlink" xfId="3557" builtinId="9" hidden="1"/>
    <cellStyle name="Followed Hyperlink" xfId="3559" builtinId="9" hidden="1"/>
    <cellStyle name="Followed Hyperlink" xfId="3561" builtinId="9" hidden="1"/>
    <cellStyle name="Followed Hyperlink" xfId="3563" builtinId="9" hidden="1"/>
    <cellStyle name="Followed Hyperlink" xfId="3565" builtinId="9" hidden="1"/>
    <cellStyle name="Followed Hyperlink" xfId="3567" builtinId="9" hidden="1"/>
    <cellStyle name="Followed Hyperlink" xfId="3569" builtinId="9" hidden="1"/>
    <cellStyle name="Followed Hyperlink" xfId="3571" builtinId="9" hidden="1"/>
    <cellStyle name="Followed Hyperlink" xfId="3573" builtinId="9" hidden="1"/>
    <cellStyle name="Followed Hyperlink" xfId="3575" builtinId="9" hidden="1"/>
    <cellStyle name="Followed Hyperlink" xfId="3577" builtinId="9" hidden="1"/>
    <cellStyle name="Followed Hyperlink" xfId="3579" builtinId="9" hidden="1"/>
    <cellStyle name="Followed Hyperlink" xfId="3581" builtinId="9" hidden="1"/>
    <cellStyle name="Followed Hyperlink" xfId="3583" builtinId="9" hidden="1"/>
    <cellStyle name="Followed Hyperlink" xfId="3585" builtinId="9" hidden="1"/>
    <cellStyle name="Followed Hyperlink" xfId="3587" builtinId="9" hidden="1"/>
    <cellStyle name="Followed Hyperlink" xfId="3589" builtinId="9" hidden="1"/>
    <cellStyle name="Followed Hyperlink" xfId="3591" builtinId="9" hidden="1"/>
    <cellStyle name="Followed Hyperlink" xfId="3593" builtinId="9" hidden="1"/>
    <cellStyle name="Followed Hyperlink" xfId="3595" builtinId="9" hidden="1"/>
    <cellStyle name="Followed Hyperlink" xfId="3597" builtinId="9" hidden="1"/>
    <cellStyle name="Followed Hyperlink" xfId="3599" builtinId="9" hidden="1"/>
    <cellStyle name="Followed Hyperlink" xfId="3601" builtinId="9" hidden="1"/>
    <cellStyle name="Followed Hyperlink" xfId="3603" builtinId="9" hidden="1"/>
    <cellStyle name="Followed Hyperlink" xfId="3605" builtinId="9" hidden="1"/>
    <cellStyle name="Followed Hyperlink" xfId="3607" builtinId="9" hidden="1"/>
    <cellStyle name="Followed Hyperlink" xfId="3609" builtinId="9" hidden="1"/>
    <cellStyle name="Followed Hyperlink" xfId="3611" builtinId="9" hidden="1"/>
    <cellStyle name="Followed Hyperlink" xfId="3613" builtinId="9" hidden="1"/>
    <cellStyle name="Followed Hyperlink" xfId="3615" builtinId="9" hidden="1"/>
    <cellStyle name="Followed Hyperlink" xfId="3617" builtinId="9" hidden="1"/>
    <cellStyle name="Followed Hyperlink" xfId="3619" builtinId="9" hidden="1"/>
    <cellStyle name="Followed Hyperlink" xfId="3621" builtinId="9" hidden="1"/>
    <cellStyle name="Followed Hyperlink" xfId="3623" builtinId="9" hidden="1"/>
    <cellStyle name="Followed Hyperlink" xfId="3625" builtinId="9" hidden="1"/>
    <cellStyle name="Followed Hyperlink" xfId="3627" builtinId="9" hidden="1"/>
    <cellStyle name="Followed Hyperlink" xfId="3629" builtinId="9" hidden="1"/>
    <cellStyle name="Followed Hyperlink" xfId="3631" builtinId="9" hidden="1"/>
    <cellStyle name="Followed Hyperlink" xfId="3633" builtinId="9" hidden="1"/>
    <cellStyle name="Followed Hyperlink" xfId="3635" builtinId="9" hidden="1"/>
    <cellStyle name="Followed Hyperlink" xfId="3637" builtinId="9" hidden="1"/>
    <cellStyle name="Followed Hyperlink" xfId="3639" builtinId="9" hidden="1"/>
    <cellStyle name="Followed Hyperlink" xfId="3641" builtinId="9" hidden="1"/>
    <cellStyle name="Followed Hyperlink" xfId="3643" builtinId="9" hidden="1"/>
    <cellStyle name="Followed Hyperlink" xfId="3645" builtinId="9" hidden="1"/>
    <cellStyle name="Followed Hyperlink" xfId="3647" builtinId="9" hidden="1"/>
    <cellStyle name="Followed Hyperlink" xfId="3649" builtinId="9" hidden="1"/>
    <cellStyle name="Followed Hyperlink" xfId="3651" builtinId="9" hidden="1"/>
    <cellStyle name="Followed Hyperlink" xfId="3653" builtinId="9" hidden="1"/>
    <cellStyle name="Followed Hyperlink" xfId="3655" builtinId="9" hidden="1"/>
    <cellStyle name="Followed Hyperlink" xfId="3657" builtinId="9" hidden="1"/>
    <cellStyle name="Followed Hyperlink" xfId="3659" builtinId="9" hidden="1"/>
    <cellStyle name="Followed Hyperlink" xfId="3661" builtinId="9" hidden="1"/>
    <cellStyle name="Followed Hyperlink" xfId="3663" builtinId="9" hidden="1"/>
    <cellStyle name="Followed Hyperlink" xfId="3665" builtinId="9" hidden="1"/>
    <cellStyle name="Followed Hyperlink" xfId="3667" builtinId="9" hidden="1"/>
    <cellStyle name="Followed Hyperlink" xfId="3669" builtinId="9" hidden="1"/>
    <cellStyle name="Followed Hyperlink" xfId="3671" builtinId="9" hidden="1"/>
    <cellStyle name="Followed Hyperlink" xfId="3673" builtinId="9" hidden="1"/>
    <cellStyle name="Followed Hyperlink" xfId="3675" builtinId="9" hidden="1"/>
    <cellStyle name="Followed Hyperlink" xfId="3677" builtinId="9" hidden="1"/>
    <cellStyle name="Followed Hyperlink" xfId="3679" builtinId="9" hidden="1"/>
    <cellStyle name="Followed Hyperlink" xfId="3681" builtinId="9" hidden="1"/>
    <cellStyle name="Followed Hyperlink" xfId="3683" builtinId="9" hidden="1"/>
    <cellStyle name="Followed Hyperlink" xfId="3685" builtinId="9" hidden="1"/>
    <cellStyle name="Followed Hyperlink" xfId="3687" builtinId="9" hidden="1"/>
    <cellStyle name="Followed Hyperlink" xfId="3689" builtinId="9" hidden="1"/>
    <cellStyle name="Followed Hyperlink" xfId="3691" builtinId="9" hidden="1"/>
    <cellStyle name="Followed Hyperlink" xfId="3693" builtinId="9" hidden="1"/>
    <cellStyle name="Followed Hyperlink" xfId="3695" builtinId="9" hidden="1"/>
    <cellStyle name="Followed Hyperlink" xfId="3697" builtinId="9" hidden="1"/>
    <cellStyle name="Followed Hyperlink" xfId="3699" builtinId="9" hidden="1"/>
    <cellStyle name="Followed Hyperlink" xfId="3701" builtinId="9" hidden="1"/>
    <cellStyle name="Followed Hyperlink" xfId="3703" builtinId="9" hidden="1"/>
    <cellStyle name="Followed Hyperlink" xfId="3705" builtinId="9" hidden="1"/>
    <cellStyle name="Followed Hyperlink" xfId="3707" builtinId="9" hidden="1"/>
    <cellStyle name="Followed Hyperlink" xfId="3709" builtinId="9" hidden="1"/>
    <cellStyle name="Followed Hyperlink" xfId="3711" builtinId="9" hidden="1"/>
    <cellStyle name="Followed Hyperlink" xfId="3713" builtinId="9" hidden="1"/>
    <cellStyle name="Followed Hyperlink" xfId="3715" builtinId="9" hidden="1"/>
    <cellStyle name="Followed Hyperlink" xfId="3717" builtinId="9" hidden="1"/>
    <cellStyle name="Followed Hyperlink" xfId="3719" builtinId="9" hidden="1"/>
    <cellStyle name="Followed Hyperlink" xfId="3721" builtinId="9" hidden="1"/>
    <cellStyle name="Followed Hyperlink" xfId="3723" builtinId="9" hidden="1"/>
    <cellStyle name="Followed Hyperlink" xfId="3725" builtinId="9" hidden="1"/>
    <cellStyle name="Followed Hyperlink" xfId="3727" builtinId="9" hidden="1"/>
    <cellStyle name="Followed Hyperlink" xfId="3729" builtinId="9" hidden="1"/>
    <cellStyle name="Followed Hyperlink" xfId="3731" builtinId="9" hidden="1"/>
    <cellStyle name="Followed Hyperlink" xfId="3733" builtinId="9" hidden="1"/>
    <cellStyle name="Followed Hyperlink" xfId="3735" builtinId="9" hidden="1"/>
    <cellStyle name="Followed Hyperlink" xfId="3737" builtinId="9" hidden="1"/>
    <cellStyle name="Followed Hyperlink" xfId="3739" builtinId="9" hidden="1"/>
    <cellStyle name="Followed Hyperlink" xfId="3741" builtinId="9" hidden="1"/>
    <cellStyle name="Followed Hyperlink" xfId="3743" builtinId="9" hidden="1"/>
    <cellStyle name="Followed Hyperlink" xfId="3745" builtinId="9" hidden="1"/>
    <cellStyle name="Followed Hyperlink" xfId="3747" builtinId="9" hidden="1"/>
    <cellStyle name="Followed Hyperlink" xfId="3749" builtinId="9" hidden="1"/>
    <cellStyle name="Followed Hyperlink" xfId="3751" builtinId="9" hidden="1"/>
    <cellStyle name="Followed Hyperlink" xfId="3753" builtinId="9" hidden="1"/>
    <cellStyle name="Followed Hyperlink" xfId="3755" builtinId="9" hidden="1"/>
    <cellStyle name="Followed Hyperlink" xfId="3757" builtinId="9" hidden="1"/>
    <cellStyle name="Followed Hyperlink" xfId="3759" builtinId="9" hidden="1"/>
    <cellStyle name="Followed Hyperlink" xfId="3761" builtinId="9" hidden="1"/>
    <cellStyle name="Followed Hyperlink" xfId="3763" builtinId="9" hidden="1"/>
    <cellStyle name="Followed Hyperlink" xfId="3765" builtinId="9" hidden="1"/>
    <cellStyle name="Followed Hyperlink" xfId="3767" builtinId="9" hidden="1"/>
    <cellStyle name="Followed Hyperlink" xfId="3769" builtinId="9" hidden="1"/>
    <cellStyle name="Followed Hyperlink" xfId="3771" builtinId="9" hidden="1"/>
    <cellStyle name="Followed Hyperlink" xfId="3773" builtinId="9" hidden="1"/>
    <cellStyle name="Followed Hyperlink" xfId="3775" builtinId="9" hidden="1"/>
    <cellStyle name="Followed Hyperlink" xfId="3777" builtinId="9" hidden="1"/>
    <cellStyle name="Followed Hyperlink" xfId="3779" builtinId="9" hidden="1"/>
    <cellStyle name="Followed Hyperlink" xfId="3781" builtinId="9" hidden="1"/>
    <cellStyle name="Followed Hyperlink" xfId="3783" builtinId="9" hidden="1"/>
    <cellStyle name="Followed Hyperlink" xfId="3785" builtinId="9" hidden="1"/>
    <cellStyle name="Followed Hyperlink" xfId="3787" builtinId="9" hidden="1"/>
    <cellStyle name="Followed Hyperlink" xfId="3789" builtinId="9" hidden="1"/>
    <cellStyle name="Followed Hyperlink" xfId="3791" builtinId="9" hidden="1"/>
    <cellStyle name="Followed Hyperlink" xfId="3793" builtinId="9" hidden="1"/>
    <cellStyle name="Followed Hyperlink" xfId="3795" builtinId="9" hidden="1"/>
    <cellStyle name="Followed Hyperlink" xfId="3797" builtinId="9" hidden="1"/>
    <cellStyle name="Followed Hyperlink" xfId="3799" builtinId="9" hidden="1"/>
    <cellStyle name="Followed Hyperlink" xfId="3801" builtinId="9" hidden="1"/>
    <cellStyle name="Followed Hyperlink" xfId="3803" builtinId="9" hidden="1"/>
    <cellStyle name="Followed Hyperlink" xfId="3805" builtinId="9" hidden="1"/>
    <cellStyle name="Followed Hyperlink" xfId="3807" builtinId="9" hidden="1"/>
    <cellStyle name="Followed Hyperlink" xfId="3809" builtinId="9" hidden="1"/>
    <cellStyle name="Followed Hyperlink" xfId="3811" builtinId="9" hidden="1"/>
    <cellStyle name="Followed Hyperlink" xfId="3813" builtinId="9" hidden="1"/>
    <cellStyle name="Followed Hyperlink" xfId="3815" builtinId="9" hidden="1"/>
    <cellStyle name="Followed Hyperlink" xfId="3817" builtinId="9" hidden="1"/>
    <cellStyle name="Followed Hyperlink" xfId="3819" builtinId="9" hidden="1"/>
    <cellStyle name="Followed Hyperlink" xfId="3821" builtinId="9" hidden="1"/>
    <cellStyle name="Followed Hyperlink" xfId="382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Hyperlink" xfId="1106" builtinId="8" hidden="1"/>
    <cellStyle name="Hyperlink" xfId="1108" builtinId="8" hidden="1"/>
    <cellStyle name="Hyperlink" xfId="1110" builtinId="8" hidden="1"/>
    <cellStyle name="Hyperlink" xfId="1112" builtinId="8" hidden="1"/>
    <cellStyle name="Hyperlink" xfId="1114" builtinId="8" hidden="1"/>
    <cellStyle name="Hyperlink" xfId="1116" builtinId="8" hidden="1"/>
    <cellStyle name="Hyperlink" xfId="1118" builtinId="8" hidden="1"/>
    <cellStyle name="Hyperlink" xfId="1120" builtinId="8" hidden="1"/>
    <cellStyle name="Hyperlink" xfId="1122" builtinId="8" hidden="1"/>
    <cellStyle name="Hyperlink" xfId="1124" builtinId="8" hidden="1"/>
    <cellStyle name="Hyperlink" xfId="1126" builtinId="8" hidden="1"/>
    <cellStyle name="Hyperlink" xfId="1128" builtinId="8" hidden="1"/>
    <cellStyle name="Hyperlink" xfId="1130" builtinId="8" hidden="1"/>
    <cellStyle name="Hyperlink" xfId="1132" builtinId="8" hidden="1"/>
    <cellStyle name="Hyperlink" xfId="1134" builtinId="8" hidden="1"/>
    <cellStyle name="Hyperlink" xfId="1136" builtinId="8" hidden="1"/>
    <cellStyle name="Hyperlink" xfId="1138" builtinId="8" hidden="1"/>
    <cellStyle name="Hyperlink" xfId="1140" builtinId="8" hidden="1"/>
    <cellStyle name="Hyperlink" xfId="1142" builtinId="8" hidden="1"/>
    <cellStyle name="Hyperlink" xfId="1144" builtinId="8" hidden="1"/>
    <cellStyle name="Hyperlink" xfId="1146" builtinId="8" hidden="1"/>
    <cellStyle name="Hyperlink" xfId="1148" builtinId="8" hidden="1"/>
    <cellStyle name="Hyperlink" xfId="1150" builtinId="8" hidden="1"/>
    <cellStyle name="Hyperlink" xfId="1152" builtinId="8" hidden="1"/>
    <cellStyle name="Hyperlink" xfId="1154" builtinId="8" hidden="1"/>
    <cellStyle name="Hyperlink" xfId="1156" builtinId="8" hidden="1"/>
    <cellStyle name="Hyperlink" xfId="1158" builtinId="8" hidden="1"/>
    <cellStyle name="Hyperlink" xfId="1160"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Hyperlink" xfId="1282" builtinId="8" hidden="1"/>
    <cellStyle name="Hyperlink" xfId="1284" builtinId="8" hidden="1"/>
    <cellStyle name="Hyperlink" xfId="1286" builtinId="8" hidden="1"/>
    <cellStyle name="Hyperlink" xfId="1288" builtinId="8" hidden="1"/>
    <cellStyle name="Hyperlink" xfId="1290" builtinId="8" hidden="1"/>
    <cellStyle name="Hyperlink" xfId="1292" builtinId="8" hidden="1"/>
    <cellStyle name="Hyperlink" xfId="1294" builtinId="8" hidden="1"/>
    <cellStyle name="Hyperlink" xfId="1296" builtinId="8" hidden="1"/>
    <cellStyle name="Hyperlink" xfId="1298" builtinId="8" hidden="1"/>
    <cellStyle name="Hyperlink" xfId="1300" builtinId="8" hidden="1"/>
    <cellStyle name="Hyperlink" xfId="1302" builtinId="8" hidden="1"/>
    <cellStyle name="Hyperlink" xfId="1304" builtinId="8" hidden="1"/>
    <cellStyle name="Hyperlink" xfId="1306" builtinId="8" hidden="1"/>
    <cellStyle name="Hyperlink" xfId="1308" builtinId="8" hidden="1"/>
    <cellStyle name="Hyperlink" xfId="1310" builtinId="8" hidden="1"/>
    <cellStyle name="Hyperlink" xfId="1312" builtinId="8" hidden="1"/>
    <cellStyle name="Hyperlink" xfId="1314" builtinId="8" hidden="1"/>
    <cellStyle name="Hyperlink" xfId="1316" builtinId="8" hidden="1"/>
    <cellStyle name="Hyperlink" xfId="1318" builtinId="8" hidden="1"/>
    <cellStyle name="Hyperlink" xfId="1320" builtinId="8" hidden="1"/>
    <cellStyle name="Hyperlink" xfId="1322" builtinId="8" hidden="1"/>
    <cellStyle name="Hyperlink" xfId="1324" builtinId="8" hidden="1"/>
    <cellStyle name="Hyperlink" xfId="1326" builtinId="8" hidden="1"/>
    <cellStyle name="Hyperlink" xfId="1328" builtinId="8" hidden="1"/>
    <cellStyle name="Hyperlink" xfId="1330" builtinId="8" hidden="1"/>
    <cellStyle name="Hyperlink" xfId="1332" builtinId="8" hidden="1"/>
    <cellStyle name="Hyperlink" xfId="1334" builtinId="8" hidden="1"/>
    <cellStyle name="Hyperlink" xfId="1336" builtinId="8" hidden="1"/>
    <cellStyle name="Hyperlink" xfId="1338" builtinId="8" hidden="1"/>
    <cellStyle name="Hyperlink" xfId="1340" builtinId="8" hidden="1"/>
    <cellStyle name="Hyperlink" xfId="1342" builtinId="8" hidden="1"/>
    <cellStyle name="Hyperlink" xfId="1344" builtinId="8" hidden="1"/>
    <cellStyle name="Hyperlink" xfId="1346" builtinId="8" hidden="1"/>
    <cellStyle name="Hyperlink" xfId="1348" builtinId="8" hidden="1"/>
    <cellStyle name="Hyperlink" xfId="1350" builtinId="8" hidden="1"/>
    <cellStyle name="Hyperlink" xfId="1352" builtinId="8" hidden="1"/>
    <cellStyle name="Hyperlink" xfId="1354" builtinId="8" hidden="1"/>
    <cellStyle name="Hyperlink" xfId="1356" builtinId="8" hidden="1"/>
    <cellStyle name="Hyperlink" xfId="1358" builtinId="8" hidden="1"/>
    <cellStyle name="Hyperlink" xfId="1360" builtinId="8" hidden="1"/>
    <cellStyle name="Hyperlink" xfId="1362" builtinId="8" hidden="1"/>
    <cellStyle name="Hyperlink" xfId="1364" builtinId="8" hidden="1"/>
    <cellStyle name="Hyperlink" xfId="1366" builtinId="8" hidden="1"/>
    <cellStyle name="Hyperlink" xfId="1368" builtinId="8" hidden="1"/>
    <cellStyle name="Hyperlink" xfId="1370" builtinId="8" hidden="1"/>
    <cellStyle name="Hyperlink" xfId="1372" builtinId="8" hidden="1"/>
    <cellStyle name="Hyperlink" xfId="1374" builtinId="8" hidden="1"/>
    <cellStyle name="Hyperlink" xfId="1376" builtinId="8" hidden="1"/>
    <cellStyle name="Hyperlink" xfId="1378" builtinId="8" hidden="1"/>
    <cellStyle name="Hyperlink" xfId="1380" builtinId="8" hidden="1"/>
    <cellStyle name="Hyperlink" xfId="1382" builtinId="8" hidden="1"/>
    <cellStyle name="Hyperlink" xfId="1384" builtinId="8" hidden="1"/>
    <cellStyle name="Hyperlink" xfId="1386" builtinId="8" hidden="1"/>
    <cellStyle name="Hyperlink" xfId="1388" builtinId="8" hidden="1"/>
    <cellStyle name="Hyperlink" xfId="1390" builtinId="8" hidden="1"/>
    <cellStyle name="Hyperlink" xfId="1392" builtinId="8" hidden="1"/>
    <cellStyle name="Hyperlink" xfId="1394" builtinId="8" hidden="1"/>
    <cellStyle name="Hyperlink" xfId="1396" builtinId="8" hidden="1"/>
    <cellStyle name="Hyperlink" xfId="1398" builtinId="8" hidden="1"/>
    <cellStyle name="Hyperlink" xfId="1400" builtinId="8" hidden="1"/>
    <cellStyle name="Hyperlink" xfId="1402" builtinId="8" hidden="1"/>
    <cellStyle name="Hyperlink" xfId="1404" builtinId="8" hidden="1"/>
    <cellStyle name="Hyperlink" xfId="1406" builtinId="8" hidden="1"/>
    <cellStyle name="Hyperlink" xfId="1408" builtinId="8" hidden="1"/>
    <cellStyle name="Hyperlink" xfId="1410" builtinId="8" hidden="1"/>
    <cellStyle name="Hyperlink" xfId="1412" builtinId="8" hidden="1"/>
    <cellStyle name="Hyperlink" xfId="1414" builtinId="8" hidden="1"/>
    <cellStyle name="Hyperlink" xfId="1416" builtinId="8" hidden="1"/>
    <cellStyle name="Hyperlink" xfId="1418" builtinId="8" hidden="1"/>
    <cellStyle name="Hyperlink" xfId="1420" builtinId="8" hidden="1"/>
    <cellStyle name="Hyperlink" xfId="1422" builtinId="8" hidden="1"/>
    <cellStyle name="Hyperlink" xfId="1424" builtinId="8" hidden="1"/>
    <cellStyle name="Hyperlink" xfId="1426" builtinId="8" hidden="1"/>
    <cellStyle name="Hyperlink" xfId="1428" builtinId="8" hidden="1"/>
    <cellStyle name="Hyperlink" xfId="1430" builtinId="8" hidden="1"/>
    <cellStyle name="Hyperlink" xfId="1432" builtinId="8" hidden="1"/>
    <cellStyle name="Hyperlink" xfId="1434" builtinId="8" hidden="1"/>
    <cellStyle name="Hyperlink" xfId="1436" builtinId="8" hidden="1"/>
    <cellStyle name="Hyperlink" xfId="1438" builtinId="8" hidden="1"/>
    <cellStyle name="Hyperlink" xfId="1440" builtinId="8" hidden="1"/>
    <cellStyle name="Hyperlink" xfId="1442" builtinId="8" hidden="1"/>
    <cellStyle name="Hyperlink" xfId="1444" builtinId="8" hidden="1"/>
    <cellStyle name="Hyperlink" xfId="1446" builtinId="8" hidden="1"/>
    <cellStyle name="Hyperlink" xfId="1448" builtinId="8" hidden="1"/>
    <cellStyle name="Hyperlink" xfId="1450" builtinId="8" hidden="1"/>
    <cellStyle name="Hyperlink" xfId="1452" builtinId="8" hidden="1"/>
    <cellStyle name="Hyperlink" xfId="1454" builtinId="8" hidden="1"/>
    <cellStyle name="Hyperlink" xfId="1456" builtinId="8" hidden="1"/>
    <cellStyle name="Hyperlink" xfId="1458" builtinId="8" hidden="1"/>
    <cellStyle name="Hyperlink" xfId="1460" builtinId="8" hidden="1"/>
    <cellStyle name="Hyperlink" xfId="1462" builtinId="8" hidden="1"/>
    <cellStyle name="Hyperlink" xfId="1464" builtinId="8" hidden="1"/>
    <cellStyle name="Hyperlink" xfId="1466" builtinId="8" hidden="1"/>
    <cellStyle name="Hyperlink" xfId="1468" builtinId="8" hidden="1"/>
    <cellStyle name="Hyperlink" xfId="1470" builtinId="8" hidden="1"/>
    <cellStyle name="Hyperlink" xfId="1472" builtinId="8" hidden="1"/>
    <cellStyle name="Hyperlink" xfId="1474" builtinId="8" hidden="1"/>
    <cellStyle name="Hyperlink" xfId="1476" builtinId="8" hidden="1"/>
    <cellStyle name="Hyperlink" xfId="1478" builtinId="8" hidden="1"/>
    <cellStyle name="Hyperlink" xfId="1480" builtinId="8" hidden="1"/>
    <cellStyle name="Hyperlink" xfId="1482" builtinId="8" hidden="1"/>
    <cellStyle name="Hyperlink" xfId="1484" builtinId="8" hidden="1"/>
    <cellStyle name="Hyperlink" xfId="1486" builtinId="8" hidden="1"/>
    <cellStyle name="Hyperlink" xfId="1488" builtinId="8" hidden="1"/>
    <cellStyle name="Hyperlink" xfId="1490" builtinId="8" hidden="1"/>
    <cellStyle name="Hyperlink" xfId="1492" builtinId="8" hidden="1"/>
    <cellStyle name="Hyperlink" xfId="1494"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10" builtinId="8" hidden="1"/>
    <cellStyle name="Hyperlink" xfId="1612" builtinId="8" hidden="1"/>
    <cellStyle name="Hyperlink" xfId="1614" builtinId="8" hidden="1"/>
    <cellStyle name="Hyperlink" xfId="1616" builtinId="8" hidden="1"/>
    <cellStyle name="Hyperlink" xfId="1618" builtinId="8" hidden="1"/>
    <cellStyle name="Hyperlink" xfId="1620" builtinId="8" hidden="1"/>
    <cellStyle name="Hyperlink" xfId="1622" builtinId="8" hidden="1"/>
    <cellStyle name="Hyperlink" xfId="1624" builtinId="8" hidden="1"/>
    <cellStyle name="Hyperlink" xfId="1626" builtinId="8" hidden="1"/>
    <cellStyle name="Hyperlink" xfId="1628" builtinId="8" hidden="1"/>
    <cellStyle name="Hyperlink" xfId="1630" builtinId="8" hidden="1"/>
    <cellStyle name="Hyperlink" xfId="1632" builtinId="8" hidden="1"/>
    <cellStyle name="Hyperlink" xfId="1634" builtinId="8" hidden="1"/>
    <cellStyle name="Hyperlink" xfId="1636" builtinId="8" hidden="1"/>
    <cellStyle name="Hyperlink" xfId="1638" builtinId="8" hidden="1"/>
    <cellStyle name="Hyperlink" xfId="1640" builtinId="8" hidden="1"/>
    <cellStyle name="Hyperlink" xfId="1642" builtinId="8" hidden="1"/>
    <cellStyle name="Hyperlink" xfId="1644" builtinId="8" hidden="1"/>
    <cellStyle name="Hyperlink" xfId="1646" builtinId="8" hidden="1"/>
    <cellStyle name="Hyperlink" xfId="1648" builtinId="8" hidden="1"/>
    <cellStyle name="Hyperlink" xfId="1650" builtinId="8" hidden="1"/>
    <cellStyle name="Hyperlink" xfId="1652" builtinId="8" hidden="1"/>
    <cellStyle name="Hyperlink" xfId="1654" builtinId="8" hidden="1"/>
    <cellStyle name="Hyperlink" xfId="1656" builtinId="8" hidden="1"/>
    <cellStyle name="Hyperlink" xfId="1658" builtinId="8" hidden="1"/>
    <cellStyle name="Hyperlink" xfId="1660" builtinId="8" hidden="1"/>
    <cellStyle name="Hyperlink" xfId="1662" builtinId="8" hidden="1"/>
    <cellStyle name="Hyperlink" xfId="1664" builtinId="8" hidden="1"/>
    <cellStyle name="Hyperlink" xfId="1666" builtinId="8" hidden="1"/>
    <cellStyle name="Hyperlink" xfId="1668" builtinId="8" hidden="1"/>
    <cellStyle name="Hyperlink" xfId="1670" builtinId="8" hidden="1"/>
    <cellStyle name="Hyperlink" xfId="1672" builtinId="8" hidden="1"/>
    <cellStyle name="Hyperlink" xfId="1674" builtinId="8" hidden="1"/>
    <cellStyle name="Hyperlink" xfId="1676" builtinId="8" hidden="1"/>
    <cellStyle name="Hyperlink" xfId="1678" builtinId="8" hidden="1"/>
    <cellStyle name="Hyperlink" xfId="1680" builtinId="8" hidden="1"/>
    <cellStyle name="Hyperlink" xfId="1682" builtinId="8" hidden="1"/>
    <cellStyle name="Hyperlink" xfId="1684" builtinId="8" hidden="1"/>
    <cellStyle name="Hyperlink" xfId="1686" builtinId="8" hidden="1"/>
    <cellStyle name="Hyperlink" xfId="1688" builtinId="8" hidden="1"/>
    <cellStyle name="Hyperlink" xfId="1690" builtinId="8" hidden="1"/>
    <cellStyle name="Hyperlink" xfId="1692" builtinId="8" hidden="1"/>
    <cellStyle name="Hyperlink" xfId="1694" builtinId="8" hidden="1"/>
    <cellStyle name="Hyperlink" xfId="1696" builtinId="8" hidden="1"/>
    <cellStyle name="Hyperlink" xfId="1698" builtinId="8" hidden="1"/>
    <cellStyle name="Hyperlink" xfId="1700" builtinId="8" hidden="1"/>
    <cellStyle name="Hyperlink" xfId="1702" builtinId="8" hidden="1"/>
    <cellStyle name="Hyperlink" xfId="1704" builtinId="8" hidden="1"/>
    <cellStyle name="Hyperlink" xfId="1706" builtinId="8" hidden="1"/>
    <cellStyle name="Hyperlink" xfId="1708" builtinId="8" hidden="1"/>
    <cellStyle name="Hyperlink" xfId="1710" builtinId="8" hidden="1"/>
    <cellStyle name="Hyperlink" xfId="1712" builtinId="8" hidden="1"/>
    <cellStyle name="Hyperlink" xfId="1714" builtinId="8" hidden="1"/>
    <cellStyle name="Hyperlink" xfId="1716" builtinId="8" hidden="1"/>
    <cellStyle name="Hyperlink" xfId="1718" builtinId="8" hidden="1"/>
    <cellStyle name="Hyperlink" xfId="1720" builtinId="8" hidden="1"/>
    <cellStyle name="Hyperlink" xfId="1722" builtinId="8" hidden="1"/>
    <cellStyle name="Hyperlink" xfId="1724" builtinId="8" hidden="1"/>
    <cellStyle name="Hyperlink" xfId="1726" builtinId="8" hidden="1"/>
    <cellStyle name="Hyperlink" xfId="1728" builtinId="8" hidden="1"/>
    <cellStyle name="Hyperlink" xfId="1730" builtinId="8" hidden="1"/>
    <cellStyle name="Hyperlink" xfId="1732" builtinId="8" hidden="1"/>
    <cellStyle name="Hyperlink" xfId="1734" builtinId="8" hidden="1"/>
    <cellStyle name="Hyperlink" xfId="1736" builtinId="8" hidden="1"/>
    <cellStyle name="Hyperlink" xfId="1738" builtinId="8" hidden="1"/>
    <cellStyle name="Hyperlink" xfId="1740" builtinId="8" hidden="1"/>
    <cellStyle name="Hyperlink" xfId="1742" builtinId="8" hidden="1"/>
    <cellStyle name="Hyperlink" xfId="1744" builtinId="8" hidden="1"/>
    <cellStyle name="Hyperlink" xfId="1746" builtinId="8" hidden="1"/>
    <cellStyle name="Hyperlink" xfId="1748" builtinId="8" hidden="1"/>
    <cellStyle name="Hyperlink" xfId="1750" builtinId="8" hidden="1"/>
    <cellStyle name="Hyperlink" xfId="1752" builtinId="8" hidden="1"/>
    <cellStyle name="Hyperlink" xfId="1754" builtinId="8" hidden="1"/>
    <cellStyle name="Hyperlink" xfId="1756" builtinId="8" hidden="1"/>
    <cellStyle name="Hyperlink" xfId="1758" builtinId="8" hidden="1"/>
    <cellStyle name="Hyperlink" xfId="1760" builtinId="8" hidden="1"/>
    <cellStyle name="Hyperlink" xfId="1762" builtinId="8" hidden="1"/>
    <cellStyle name="Hyperlink" xfId="1764" builtinId="8" hidden="1"/>
    <cellStyle name="Hyperlink" xfId="1766" builtinId="8" hidden="1"/>
    <cellStyle name="Hyperlink" xfId="1768" builtinId="8" hidden="1"/>
    <cellStyle name="Hyperlink" xfId="1770" builtinId="8" hidden="1"/>
    <cellStyle name="Hyperlink" xfId="1772" builtinId="8" hidden="1"/>
    <cellStyle name="Hyperlink" xfId="1774" builtinId="8" hidden="1"/>
    <cellStyle name="Hyperlink" xfId="1776" builtinId="8" hidden="1"/>
    <cellStyle name="Hyperlink" xfId="1778" builtinId="8" hidden="1"/>
    <cellStyle name="Hyperlink" xfId="1780" builtinId="8" hidden="1"/>
    <cellStyle name="Hyperlink" xfId="1782" builtinId="8" hidden="1"/>
    <cellStyle name="Hyperlink" xfId="1784" builtinId="8" hidden="1"/>
    <cellStyle name="Hyperlink" xfId="1786" builtinId="8" hidden="1"/>
    <cellStyle name="Hyperlink" xfId="1788" builtinId="8" hidden="1"/>
    <cellStyle name="Hyperlink" xfId="1790" builtinId="8" hidden="1"/>
    <cellStyle name="Hyperlink" xfId="1792" builtinId="8" hidden="1"/>
    <cellStyle name="Hyperlink" xfId="1794" builtinId="8" hidden="1"/>
    <cellStyle name="Hyperlink" xfId="1796" builtinId="8" hidden="1"/>
    <cellStyle name="Hyperlink" xfId="1798" builtinId="8" hidden="1"/>
    <cellStyle name="Hyperlink" xfId="1800" builtinId="8" hidden="1"/>
    <cellStyle name="Hyperlink" xfId="1802" builtinId="8" hidden="1"/>
    <cellStyle name="Hyperlink" xfId="1804" builtinId="8" hidden="1"/>
    <cellStyle name="Hyperlink" xfId="1806" builtinId="8" hidden="1"/>
    <cellStyle name="Hyperlink" xfId="1808" builtinId="8" hidden="1"/>
    <cellStyle name="Hyperlink" xfId="1810" builtinId="8" hidden="1"/>
    <cellStyle name="Hyperlink" xfId="1812" builtinId="8" hidden="1"/>
    <cellStyle name="Hyperlink" xfId="1814" builtinId="8" hidden="1"/>
    <cellStyle name="Hyperlink" xfId="1816" builtinId="8" hidden="1"/>
    <cellStyle name="Hyperlink" xfId="1818" builtinId="8" hidden="1"/>
    <cellStyle name="Hyperlink" xfId="1820" builtinId="8" hidden="1"/>
    <cellStyle name="Hyperlink" xfId="1822" builtinId="8" hidden="1"/>
    <cellStyle name="Hyperlink" xfId="1824" builtinId="8" hidden="1"/>
    <cellStyle name="Hyperlink" xfId="1826" builtinId="8" hidden="1"/>
    <cellStyle name="Hyperlink" xfId="1828" builtinId="8" hidden="1"/>
    <cellStyle name="Hyperlink" xfId="1830" builtinId="8" hidden="1"/>
    <cellStyle name="Hyperlink" xfId="1832" builtinId="8" hidden="1"/>
    <cellStyle name="Hyperlink" xfId="1834" builtinId="8" hidden="1"/>
    <cellStyle name="Hyperlink" xfId="1836" builtinId="8" hidden="1"/>
    <cellStyle name="Hyperlink" xfId="1838" builtinId="8" hidden="1"/>
    <cellStyle name="Hyperlink" xfId="1840" builtinId="8" hidden="1"/>
    <cellStyle name="Hyperlink" xfId="1842" builtinId="8" hidden="1"/>
    <cellStyle name="Hyperlink" xfId="1844" builtinId="8" hidden="1"/>
    <cellStyle name="Hyperlink" xfId="1846" builtinId="8" hidden="1"/>
    <cellStyle name="Hyperlink" xfId="1848" builtinId="8" hidden="1"/>
    <cellStyle name="Hyperlink" xfId="1850" builtinId="8" hidden="1"/>
    <cellStyle name="Hyperlink" xfId="1852" builtinId="8" hidden="1"/>
    <cellStyle name="Hyperlink" xfId="1854" builtinId="8" hidden="1"/>
    <cellStyle name="Hyperlink" xfId="1856" builtinId="8" hidden="1"/>
    <cellStyle name="Hyperlink" xfId="1858" builtinId="8" hidden="1"/>
    <cellStyle name="Hyperlink" xfId="1860" builtinId="8" hidden="1"/>
    <cellStyle name="Hyperlink" xfId="1862" builtinId="8" hidden="1"/>
    <cellStyle name="Hyperlink" xfId="1864" builtinId="8" hidden="1"/>
    <cellStyle name="Hyperlink" xfId="1866" builtinId="8" hidden="1"/>
    <cellStyle name="Hyperlink" xfId="1868" builtinId="8" hidden="1"/>
    <cellStyle name="Hyperlink" xfId="1870" builtinId="8" hidden="1"/>
    <cellStyle name="Hyperlink" xfId="1872" builtinId="8" hidden="1"/>
    <cellStyle name="Hyperlink" xfId="1874" builtinId="8" hidden="1"/>
    <cellStyle name="Hyperlink" xfId="1876" builtinId="8" hidden="1"/>
    <cellStyle name="Hyperlink" xfId="1878" builtinId="8" hidden="1"/>
    <cellStyle name="Hyperlink" xfId="1880" builtinId="8" hidden="1"/>
    <cellStyle name="Hyperlink" xfId="1882" builtinId="8" hidden="1"/>
    <cellStyle name="Hyperlink" xfId="1884" builtinId="8" hidden="1"/>
    <cellStyle name="Hyperlink" xfId="1886" builtinId="8" hidden="1"/>
    <cellStyle name="Hyperlink" xfId="1888" builtinId="8" hidden="1"/>
    <cellStyle name="Hyperlink" xfId="1890" builtinId="8" hidden="1"/>
    <cellStyle name="Hyperlink" xfId="1892" builtinId="8" hidden="1"/>
    <cellStyle name="Hyperlink" xfId="1894" builtinId="8" hidden="1"/>
    <cellStyle name="Hyperlink" xfId="1896" builtinId="8" hidden="1"/>
    <cellStyle name="Hyperlink" xfId="1898" builtinId="8" hidden="1"/>
    <cellStyle name="Hyperlink" xfId="1900" builtinId="8" hidden="1"/>
    <cellStyle name="Hyperlink" xfId="1902" builtinId="8" hidden="1"/>
    <cellStyle name="Hyperlink" xfId="1904" builtinId="8" hidden="1"/>
    <cellStyle name="Hyperlink" xfId="1906"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3312" builtinId="8" hidden="1"/>
    <cellStyle name="Hyperlink" xfId="3314" builtinId="8" hidden="1"/>
    <cellStyle name="Hyperlink" xfId="3316" builtinId="8" hidden="1"/>
    <cellStyle name="Hyperlink" xfId="3318" builtinId="8" hidden="1"/>
    <cellStyle name="Hyperlink" xfId="3320" builtinId="8" hidden="1"/>
    <cellStyle name="Hyperlink" xfId="3322" builtinId="8" hidden="1"/>
    <cellStyle name="Hyperlink" xfId="3324" builtinId="8" hidden="1"/>
    <cellStyle name="Hyperlink" xfId="3326" builtinId="8" hidden="1"/>
    <cellStyle name="Hyperlink" xfId="3328" builtinId="8" hidden="1"/>
    <cellStyle name="Hyperlink" xfId="3330" builtinId="8" hidden="1"/>
    <cellStyle name="Hyperlink" xfId="3332" builtinId="8" hidden="1"/>
    <cellStyle name="Hyperlink" xfId="3334" builtinId="8" hidden="1"/>
    <cellStyle name="Hyperlink" xfId="3336" builtinId="8" hidden="1"/>
    <cellStyle name="Hyperlink" xfId="3338" builtinId="8" hidden="1"/>
    <cellStyle name="Hyperlink" xfId="3340" builtinId="8" hidden="1"/>
    <cellStyle name="Hyperlink" xfId="3342" builtinId="8" hidden="1"/>
    <cellStyle name="Hyperlink" xfId="3344" builtinId="8" hidden="1"/>
    <cellStyle name="Hyperlink" xfId="3346" builtinId="8" hidden="1"/>
    <cellStyle name="Hyperlink" xfId="3348" builtinId="8" hidden="1"/>
    <cellStyle name="Hyperlink" xfId="3350" builtinId="8" hidden="1"/>
    <cellStyle name="Hyperlink" xfId="3352" builtinId="8" hidden="1"/>
    <cellStyle name="Hyperlink" xfId="3354" builtinId="8" hidden="1"/>
    <cellStyle name="Hyperlink" xfId="3356" builtinId="8" hidden="1"/>
    <cellStyle name="Hyperlink" xfId="3358" builtinId="8" hidden="1"/>
    <cellStyle name="Hyperlink" xfId="3360" builtinId="8" hidden="1"/>
    <cellStyle name="Hyperlink" xfId="3362" builtinId="8" hidden="1"/>
    <cellStyle name="Hyperlink" xfId="3364" builtinId="8" hidden="1"/>
    <cellStyle name="Hyperlink" xfId="3366" builtinId="8" hidden="1"/>
    <cellStyle name="Hyperlink" xfId="3368" builtinId="8" hidden="1"/>
    <cellStyle name="Hyperlink" xfId="3370" builtinId="8" hidden="1"/>
    <cellStyle name="Hyperlink" xfId="3372" builtinId="8" hidden="1"/>
    <cellStyle name="Hyperlink" xfId="3374" builtinId="8" hidden="1"/>
    <cellStyle name="Hyperlink" xfId="3376" builtinId="8" hidden="1"/>
    <cellStyle name="Hyperlink" xfId="3378" builtinId="8" hidden="1"/>
    <cellStyle name="Hyperlink" xfId="3380" builtinId="8" hidden="1"/>
    <cellStyle name="Hyperlink" xfId="3382" builtinId="8" hidden="1"/>
    <cellStyle name="Hyperlink" xfId="3384" builtinId="8" hidden="1"/>
    <cellStyle name="Hyperlink" xfId="3386" builtinId="8" hidden="1"/>
    <cellStyle name="Hyperlink" xfId="3388" builtinId="8" hidden="1"/>
    <cellStyle name="Hyperlink" xfId="3390" builtinId="8" hidden="1"/>
    <cellStyle name="Hyperlink" xfId="3392" builtinId="8" hidden="1"/>
    <cellStyle name="Hyperlink" xfId="3394" builtinId="8" hidden="1"/>
    <cellStyle name="Hyperlink" xfId="3396" builtinId="8" hidden="1"/>
    <cellStyle name="Hyperlink" xfId="3398" builtinId="8" hidden="1"/>
    <cellStyle name="Hyperlink" xfId="3400" builtinId="8" hidden="1"/>
    <cellStyle name="Hyperlink" xfId="3402" builtinId="8" hidden="1"/>
    <cellStyle name="Hyperlink" xfId="3404" builtinId="8" hidden="1"/>
    <cellStyle name="Hyperlink" xfId="3406" builtinId="8" hidden="1"/>
    <cellStyle name="Hyperlink" xfId="3408" builtinId="8" hidden="1"/>
    <cellStyle name="Hyperlink" xfId="3410" builtinId="8" hidden="1"/>
    <cellStyle name="Hyperlink" xfId="3412" builtinId="8" hidden="1"/>
    <cellStyle name="Hyperlink" xfId="3414" builtinId="8" hidden="1"/>
    <cellStyle name="Hyperlink" xfId="3416" builtinId="8" hidden="1"/>
    <cellStyle name="Hyperlink" xfId="3418" builtinId="8" hidden="1"/>
    <cellStyle name="Hyperlink" xfId="3420" builtinId="8" hidden="1"/>
    <cellStyle name="Hyperlink" xfId="3422" builtinId="8" hidden="1"/>
    <cellStyle name="Hyperlink" xfId="3424" builtinId="8" hidden="1"/>
    <cellStyle name="Hyperlink" xfId="3426" builtinId="8" hidden="1"/>
    <cellStyle name="Hyperlink" xfId="3428" builtinId="8" hidden="1"/>
    <cellStyle name="Hyperlink" xfId="3430" builtinId="8" hidden="1"/>
    <cellStyle name="Hyperlink" xfId="3432" builtinId="8" hidden="1"/>
    <cellStyle name="Hyperlink" xfId="3434" builtinId="8" hidden="1"/>
    <cellStyle name="Hyperlink" xfId="3436" builtinId="8" hidden="1"/>
    <cellStyle name="Hyperlink" xfId="3438" builtinId="8" hidden="1"/>
    <cellStyle name="Hyperlink" xfId="3440" builtinId="8" hidden="1"/>
    <cellStyle name="Hyperlink" xfId="3442" builtinId="8" hidden="1"/>
    <cellStyle name="Hyperlink" xfId="3444" builtinId="8" hidden="1"/>
    <cellStyle name="Hyperlink" xfId="3446" builtinId="8" hidden="1"/>
    <cellStyle name="Hyperlink" xfId="3448" builtinId="8" hidden="1"/>
    <cellStyle name="Hyperlink" xfId="3450" builtinId="8" hidden="1"/>
    <cellStyle name="Hyperlink" xfId="3452" builtinId="8" hidden="1"/>
    <cellStyle name="Hyperlink" xfId="3454" builtinId="8" hidden="1"/>
    <cellStyle name="Hyperlink" xfId="3456" builtinId="8" hidden="1"/>
    <cellStyle name="Hyperlink" xfId="3458" builtinId="8" hidden="1"/>
    <cellStyle name="Hyperlink" xfId="3460" builtinId="8" hidden="1"/>
    <cellStyle name="Hyperlink" xfId="3462" builtinId="8" hidden="1"/>
    <cellStyle name="Hyperlink" xfId="3464" builtinId="8" hidden="1"/>
    <cellStyle name="Hyperlink" xfId="3466" builtinId="8" hidden="1"/>
    <cellStyle name="Hyperlink" xfId="3468" builtinId="8" hidden="1"/>
    <cellStyle name="Hyperlink" xfId="3470" builtinId="8" hidden="1"/>
    <cellStyle name="Hyperlink" xfId="3472" builtinId="8" hidden="1"/>
    <cellStyle name="Hyperlink" xfId="3474" builtinId="8" hidden="1"/>
    <cellStyle name="Hyperlink" xfId="3476" builtinId="8" hidden="1"/>
    <cellStyle name="Hyperlink" xfId="3478" builtinId="8" hidden="1"/>
    <cellStyle name="Hyperlink" xfId="3480" builtinId="8" hidden="1"/>
    <cellStyle name="Hyperlink" xfId="3482" builtinId="8" hidden="1"/>
    <cellStyle name="Hyperlink" xfId="3484" builtinId="8" hidden="1"/>
    <cellStyle name="Hyperlink" xfId="3486" builtinId="8" hidden="1"/>
    <cellStyle name="Hyperlink" xfId="3488" builtinId="8" hidden="1"/>
    <cellStyle name="Hyperlink" xfId="3490" builtinId="8" hidden="1"/>
    <cellStyle name="Hyperlink" xfId="3492" builtinId="8" hidden="1"/>
    <cellStyle name="Hyperlink" xfId="3494" builtinId="8" hidden="1"/>
    <cellStyle name="Hyperlink" xfId="3496" builtinId="8" hidden="1"/>
    <cellStyle name="Hyperlink" xfId="3498" builtinId="8" hidden="1"/>
    <cellStyle name="Hyperlink" xfId="3500" builtinId="8" hidden="1"/>
    <cellStyle name="Hyperlink" xfId="3502" builtinId="8" hidden="1"/>
    <cellStyle name="Hyperlink" xfId="3504" builtinId="8" hidden="1"/>
    <cellStyle name="Hyperlink" xfId="3506" builtinId="8" hidden="1"/>
    <cellStyle name="Hyperlink" xfId="3508" builtinId="8" hidden="1"/>
    <cellStyle name="Hyperlink" xfId="3510" builtinId="8" hidden="1"/>
    <cellStyle name="Hyperlink" xfId="3512" builtinId="8" hidden="1"/>
    <cellStyle name="Hyperlink" xfId="3514" builtinId="8" hidden="1"/>
    <cellStyle name="Hyperlink" xfId="3516" builtinId="8" hidden="1"/>
    <cellStyle name="Hyperlink" xfId="3518" builtinId="8" hidden="1"/>
    <cellStyle name="Hyperlink" xfId="3520" builtinId="8" hidden="1"/>
    <cellStyle name="Hyperlink" xfId="3522" builtinId="8" hidden="1"/>
    <cellStyle name="Hyperlink" xfId="3524" builtinId="8" hidden="1"/>
    <cellStyle name="Hyperlink" xfId="3526" builtinId="8" hidden="1"/>
    <cellStyle name="Hyperlink" xfId="3528" builtinId="8" hidden="1"/>
    <cellStyle name="Hyperlink" xfId="3530" builtinId="8" hidden="1"/>
    <cellStyle name="Hyperlink" xfId="3532" builtinId="8" hidden="1"/>
    <cellStyle name="Hyperlink" xfId="3534" builtinId="8" hidden="1"/>
    <cellStyle name="Hyperlink" xfId="3536" builtinId="8" hidden="1"/>
    <cellStyle name="Hyperlink" xfId="3538" builtinId="8" hidden="1"/>
    <cellStyle name="Hyperlink" xfId="3540" builtinId="8" hidden="1"/>
    <cellStyle name="Hyperlink" xfId="3542" builtinId="8" hidden="1"/>
    <cellStyle name="Hyperlink" xfId="3544" builtinId="8" hidden="1"/>
    <cellStyle name="Hyperlink" xfId="3546" builtinId="8" hidden="1"/>
    <cellStyle name="Hyperlink" xfId="3548" builtinId="8" hidden="1"/>
    <cellStyle name="Hyperlink" xfId="3550" builtinId="8" hidden="1"/>
    <cellStyle name="Hyperlink" xfId="3552" builtinId="8" hidden="1"/>
    <cellStyle name="Hyperlink" xfId="3554" builtinId="8" hidden="1"/>
    <cellStyle name="Hyperlink" xfId="3556" builtinId="8" hidden="1"/>
    <cellStyle name="Hyperlink" xfId="3558" builtinId="8" hidden="1"/>
    <cellStyle name="Hyperlink" xfId="3560" builtinId="8" hidden="1"/>
    <cellStyle name="Hyperlink" xfId="3562" builtinId="8" hidden="1"/>
    <cellStyle name="Hyperlink" xfId="3564" builtinId="8" hidden="1"/>
    <cellStyle name="Hyperlink" xfId="3566" builtinId="8" hidden="1"/>
    <cellStyle name="Hyperlink" xfId="3568" builtinId="8" hidden="1"/>
    <cellStyle name="Hyperlink" xfId="3570" builtinId="8" hidden="1"/>
    <cellStyle name="Hyperlink" xfId="3572" builtinId="8" hidden="1"/>
    <cellStyle name="Hyperlink" xfId="3574" builtinId="8" hidden="1"/>
    <cellStyle name="Hyperlink" xfId="3576" builtinId="8" hidden="1"/>
    <cellStyle name="Hyperlink" xfId="3578" builtinId="8" hidden="1"/>
    <cellStyle name="Hyperlink" xfId="3580" builtinId="8" hidden="1"/>
    <cellStyle name="Hyperlink" xfId="3582" builtinId="8" hidden="1"/>
    <cellStyle name="Hyperlink" xfId="3584" builtinId="8" hidden="1"/>
    <cellStyle name="Hyperlink" xfId="3586" builtinId="8" hidden="1"/>
    <cellStyle name="Hyperlink" xfId="3588" builtinId="8" hidden="1"/>
    <cellStyle name="Hyperlink" xfId="3590" builtinId="8" hidden="1"/>
    <cellStyle name="Hyperlink" xfId="3592" builtinId="8" hidden="1"/>
    <cellStyle name="Hyperlink" xfId="3594" builtinId="8" hidden="1"/>
    <cellStyle name="Hyperlink" xfId="3596" builtinId="8" hidden="1"/>
    <cellStyle name="Hyperlink" xfId="3598" builtinId="8" hidden="1"/>
    <cellStyle name="Hyperlink" xfId="3600" builtinId="8" hidden="1"/>
    <cellStyle name="Hyperlink" xfId="3602" builtinId="8" hidden="1"/>
    <cellStyle name="Hyperlink" xfId="3604" builtinId="8" hidden="1"/>
    <cellStyle name="Hyperlink" xfId="3606" builtinId="8" hidden="1"/>
    <cellStyle name="Hyperlink" xfId="3608" builtinId="8" hidden="1"/>
    <cellStyle name="Hyperlink" xfId="3610" builtinId="8" hidden="1"/>
    <cellStyle name="Hyperlink" xfId="3612" builtinId="8" hidden="1"/>
    <cellStyle name="Hyperlink" xfId="3614" builtinId="8" hidden="1"/>
    <cellStyle name="Hyperlink" xfId="3616" builtinId="8" hidden="1"/>
    <cellStyle name="Hyperlink" xfId="3618" builtinId="8" hidden="1"/>
    <cellStyle name="Hyperlink" xfId="3620" builtinId="8" hidden="1"/>
    <cellStyle name="Hyperlink" xfId="3622" builtinId="8" hidden="1"/>
    <cellStyle name="Hyperlink" xfId="3624" builtinId="8" hidden="1"/>
    <cellStyle name="Hyperlink" xfId="3626" builtinId="8" hidden="1"/>
    <cellStyle name="Hyperlink" xfId="3628" builtinId="8" hidden="1"/>
    <cellStyle name="Hyperlink" xfId="3630" builtinId="8" hidden="1"/>
    <cellStyle name="Hyperlink" xfId="3632" builtinId="8" hidden="1"/>
    <cellStyle name="Hyperlink" xfId="3634" builtinId="8" hidden="1"/>
    <cellStyle name="Hyperlink" xfId="3636" builtinId="8" hidden="1"/>
    <cellStyle name="Hyperlink" xfId="3638" builtinId="8" hidden="1"/>
    <cellStyle name="Hyperlink" xfId="3640" builtinId="8" hidden="1"/>
    <cellStyle name="Hyperlink" xfId="3642" builtinId="8" hidden="1"/>
    <cellStyle name="Hyperlink" xfId="3644" builtinId="8" hidden="1"/>
    <cellStyle name="Hyperlink" xfId="3646" builtinId="8" hidden="1"/>
    <cellStyle name="Hyperlink" xfId="3648" builtinId="8" hidden="1"/>
    <cellStyle name="Hyperlink" xfId="3650" builtinId="8" hidden="1"/>
    <cellStyle name="Hyperlink" xfId="3652" builtinId="8" hidden="1"/>
    <cellStyle name="Hyperlink" xfId="3654" builtinId="8" hidden="1"/>
    <cellStyle name="Hyperlink" xfId="3656" builtinId="8" hidden="1"/>
    <cellStyle name="Hyperlink" xfId="3658" builtinId="8" hidden="1"/>
    <cellStyle name="Hyperlink" xfId="3660" builtinId="8" hidden="1"/>
    <cellStyle name="Hyperlink" xfId="3662" builtinId="8" hidden="1"/>
    <cellStyle name="Hyperlink" xfId="3664" builtinId="8" hidden="1"/>
    <cellStyle name="Hyperlink" xfId="3666" builtinId="8" hidden="1"/>
    <cellStyle name="Hyperlink" xfId="3668" builtinId="8" hidden="1"/>
    <cellStyle name="Hyperlink" xfId="3670" builtinId="8" hidden="1"/>
    <cellStyle name="Hyperlink" xfId="3672" builtinId="8" hidden="1"/>
    <cellStyle name="Hyperlink" xfId="3674" builtinId="8" hidden="1"/>
    <cellStyle name="Hyperlink" xfId="3676" builtinId="8" hidden="1"/>
    <cellStyle name="Hyperlink" xfId="3678" builtinId="8" hidden="1"/>
    <cellStyle name="Hyperlink" xfId="3680" builtinId="8" hidden="1"/>
    <cellStyle name="Hyperlink" xfId="3682" builtinId="8" hidden="1"/>
    <cellStyle name="Hyperlink" xfId="3684" builtinId="8" hidden="1"/>
    <cellStyle name="Hyperlink" xfId="3686" builtinId="8" hidden="1"/>
    <cellStyle name="Hyperlink" xfId="3688" builtinId="8" hidden="1"/>
    <cellStyle name="Hyperlink" xfId="3690" builtinId="8" hidden="1"/>
    <cellStyle name="Hyperlink" xfId="3692" builtinId="8" hidden="1"/>
    <cellStyle name="Hyperlink" xfId="3694" builtinId="8" hidden="1"/>
    <cellStyle name="Hyperlink" xfId="3696" builtinId="8" hidden="1"/>
    <cellStyle name="Hyperlink" xfId="3698" builtinId="8" hidden="1"/>
    <cellStyle name="Hyperlink" xfId="3700" builtinId="8" hidden="1"/>
    <cellStyle name="Hyperlink" xfId="3702" builtinId="8" hidden="1"/>
    <cellStyle name="Hyperlink" xfId="3704" builtinId="8" hidden="1"/>
    <cellStyle name="Hyperlink" xfId="3706" builtinId="8" hidden="1"/>
    <cellStyle name="Hyperlink" xfId="3708" builtinId="8" hidden="1"/>
    <cellStyle name="Hyperlink" xfId="3710" builtinId="8" hidden="1"/>
    <cellStyle name="Hyperlink" xfId="3712" builtinId="8" hidden="1"/>
    <cellStyle name="Hyperlink" xfId="3714" builtinId="8" hidden="1"/>
    <cellStyle name="Hyperlink" xfId="3716" builtinId="8" hidden="1"/>
    <cellStyle name="Hyperlink" xfId="3718" builtinId="8" hidden="1"/>
    <cellStyle name="Hyperlink" xfId="3720" builtinId="8" hidden="1"/>
    <cellStyle name="Hyperlink" xfId="3722" builtinId="8" hidden="1"/>
    <cellStyle name="Hyperlink" xfId="3724" builtinId="8" hidden="1"/>
    <cellStyle name="Hyperlink" xfId="3726" builtinId="8" hidden="1"/>
    <cellStyle name="Hyperlink" xfId="3728" builtinId="8" hidden="1"/>
    <cellStyle name="Hyperlink" xfId="3730" builtinId="8" hidden="1"/>
    <cellStyle name="Hyperlink" xfId="3732" builtinId="8" hidden="1"/>
    <cellStyle name="Hyperlink" xfId="3734" builtinId="8" hidden="1"/>
    <cellStyle name="Hyperlink" xfId="3736" builtinId="8" hidden="1"/>
    <cellStyle name="Hyperlink" xfId="3738" builtinId="8" hidden="1"/>
    <cellStyle name="Hyperlink" xfId="3740" builtinId="8" hidden="1"/>
    <cellStyle name="Hyperlink" xfId="3742" builtinId="8" hidden="1"/>
    <cellStyle name="Hyperlink" xfId="3744" builtinId="8" hidden="1"/>
    <cellStyle name="Hyperlink" xfId="3746" builtinId="8" hidden="1"/>
    <cellStyle name="Hyperlink" xfId="3748" builtinId="8" hidden="1"/>
    <cellStyle name="Hyperlink" xfId="3750" builtinId="8" hidden="1"/>
    <cellStyle name="Hyperlink" xfId="3752" builtinId="8" hidden="1"/>
    <cellStyle name="Hyperlink" xfId="3754" builtinId="8" hidden="1"/>
    <cellStyle name="Hyperlink" xfId="3756" builtinId="8" hidden="1"/>
    <cellStyle name="Hyperlink" xfId="3758" builtinId="8" hidden="1"/>
    <cellStyle name="Hyperlink" xfId="3760" builtinId="8" hidden="1"/>
    <cellStyle name="Hyperlink" xfId="3762" builtinId="8" hidden="1"/>
    <cellStyle name="Hyperlink" xfId="3764" builtinId="8" hidden="1"/>
    <cellStyle name="Hyperlink" xfId="3766" builtinId="8" hidden="1"/>
    <cellStyle name="Hyperlink" xfId="3768" builtinId="8" hidden="1"/>
    <cellStyle name="Hyperlink" xfId="3770" builtinId="8" hidden="1"/>
    <cellStyle name="Hyperlink" xfId="3772" builtinId="8" hidden="1"/>
    <cellStyle name="Hyperlink" xfId="3774" builtinId="8" hidden="1"/>
    <cellStyle name="Hyperlink" xfId="3776" builtinId="8" hidden="1"/>
    <cellStyle name="Hyperlink" xfId="3778" builtinId="8" hidden="1"/>
    <cellStyle name="Hyperlink" xfId="3780" builtinId="8" hidden="1"/>
    <cellStyle name="Hyperlink" xfId="3782" builtinId="8" hidden="1"/>
    <cellStyle name="Hyperlink" xfId="3784" builtinId="8" hidden="1"/>
    <cellStyle name="Hyperlink" xfId="3786" builtinId="8" hidden="1"/>
    <cellStyle name="Hyperlink" xfId="3788" builtinId="8" hidden="1"/>
    <cellStyle name="Hyperlink" xfId="3790" builtinId="8" hidden="1"/>
    <cellStyle name="Hyperlink" xfId="3792" builtinId="8" hidden="1"/>
    <cellStyle name="Hyperlink" xfId="3794" builtinId="8" hidden="1"/>
    <cellStyle name="Hyperlink" xfId="3796" builtinId="8" hidden="1"/>
    <cellStyle name="Hyperlink" xfId="3798" builtinId="8" hidden="1"/>
    <cellStyle name="Hyperlink" xfId="3800" builtinId="8" hidden="1"/>
    <cellStyle name="Hyperlink" xfId="3802" builtinId="8" hidden="1"/>
    <cellStyle name="Hyperlink" xfId="3804" builtinId="8" hidden="1"/>
    <cellStyle name="Hyperlink" xfId="3806" builtinId="8" hidden="1"/>
    <cellStyle name="Hyperlink" xfId="3808" builtinId="8" hidden="1"/>
    <cellStyle name="Hyperlink" xfId="3810" builtinId="8" hidden="1"/>
    <cellStyle name="Hyperlink" xfId="3812" builtinId="8" hidden="1"/>
    <cellStyle name="Hyperlink" xfId="3814" builtinId="8" hidden="1"/>
    <cellStyle name="Hyperlink" xfId="3816" builtinId="8" hidden="1"/>
    <cellStyle name="Hyperlink" xfId="3818" builtinId="8" hidden="1"/>
    <cellStyle name="Hyperlink" xfId="3820" builtinId="8" hidden="1"/>
    <cellStyle name="Hyperlink" xfId="3822" builtinId="8" hidden="1"/>
    <cellStyle name="Normal" xfId="0" builtinId="0"/>
    <cellStyle name="Normal 12" xfId="1088"/>
    <cellStyle name="Percent" xfId="1" builtinId="5"/>
    <cellStyle name="Percent 2 2" xfId="1089"/>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46" Type="http://schemas.openxmlformats.org/officeDocument/2006/relationships/calcChain" Target="calcChain.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theme" Target="theme/theme1.xml"/><Relationship Id="rId44" Type="http://schemas.openxmlformats.org/officeDocument/2006/relationships/styles" Target="styles.xml"/><Relationship Id="rId4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Real GDP Growth, South Africa</a:t>
            </a:r>
          </a:p>
        </c:rich>
      </c:tx>
      <c:layout/>
      <c:overlay val="0"/>
    </c:title>
    <c:autoTitleDeleted val="0"/>
    <c:plotArea>
      <c:layout/>
      <c:barChart>
        <c:barDir val="col"/>
        <c:grouping val="clustered"/>
        <c:varyColors val="0"/>
        <c:ser>
          <c:idx val="0"/>
          <c:order val="0"/>
          <c:spPr>
            <a:solidFill>
              <a:schemeClr val="accent1">
                <a:lumMod val="40000"/>
                <a:lumOff val="60000"/>
              </a:schemeClr>
            </a:solidFill>
          </c:spPr>
          <c:invertIfNegative val="0"/>
          <c:dPt>
            <c:idx val="7"/>
            <c:invertIfNegative val="0"/>
            <c:bubble3D val="0"/>
            <c:spPr>
              <a:solidFill>
                <a:schemeClr val="tx2">
                  <a:lumMod val="50000"/>
                </a:schemeClr>
              </a:solidFill>
            </c:spPr>
          </c:dPt>
          <c:dPt>
            <c:idx val="8"/>
            <c:invertIfNegative val="0"/>
            <c:bubble3D val="0"/>
            <c:spPr>
              <a:solidFill>
                <a:srgbClr val="10253F"/>
              </a:solidFill>
            </c:spPr>
          </c:dPt>
          <c:dPt>
            <c:idx val="9"/>
            <c:invertIfNegative val="0"/>
            <c:bubble3D val="0"/>
            <c:spPr>
              <a:solidFill>
                <a:srgbClr val="10253F"/>
              </a:solidFill>
            </c:spPr>
          </c:dPt>
          <c:dLbls>
            <c:txPr>
              <a:bodyPr/>
              <a:lstStyle/>
              <a:p>
                <a:pPr>
                  <a:defRPr sz="1200" b="1"/>
                </a:pPr>
                <a:endParaRPr lang="en-US"/>
              </a:p>
            </c:txPr>
            <c:showLegendKey val="0"/>
            <c:showVal val="1"/>
            <c:showCatName val="0"/>
            <c:showSerName val="0"/>
            <c:showPercent val="0"/>
            <c:showBubbleSize val="0"/>
            <c:showLeaderLines val="0"/>
          </c:dLbls>
          <c:cat>
            <c:strRef>
              <c:f>'1c. GDP Growth Analysis'!$E$4:$N$4</c:f>
              <c:strCache>
                <c:ptCount val="10"/>
                <c:pt idx="0">
                  <c:v>2009A</c:v>
                </c:pt>
                <c:pt idx="1">
                  <c:v>2010A</c:v>
                </c:pt>
                <c:pt idx="2">
                  <c:v>2011A</c:v>
                </c:pt>
                <c:pt idx="3">
                  <c:v>2012A</c:v>
                </c:pt>
                <c:pt idx="4">
                  <c:v>2013A</c:v>
                </c:pt>
                <c:pt idx="5">
                  <c:v>2014A</c:v>
                </c:pt>
                <c:pt idx="6">
                  <c:v>2015A</c:v>
                </c:pt>
                <c:pt idx="7">
                  <c:v>2016E</c:v>
                </c:pt>
                <c:pt idx="8">
                  <c:v>2017E</c:v>
                </c:pt>
                <c:pt idx="9">
                  <c:v>2018E</c:v>
                </c:pt>
              </c:strCache>
            </c:strRef>
          </c:cat>
          <c:val>
            <c:numRef>
              <c:f>'1c. GDP Growth Analysis'!$E$8:$N$8</c:f>
              <c:numCache>
                <c:formatCode>0.0%</c:formatCode>
                <c:ptCount val="10"/>
                <c:pt idx="0">
                  <c:v>-0.015</c:v>
                </c:pt>
                <c:pt idx="1">
                  <c:v>0.03</c:v>
                </c:pt>
                <c:pt idx="2">
                  <c:v>0.032</c:v>
                </c:pt>
                <c:pt idx="3">
                  <c:v>0.022</c:v>
                </c:pt>
                <c:pt idx="4">
                  <c:v>0.022</c:v>
                </c:pt>
                <c:pt idx="5">
                  <c:v>0.015</c:v>
                </c:pt>
                <c:pt idx="6">
                  <c:v>0.013</c:v>
                </c:pt>
                <c:pt idx="7">
                  <c:v>0.014</c:v>
                </c:pt>
                <c:pt idx="8">
                  <c:v>0.016</c:v>
                </c:pt>
                <c:pt idx="9">
                  <c:v>0.016</c:v>
                </c:pt>
              </c:numCache>
            </c:numRef>
          </c:val>
        </c:ser>
        <c:dLbls>
          <c:showLegendKey val="0"/>
          <c:showVal val="0"/>
          <c:showCatName val="0"/>
          <c:showSerName val="0"/>
          <c:showPercent val="0"/>
          <c:showBubbleSize val="0"/>
        </c:dLbls>
        <c:gapWidth val="150"/>
        <c:axId val="-2114592904"/>
        <c:axId val="-2114960152"/>
      </c:barChart>
      <c:catAx>
        <c:axId val="-2114592904"/>
        <c:scaling>
          <c:orientation val="minMax"/>
        </c:scaling>
        <c:delete val="0"/>
        <c:axPos val="b"/>
        <c:majorTickMark val="out"/>
        <c:minorTickMark val="none"/>
        <c:tickLblPos val="nextTo"/>
        <c:crossAx val="-2114960152"/>
        <c:crosses val="autoZero"/>
        <c:auto val="1"/>
        <c:lblAlgn val="ctr"/>
        <c:lblOffset val="100"/>
        <c:noMultiLvlLbl val="0"/>
      </c:catAx>
      <c:valAx>
        <c:axId val="-2114960152"/>
        <c:scaling>
          <c:orientation val="minMax"/>
        </c:scaling>
        <c:delete val="0"/>
        <c:axPos val="l"/>
        <c:majorGridlines/>
        <c:numFmt formatCode="0.0%" sourceLinked="1"/>
        <c:majorTickMark val="out"/>
        <c:minorTickMark val="none"/>
        <c:tickLblPos val="nextTo"/>
        <c:crossAx val="-2114592904"/>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CCS Revenue</a:t>
            </a:r>
            <a:r>
              <a:rPr lang="en-US" sz="1600" baseline="0"/>
              <a:t> Growth (%)</a:t>
            </a:r>
            <a:endParaRPr lang="en-US" sz="1600"/>
          </a:p>
        </c:rich>
      </c:tx>
      <c:layout/>
      <c:overlay val="0"/>
    </c:title>
    <c:autoTitleDeleted val="0"/>
    <c:plotArea>
      <c:layout/>
      <c:barChart>
        <c:barDir val="col"/>
        <c:grouping val="clustered"/>
        <c:varyColors val="0"/>
        <c:ser>
          <c:idx val="0"/>
          <c:order val="0"/>
          <c:spPr>
            <a:solidFill>
              <a:srgbClr val="10253F"/>
            </a:solidFill>
          </c:spPr>
          <c:invertIfNegative val="0"/>
          <c:dPt>
            <c:idx val="0"/>
            <c:invertIfNegative val="0"/>
            <c:bubble3D val="0"/>
            <c:spPr>
              <a:solidFill>
                <a:srgbClr val="C6D9F1"/>
              </a:solidFill>
            </c:spPr>
          </c:dPt>
          <c:dPt>
            <c:idx val="1"/>
            <c:invertIfNegative val="0"/>
            <c:bubble3D val="0"/>
            <c:spPr>
              <a:solidFill>
                <a:srgbClr val="C6D9F1"/>
              </a:solidFill>
            </c:spPr>
          </c:dPt>
          <c:dPt>
            <c:idx val="2"/>
            <c:invertIfNegative val="0"/>
            <c:bubble3D val="0"/>
            <c:spPr>
              <a:solidFill>
                <a:schemeClr val="tx2">
                  <a:lumMod val="20000"/>
                  <a:lumOff val="80000"/>
                </a:schemeClr>
              </a:solidFill>
            </c:spPr>
          </c:dPt>
          <c:dLbls>
            <c:txPr>
              <a:bodyPr/>
              <a:lstStyle/>
              <a:p>
                <a:pPr>
                  <a:defRPr sz="1200" b="1"/>
                </a:pPr>
                <a:endParaRPr lang="en-US"/>
              </a:p>
            </c:txPr>
            <c:showLegendKey val="0"/>
            <c:showVal val="1"/>
            <c:showCatName val="0"/>
            <c:showSerName val="0"/>
            <c:showPercent val="0"/>
            <c:showBubbleSize val="0"/>
            <c:showLeaderLines val="0"/>
          </c:dLbls>
          <c:cat>
            <c:strRef>
              <c:f>'3c. Commercial Cold Stor Div.'!$L$4:$T$4</c:f>
              <c:strCache>
                <c:ptCount val="9"/>
                <c:pt idx="0">
                  <c:v>2012A</c:v>
                </c:pt>
                <c:pt idx="1">
                  <c:v>2013A</c:v>
                </c:pt>
                <c:pt idx="2">
                  <c:v>2014A</c:v>
                </c:pt>
                <c:pt idx="3">
                  <c:v>2015A</c:v>
                </c:pt>
                <c:pt idx="4">
                  <c:v>2016E</c:v>
                </c:pt>
                <c:pt idx="5">
                  <c:v>2017E</c:v>
                </c:pt>
                <c:pt idx="6">
                  <c:v>2018E</c:v>
                </c:pt>
                <c:pt idx="7">
                  <c:v>2019E</c:v>
                </c:pt>
                <c:pt idx="8">
                  <c:v>2020E</c:v>
                </c:pt>
              </c:strCache>
            </c:strRef>
          </c:cat>
          <c:val>
            <c:numRef>
              <c:f>'3c. Commercial Cold Stor Div.'!$L$6:$T$6</c:f>
              <c:numCache>
                <c:formatCode>0%</c:formatCode>
                <c:ptCount val="9"/>
                <c:pt idx="0">
                  <c:v>0.283481579683751</c:v>
                </c:pt>
                <c:pt idx="1">
                  <c:v>0.166303298902748</c:v>
                </c:pt>
                <c:pt idx="2">
                  <c:v>0.0532330227997058</c:v>
                </c:pt>
                <c:pt idx="3">
                  <c:v>0.334242095370551</c:v>
                </c:pt>
                <c:pt idx="4">
                  <c:v>0.0920000000000001</c:v>
                </c:pt>
                <c:pt idx="5">
                  <c:v>0.0867499999999999</c:v>
                </c:pt>
                <c:pt idx="6">
                  <c:v>0.0712000000000001</c:v>
                </c:pt>
                <c:pt idx="7">
                  <c:v>0.0659999999999998</c:v>
                </c:pt>
                <c:pt idx="8">
                  <c:v>0.0608</c:v>
                </c:pt>
              </c:numCache>
            </c:numRef>
          </c:val>
        </c:ser>
        <c:dLbls>
          <c:showLegendKey val="0"/>
          <c:showVal val="0"/>
          <c:showCatName val="0"/>
          <c:showSerName val="0"/>
          <c:showPercent val="0"/>
          <c:showBubbleSize val="0"/>
        </c:dLbls>
        <c:gapWidth val="150"/>
        <c:axId val="-2109948280"/>
        <c:axId val="2139765576"/>
      </c:barChart>
      <c:catAx>
        <c:axId val="-2109948280"/>
        <c:scaling>
          <c:orientation val="minMax"/>
        </c:scaling>
        <c:delete val="0"/>
        <c:axPos val="b"/>
        <c:majorTickMark val="out"/>
        <c:minorTickMark val="none"/>
        <c:tickLblPos val="nextTo"/>
        <c:crossAx val="2139765576"/>
        <c:crosses val="autoZero"/>
        <c:auto val="1"/>
        <c:lblAlgn val="ctr"/>
        <c:lblOffset val="100"/>
        <c:noMultiLvlLbl val="0"/>
      </c:catAx>
      <c:valAx>
        <c:axId val="2139765576"/>
        <c:scaling>
          <c:orientation val="minMax"/>
        </c:scaling>
        <c:delete val="0"/>
        <c:axPos val="l"/>
        <c:majorGridlines/>
        <c:numFmt formatCode="0%" sourceLinked="1"/>
        <c:majorTickMark val="out"/>
        <c:minorTickMark val="none"/>
        <c:tickLblPos val="nextTo"/>
        <c:crossAx val="-2109948280"/>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CCS EBIT Margin (%)</a:t>
            </a:r>
          </a:p>
        </c:rich>
      </c:tx>
      <c:layout/>
      <c:overlay val="0"/>
    </c:title>
    <c:autoTitleDeleted val="0"/>
    <c:plotArea>
      <c:layout/>
      <c:barChart>
        <c:barDir val="col"/>
        <c:grouping val="clustered"/>
        <c:varyColors val="0"/>
        <c:ser>
          <c:idx val="0"/>
          <c:order val="0"/>
          <c:spPr>
            <a:solidFill>
              <a:schemeClr val="tx2">
                <a:lumMod val="50000"/>
              </a:schemeClr>
            </a:solidFill>
          </c:spPr>
          <c:invertIfNegative val="0"/>
          <c:dPt>
            <c:idx val="0"/>
            <c:invertIfNegative val="0"/>
            <c:bubble3D val="0"/>
            <c:spPr>
              <a:solidFill>
                <a:srgbClr val="C6D9F1"/>
              </a:solidFill>
            </c:spPr>
          </c:dPt>
          <c:dPt>
            <c:idx val="1"/>
            <c:invertIfNegative val="0"/>
            <c:bubble3D val="0"/>
            <c:spPr>
              <a:solidFill>
                <a:srgbClr val="C6D9F1"/>
              </a:solidFill>
            </c:spPr>
          </c:dPt>
          <c:dPt>
            <c:idx val="2"/>
            <c:invertIfNegative val="0"/>
            <c:bubble3D val="0"/>
            <c:spPr>
              <a:solidFill>
                <a:srgbClr val="C6D9F1"/>
              </a:solidFill>
            </c:spPr>
          </c:dPt>
          <c:dLbls>
            <c:txPr>
              <a:bodyPr/>
              <a:lstStyle/>
              <a:p>
                <a:pPr>
                  <a:defRPr sz="1200" b="1"/>
                </a:pPr>
                <a:endParaRPr lang="en-US"/>
              </a:p>
            </c:txPr>
            <c:showLegendKey val="0"/>
            <c:showVal val="1"/>
            <c:showCatName val="0"/>
            <c:showSerName val="0"/>
            <c:showPercent val="0"/>
            <c:showBubbleSize val="0"/>
            <c:showLeaderLines val="0"/>
          </c:dLbls>
          <c:cat>
            <c:strRef>
              <c:f>'3c. Commercial Cold Stor Div.'!$L$4:$T$4</c:f>
              <c:strCache>
                <c:ptCount val="9"/>
                <c:pt idx="0">
                  <c:v>2012A</c:v>
                </c:pt>
                <c:pt idx="1">
                  <c:v>2013A</c:v>
                </c:pt>
                <c:pt idx="2">
                  <c:v>2014A</c:v>
                </c:pt>
                <c:pt idx="3">
                  <c:v>2015A</c:v>
                </c:pt>
                <c:pt idx="4">
                  <c:v>2016E</c:v>
                </c:pt>
                <c:pt idx="5">
                  <c:v>2017E</c:v>
                </c:pt>
                <c:pt idx="6">
                  <c:v>2018E</c:v>
                </c:pt>
                <c:pt idx="7">
                  <c:v>2019E</c:v>
                </c:pt>
                <c:pt idx="8">
                  <c:v>2020E</c:v>
                </c:pt>
              </c:strCache>
            </c:strRef>
          </c:cat>
          <c:val>
            <c:numRef>
              <c:f>'3c. Commercial Cold Stor Div.'!$L$13:$T$13</c:f>
              <c:numCache>
                <c:formatCode>0%</c:formatCode>
                <c:ptCount val="9"/>
                <c:pt idx="0">
                  <c:v>0.235776832624468</c:v>
                </c:pt>
                <c:pt idx="1">
                  <c:v>0.253732532483452</c:v>
                </c:pt>
                <c:pt idx="2">
                  <c:v>0.309912101277019</c:v>
                </c:pt>
                <c:pt idx="3">
                  <c:v>0.256331135908166</c:v>
                </c:pt>
                <c:pt idx="4">
                  <c:v>0.256331135908166</c:v>
                </c:pt>
                <c:pt idx="5">
                  <c:v>0.256331135908166</c:v>
                </c:pt>
                <c:pt idx="6">
                  <c:v>0.256331135908166</c:v>
                </c:pt>
                <c:pt idx="7">
                  <c:v>0.256331135908166</c:v>
                </c:pt>
                <c:pt idx="8">
                  <c:v>0.256331135908166</c:v>
                </c:pt>
              </c:numCache>
            </c:numRef>
          </c:val>
        </c:ser>
        <c:dLbls>
          <c:showLegendKey val="0"/>
          <c:showVal val="0"/>
          <c:showCatName val="0"/>
          <c:showSerName val="0"/>
          <c:showPercent val="0"/>
          <c:showBubbleSize val="0"/>
        </c:dLbls>
        <c:gapWidth val="150"/>
        <c:axId val="-2107859864"/>
        <c:axId val="-2107856888"/>
      </c:barChart>
      <c:catAx>
        <c:axId val="-2107859864"/>
        <c:scaling>
          <c:orientation val="minMax"/>
        </c:scaling>
        <c:delete val="0"/>
        <c:axPos val="b"/>
        <c:majorTickMark val="out"/>
        <c:minorTickMark val="none"/>
        <c:tickLblPos val="nextTo"/>
        <c:crossAx val="-2107856888"/>
        <c:crosses val="autoZero"/>
        <c:auto val="1"/>
        <c:lblAlgn val="ctr"/>
        <c:lblOffset val="100"/>
        <c:noMultiLvlLbl val="0"/>
      </c:catAx>
      <c:valAx>
        <c:axId val="-2107856888"/>
        <c:scaling>
          <c:orientation val="minMax"/>
        </c:scaling>
        <c:delete val="0"/>
        <c:axPos val="l"/>
        <c:majorGridlines/>
        <c:numFmt formatCode="0%" sourceLinked="1"/>
        <c:majorTickMark val="out"/>
        <c:minorTickMark val="none"/>
        <c:tickLblPos val="nextTo"/>
        <c:crossAx val="-2107859864"/>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Daybrook</a:t>
            </a:r>
            <a:r>
              <a:rPr lang="en-US" sz="1600" baseline="0"/>
              <a:t> Revenues Growth (%)</a:t>
            </a:r>
            <a:endParaRPr lang="en-US" sz="1600"/>
          </a:p>
        </c:rich>
      </c:tx>
      <c:layout/>
      <c:overlay val="0"/>
    </c:title>
    <c:autoTitleDeleted val="0"/>
    <c:plotArea>
      <c:layout/>
      <c:barChart>
        <c:barDir val="col"/>
        <c:grouping val="clustered"/>
        <c:varyColors val="0"/>
        <c:ser>
          <c:idx val="0"/>
          <c:order val="0"/>
          <c:spPr>
            <a:solidFill>
              <a:srgbClr val="DCE6F2"/>
            </a:solidFill>
          </c:spPr>
          <c:invertIfNegative val="0"/>
          <c:dPt>
            <c:idx val="3"/>
            <c:invertIfNegative val="0"/>
            <c:bubble3D val="0"/>
            <c:spPr>
              <a:solidFill>
                <a:srgbClr val="10253F"/>
              </a:solidFill>
            </c:spPr>
          </c:dPt>
          <c:dPt>
            <c:idx val="4"/>
            <c:invertIfNegative val="0"/>
            <c:bubble3D val="0"/>
            <c:spPr>
              <a:solidFill>
                <a:srgbClr val="10253F"/>
              </a:solidFill>
            </c:spPr>
          </c:dPt>
          <c:dPt>
            <c:idx val="5"/>
            <c:invertIfNegative val="0"/>
            <c:bubble3D val="0"/>
            <c:spPr>
              <a:solidFill>
                <a:srgbClr val="10253F"/>
              </a:solidFill>
            </c:spPr>
          </c:dPt>
          <c:dPt>
            <c:idx val="6"/>
            <c:invertIfNegative val="0"/>
            <c:bubble3D val="0"/>
            <c:spPr>
              <a:solidFill>
                <a:srgbClr val="10253F"/>
              </a:solidFill>
            </c:spPr>
          </c:dPt>
          <c:dPt>
            <c:idx val="7"/>
            <c:invertIfNegative val="0"/>
            <c:bubble3D val="0"/>
            <c:spPr>
              <a:solidFill>
                <a:srgbClr val="10253F"/>
              </a:solidFill>
            </c:spPr>
          </c:dPt>
          <c:dLbls>
            <c:txPr>
              <a:bodyPr/>
              <a:lstStyle/>
              <a:p>
                <a:pPr>
                  <a:defRPr sz="1200" b="1"/>
                </a:pPr>
                <a:endParaRPr lang="en-US"/>
              </a:p>
            </c:txPr>
            <c:showLegendKey val="0"/>
            <c:showVal val="1"/>
            <c:showCatName val="0"/>
            <c:showSerName val="0"/>
            <c:showPercent val="0"/>
            <c:showBubbleSize val="0"/>
            <c:showLeaderLines val="0"/>
          </c:dLbls>
          <c:cat>
            <c:strRef>
              <c:f>'3d. Daybrook'!$I$4:$P$4</c:f>
              <c:strCache>
                <c:ptCount val="8"/>
                <c:pt idx="0">
                  <c:v>2013A</c:v>
                </c:pt>
                <c:pt idx="1">
                  <c:v>2014A</c:v>
                </c:pt>
                <c:pt idx="2">
                  <c:v>2015E</c:v>
                </c:pt>
                <c:pt idx="3">
                  <c:v>2016E</c:v>
                </c:pt>
                <c:pt idx="4">
                  <c:v>2017E</c:v>
                </c:pt>
                <c:pt idx="5">
                  <c:v>2018E</c:v>
                </c:pt>
                <c:pt idx="6">
                  <c:v>2019E</c:v>
                </c:pt>
                <c:pt idx="7">
                  <c:v>2020E</c:v>
                </c:pt>
              </c:strCache>
            </c:strRef>
          </c:cat>
          <c:val>
            <c:numRef>
              <c:f>'3d. Daybrook'!$I$6:$P$6</c:f>
              <c:numCache>
                <c:formatCode>0%</c:formatCode>
                <c:ptCount val="8"/>
                <c:pt idx="0">
                  <c:v>0.0734331261564738</c:v>
                </c:pt>
                <c:pt idx="1">
                  <c:v>0.369970938905402</c:v>
                </c:pt>
                <c:pt idx="2">
                  <c:v>0.069564806589028</c:v>
                </c:pt>
                <c:pt idx="3">
                  <c:v>0.05</c:v>
                </c:pt>
                <c:pt idx="4">
                  <c:v>0.0451999999999999</c:v>
                </c:pt>
                <c:pt idx="5">
                  <c:v>0.0403</c:v>
                </c:pt>
                <c:pt idx="6">
                  <c:v>0.0353000000000001</c:v>
                </c:pt>
                <c:pt idx="7">
                  <c:v>0.0302</c:v>
                </c:pt>
              </c:numCache>
            </c:numRef>
          </c:val>
        </c:ser>
        <c:dLbls>
          <c:showLegendKey val="0"/>
          <c:showVal val="1"/>
          <c:showCatName val="0"/>
          <c:showSerName val="0"/>
          <c:showPercent val="0"/>
          <c:showBubbleSize val="0"/>
        </c:dLbls>
        <c:gapWidth val="150"/>
        <c:axId val="-2107726136"/>
        <c:axId val="-2107713848"/>
      </c:barChart>
      <c:catAx>
        <c:axId val="-2107726136"/>
        <c:scaling>
          <c:orientation val="minMax"/>
        </c:scaling>
        <c:delete val="0"/>
        <c:axPos val="b"/>
        <c:majorTickMark val="out"/>
        <c:minorTickMark val="none"/>
        <c:tickLblPos val="nextTo"/>
        <c:spPr>
          <a:ln>
            <a:noFill/>
          </a:ln>
        </c:spPr>
        <c:crossAx val="-2107713848"/>
        <c:crosses val="autoZero"/>
        <c:auto val="1"/>
        <c:lblAlgn val="ctr"/>
        <c:lblOffset val="100"/>
        <c:noMultiLvlLbl val="0"/>
      </c:catAx>
      <c:valAx>
        <c:axId val="-2107713848"/>
        <c:scaling>
          <c:orientation val="minMax"/>
        </c:scaling>
        <c:delete val="0"/>
        <c:axPos val="l"/>
        <c:majorGridlines/>
        <c:numFmt formatCode="0%" sourceLinked="1"/>
        <c:majorTickMark val="out"/>
        <c:minorTickMark val="none"/>
        <c:tickLblPos val="nextTo"/>
        <c:crossAx val="-2107726136"/>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Daybrook</a:t>
            </a:r>
            <a:r>
              <a:rPr lang="en-US" sz="1600" baseline="0"/>
              <a:t> EBIT Margin (%)</a:t>
            </a:r>
            <a:endParaRPr lang="en-US" sz="1600"/>
          </a:p>
        </c:rich>
      </c:tx>
      <c:overlay val="0"/>
    </c:title>
    <c:autoTitleDeleted val="0"/>
    <c:plotArea>
      <c:layout/>
      <c:barChart>
        <c:barDir val="col"/>
        <c:grouping val="clustered"/>
        <c:varyColors val="0"/>
        <c:ser>
          <c:idx val="0"/>
          <c:order val="0"/>
          <c:spPr>
            <a:solidFill>
              <a:srgbClr val="10253F"/>
            </a:solidFill>
            <a:ln>
              <a:noFill/>
            </a:ln>
          </c:spPr>
          <c:invertIfNegative val="0"/>
          <c:dPt>
            <c:idx val="0"/>
            <c:invertIfNegative val="0"/>
            <c:bubble3D val="0"/>
            <c:spPr>
              <a:solidFill>
                <a:srgbClr val="DCE6F2"/>
              </a:solidFill>
              <a:ln>
                <a:noFill/>
              </a:ln>
            </c:spPr>
          </c:dPt>
          <c:dPt>
            <c:idx val="1"/>
            <c:invertIfNegative val="0"/>
            <c:bubble3D val="0"/>
            <c:spPr>
              <a:solidFill>
                <a:srgbClr val="DCE6F2"/>
              </a:solidFill>
              <a:ln>
                <a:noFill/>
              </a:ln>
            </c:spPr>
          </c:dPt>
          <c:dPt>
            <c:idx val="2"/>
            <c:invertIfNegative val="0"/>
            <c:bubble3D val="0"/>
            <c:spPr>
              <a:solidFill>
                <a:srgbClr val="DCE6F2"/>
              </a:solidFill>
              <a:ln>
                <a:noFill/>
              </a:ln>
            </c:spPr>
          </c:dPt>
          <c:dLbls>
            <c:txPr>
              <a:bodyPr/>
              <a:lstStyle/>
              <a:p>
                <a:pPr>
                  <a:defRPr sz="1200" b="1"/>
                </a:pPr>
                <a:endParaRPr lang="en-US"/>
              </a:p>
            </c:txPr>
            <c:showLegendKey val="0"/>
            <c:showVal val="1"/>
            <c:showCatName val="0"/>
            <c:showSerName val="0"/>
            <c:showPercent val="0"/>
            <c:showBubbleSize val="0"/>
            <c:showLeaderLines val="0"/>
          </c:dLbls>
          <c:cat>
            <c:strRef>
              <c:f>'3d. Daybrook'!$I$4:$P$4</c:f>
              <c:strCache>
                <c:ptCount val="8"/>
                <c:pt idx="0">
                  <c:v>2013A</c:v>
                </c:pt>
                <c:pt idx="1">
                  <c:v>2014A</c:v>
                </c:pt>
                <c:pt idx="2">
                  <c:v>2015E</c:v>
                </c:pt>
                <c:pt idx="3">
                  <c:v>2016E</c:v>
                </c:pt>
                <c:pt idx="4">
                  <c:v>2017E</c:v>
                </c:pt>
                <c:pt idx="5">
                  <c:v>2018E</c:v>
                </c:pt>
                <c:pt idx="6">
                  <c:v>2019E</c:v>
                </c:pt>
                <c:pt idx="7">
                  <c:v>2020E</c:v>
                </c:pt>
              </c:strCache>
            </c:strRef>
          </c:cat>
          <c:val>
            <c:numRef>
              <c:f>'3d. Daybrook'!$I$30:$P$30</c:f>
              <c:numCache>
                <c:formatCode>0%</c:formatCode>
                <c:ptCount val="8"/>
                <c:pt idx="0">
                  <c:v>0.306312776936762</c:v>
                </c:pt>
                <c:pt idx="1">
                  <c:v>0.300505722651051</c:v>
                </c:pt>
                <c:pt idx="2">
                  <c:v>0.31</c:v>
                </c:pt>
                <c:pt idx="3">
                  <c:v>0.3</c:v>
                </c:pt>
                <c:pt idx="4">
                  <c:v>0.295</c:v>
                </c:pt>
                <c:pt idx="5">
                  <c:v>0.295</c:v>
                </c:pt>
                <c:pt idx="6">
                  <c:v>0.295</c:v>
                </c:pt>
                <c:pt idx="7">
                  <c:v>0.295</c:v>
                </c:pt>
              </c:numCache>
            </c:numRef>
          </c:val>
        </c:ser>
        <c:dLbls>
          <c:showLegendKey val="0"/>
          <c:showVal val="0"/>
          <c:showCatName val="0"/>
          <c:showSerName val="0"/>
          <c:showPercent val="0"/>
          <c:showBubbleSize val="0"/>
        </c:dLbls>
        <c:gapWidth val="150"/>
        <c:axId val="-2125014552"/>
        <c:axId val="2139908936"/>
      </c:barChart>
      <c:catAx>
        <c:axId val="-2125014552"/>
        <c:scaling>
          <c:orientation val="minMax"/>
        </c:scaling>
        <c:delete val="0"/>
        <c:axPos val="b"/>
        <c:majorTickMark val="out"/>
        <c:minorTickMark val="none"/>
        <c:tickLblPos val="nextTo"/>
        <c:crossAx val="2139908936"/>
        <c:crosses val="autoZero"/>
        <c:auto val="1"/>
        <c:lblAlgn val="ctr"/>
        <c:lblOffset val="100"/>
        <c:noMultiLvlLbl val="0"/>
      </c:catAx>
      <c:valAx>
        <c:axId val="2139908936"/>
        <c:scaling>
          <c:orientation val="minMax"/>
          <c:max val="0.4"/>
          <c:min val="0.0"/>
        </c:scaling>
        <c:delete val="0"/>
        <c:axPos val="l"/>
        <c:majorGridlines/>
        <c:numFmt formatCode="0%" sourceLinked="1"/>
        <c:majorTickMark val="out"/>
        <c:minorTickMark val="none"/>
        <c:tickLblPos val="nextTo"/>
        <c:crossAx val="-2125014552"/>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c:spPr>
          <c:marker>
            <c:symbol val="none"/>
          </c:marker>
          <c:cat>
            <c:numRef>
              <c:f>'3f. Exchange Rate USDZAR'!$A$10:$A$2616</c:f>
              <c:numCache>
                <c:formatCode>m/d/yy</c:formatCode>
                <c:ptCount val="2607"/>
                <c:pt idx="0">
                  <c:v>42494.0</c:v>
                </c:pt>
                <c:pt idx="1">
                  <c:v>42493.0</c:v>
                </c:pt>
                <c:pt idx="2">
                  <c:v>42492.0</c:v>
                </c:pt>
                <c:pt idx="3">
                  <c:v>42489.0</c:v>
                </c:pt>
                <c:pt idx="4">
                  <c:v>42488.0</c:v>
                </c:pt>
                <c:pt idx="5">
                  <c:v>42487.0</c:v>
                </c:pt>
                <c:pt idx="6">
                  <c:v>42486.0</c:v>
                </c:pt>
                <c:pt idx="7">
                  <c:v>42485.0</c:v>
                </c:pt>
                <c:pt idx="8">
                  <c:v>42482.0</c:v>
                </c:pt>
                <c:pt idx="9">
                  <c:v>42481.0</c:v>
                </c:pt>
                <c:pt idx="10">
                  <c:v>42480.0</c:v>
                </c:pt>
                <c:pt idx="11">
                  <c:v>42479.0</c:v>
                </c:pt>
                <c:pt idx="12">
                  <c:v>42478.0</c:v>
                </c:pt>
                <c:pt idx="13">
                  <c:v>42475.0</c:v>
                </c:pt>
                <c:pt idx="14">
                  <c:v>42474.0</c:v>
                </c:pt>
                <c:pt idx="15">
                  <c:v>42473.0</c:v>
                </c:pt>
                <c:pt idx="16">
                  <c:v>42472.0</c:v>
                </c:pt>
                <c:pt idx="17">
                  <c:v>42471.0</c:v>
                </c:pt>
                <c:pt idx="18">
                  <c:v>42468.0</c:v>
                </c:pt>
                <c:pt idx="19">
                  <c:v>42467.0</c:v>
                </c:pt>
                <c:pt idx="20">
                  <c:v>42466.0</c:v>
                </c:pt>
                <c:pt idx="21">
                  <c:v>42465.0</c:v>
                </c:pt>
                <c:pt idx="22">
                  <c:v>42464.0</c:v>
                </c:pt>
                <c:pt idx="23">
                  <c:v>42461.0</c:v>
                </c:pt>
                <c:pt idx="24">
                  <c:v>42460.0</c:v>
                </c:pt>
                <c:pt idx="25">
                  <c:v>42459.0</c:v>
                </c:pt>
                <c:pt idx="26">
                  <c:v>42458.0</c:v>
                </c:pt>
                <c:pt idx="27">
                  <c:v>42457.0</c:v>
                </c:pt>
                <c:pt idx="28">
                  <c:v>42454.0</c:v>
                </c:pt>
                <c:pt idx="29">
                  <c:v>42453.0</c:v>
                </c:pt>
                <c:pt idx="30">
                  <c:v>42452.0</c:v>
                </c:pt>
                <c:pt idx="31">
                  <c:v>42451.0</c:v>
                </c:pt>
                <c:pt idx="32">
                  <c:v>42450.0</c:v>
                </c:pt>
                <c:pt idx="33">
                  <c:v>42447.0</c:v>
                </c:pt>
                <c:pt idx="34">
                  <c:v>42446.0</c:v>
                </c:pt>
                <c:pt idx="35">
                  <c:v>42445.0</c:v>
                </c:pt>
                <c:pt idx="36">
                  <c:v>42444.0</c:v>
                </c:pt>
                <c:pt idx="37">
                  <c:v>42443.0</c:v>
                </c:pt>
                <c:pt idx="38">
                  <c:v>42440.0</c:v>
                </c:pt>
                <c:pt idx="39">
                  <c:v>42439.0</c:v>
                </c:pt>
                <c:pt idx="40">
                  <c:v>42438.0</c:v>
                </c:pt>
                <c:pt idx="41">
                  <c:v>42437.0</c:v>
                </c:pt>
                <c:pt idx="42">
                  <c:v>42436.0</c:v>
                </c:pt>
                <c:pt idx="43">
                  <c:v>42433.0</c:v>
                </c:pt>
                <c:pt idx="44">
                  <c:v>42432.0</c:v>
                </c:pt>
                <c:pt idx="45">
                  <c:v>42431.0</c:v>
                </c:pt>
                <c:pt idx="46">
                  <c:v>42430.0</c:v>
                </c:pt>
                <c:pt idx="47">
                  <c:v>42429.0</c:v>
                </c:pt>
                <c:pt idx="48">
                  <c:v>42426.0</c:v>
                </c:pt>
                <c:pt idx="49">
                  <c:v>42425.0</c:v>
                </c:pt>
                <c:pt idx="50">
                  <c:v>42424.0</c:v>
                </c:pt>
                <c:pt idx="51">
                  <c:v>42423.0</c:v>
                </c:pt>
                <c:pt idx="52">
                  <c:v>42422.0</c:v>
                </c:pt>
                <c:pt idx="53">
                  <c:v>42419.0</c:v>
                </c:pt>
                <c:pt idx="54">
                  <c:v>42418.0</c:v>
                </c:pt>
                <c:pt idx="55">
                  <c:v>42417.0</c:v>
                </c:pt>
                <c:pt idx="56">
                  <c:v>42416.0</c:v>
                </c:pt>
                <c:pt idx="57">
                  <c:v>42415.0</c:v>
                </c:pt>
                <c:pt idx="58">
                  <c:v>42412.0</c:v>
                </c:pt>
                <c:pt idx="59">
                  <c:v>42411.0</c:v>
                </c:pt>
                <c:pt idx="60">
                  <c:v>42410.0</c:v>
                </c:pt>
                <c:pt idx="61">
                  <c:v>42409.0</c:v>
                </c:pt>
                <c:pt idx="62">
                  <c:v>42408.0</c:v>
                </c:pt>
                <c:pt idx="63">
                  <c:v>42405.0</c:v>
                </c:pt>
                <c:pt idx="64">
                  <c:v>42404.0</c:v>
                </c:pt>
                <c:pt idx="65">
                  <c:v>42403.0</c:v>
                </c:pt>
                <c:pt idx="66">
                  <c:v>42402.0</c:v>
                </c:pt>
                <c:pt idx="67">
                  <c:v>42401.0</c:v>
                </c:pt>
                <c:pt idx="68">
                  <c:v>42398.0</c:v>
                </c:pt>
                <c:pt idx="69">
                  <c:v>42397.0</c:v>
                </c:pt>
                <c:pt idx="70">
                  <c:v>42396.0</c:v>
                </c:pt>
                <c:pt idx="71">
                  <c:v>42395.0</c:v>
                </c:pt>
                <c:pt idx="72">
                  <c:v>42394.0</c:v>
                </c:pt>
                <c:pt idx="73">
                  <c:v>42391.0</c:v>
                </c:pt>
                <c:pt idx="74">
                  <c:v>42390.0</c:v>
                </c:pt>
                <c:pt idx="75">
                  <c:v>42389.0</c:v>
                </c:pt>
                <c:pt idx="76">
                  <c:v>42388.0</c:v>
                </c:pt>
                <c:pt idx="77">
                  <c:v>42387.0</c:v>
                </c:pt>
                <c:pt idx="78">
                  <c:v>42384.0</c:v>
                </c:pt>
                <c:pt idx="79">
                  <c:v>42383.0</c:v>
                </c:pt>
                <c:pt idx="80">
                  <c:v>42382.0</c:v>
                </c:pt>
                <c:pt idx="81">
                  <c:v>42381.0</c:v>
                </c:pt>
                <c:pt idx="82">
                  <c:v>42380.0</c:v>
                </c:pt>
                <c:pt idx="83">
                  <c:v>42377.0</c:v>
                </c:pt>
                <c:pt idx="84">
                  <c:v>42376.0</c:v>
                </c:pt>
                <c:pt idx="85">
                  <c:v>42375.0</c:v>
                </c:pt>
                <c:pt idx="86">
                  <c:v>42374.0</c:v>
                </c:pt>
                <c:pt idx="87">
                  <c:v>42373.0</c:v>
                </c:pt>
                <c:pt idx="88">
                  <c:v>42370.0</c:v>
                </c:pt>
                <c:pt idx="89">
                  <c:v>42369.0</c:v>
                </c:pt>
                <c:pt idx="90">
                  <c:v>42368.0</c:v>
                </c:pt>
                <c:pt idx="91">
                  <c:v>42367.0</c:v>
                </c:pt>
                <c:pt idx="92">
                  <c:v>42366.0</c:v>
                </c:pt>
                <c:pt idx="93">
                  <c:v>42363.0</c:v>
                </c:pt>
                <c:pt idx="94">
                  <c:v>42362.0</c:v>
                </c:pt>
                <c:pt idx="95">
                  <c:v>42361.0</c:v>
                </c:pt>
                <c:pt idx="96">
                  <c:v>42360.0</c:v>
                </c:pt>
                <c:pt idx="97">
                  <c:v>42359.0</c:v>
                </c:pt>
                <c:pt idx="98">
                  <c:v>42356.0</c:v>
                </c:pt>
                <c:pt idx="99">
                  <c:v>42355.0</c:v>
                </c:pt>
                <c:pt idx="100">
                  <c:v>42354.0</c:v>
                </c:pt>
                <c:pt idx="101">
                  <c:v>42353.0</c:v>
                </c:pt>
                <c:pt idx="102">
                  <c:v>42352.0</c:v>
                </c:pt>
                <c:pt idx="103">
                  <c:v>42349.0</c:v>
                </c:pt>
                <c:pt idx="104">
                  <c:v>42348.0</c:v>
                </c:pt>
                <c:pt idx="105">
                  <c:v>42347.0</c:v>
                </c:pt>
                <c:pt idx="106">
                  <c:v>42346.0</c:v>
                </c:pt>
                <c:pt idx="107">
                  <c:v>42345.0</c:v>
                </c:pt>
                <c:pt idx="108">
                  <c:v>42342.0</c:v>
                </c:pt>
                <c:pt idx="109">
                  <c:v>42341.0</c:v>
                </c:pt>
                <c:pt idx="110">
                  <c:v>42340.0</c:v>
                </c:pt>
                <c:pt idx="111">
                  <c:v>42339.0</c:v>
                </c:pt>
                <c:pt idx="112">
                  <c:v>42338.0</c:v>
                </c:pt>
                <c:pt idx="113">
                  <c:v>42335.0</c:v>
                </c:pt>
                <c:pt idx="114">
                  <c:v>42333.0</c:v>
                </c:pt>
                <c:pt idx="115">
                  <c:v>42332.0</c:v>
                </c:pt>
                <c:pt idx="116">
                  <c:v>42331.0</c:v>
                </c:pt>
                <c:pt idx="117">
                  <c:v>42328.0</c:v>
                </c:pt>
                <c:pt idx="118">
                  <c:v>42327.0</c:v>
                </c:pt>
                <c:pt idx="119">
                  <c:v>42326.0</c:v>
                </c:pt>
                <c:pt idx="120">
                  <c:v>42325.0</c:v>
                </c:pt>
                <c:pt idx="121">
                  <c:v>42324.0</c:v>
                </c:pt>
                <c:pt idx="122">
                  <c:v>42321.0</c:v>
                </c:pt>
                <c:pt idx="123">
                  <c:v>42319.0</c:v>
                </c:pt>
                <c:pt idx="124">
                  <c:v>42318.0</c:v>
                </c:pt>
                <c:pt idx="125">
                  <c:v>42317.0</c:v>
                </c:pt>
                <c:pt idx="126">
                  <c:v>42314.0</c:v>
                </c:pt>
                <c:pt idx="127">
                  <c:v>42313.0</c:v>
                </c:pt>
                <c:pt idx="128">
                  <c:v>42312.0</c:v>
                </c:pt>
                <c:pt idx="129">
                  <c:v>42311.0</c:v>
                </c:pt>
                <c:pt idx="130">
                  <c:v>42310.0</c:v>
                </c:pt>
                <c:pt idx="131">
                  <c:v>42307.0</c:v>
                </c:pt>
                <c:pt idx="132">
                  <c:v>42306.0</c:v>
                </c:pt>
                <c:pt idx="133">
                  <c:v>42305.0</c:v>
                </c:pt>
                <c:pt idx="134">
                  <c:v>42304.0</c:v>
                </c:pt>
                <c:pt idx="135">
                  <c:v>42303.0</c:v>
                </c:pt>
                <c:pt idx="136">
                  <c:v>42300.0</c:v>
                </c:pt>
                <c:pt idx="137">
                  <c:v>42299.0</c:v>
                </c:pt>
                <c:pt idx="138">
                  <c:v>42298.0</c:v>
                </c:pt>
                <c:pt idx="139">
                  <c:v>42297.0</c:v>
                </c:pt>
                <c:pt idx="140">
                  <c:v>42296.0</c:v>
                </c:pt>
                <c:pt idx="141">
                  <c:v>42293.0</c:v>
                </c:pt>
                <c:pt idx="142">
                  <c:v>42292.0</c:v>
                </c:pt>
                <c:pt idx="143">
                  <c:v>42291.0</c:v>
                </c:pt>
                <c:pt idx="144">
                  <c:v>42290.0</c:v>
                </c:pt>
                <c:pt idx="145">
                  <c:v>42289.0</c:v>
                </c:pt>
                <c:pt idx="146">
                  <c:v>42286.0</c:v>
                </c:pt>
                <c:pt idx="147">
                  <c:v>42285.0</c:v>
                </c:pt>
                <c:pt idx="148">
                  <c:v>42284.0</c:v>
                </c:pt>
                <c:pt idx="149">
                  <c:v>42283.0</c:v>
                </c:pt>
                <c:pt idx="150">
                  <c:v>42282.0</c:v>
                </c:pt>
                <c:pt idx="151">
                  <c:v>42279.0</c:v>
                </c:pt>
                <c:pt idx="152">
                  <c:v>42278.0</c:v>
                </c:pt>
                <c:pt idx="153">
                  <c:v>42277.0</c:v>
                </c:pt>
                <c:pt idx="154">
                  <c:v>42276.0</c:v>
                </c:pt>
                <c:pt idx="155">
                  <c:v>42275.0</c:v>
                </c:pt>
                <c:pt idx="156">
                  <c:v>42272.0</c:v>
                </c:pt>
                <c:pt idx="157">
                  <c:v>42271.0</c:v>
                </c:pt>
                <c:pt idx="158">
                  <c:v>42270.0</c:v>
                </c:pt>
                <c:pt idx="159">
                  <c:v>42269.0</c:v>
                </c:pt>
                <c:pt idx="160">
                  <c:v>42268.0</c:v>
                </c:pt>
                <c:pt idx="161">
                  <c:v>42265.0</c:v>
                </c:pt>
                <c:pt idx="162">
                  <c:v>42264.0</c:v>
                </c:pt>
                <c:pt idx="163">
                  <c:v>42263.0</c:v>
                </c:pt>
                <c:pt idx="164">
                  <c:v>42262.0</c:v>
                </c:pt>
                <c:pt idx="165">
                  <c:v>42261.0</c:v>
                </c:pt>
                <c:pt idx="166">
                  <c:v>42258.0</c:v>
                </c:pt>
                <c:pt idx="167">
                  <c:v>42257.0</c:v>
                </c:pt>
                <c:pt idx="168">
                  <c:v>42256.0</c:v>
                </c:pt>
                <c:pt idx="169">
                  <c:v>42255.0</c:v>
                </c:pt>
                <c:pt idx="170">
                  <c:v>42254.0</c:v>
                </c:pt>
                <c:pt idx="171">
                  <c:v>42251.0</c:v>
                </c:pt>
                <c:pt idx="172">
                  <c:v>42250.0</c:v>
                </c:pt>
                <c:pt idx="173">
                  <c:v>42249.0</c:v>
                </c:pt>
                <c:pt idx="174">
                  <c:v>42248.0</c:v>
                </c:pt>
                <c:pt idx="175">
                  <c:v>42247.0</c:v>
                </c:pt>
                <c:pt idx="176">
                  <c:v>42244.0</c:v>
                </c:pt>
                <c:pt idx="177">
                  <c:v>42243.0</c:v>
                </c:pt>
                <c:pt idx="178">
                  <c:v>42242.0</c:v>
                </c:pt>
                <c:pt idx="179">
                  <c:v>42241.0</c:v>
                </c:pt>
                <c:pt idx="180">
                  <c:v>42240.0</c:v>
                </c:pt>
                <c:pt idx="181">
                  <c:v>42237.0</c:v>
                </c:pt>
                <c:pt idx="182">
                  <c:v>42236.0</c:v>
                </c:pt>
                <c:pt idx="183">
                  <c:v>42235.0</c:v>
                </c:pt>
                <c:pt idx="184">
                  <c:v>42234.0</c:v>
                </c:pt>
                <c:pt idx="185">
                  <c:v>42233.0</c:v>
                </c:pt>
                <c:pt idx="186">
                  <c:v>42230.0</c:v>
                </c:pt>
                <c:pt idx="187">
                  <c:v>42229.0</c:v>
                </c:pt>
                <c:pt idx="188">
                  <c:v>42228.0</c:v>
                </c:pt>
                <c:pt idx="189">
                  <c:v>42227.0</c:v>
                </c:pt>
                <c:pt idx="190">
                  <c:v>42226.0</c:v>
                </c:pt>
                <c:pt idx="191">
                  <c:v>42223.0</c:v>
                </c:pt>
                <c:pt idx="192">
                  <c:v>42222.0</c:v>
                </c:pt>
                <c:pt idx="193">
                  <c:v>42221.0</c:v>
                </c:pt>
                <c:pt idx="194">
                  <c:v>42220.0</c:v>
                </c:pt>
                <c:pt idx="195">
                  <c:v>42219.0</c:v>
                </c:pt>
                <c:pt idx="196">
                  <c:v>42216.0</c:v>
                </c:pt>
                <c:pt idx="197">
                  <c:v>42215.0</c:v>
                </c:pt>
                <c:pt idx="198">
                  <c:v>42214.0</c:v>
                </c:pt>
                <c:pt idx="199">
                  <c:v>42213.0</c:v>
                </c:pt>
                <c:pt idx="200">
                  <c:v>42212.0</c:v>
                </c:pt>
                <c:pt idx="201">
                  <c:v>42209.0</c:v>
                </c:pt>
                <c:pt idx="202">
                  <c:v>42208.0</c:v>
                </c:pt>
                <c:pt idx="203">
                  <c:v>42207.0</c:v>
                </c:pt>
                <c:pt idx="204">
                  <c:v>42206.0</c:v>
                </c:pt>
                <c:pt idx="205">
                  <c:v>42205.0</c:v>
                </c:pt>
                <c:pt idx="206">
                  <c:v>42202.0</c:v>
                </c:pt>
                <c:pt idx="207">
                  <c:v>42201.0</c:v>
                </c:pt>
                <c:pt idx="208">
                  <c:v>42200.0</c:v>
                </c:pt>
                <c:pt idx="209">
                  <c:v>42199.0</c:v>
                </c:pt>
                <c:pt idx="210">
                  <c:v>42198.0</c:v>
                </c:pt>
                <c:pt idx="211">
                  <c:v>42195.0</c:v>
                </c:pt>
                <c:pt idx="212">
                  <c:v>42194.0</c:v>
                </c:pt>
                <c:pt idx="213">
                  <c:v>42193.0</c:v>
                </c:pt>
                <c:pt idx="214">
                  <c:v>42192.0</c:v>
                </c:pt>
                <c:pt idx="215">
                  <c:v>42191.0</c:v>
                </c:pt>
                <c:pt idx="216">
                  <c:v>42188.0</c:v>
                </c:pt>
                <c:pt idx="217">
                  <c:v>42187.0</c:v>
                </c:pt>
                <c:pt idx="218">
                  <c:v>42186.0</c:v>
                </c:pt>
                <c:pt idx="219">
                  <c:v>42185.0</c:v>
                </c:pt>
                <c:pt idx="220">
                  <c:v>42184.0</c:v>
                </c:pt>
                <c:pt idx="221">
                  <c:v>42181.0</c:v>
                </c:pt>
                <c:pt idx="222">
                  <c:v>42180.0</c:v>
                </c:pt>
                <c:pt idx="223">
                  <c:v>42179.0</c:v>
                </c:pt>
                <c:pt idx="224">
                  <c:v>42178.0</c:v>
                </c:pt>
                <c:pt idx="225">
                  <c:v>42177.0</c:v>
                </c:pt>
                <c:pt idx="226">
                  <c:v>42174.0</c:v>
                </c:pt>
                <c:pt idx="227">
                  <c:v>42173.0</c:v>
                </c:pt>
                <c:pt idx="228">
                  <c:v>42172.0</c:v>
                </c:pt>
                <c:pt idx="229">
                  <c:v>42171.0</c:v>
                </c:pt>
                <c:pt idx="230">
                  <c:v>42170.0</c:v>
                </c:pt>
                <c:pt idx="231">
                  <c:v>42167.0</c:v>
                </c:pt>
                <c:pt idx="232">
                  <c:v>42166.0</c:v>
                </c:pt>
                <c:pt idx="233">
                  <c:v>42165.0</c:v>
                </c:pt>
                <c:pt idx="234">
                  <c:v>42164.0</c:v>
                </c:pt>
                <c:pt idx="235">
                  <c:v>42163.0</c:v>
                </c:pt>
                <c:pt idx="236">
                  <c:v>42160.0</c:v>
                </c:pt>
                <c:pt idx="237">
                  <c:v>42159.0</c:v>
                </c:pt>
                <c:pt idx="238">
                  <c:v>42158.0</c:v>
                </c:pt>
                <c:pt idx="239">
                  <c:v>42157.0</c:v>
                </c:pt>
                <c:pt idx="240">
                  <c:v>42156.0</c:v>
                </c:pt>
                <c:pt idx="241">
                  <c:v>42153.0</c:v>
                </c:pt>
                <c:pt idx="242">
                  <c:v>42152.0</c:v>
                </c:pt>
                <c:pt idx="243">
                  <c:v>42151.0</c:v>
                </c:pt>
                <c:pt idx="244">
                  <c:v>42150.0</c:v>
                </c:pt>
                <c:pt idx="245">
                  <c:v>42149.0</c:v>
                </c:pt>
                <c:pt idx="246">
                  <c:v>42146.0</c:v>
                </c:pt>
                <c:pt idx="247">
                  <c:v>42145.0</c:v>
                </c:pt>
                <c:pt idx="248">
                  <c:v>42144.0</c:v>
                </c:pt>
                <c:pt idx="249">
                  <c:v>42143.0</c:v>
                </c:pt>
                <c:pt idx="250">
                  <c:v>42142.0</c:v>
                </c:pt>
                <c:pt idx="251">
                  <c:v>42139.0</c:v>
                </c:pt>
                <c:pt idx="252">
                  <c:v>42138.0</c:v>
                </c:pt>
                <c:pt idx="253">
                  <c:v>42137.0</c:v>
                </c:pt>
                <c:pt idx="254">
                  <c:v>42136.0</c:v>
                </c:pt>
                <c:pt idx="255">
                  <c:v>42135.0</c:v>
                </c:pt>
                <c:pt idx="256">
                  <c:v>42132.0</c:v>
                </c:pt>
                <c:pt idx="257">
                  <c:v>42131.0</c:v>
                </c:pt>
                <c:pt idx="258">
                  <c:v>42130.0</c:v>
                </c:pt>
                <c:pt idx="259">
                  <c:v>42129.0</c:v>
                </c:pt>
                <c:pt idx="260">
                  <c:v>42128.0</c:v>
                </c:pt>
                <c:pt idx="261">
                  <c:v>42125.0</c:v>
                </c:pt>
                <c:pt idx="262">
                  <c:v>42124.0</c:v>
                </c:pt>
                <c:pt idx="263">
                  <c:v>42123.0</c:v>
                </c:pt>
                <c:pt idx="264">
                  <c:v>42122.0</c:v>
                </c:pt>
                <c:pt idx="265">
                  <c:v>42121.0</c:v>
                </c:pt>
                <c:pt idx="266">
                  <c:v>42118.0</c:v>
                </c:pt>
                <c:pt idx="267">
                  <c:v>42117.0</c:v>
                </c:pt>
                <c:pt idx="268">
                  <c:v>42116.0</c:v>
                </c:pt>
                <c:pt idx="269">
                  <c:v>42115.0</c:v>
                </c:pt>
                <c:pt idx="270">
                  <c:v>42114.0</c:v>
                </c:pt>
                <c:pt idx="271">
                  <c:v>42111.0</c:v>
                </c:pt>
                <c:pt idx="272">
                  <c:v>42110.0</c:v>
                </c:pt>
                <c:pt idx="273">
                  <c:v>42109.0</c:v>
                </c:pt>
                <c:pt idx="274">
                  <c:v>42108.0</c:v>
                </c:pt>
                <c:pt idx="275">
                  <c:v>42107.0</c:v>
                </c:pt>
                <c:pt idx="276">
                  <c:v>42104.0</c:v>
                </c:pt>
                <c:pt idx="277">
                  <c:v>42103.0</c:v>
                </c:pt>
                <c:pt idx="278">
                  <c:v>42102.0</c:v>
                </c:pt>
                <c:pt idx="279">
                  <c:v>42101.0</c:v>
                </c:pt>
                <c:pt idx="280">
                  <c:v>42100.0</c:v>
                </c:pt>
                <c:pt idx="281">
                  <c:v>42097.0</c:v>
                </c:pt>
                <c:pt idx="282">
                  <c:v>42096.0</c:v>
                </c:pt>
                <c:pt idx="283">
                  <c:v>42095.0</c:v>
                </c:pt>
                <c:pt idx="284">
                  <c:v>42094.0</c:v>
                </c:pt>
                <c:pt idx="285">
                  <c:v>42093.0</c:v>
                </c:pt>
                <c:pt idx="286">
                  <c:v>42090.0</c:v>
                </c:pt>
                <c:pt idx="287">
                  <c:v>42089.0</c:v>
                </c:pt>
                <c:pt idx="288">
                  <c:v>42088.0</c:v>
                </c:pt>
                <c:pt idx="289">
                  <c:v>42087.0</c:v>
                </c:pt>
                <c:pt idx="290">
                  <c:v>42086.0</c:v>
                </c:pt>
                <c:pt idx="291">
                  <c:v>42083.0</c:v>
                </c:pt>
                <c:pt idx="292">
                  <c:v>42082.0</c:v>
                </c:pt>
                <c:pt idx="293">
                  <c:v>42081.0</c:v>
                </c:pt>
                <c:pt idx="294">
                  <c:v>42080.0</c:v>
                </c:pt>
                <c:pt idx="295">
                  <c:v>42079.0</c:v>
                </c:pt>
                <c:pt idx="296">
                  <c:v>42076.0</c:v>
                </c:pt>
                <c:pt idx="297">
                  <c:v>42075.0</c:v>
                </c:pt>
                <c:pt idx="298">
                  <c:v>42074.0</c:v>
                </c:pt>
                <c:pt idx="299">
                  <c:v>42073.0</c:v>
                </c:pt>
                <c:pt idx="300">
                  <c:v>42072.0</c:v>
                </c:pt>
                <c:pt idx="301">
                  <c:v>42069.0</c:v>
                </c:pt>
                <c:pt idx="302">
                  <c:v>42068.0</c:v>
                </c:pt>
                <c:pt idx="303">
                  <c:v>42067.0</c:v>
                </c:pt>
                <c:pt idx="304">
                  <c:v>42066.0</c:v>
                </c:pt>
                <c:pt idx="305">
                  <c:v>42065.0</c:v>
                </c:pt>
                <c:pt idx="306">
                  <c:v>42062.0</c:v>
                </c:pt>
                <c:pt idx="307">
                  <c:v>42061.0</c:v>
                </c:pt>
                <c:pt idx="308">
                  <c:v>42060.0</c:v>
                </c:pt>
                <c:pt idx="309">
                  <c:v>42059.0</c:v>
                </c:pt>
                <c:pt idx="310">
                  <c:v>42058.0</c:v>
                </c:pt>
                <c:pt idx="311">
                  <c:v>42055.0</c:v>
                </c:pt>
                <c:pt idx="312">
                  <c:v>42054.0</c:v>
                </c:pt>
                <c:pt idx="313">
                  <c:v>42053.0</c:v>
                </c:pt>
                <c:pt idx="314">
                  <c:v>42052.0</c:v>
                </c:pt>
                <c:pt idx="315">
                  <c:v>42051.0</c:v>
                </c:pt>
                <c:pt idx="316">
                  <c:v>42048.0</c:v>
                </c:pt>
                <c:pt idx="317">
                  <c:v>42047.0</c:v>
                </c:pt>
                <c:pt idx="318">
                  <c:v>42046.0</c:v>
                </c:pt>
                <c:pt idx="319">
                  <c:v>42045.0</c:v>
                </c:pt>
                <c:pt idx="320">
                  <c:v>42044.0</c:v>
                </c:pt>
                <c:pt idx="321">
                  <c:v>42041.0</c:v>
                </c:pt>
                <c:pt idx="322">
                  <c:v>42040.0</c:v>
                </c:pt>
                <c:pt idx="323">
                  <c:v>42039.0</c:v>
                </c:pt>
                <c:pt idx="324">
                  <c:v>42038.0</c:v>
                </c:pt>
                <c:pt idx="325">
                  <c:v>42037.0</c:v>
                </c:pt>
                <c:pt idx="326">
                  <c:v>42034.0</c:v>
                </c:pt>
                <c:pt idx="327">
                  <c:v>42033.0</c:v>
                </c:pt>
                <c:pt idx="328">
                  <c:v>42032.0</c:v>
                </c:pt>
                <c:pt idx="329">
                  <c:v>42031.0</c:v>
                </c:pt>
                <c:pt idx="330">
                  <c:v>42030.0</c:v>
                </c:pt>
                <c:pt idx="331">
                  <c:v>42027.0</c:v>
                </c:pt>
                <c:pt idx="332">
                  <c:v>42026.0</c:v>
                </c:pt>
                <c:pt idx="333">
                  <c:v>42025.0</c:v>
                </c:pt>
                <c:pt idx="334">
                  <c:v>42024.0</c:v>
                </c:pt>
                <c:pt idx="335">
                  <c:v>42023.0</c:v>
                </c:pt>
                <c:pt idx="336">
                  <c:v>42020.0</c:v>
                </c:pt>
                <c:pt idx="337">
                  <c:v>42019.0</c:v>
                </c:pt>
                <c:pt idx="338">
                  <c:v>42018.0</c:v>
                </c:pt>
                <c:pt idx="339">
                  <c:v>42017.0</c:v>
                </c:pt>
                <c:pt idx="340">
                  <c:v>42016.0</c:v>
                </c:pt>
                <c:pt idx="341">
                  <c:v>42013.0</c:v>
                </c:pt>
                <c:pt idx="342">
                  <c:v>42012.0</c:v>
                </c:pt>
                <c:pt idx="343">
                  <c:v>42011.0</c:v>
                </c:pt>
                <c:pt idx="344">
                  <c:v>42010.0</c:v>
                </c:pt>
                <c:pt idx="345">
                  <c:v>42009.0</c:v>
                </c:pt>
                <c:pt idx="346">
                  <c:v>42006.0</c:v>
                </c:pt>
                <c:pt idx="347">
                  <c:v>42005.0</c:v>
                </c:pt>
                <c:pt idx="348">
                  <c:v>42004.0</c:v>
                </c:pt>
                <c:pt idx="349">
                  <c:v>42003.0</c:v>
                </c:pt>
                <c:pt idx="350">
                  <c:v>42002.0</c:v>
                </c:pt>
                <c:pt idx="351">
                  <c:v>41999.0</c:v>
                </c:pt>
                <c:pt idx="352">
                  <c:v>41998.0</c:v>
                </c:pt>
                <c:pt idx="353">
                  <c:v>41997.0</c:v>
                </c:pt>
                <c:pt idx="354">
                  <c:v>41996.0</c:v>
                </c:pt>
                <c:pt idx="355">
                  <c:v>41995.0</c:v>
                </c:pt>
                <c:pt idx="356">
                  <c:v>41992.0</c:v>
                </c:pt>
                <c:pt idx="357">
                  <c:v>41991.0</c:v>
                </c:pt>
                <c:pt idx="358">
                  <c:v>41990.0</c:v>
                </c:pt>
                <c:pt idx="359">
                  <c:v>41989.0</c:v>
                </c:pt>
                <c:pt idx="360">
                  <c:v>41988.0</c:v>
                </c:pt>
                <c:pt idx="361">
                  <c:v>41985.0</c:v>
                </c:pt>
                <c:pt idx="362">
                  <c:v>41984.0</c:v>
                </c:pt>
                <c:pt idx="363">
                  <c:v>41983.0</c:v>
                </c:pt>
                <c:pt idx="364">
                  <c:v>41982.0</c:v>
                </c:pt>
                <c:pt idx="365">
                  <c:v>41981.0</c:v>
                </c:pt>
                <c:pt idx="366">
                  <c:v>41978.0</c:v>
                </c:pt>
                <c:pt idx="367">
                  <c:v>41977.0</c:v>
                </c:pt>
                <c:pt idx="368">
                  <c:v>41976.0</c:v>
                </c:pt>
                <c:pt idx="369">
                  <c:v>41975.0</c:v>
                </c:pt>
                <c:pt idx="370">
                  <c:v>41974.0</c:v>
                </c:pt>
                <c:pt idx="371">
                  <c:v>41971.0</c:v>
                </c:pt>
                <c:pt idx="372">
                  <c:v>41970.0</c:v>
                </c:pt>
                <c:pt idx="373">
                  <c:v>41969.0</c:v>
                </c:pt>
                <c:pt idx="374">
                  <c:v>41968.0</c:v>
                </c:pt>
                <c:pt idx="375">
                  <c:v>41967.0</c:v>
                </c:pt>
                <c:pt idx="376">
                  <c:v>41964.0</c:v>
                </c:pt>
                <c:pt idx="377">
                  <c:v>41963.0</c:v>
                </c:pt>
                <c:pt idx="378">
                  <c:v>41962.0</c:v>
                </c:pt>
                <c:pt idx="379">
                  <c:v>41961.0</c:v>
                </c:pt>
                <c:pt idx="380">
                  <c:v>41960.0</c:v>
                </c:pt>
                <c:pt idx="381">
                  <c:v>41957.0</c:v>
                </c:pt>
                <c:pt idx="382">
                  <c:v>41956.0</c:v>
                </c:pt>
                <c:pt idx="383">
                  <c:v>41955.0</c:v>
                </c:pt>
                <c:pt idx="384">
                  <c:v>41954.0</c:v>
                </c:pt>
                <c:pt idx="385">
                  <c:v>41953.0</c:v>
                </c:pt>
                <c:pt idx="386">
                  <c:v>41950.0</c:v>
                </c:pt>
                <c:pt idx="387">
                  <c:v>41949.0</c:v>
                </c:pt>
                <c:pt idx="388">
                  <c:v>41948.0</c:v>
                </c:pt>
                <c:pt idx="389">
                  <c:v>41947.0</c:v>
                </c:pt>
                <c:pt idx="390">
                  <c:v>41946.0</c:v>
                </c:pt>
                <c:pt idx="391">
                  <c:v>41943.0</c:v>
                </c:pt>
                <c:pt idx="392">
                  <c:v>41942.0</c:v>
                </c:pt>
                <c:pt idx="393">
                  <c:v>41941.0</c:v>
                </c:pt>
                <c:pt idx="394">
                  <c:v>41940.0</c:v>
                </c:pt>
                <c:pt idx="395">
                  <c:v>41939.0</c:v>
                </c:pt>
                <c:pt idx="396">
                  <c:v>41936.0</c:v>
                </c:pt>
                <c:pt idx="397">
                  <c:v>41935.0</c:v>
                </c:pt>
                <c:pt idx="398">
                  <c:v>41934.0</c:v>
                </c:pt>
                <c:pt idx="399">
                  <c:v>41933.0</c:v>
                </c:pt>
                <c:pt idx="400">
                  <c:v>41932.0</c:v>
                </c:pt>
                <c:pt idx="401">
                  <c:v>41929.0</c:v>
                </c:pt>
                <c:pt idx="402">
                  <c:v>41928.0</c:v>
                </c:pt>
                <c:pt idx="403">
                  <c:v>41927.0</c:v>
                </c:pt>
                <c:pt idx="404">
                  <c:v>41926.0</c:v>
                </c:pt>
                <c:pt idx="405">
                  <c:v>41925.0</c:v>
                </c:pt>
                <c:pt idx="406">
                  <c:v>41922.0</c:v>
                </c:pt>
                <c:pt idx="407">
                  <c:v>41921.0</c:v>
                </c:pt>
                <c:pt idx="408">
                  <c:v>41920.0</c:v>
                </c:pt>
                <c:pt idx="409">
                  <c:v>41919.0</c:v>
                </c:pt>
                <c:pt idx="410">
                  <c:v>41918.0</c:v>
                </c:pt>
                <c:pt idx="411">
                  <c:v>41915.0</c:v>
                </c:pt>
                <c:pt idx="412">
                  <c:v>41914.0</c:v>
                </c:pt>
                <c:pt idx="413">
                  <c:v>41913.0</c:v>
                </c:pt>
                <c:pt idx="414">
                  <c:v>41912.0</c:v>
                </c:pt>
                <c:pt idx="415">
                  <c:v>41911.0</c:v>
                </c:pt>
                <c:pt idx="416">
                  <c:v>41908.0</c:v>
                </c:pt>
                <c:pt idx="417">
                  <c:v>41907.0</c:v>
                </c:pt>
                <c:pt idx="418">
                  <c:v>41906.0</c:v>
                </c:pt>
                <c:pt idx="419">
                  <c:v>41905.0</c:v>
                </c:pt>
                <c:pt idx="420">
                  <c:v>41904.0</c:v>
                </c:pt>
                <c:pt idx="421">
                  <c:v>41901.0</c:v>
                </c:pt>
                <c:pt idx="422">
                  <c:v>41900.0</c:v>
                </c:pt>
                <c:pt idx="423">
                  <c:v>41899.0</c:v>
                </c:pt>
                <c:pt idx="424">
                  <c:v>41898.0</c:v>
                </c:pt>
                <c:pt idx="425">
                  <c:v>41897.0</c:v>
                </c:pt>
                <c:pt idx="426">
                  <c:v>41894.0</c:v>
                </c:pt>
                <c:pt idx="427">
                  <c:v>41893.0</c:v>
                </c:pt>
                <c:pt idx="428">
                  <c:v>41892.0</c:v>
                </c:pt>
                <c:pt idx="429">
                  <c:v>41891.0</c:v>
                </c:pt>
                <c:pt idx="430">
                  <c:v>41890.0</c:v>
                </c:pt>
                <c:pt idx="431">
                  <c:v>41887.0</c:v>
                </c:pt>
                <c:pt idx="432">
                  <c:v>41886.0</c:v>
                </c:pt>
                <c:pt idx="433">
                  <c:v>41885.0</c:v>
                </c:pt>
                <c:pt idx="434">
                  <c:v>41884.0</c:v>
                </c:pt>
                <c:pt idx="435">
                  <c:v>41883.0</c:v>
                </c:pt>
                <c:pt idx="436">
                  <c:v>41880.0</c:v>
                </c:pt>
                <c:pt idx="437">
                  <c:v>41879.0</c:v>
                </c:pt>
                <c:pt idx="438">
                  <c:v>41878.0</c:v>
                </c:pt>
                <c:pt idx="439">
                  <c:v>41877.0</c:v>
                </c:pt>
                <c:pt idx="440">
                  <c:v>41876.0</c:v>
                </c:pt>
                <c:pt idx="441">
                  <c:v>41873.0</c:v>
                </c:pt>
                <c:pt idx="442">
                  <c:v>41872.0</c:v>
                </c:pt>
                <c:pt idx="443">
                  <c:v>41871.0</c:v>
                </c:pt>
                <c:pt idx="444">
                  <c:v>41870.0</c:v>
                </c:pt>
                <c:pt idx="445">
                  <c:v>41869.0</c:v>
                </c:pt>
                <c:pt idx="446">
                  <c:v>41866.0</c:v>
                </c:pt>
                <c:pt idx="447">
                  <c:v>41865.0</c:v>
                </c:pt>
                <c:pt idx="448">
                  <c:v>41864.0</c:v>
                </c:pt>
                <c:pt idx="449">
                  <c:v>41863.0</c:v>
                </c:pt>
                <c:pt idx="450">
                  <c:v>41862.0</c:v>
                </c:pt>
                <c:pt idx="451">
                  <c:v>41859.0</c:v>
                </c:pt>
                <c:pt idx="452">
                  <c:v>41858.0</c:v>
                </c:pt>
                <c:pt idx="453">
                  <c:v>41857.0</c:v>
                </c:pt>
                <c:pt idx="454">
                  <c:v>41856.0</c:v>
                </c:pt>
                <c:pt idx="455">
                  <c:v>41855.0</c:v>
                </c:pt>
                <c:pt idx="456">
                  <c:v>41852.0</c:v>
                </c:pt>
                <c:pt idx="457">
                  <c:v>41851.0</c:v>
                </c:pt>
                <c:pt idx="458">
                  <c:v>41850.0</c:v>
                </c:pt>
                <c:pt idx="459">
                  <c:v>41849.0</c:v>
                </c:pt>
                <c:pt idx="460">
                  <c:v>41848.0</c:v>
                </c:pt>
                <c:pt idx="461">
                  <c:v>41845.0</c:v>
                </c:pt>
                <c:pt idx="462">
                  <c:v>41844.0</c:v>
                </c:pt>
                <c:pt idx="463">
                  <c:v>41843.0</c:v>
                </c:pt>
                <c:pt idx="464">
                  <c:v>41842.0</c:v>
                </c:pt>
                <c:pt idx="465">
                  <c:v>41841.0</c:v>
                </c:pt>
                <c:pt idx="466">
                  <c:v>41838.0</c:v>
                </c:pt>
                <c:pt idx="467">
                  <c:v>41837.0</c:v>
                </c:pt>
                <c:pt idx="468">
                  <c:v>41836.0</c:v>
                </c:pt>
                <c:pt idx="469">
                  <c:v>41835.0</c:v>
                </c:pt>
                <c:pt idx="470">
                  <c:v>41834.0</c:v>
                </c:pt>
                <c:pt idx="471">
                  <c:v>41831.0</c:v>
                </c:pt>
                <c:pt idx="472">
                  <c:v>41830.0</c:v>
                </c:pt>
                <c:pt idx="473">
                  <c:v>41829.0</c:v>
                </c:pt>
                <c:pt idx="474">
                  <c:v>41828.0</c:v>
                </c:pt>
                <c:pt idx="475">
                  <c:v>41827.0</c:v>
                </c:pt>
                <c:pt idx="476">
                  <c:v>41824.0</c:v>
                </c:pt>
                <c:pt idx="477">
                  <c:v>41823.0</c:v>
                </c:pt>
                <c:pt idx="478">
                  <c:v>41822.0</c:v>
                </c:pt>
                <c:pt idx="479">
                  <c:v>41821.0</c:v>
                </c:pt>
                <c:pt idx="480">
                  <c:v>41820.0</c:v>
                </c:pt>
                <c:pt idx="481">
                  <c:v>41817.0</c:v>
                </c:pt>
                <c:pt idx="482">
                  <c:v>41816.0</c:v>
                </c:pt>
                <c:pt idx="483">
                  <c:v>41815.0</c:v>
                </c:pt>
                <c:pt idx="484">
                  <c:v>41814.0</c:v>
                </c:pt>
                <c:pt idx="485">
                  <c:v>41813.0</c:v>
                </c:pt>
                <c:pt idx="486">
                  <c:v>41810.0</c:v>
                </c:pt>
                <c:pt idx="487">
                  <c:v>41809.0</c:v>
                </c:pt>
                <c:pt idx="488">
                  <c:v>41808.0</c:v>
                </c:pt>
                <c:pt idx="489">
                  <c:v>41807.0</c:v>
                </c:pt>
                <c:pt idx="490">
                  <c:v>41806.0</c:v>
                </c:pt>
                <c:pt idx="491">
                  <c:v>41803.0</c:v>
                </c:pt>
                <c:pt idx="492">
                  <c:v>41802.0</c:v>
                </c:pt>
                <c:pt idx="493">
                  <c:v>41801.0</c:v>
                </c:pt>
                <c:pt idx="494">
                  <c:v>41800.0</c:v>
                </c:pt>
                <c:pt idx="495">
                  <c:v>41799.0</c:v>
                </c:pt>
                <c:pt idx="496">
                  <c:v>41796.0</c:v>
                </c:pt>
                <c:pt idx="497">
                  <c:v>41795.0</c:v>
                </c:pt>
                <c:pt idx="498">
                  <c:v>41794.0</c:v>
                </c:pt>
                <c:pt idx="499">
                  <c:v>41793.0</c:v>
                </c:pt>
                <c:pt idx="500">
                  <c:v>41792.0</c:v>
                </c:pt>
                <c:pt idx="501">
                  <c:v>41789.0</c:v>
                </c:pt>
                <c:pt idx="502">
                  <c:v>41788.0</c:v>
                </c:pt>
                <c:pt idx="503">
                  <c:v>41787.0</c:v>
                </c:pt>
                <c:pt idx="504">
                  <c:v>41786.0</c:v>
                </c:pt>
                <c:pt idx="505">
                  <c:v>41785.0</c:v>
                </c:pt>
                <c:pt idx="506">
                  <c:v>41782.0</c:v>
                </c:pt>
                <c:pt idx="507">
                  <c:v>41781.0</c:v>
                </c:pt>
                <c:pt idx="508">
                  <c:v>41780.0</c:v>
                </c:pt>
                <c:pt idx="509">
                  <c:v>41779.0</c:v>
                </c:pt>
                <c:pt idx="510">
                  <c:v>41778.0</c:v>
                </c:pt>
                <c:pt idx="511">
                  <c:v>41775.0</c:v>
                </c:pt>
                <c:pt idx="512">
                  <c:v>41774.0</c:v>
                </c:pt>
                <c:pt idx="513">
                  <c:v>41773.0</c:v>
                </c:pt>
                <c:pt idx="514">
                  <c:v>41772.0</c:v>
                </c:pt>
                <c:pt idx="515">
                  <c:v>41771.0</c:v>
                </c:pt>
                <c:pt idx="516">
                  <c:v>41768.0</c:v>
                </c:pt>
                <c:pt idx="517">
                  <c:v>41767.0</c:v>
                </c:pt>
                <c:pt idx="518">
                  <c:v>41766.0</c:v>
                </c:pt>
                <c:pt idx="519">
                  <c:v>41765.0</c:v>
                </c:pt>
                <c:pt idx="520">
                  <c:v>41764.0</c:v>
                </c:pt>
                <c:pt idx="521">
                  <c:v>41761.0</c:v>
                </c:pt>
                <c:pt idx="522">
                  <c:v>41760.0</c:v>
                </c:pt>
                <c:pt idx="523">
                  <c:v>41759.0</c:v>
                </c:pt>
                <c:pt idx="524">
                  <c:v>41758.0</c:v>
                </c:pt>
                <c:pt idx="525">
                  <c:v>41757.0</c:v>
                </c:pt>
                <c:pt idx="526">
                  <c:v>41754.0</c:v>
                </c:pt>
                <c:pt idx="527">
                  <c:v>41753.0</c:v>
                </c:pt>
                <c:pt idx="528">
                  <c:v>41752.0</c:v>
                </c:pt>
                <c:pt idx="529">
                  <c:v>41751.0</c:v>
                </c:pt>
                <c:pt idx="530">
                  <c:v>41750.0</c:v>
                </c:pt>
                <c:pt idx="531">
                  <c:v>41747.0</c:v>
                </c:pt>
                <c:pt idx="532">
                  <c:v>41746.0</c:v>
                </c:pt>
                <c:pt idx="533">
                  <c:v>41745.0</c:v>
                </c:pt>
                <c:pt idx="534">
                  <c:v>41744.0</c:v>
                </c:pt>
                <c:pt idx="535">
                  <c:v>41743.0</c:v>
                </c:pt>
                <c:pt idx="536">
                  <c:v>41740.0</c:v>
                </c:pt>
                <c:pt idx="537">
                  <c:v>41739.0</c:v>
                </c:pt>
                <c:pt idx="538">
                  <c:v>41738.0</c:v>
                </c:pt>
                <c:pt idx="539">
                  <c:v>41737.0</c:v>
                </c:pt>
                <c:pt idx="540">
                  <c:v>41736.0</c:v>
                </c:pt>
                <c:pt idx="541">
                  <c:v>41733.0</c:v>
                </c:pt>
                <c:pt idx="542">
                  <c:v>41732.0</c:v>
                </c:pt>
                <c:pt idx="543">
                  <c:v>41731.0</c:v>
                </c:pt>
                <c:pt idx="544">
                  <c:v>41730.0</c:v>
                </c:pt>
                <c:pt idx="545">
                  <c:v>41729.0</c:v>
                </c:pt>
                <c:pt idx="546">
                  <c:v>41726.0</c:v>
                </c:pt>
                <c:pt idx="547">
                  <c:v>41725.0</c:v>
                </c:pt>
                <c:pt idx="548">
                  <c:v>41724.0</c:v>
                </c:pt>
                <c:pt idx="549">
                  <c:v>41723.0</c:v>
                </c:pt>
                <c:pt idx="550">
                  <c:v>41722.0</c:v>
                </c:pt>
                <c:pt idx="551">
                  <c:v>41719.0</c:v>
                </c:pt>
                <c:pt idx="552">
                  <c:v>41718.0</c:v>
                </c:pt>
                <c:pt idx="553">
                  <c:v>41717.0</c:v>
                </c:pt>
                <c:pt idx="554">
                  <c:v>41716.0</c:v>
                </c:pt>
                <c:pt idx="555">
                  <c:v>41715.0</c:v>
                </c:pt>
                <c:pt idx="556">
                  <c:v>41712.0</c:v>
                </c:pt>
                <c:pt idx="557">
                  <c:v>41711.0</c:v>
                </c:pt>
                <c:pt idx="558">
                  <c:v>41710.0</c:v>
                </c:pt>
                <c:pt idx="559">
                  <c:v>41709.0</c:v>
                </c:pt>
                <c:pt idx="560">
                  <c:v>41708.0</c:v>
                </c:pt>
                <c:pt idx="561">
                  <c:v>41705.0</c:v>
                </c:pt>
                <c:pt idx="562">
                  <c:v>41704.0</c:v>
                </c:pt>
                <c:pt idx="563">
                  <c:v>41703.0</c:v>
                </c:pt>
                <c:pt idx="564">
                  <c:v>41702.0</c:v>
                </c:pt>
                <c:pt idx="565">
                  <c:v>41701.0</c:v>
                </c:pt>
                <c:pt idx="566">
                  <c:v>41698.0</c:v>
                </c:pt>
                <c:pt idx="567">
                  <c:v>41697.0</c:v>
                </c:pt>
                <c:pt idx="568">
                  <c:v>41696.0</c:v>
                </c:pt>
                <c:pt idx="569">
                  <c:v>41695.0</c:v>
                </c:pt>
                <c:pt idx="570">
                  <c:v>41694.0</c:v>
                </c:pt>
                <c:pt idx="571">
                  <c:v>41691.0</c:v>
                </c:pt>
                <c:pt idx="572">
                  <c:v>41690.0</c:v>
                </c:pt>
                <c:pt idx="573">
                  <c:v>41689.0</c:v>
                </c:pt>
                <c:pt idx="574">
                  <c:v>41688.0</c:v>
                </c:pt>
                <c:pt idx="575">
                  <c:v>41687.0</c:v>
                </c:pt>
                <c:pt idx="576">
                  <c:v>41684.0</c:v>
                </c:pt>
                <c:pt idx="577">
                  <c:v>41683.0</c:v>
                </c:pt>
                <c:pt idx="578">
                  <c:v>41682.0</c:v>
                </c:pt>
                <c:pt idx="579">
                  <c:v>41681.0</c:v>
                </c:pt>
                <c:pt idx="580">
                  <c:v>41680.0</c:v>
                </c:pt>
                <c:pt idx="581">
                  <c:v>41677.0</c:v>
                </c:pt>
                <c:pt idx="582">
                  <c:v>41676.0</c:v>
                </c:pt>
                <c:pt idx="583">
                  <c:v>41675.0</c:v>
                </c:pt>
                <c:pt idx="584">
                  <c:v>41674.0</c:v>
                </c:pt>
                <c:pt idx="585">
                  <c:v>41673.0</c:v>
                </c:pt>
                <c:pt idx="586">
                  <c:v>41670.0</c:v>
                </c:pt>
                <c:pt idx="587">
                  <c:v>41669.0</c:v>
                </c:pt>
                <c:pt idx="588">
                  <c:v>41668.0</c:v>
                </c:pt>
                <c:pt idx="589">
                  <c:v>41667.0</c:v>
                </c:pt>
                <c:pt idx="590">
                  <c:v>41666.0</c:v>
                </c:pt>
                <c:pt idx="591">
                  <c:v>41663.0</c:v>
                </c:pt>
                <c:pt idx="592">
                  <c:v>41662.0</c:v>
                </c:pt>
                <c:pt idx="593">
                  <c:v>41661.0</c:v>
                </c:pt>
                <c:pt idx="594">
                  <c:v>41660.0</c:v>
                </c:pt>
                <c:pt idx="595">
                  <c:v>41659.0</c:v>
                </c:pt>
                <c:pt idx="596">
                  <c:v>41656.0</c:v>
                </c:pt>
                <c:pt idx="597">
                  <c:v>41655.0</c:v>
                </c:pt>
                <c:pt idx="598">
                  <c:v>41654.0</c:v>
                </c:pt>
                <c:pt idx="599">
                  <c:v>41653.0</c:v>
                </c:pt>
                <c:pt idx="600">
                  <c:v>41652.0</c:v>
                </c:pt>
                <c:pt idx="601">
                  <c:v>41649.0</c:v>
                </c:pt>
                <c:pt idx="602">
                  <c:v>41648.0</c:v>
                </c:pt>
                <c:pt idx="603">
                  <c:v>41647.0</c:v>
                </c:pt>
                <c:pt idx="604">
                  <c:v>41646.0</c:v>
                </c:pt>
                <c:pt idx="605">
                  <c:v>41645.0</c:v>
                </c:pt>
                <c:pt idx="606">
                  <c:v>41642.0</c:v>
                </c:pt>
                <c:pt idx="607">
                  <c:v>41641.0</c:v>
                </c:pt>
                <c:pt idx="608">
                  <c:v>41640.0</c:v>
                </c:pt>
                <c:pt idx="609">
                  <c:v>41639.0</c:v>
                </c:pt>
                <c:pt idx="610">
                  <c:v>41638.0</c:v>
                </c:pt>
                <c:pt idx="611">
                  <c:v>41635.0</c:v>
                </c:pt>
                <c:pt idx="612">
                  <c:v>41634.0</c:v>
                </c:pt>
                <c:pt idx="613">
                  <c:v>41633.0</c:v>
                </c:pt>
                <c:pt idx="614">
                  <c:v>41632.0</c:v>
                </c:pt>
                <c:pt idx="615">
                  <c:v>41631.0</c:v>
                </c:pt>
                <c:pt idx="616">
                  <c:v>41628.0</c:v>
                </c:pt>
                <c:pt idx="617">
                  <c:v>41627.0</c:v>
                </c:pt>
                <c:pt idx="618">
                  <c:v>41626.0</c:v>
                </c:pt>
                <c:pt idx="619">
                  <c:v>41625.0</c:v>
                </c:pt>
                <c:pt idx="620">
                  <c:v>41624.0</c:v>
                </c:pt>
                <c:pt idx="621">
                  <c:v>41621.0</c:v>
                </c:pt>
                <c:pt idx="622">
                  <c:v>41620.0</c:v>
                </c:pt>
                <c:pt idx="623">
                  <c:v>41619.0</c:v>
                </c:pt>
                <c:pt idx="624">
                  <c:v>41618.0</c:v>
                </c:pt>
                <c:pt idx="625">
                  <c:v>41617.0</c:v>
                </c:pt>
                <c:pt idx="626">
                  <c:v>41614.0</c:v>
                </c:pt>
                <c:pt idx="627">
                  <c:v>41613.0</c:v>
                </c:pt>
                <c:pt idx="628">
                  <c:v>41612.0</c:v>
                </c:pt>
                <c:pt idx="629">
                  <c:v>41611.0</c:v>
                </c:pt>
                <c:pt idx="630">
                  <c:v>41610.0</c:v>
                </c:pt>
                <c:pt idx="631">
                  <c:v>41607.0</c:v>
                </c:pt>
                <c:pt idx="632">
                  <c:v>41606.0</c:v>
                </c:pt>
                <c:pt idx="633">
                  <c:v>41605.0</c:v>
                </c:pt>
                <c:pt idx="634">
                  <c:v>41604.0</c:v>
                </c:pt>
                <c:pt idx="635">
                  <c:v>41603.0</c:v>
                </c:pt>
                <c:pt idx="636">
                  <c:v>41600.0</c:v>
                </c:pt>
                <c:pt idx="637">
                  <c:v>41599.0</c:v>
                </c:pt>
                <c:pt idx="638">
                  <c:v>41598.0</c:v>
                </c:pt>
                <c:pt idx="639">
                  <c:v>41597.0</c:v>
                </c:pt>
                <c:pt idx="640">
                  <c:v>41596.0</c:v>
                </c:pt>
                <c:pt idx="641">
                  <c:v>41593.0</c:v>
                </c:pt>
                <c:pt idx="642">
                  <c:v>41592.0</c:v>
                </c:pt>
                <c:pt idx="643">
                  <c:v>41591.0</c:v>
                </c:pt>
                <c:pt idx="644">
                  <c:v>41590.0</c:v>
                </c:pt>
                <c:pt idx="645">
                  <c:v>41589.0</c:v>
                </c:pt>
                <c:pt idx="646">
                  <c:v>41586.0</c:v>
                </c:pt>
                <c:pt idx="647">
                  <c:v>41585.0</c:v>
                </c:pt>
                <c:pt idx="648">
                  <c:v>41584.0</c:v>
                </c:pt>
                <c:pt idx="649">
                  <c:v>41583.0</c:v>
                </c:pt>
                <c:pt idx="650">
                  <c:v>41582.0</c:v>
                </c:pt>
                <c:pt idx="651">
                  <c:v>41579.0</c:v>
                </c:pt>
                <c:pt idx="652">
                  <c:v>41578.0</c:v>
                </c:pt>
                <c:pt idx="653">
                  <c:v>41577.0</c:v>
                </c:pt>
                <c:pt idx="654">
                  <c:v>41576.0</c:v>
                </c:pt>
                <c:pt idx="655">
                  <c:v>41575.0</c:v>
                </c:pt>
                <c:pt idx="656">
                  <c:v>41572.0</c:v>
                </c:pt>
                <c:pt idx="657">
                  <c:v>41571.0</c:v>
                </c:pt>
                <c:pt idx="658">
                  <c:v>41570.0</c:v>
                </c:pt>
                <c:pt idx="659">
                  <c:v>41569.0</c:v>
                </c:pt>
                <c:pt idx="660">
                  <c:v>41568.0</c:v>
                </c:pt>
                <c:pt idx="661">
                  <c:v>41565.0</c:v>
                </c:pt>
                <c:pt idx="662">
                  <c:v>41564.0</c:v>
                </c:pt>
                <c:pt idx="663">
                  <c:v>41563.0</c:v>
                </c:pt>
                <c:pt idx="664">
                  <c:v>41562.0</c:v>
                </c:pt>
                <c:pt idx="665">
                  <c:v>41561.0</c:v>
                </c:pt>
                <c:pt idx="666">
                  <c:v>41558.0</c:v>
                </c:pt>
                <c:pt idx="667">
                  <c:v>41557.0</c:v>
                </c:pt>
                <c:pt idx="668">
                  <c:v>41556.0</c:v>
                </c:pt>
                <c:pt idx="669">
                  <c:v>41555.0</c:v>
                </c:pt>
                <c:pt idx="670">
                  <c:v>41554.0</c:v>
                </c:pt>
                <c:pt idx="671">
                  <c:v>41551.0</c:v>
                </c:pt>
                <c:pt idx="672">
                  <c:v>41550.0</c:v>
                </c:pt>
                <c:pt idx="673">
                  <c:v>41549.0</c:v>
                </c:pt>
                <c:pt idx="674">
                  <c:v>41548.0</c:v>
                </c:pt>
                <c:pt idx="675">
                  <c:v>41547.0</c:v>
                </c:pt>
                <c:pt idx="676">
                  <c:v>41544.0</c:v>
                </c:pt>
                <c:pt idx="677">
                  <c:v>41543.0</c:v>
                </c:pt>
                <c:pt idx="678">
                  <c:v>41542.0</c:v>
                </c:pt>
                <c:pt idx="679">
                  <c:v>41541.0</c:v>
                </c:pt>
                <c:pt idx="680">
                  <c:v>41540.0</c:v>
                </c:pt>
                <c:pt idx="681">
                  <c:v>41537.0</c:v>
                </c:pt>
                <c:pt idx="682">
                  <c:v>41536.0</c:v>
                </c:pt>
                <c:pt idx="683">
                  <c:v>41535.0</c:v>
                </c:pt>
                <c:pt idx="684">
                  <c:v>41534.0</c:v>
                </c:pt>
                <c:pt idx="685">
                  <c:v>41533.0</c:v>
                </c:pt>
                <c:pt idx="686">
                  <c:v>41530.0</c:v>
                </c:pt>
                <c:pt idx="687">
                  <c:v>41529.0</c:v>
                </c:pt>
                <c:pt idx="688">
                  <c:v>41528.0</c:v>
                </c:pt>
                <c:pt idx="689">
                  <c:v>41527.0</c:v>
                </c:pt>
                <c:pt idx="690">
                  <c:v>41526.0</c:v>
                </c:pt>
                <c:pt idx="691">
                  <c:v>41523.0</c:v>
                </c:pt>
                <c:pt idx="692">
                  <c:v>41522.0</c:v>
                </c:pt>
                <c:pt idx="693">
                  <c:v>41521.0</c:v>
                </c:pt>
                <c:pt idx="694">
                  <c:v>41520.0</c:v>
                </c:pt>
                <c:pt idx="695">
                  <c:v>41519.0</c:v>
                </c:pt>
                <c:pt idx="696">
                  <c:v>41516.0</c:v>
                </c:pt>
                <c:pt idx="697">
                  <c:v>41515.0</c:v>
                </c:pt>
                <c:pt idx="698">
                  <c:v>41514.0</c:v>
                </c:pt>
                <c:pt idx="699">
                  <c:v>41513.0</c:v>
                </c:pt>
                <c:pt idx="700">
                  <c:v>41512.0</c:v>
                </c:pt>
                <c:pt idx="701">
                  <c:v>41509.0</c:v>
                </c:pt>
                <c:pt idx="702">
                  <c:v>41508.0</c:v>
                </c:pt>
                <c:pt idx="703">
                  <c:v>41507.0</c:v>
                </c:pt>
                <c:pt idx="704">
                  <c:v>41506.0</c:v>
                </c:pt>
                <c:pt idx="705">
                  <c:v>41505.0</c:v>
                </c:pt>
                <c:pt idx="706">
                  <c:v>41502.0</c:v>
                </c:pt>
                <c:pt idx="707">
                  <c:v>41501.0</c:v>
                </c:pt>
                <c:pt idx="708">
                  <c:v>41500.0</c:v>
                </c:pt>
                <c:pt idx="709">
                  <c:v>41499.0</c:v>
                </c:pt>
                <c:pt idx="710">
                  <c:v>41498.0</c:v>
                </c:pt>
                <c:pt idx="711">
                  <c:v>41495.0</c:v>
                </c:pt>
                <c:pt idx="712">
                  <c:v>41494.0</c:v>
                </c:pt>
                <c:pt idx="713">
                  <c:v>41493.0</c:v>
                </c:pt>
                <c:pt idx="714">
                  <c:v>41492.0</c:v>
                </c:pt>
                <c:pt idx="715">
                  <c:v>41491.0</c:v>
                </c:pt>
                <c:pt idx="716">
                  <c:v>41488.0</c:v>
                </c:pt>
                <c:pt idx="717">
                  <c:v>41487.0</c:v>
                </c:pt>
                <c:pt idx="718">
                  <c:v>41486.0</c:v>
                </c:pt>
                <c:pt idx="719">
                  <c:v>41485.0</c:v>
                </c:pt>
                <c:pt idx="720">
                  <c:v>41484.0</c:v>
                </c:pt>
                <c:pt idx="721">
                  <c:v>41481.0</c:v>
                </c:pt>
                <c:pt idx="722">
                  <c:v>41480.0</c:v>
                </c:pt>
                <c:pt idx="723">
                  <c:v>41479.0</c:v>
                </c:pt>
                <c:pt idx="724">
                  <c:v>41478.0</c:v>
                </c:pt>
                <c:pt idx="725">
                  <c:v>41477.0</c:v>
                </c:pt>
                <c:pt idx="726">
                  <c:v>41474.0</c:v>
                </c:pt>
                <c:pt idx="727">
                  <c:v>41473.0</c:v>
                </c:pt>
                <c:pt idx="728">
                  <c:v>41472.0</c:v>
                </c:pt>
                <c:pt idx="729">
                  <c:v>41471.0</c:v>
                </c:pt>
                <c:pt idx="730">
                  <c:v>41470.0</c:v>
                </c:pt>
                <c:pt idx="731">
                  <c:v>41467.0</c:v>
                </c:pt>
                <c:pt idx="732">
                  <c:v>41466.0</c:v>
                </c:pt>
                <c:pt idx="733">
                  <c:v>41465.0</c:v>
                </c:pt>
                <c:pt idx="734">
                  <c:v>41464.0</c:v>
                </c:pt>
                <c:pt idx="735">
                  <c:v>41463.0</c:v>
                </c:pt>
                <c:pt idx="736">
                  <c:v>41460.0</c:v>
                </c:pt>
                <c:pt idx="737">
                  <c:v>41459.0</c:v>
                </c:pt>
                <c:pt idx="738">
                  <c:v>41458.0</c:v>
                </c:pt>
                <c:pt idx="739">
                  <c:v>41457.0</c:v>
                </c:pt>
                <c:pt idx="740">
                  <c:v>41456.0</c:v>
                </c:pt>
                <c:pt idx="741">
                  <c:v>41453.0</c:v>
                </c:pt>
                <c:pt idx="742">
                  <c:v>41452.0</c:v>
                </c:pt>
                <c:pt idx="743">
                  <c:v>41451.0</c:v>
                </c:pt>
                <c:pt idx="744">
                  <c:v>41450.0</c:v>
                </c:pt>
                <c:pt idx="745">
                  <c:v>41449.0</c:v>
                </c:pt>
                <c:pt idx="746">
                  <c:v>41446.0</c:v>
                </c:pt>
                <c:pt idx="747">
                  <c:v>41445.0</c:v>
                </c:pt>
                <c:pt idx="748">
                  <c:v>41444.0</c:v>
                </c:pt>
                <c:pt idx="749">
                  <c:v>41443.0</c:v>
                </c:pt>
                <c:pt idx="750">
                  <c:v>41442.0</c:v>
                </c:pt>
                <c:pt idx="751">
                  <c:v>41439.0</c:v>
                </c:pt>
                <c:pt idx="752">
                  <c:v>41438.0</c:v>
                </c:pt>
                <c:pt idx="753">
                  <c:v>41437.0</c:v>
                </c:pt>
                <c:pt idx="754">
                  <c:v>41436.0</c:v>
                </c:pt>
                <c:pt idx="755">
                  <c:v>41435.0</c:v>
                </c:pt>
                <c:pt idx="756">
                  <c:v>41432.0</c:v>
                </c:pt>
                <c:pt idx="757">
                  <c:v>41431.0</c:v>
                </c:pt>
                <c:pt idx="758">
                  <c:v>41430.0</c:v>
                </c:pt>
                <c:pt idx="759">
                  <c:v>41429.0</c:v>
                </c:pt>
                <c:pt idx="760">
                  <c:v>41428.0</c:v>
                </c:pt>
                <c:pt idx="761">
                  <c:v>41425.0</c:v>
                </c:pt>
                <c:pt idx="762">
                  <c:v>41424.0</c:v>
                </c:pt>
                <c:pt idx="763">
                  <c:v>41423.0</c:v>
                </c:pt>
                <c:pt idx="764">
                  <c:v>41422.0</c:v>
                </c:pt>
                <c:pt idx="765">
                  <c:v>41421.0</c:v>
                </c:pt>
                <c:pt idx="766">
                  <c:v>41418.0</c:v>
                </c:pt>
                <c:pt idx="767">
                  <c:v>41417.0</c:v>
                </c:pt>
                <c:pt idx="768">
                  <c:v>41416.0</c:v>
                </c:pt>
                <c:pt idx="769">
                  <c:v>41415.0</c:v>
                </c:pt>
                <c:pt idx="770">
                  <c:v>41414.0</c:v>
                </c:pt>
                <c:pt idx="771">
                  <c:v>41411.0</c:v>
                </c:pt>
                <c:pt idx="772">
                  <c:v>41410.0</c:v>
                </c:pt>
                <c:pt idx="773">
                  <c:v>41409.0</c:v>
                </c:pt>
                <c:pt idx="774">
                  <c:v>41408.0</c:v>
                </c:pt>
                <c:pt idx="775">
                  <c:v>41407.0</c:v>
                </c:pt>
                <c:pt idx="776">
                  <c:v>41404.0</c:v>
                </c:pt>
                <c:pt idx="777">
                  <c:v>41403.0</c:v>
                </c:pt>
                <c:pt idx="778">
                  <c:v>41402.0</c:v>
                </c:pt>
                <c:pt idx="779">
                  <c:v>41401.0</c:v>
                </c:pt>
                <c:pt idx="780">
                  <c:v>41400.0</c:v>
                </c:pt>
                <c:pt idx="781">
                  <c:v>41397.0</c:v>
                </c:pt>
                <c:pt idx="782">
                  <c:v>41396.0</c:v>
                </c:pt>
                <c:pt idx="783">
                  <c:v>41395.0</c:v>
                </c:pt>
                <c:pt idx="784">
                  <c:v>41394.0</c:v>
                </c:pt>
                <c:pt idx="785">
                  <c:v>41393.0</c:v>
                </c:pt>
                <c:pt idx="786">
                  <c:v>41390.0</c:v>
                </c:pt>
                <c:pt idx="787">
                  <c:v>41389.0</c:v>
                </c:pt>
                <c:pt idx="788">
                  <c:v>41388.0</c:v>
                </c:pt>
                <c:pt idx="789">
                  <c:v>41387.0</c:v>
                </c:pt>
                <c:pt idx="790">
                  <c:v>41386.0</c:v>
                </c:pt>
                <c:pt idx="791">
                  <c:v>41383.0</c:v>
                </c:pt>
                <c:pt idx="792">
                  <c:v>41382.0</c:v>
                </c:pt>
                <c:pt idx="793">
                  <c:v>41381.0</c:v>
                </c:pt>
                <c:pt idx="794">
                  <c:v>41380.0</c:v>
                </c:pt>
                <c:pt idx="795">
                  <c:v>41379.0</c:v>
                </c:pt>
                <c:pt idx="796">
                  <c:v>41376.0</c:v>
                </c:pt>
                <c:pt idx="797">
                  <c:v>41375.0</c:v>
                </c:pt>
                <c:pt idx="798">
                  <c:v>41374.0</c:v>
                </c:pt>
                <c:pt idx="799">
                  <c:v>41373.0</c:v>
                </c:pt>
                <c:pt idx="800">
                  <c:v>41372.0</c:v>
                </c:pt>
                <c:pt idx="801">
                  <c:v>41369.0</c:v>
                </c:pt>
                <c:pt idx="802">
                  <c:v>41368.0</c:v>
                </c:pt>
                <c:pt idx="803">
                  <c:v>41367.0</c:v>
                </c:pt>
                <c:pt idx="804">
                  <c:v>41366.0</c:v>
                </c:pt>
                <c:pt idx="805">
                  <c:v>41365.0</c:v>
                </c:pt>
                <c:pt idx="806">
                  <c:v>41362.0</c:v>
                </c:pt>
                <c:pt idx="807">
                  <c:v>41361.0</c:v>
                </c:pt>
                <c:pt idx="808">
                  <c:v>41360.0</c:v>
                </c:pt>
                <c:pt idx="809">
                  <c:v>41359.0</c:v>
                </c:pt>
                <c:pt idx="810">
                  <c:v>41358.0</c:v>
                </c:pt>
                <c:pt idx="811">
                  <c:v>41355.0</c:v>
                </c:pt>
                <c:pt idx="812">
                  <c:v>41354.0</c:v>
                </c:pt>
                <c:pt idx="813">
                  <c:v>41353.0</c:v>
                </c:pt>
                <c:pt idx="814">
                  <c:v>41352.0</c:v>
                </c:pt>
                <c:pt idx="815">
                  <c:v>41351.0</c:v>
                </c:pt>
                <c:pt idx="816">
                  <c:v>41348.0</c:v>
                </c:pt>
                <c:pt idx="817">
                  <c:v>41347.0</c:v>
                </c:pt>
                <c:pt idx="818">
                  <c:v>41346.0</c:v>
                </c:pt>
                <c:pt idx="819">
                  <c:v>41345.0</c:v>
                </c:pt>
                <c:pt idx="820">
                  <c:v>41344.0</c:v>
                </c:pt>
                <c:pt idx="821">
                  <c:v>41341.0</c:v>
                </c:pt>
                <c:pt idx="822">
                  <c:v>41340.0</c:v>
                </c:pt>
                <c:pt idx="823">
                  <c:v>41339.0</c:v>
                </c:pt>
                <c:pt idx="824">
                  <c:v>41338.0</c:v>
                </c:pt>
                <c:pt idx="825">
                  <c:v>41337.0</c:v>
                </c:pt>
                <c:pt idx="826">
                  <c:v>41334.0</c:v>
                </c:pt>
                <c:pt idx="827">
                  <c:v>41333.0</c:v>
                </c:pt>
                <c:pt idx="828">
                  <c:v>41332.0</c:v>
                </c:pt>
                <c:pt idx="829">
                  <c:v>41331.0</c:v>
                </c:pt>
                <c:pt idx="830">
                  <c:v>41330.0</c:v>
                </c:pt>
                <c:pt idx="831">
                  <c:v>41327.0</c:v>
                </c:pt>
                <c:pt idx="832">
                  <c:v>41326.0</c:v>
                </c:pt>
                <c:pt idx="833">
                  <c:v>41325.0</c:v>
                </c:pt>
                <c:pt idx="834">
                  <c:v>41324.0</c:v>
                </c:pt>
                <c:pt idx="835">
                  <c:v>41323.0</c:v>
                </c:pt>
                <c:pt idx="836">
                  <c:v>41320.0</c:v>
                </c:pt>
                <c:pt idx="837">
                  <c:v>41319.0</c:v>
                </c:pt>
                <c:pt idx="838">
                  <c:v>41318.0</c:v>
                </c:pt>
                <c:pt idx="839">
                  <c:v>41317.0</c:v>
                </c:pt>
                <c:pt idx="840">
                  <c:v>41316.0</c:v>
                </c:pt>
                <c:pt idx="841">
                  <c:v>41313.0</c:v>
                </c:pt>
                <c:pt idx="842">
                  <c:v>41312.0</c:v>
                </c:pt>
                <c:pt idx="843">
                  <c:v>41311.0</c:v>
                </c:pt>
                <c:pt idx="844">
                  <c:v>41310.0</c:v>
                </c:pt>
                <c:pt idx="845">
                  <c:v>41309.0</c:v>
                </c:pt>
                <c:pt idx="846">
                  <c:v>41306.0</c:v>
                </c:pt>
                <c:pt idx="847">
                  <c:v>41305.0</c:v>
                </c:pt>
                <c:pt idx="848">
                  <c:v>41304.0</c:v>
                </c:pt>
                <c:pt idx="849">
                  <c:v>41303.0</c:v>
                </c:pt>
                <c:pt idx="850">
                  <c:v>41302.0</c:v>
                </c:pt>
                <c:pt idx="851">
                  <c:v>41299.0</c:v>
                </c:pt>
                <c:pt idx="852">
                  <c:v>41298.0</c:v>
                </c:pt>
                <c:pt idx="853">
                  <c:v>41297.0</c:v>
                </c:pt>
                <c:pt idx="854">
                  <c:v>41296.0</c:v>
                </c:pt>
                <c:pt idx="855">
                  <c:v>41295.0</c:v>
                </c:pt>
                <c:pt idx="856">
                  <c:v>41292.0</c:v>
                </c:pt>
                <c:pt idx="857">
                  <c:v>41291.0</c:v>
                </c:pt>
                <c:pt idx="858">
                  <c:v>41290.0</c:v>
                </c:pt>
                <c:pt idx="859">
                  <c:v>41289.0</c:v>
                </c:pt>
                <c:pt idx="860">
                  <c:v>41288.0</c:v>
                </c:pt>
                <c:pt idx="861">
                  <c:v>41285.0</c:v>
                </c:pt>
                <c:pt idx="862">
                  <c:v>41284.0</c:v>
                </c:pt>
                <c:pt idx="863">
                  <c:v>41283.0</c:v>
                </c:pt>
                <c:pt idx="864">
                  <c:v>41282.0</c:v>
                </c:pt>
                <c:pt idx="865">
                  <c:v>41281.0</c:v>
                </c:pt>
                <c:pt idx="866">
                  <c:v>41278.0</c:v>
                </c:pt>
                <c:pt idx="867">
                  <c:v>41277.0</c:v>
                </c:pt>
                <c:pt idx="868">
                  <c:v>41276.0</c:v>
                </c:pt>
                <c:pt idx="869">
                  <c:v>41275.0</c:v>
                </c:pt>
                <c:pt idx="870">
                  <c:v>41274.0</c:v>
                </c:pt>
                <c:pt idx="871">
                  <c:v>41271.0</c:v>
                </c:pt>
                <c:pt idx="872">
                  <c:v>41270.0</c:v>
                </c:pt>
                <c:pt idx="873">
                  <c:v>41269.0</c:v>
                </c:pt>
                <c:pt idx="874">
                  <c:v>41268.0</c:v>
                </c:pt>
                <c:pt idx="875">
                  <c:v>41267.0</c:v>
                </c:pt>
                <c:pt idx="876">
                  <c:v>41264.0</c:v>
                </c:pt>
                <c:pt idx="877">
                  <c:v>41263.0</c:v>
                </c:pt>
                <c:pt idx="878">
                  <c:v>41262.0</c:v>
                </c:pt>
                <c:pt idx="879">
                  <c:v>41261.0</c:v>
                </c:pt>
                <c:pt idx="880">
                  <c:v>41260.0</c:v>
                </c:pt>
                <c:pt idx="881">
                  <c:v>41257.0</c:v>
                </c:pt>
                <c:pt idx="882">
                  <c:v>41256.0</c:v>
                </c:pt>
                <c:pt idx="883">
                  <c:v>41255.0</c:v>
                </c:pt>
                <c:pt idx="884">
                  <c:v>41254.0</c:v>
                </c:pt>
                <c:pt idx="885">
                  <c:v>41253.0</c:v>
                </c:pt>
                <c:pt idx="886">
                  <c:v>41250.0</c:v>
                </c:pt>
                <c:pt idx="887">
                  <c:v>41249.0</c:v>
                </c:pt>
                <c:pt idx="888">
                  <c:v>41248.0</c:v>
                </c:pt>
                <c:pt idx="889">
                  <c:v>41247.0</c:v>
                </c:pt>
                <c:pt idx="890">
                  <c:v>41246.0</c:v>
                </c:pt>
                <c:pt idx="891">
                  <c:v>41243.0</c:v>
                </c:pt>
                <c:pt idx="892">
                  <c:v>41242.0</c:v>
                </c:pt>
                <c:pt idx="893">
                  <c:v>41241.0</c:v>
                </c:pt>
                <c:pt idx="894">
                  <c:v>41240.0</c:v>
                </c:pt>
                <c:pt idx="895">
                  <c:v>41239.0</c:v>
                </c:pt>
                <c:pt idx="896">
                  <c:v>41236.0</c:v>
                </c:pt>
                <c:pt idx="897">
                  <c:v>41235.0</c:v>
                </c:pt>
                <c:pt idx="898">
                  <c:v>41234.0</c:v>
                </c:pt>
                <c:pt idx="899">
                  <c:v>41233.0</c:v>
                </c:pt>
                <c:pt idx="900">
                  <c:v>41232.0</c:v>
                </c:pt>
                <c:pt idx="901">
                  <c:v>41229.0</c:v>
                </c:pt>
                <c:pt idx="902">
                  <c:v>41228.0</c:v>
                </c:pt>
                <c:pt idx="903">
                  <c:v>41227.0</c:v>
                </c:pt>
                <c:pt idx="904">
                  <c:v>41226.0</c:v>
                </c:pt>
                <c:pt idx="905">
                  <c:v>41225.0</c:v>
                </c:pt>
                <c:pt idx="906">
                  <c:v>41222.0</c:v>
                </c:pt>
                <c:pt idx="907">
                  <c:v>41221.0</c:v>
                </c:pt>
                <c:pt idx="908">
                  <c:v>41220.0</c:v>
                </c:pt>
                <c:pt idx="909">
                  <c:v>41219.0</c:v>
                </c:pt>
                <c:pt idx="910">
                  <c:v>41218.0</c:v>
                </c:pt>
                <c:pt idx="911">
                  <c:v>41215.0</c:v>
                </c:pt>
                <c:pt idx="912">
                  <c:v>41214.0</c:v>
                </c:pt>
                <c:pt idx="913">
                  <c:v>41213.0</c:v>
                </c:pt>
                <c:pt idx="914">
                  <c:v>41212.0</c:v>
                </c:pt>
                <c:pt idx="915">
                  <c:v>41211.0</c:v>
                </c:pt>
                <c:pt idx="916">
                  <c:v>41208.0</c:v>
                </c:pt>
                <c:pt idx="917">
                  <c:v>41207.0</c:v>
                </c:pt>
                <c:pt idx="918">
                  <c:v>41206.0</c:v>
                </c:pt>
                <c:pt idx="919">
                  <c:v>41205.0</c:v>
                </c:pt>
                <c:pt idx="920">
                  <c:v>41204.0</c:v>
                </c:pt>
                <c:pt idx="921">
                  <c:v>41201.0</c:v>
                </c:pt>
                <c:pt idx="922">
                  <c:v>41200.0</c:v>
                </c:pt>
                <c:pt idx="923">
                  <c:v>41199.0</c:v>
                </c:pt>
                <c:pt idx="924">
                  <c:v>41198.0</c:v>
                </c:pt>
                <c:pt idx="925">
                  <c:v>41197.0</c:v>
                </c:pt>
                <c:pt idx="926">
                  <c:v>41194.0</c:v>
                </c:pt>
                <c:pt idx="927">
                  <c:v>41193.0</c:v>
                </c:pt>
                <c:pt idx="928">
                  <c:v>41192.0</c:v>
                </c:pt>
                <c:pt idx="929">
                  <c:v>41191.0</c:v>
                </c:pt>
                <c:pt idx="930">
                  <c:v>41190.0</c:v>
                </c:pt>
                <c:pt idx="931">
                  <c:v>41187.0</c:v>
                </c:pt>
                <c:pt idx="932">
                  <c:v>41186.0</c:v>
                </c:pt>
                <c:pt idx="933">
                  <c:v>41185.0</c:v>
                </c:pt>
                <c:pt idx="934">
                  <c:v>41184.0</c:v>
                </c:pt>
                <c:pt idx="935">
                  <c:v>41183.0</c:v>
                </c:pt>
                <c:pt idx="936">
                  <c:v>41180.0</c:v>
                </c:pt>
                <c:pt idx="937">
                  <c:v>41179.0</c:v>
                </c:pt>
                <c:pt idx="938">
                  <c:v>41178.0</c:v>
                </c:pt>
                <c:pt idx="939">
                  <c:v>41177.0</c:v>
                </c:pt>
                <c:pt idx="940">
                  <c:v>41176.0</c:v>
                </c:pt>
                <c:pt idx="941">
                  <c:v>41173.0</c:v>
                </c:pt>
                <c:pt idx="942">
                  <c:v>41172.0</c:v>
                </c:pt>
                <c:pt idx="943">
                  <c:v>41171.0</c:v>
                </c:pt>
                <c:pt idx="944">
                  <c:v>41170.0</c:v>
                </c:pt>
                <c:pt idx="945">
                  <c:v>41169.0</c:v>
                </c:pt>
                <c:pt idx="946">
                  <c:v>41166.0</c:v>
                </c:pt>
                <c:pt idx="947">
                  <c:v>41165.0</c:v>
                </c:pt>
                <c:pt idx="948">
                  <c:v>41164.0</c:v>
                </c:pt>
                <c:pt idx="949">
                  <c:v>41163.0</c:v>
                </c:pt>
                <c:pt idx="950">
                  <c:v>41162.0</c:v>
                </c:pt>
                <c:pt idx="951">
                  <c:v>41159.0</c:v>
                </c:pt>
                <c:pt idx="952">
                  <c:v>41158.0</c:v>
                </c:pt>
                <c:pt idx="953">
                  <c:v>41157.0</c:v>
                </c:pt>
                <c:pt idx="954">
                  <c:v>41156.0</c:v>
                </c:pt>
                <c:pt idx="955">
                  <c:v>41155.0</c:v>
                </c:pt>
                <c:pt idx="956">
                  <c:v>41152.0</c:v>
                </c:pt>
                <c:pt idx="957">
                  <c:v>41151.0</c:v>
                </c:pt>
                <c:pt idx="958">
                  <c:v>41150.0</c:v>
                </c:pt>
                <c:pt idx="959">
                  <c:v>41149.0</c:v>
                </c:pt>
                <c:pt idx="960">
                  <c:v>41148.0</c:v>
                </c:pt>
                <c:pt idx="961">
                  <c:v>41145.0</c:v>
                </c:pt>
                <c:pt idx="962">
                  <c:v>41144.0</c:v>
                </c:pt>
                <c:pt idx="963">
                  <c:v>41143.0</c:v>
                </c:pt>
                <c:pt idx="964">
                  <c:v>41142.0</c:v>
                </c:pt>
                <c:pt idx="965">
                  <c:v>41141.0</c:v>
                </c:pt>
                <c:pt idx="966">
                  <c:v>41138.0</c:v>
                </c:pt>
                <c:pt idx="967">
                  <c:v>41137.0</c:v>
                </c:pt>
                <c:pt idx="968">
                  <c:v>41136.0</c:v>
                </c:pt>
                <c:pt idx="969">
                  <c:v>41135.0</c:v>
                </c:pt>
                <c:pt idx="970">
                  <c:v>41134.0</c:v>
                </c:pt>
                <c:pt idx="971">
                  <c:v>41131.0</c:v>
                </c:pt>
                <c:pt idx="972">
                  <c:v>41130.0</c:v>
                </c:pt>
                <c:pt idx="973">
                  <c:v>41129.0</c:v>
                </c:pt>
                <c:pt idx="974">
                  <c:v>41128.0</c:v>
                </c:pt>
                <c:pt idx="975">
                  <c:v>41127.0</c:v>
                </c:pt>
                <c:pt idx="976">
                  <c:v>41124.0</c:v>
                </c:pt>
                <c:pt idx="977">
                  <c:v>41123.0</c:v>
                </c:pt>
                <c:pt idx="978">
                  <c:v>41122.0</c:v>
                </c:pt>
                <c:pt idx="979">
                  <c:v>41121.0</c:v>
                </c:pt>
                <c:pt idx="980">
                  <c:v>41120.0</c:v>
                </c:pt>
                <c:pt idx="981">
                  <c:v>41117.0</c:v>
                </c:pt>
                <c:pt idx="982">
                  <c:v>41116.0</c:v>
                </c:pt>
                <c:pt idx="983">
                  <c:v>41115.0</c:v>
                </c:pt>
                <c:pt idx="984">
                  <c:v>41114.0</c:v>
                </c:pt>
                <c:pt idx="985">
                  <c:v>41113.0</c:v>
                </c:pt>
                <c:pt idx="986">
                  <c:v>41110.0</c:v>
                </c:pt>
                <c:pt idx="987">
                  <c:v>41109.0</c:v>
                </c:pt>
                <c:pt idx="988">
                  <c:v>41108.0</c:v>
                </c:pt>
                <c:pt idx="989">
                  <c:v>41107.0</c:v>
                </c:pt>
                <c:pt idx="990">
                  <c:v>41106.0</c:v>
                </c:pt>
                <c:pt idx="991">
                  <c:v>41103.0</c:v>
                </c:pt>
                <c:pt idx="992">
                  <c:v>41102.0</c:v>
                </c:pt>
                <c:pt idx="993">
                  <c:v>41101.0</c:v>
                </c:pt>
                <c:pt idx="994">
                  <c:v>41100.0</c:v>
                </c:pt>
                <c:pt idx="995">
                  <c:v>41099.0</c:v>
                </c:pt>
                <c:pt idx="996">
                  <c:v>41096.0</c:v>
                </c:pt>
                <c:pt idx="997">
                  <c:v>41095.0</c:v>
                </c:pt>
                <c:pt idx="998">
                  <c:v>41094.0</c:v>
                </c:pt>
                <c:pt idx="999">
                  <c:v>41093.0</c:v>
                </c:pt>
                <c:pt idx="1000">
                  <c:v>41092.0</c:v>
                </c:pt>
                <c:pt idx="1001">
                  <c:v>41089.0</c:v>
                </c:pt>
                <c:pt idx="1002">
                  <c:v>41088.0</c:v>
                </c:pt>
                <c:pt idx="1003">
                  <c:v>41087.0</c:v>
                </c:pt>
                <c:pt idx="1004">
                  <c:v>41086.0</c:v>
                </c:pt>
                <c:pt idx="1005">
                  <c:v>41085.0</c:v>
                </c:pt>
                <c:pt idx="1006">
                  <c:v>41082.0</c:v>
                </c:pt>
                <c:pt idx="1007">
                  <c:v>41081.0</c:v>
                </c:pt>
                <c:pt idx="1008">
                  <c:v>41080.0</c:v>
                </c:pt>
                <c:pt idx="1009">
                  <c:v>41079.0</c:v>
                </c:pt>
                <c:pt idx="1010">
                  <c:v>41078.0</c:v>
                </c:pt>
                <c:pt idx="1011">
                  <c:v>41075.0</c:v>
                </c:pt>
                <c:pt idx="1012">
                  <c:v>41074.0</c:v>
                </c:pt>
                <c:pt idx="1013">
                  <c:v>41073.0</c:v>
                </c:pt>
                <c:pt idx="1014">
                  <c:v>41072.0</c:v>
                </c:pt>
                <c:pt idx="1015">
                  <c:v>41071.0</c:v>
                </c:pt>
                <c:pt idx="1016">
                  <c:v>41068.0</c:v>
                </c:pt>
                <c:pt idx="1017">
                  <c:v>41067.0</c:v>
                </c:pt>
                <c:pt idx="1018">
                  <c:v>41066.0</c:v>
                </c:pt>
                <c:pt idx="1019">
                  <c:v>41065.0</c:v>
                </c:pt>
                <c:pt idx="1020">
                  <c:v>41064.0</c:v>
                </c:pt>
                <c:pt idx="1021">
                  <c:v>41061.0</c:v>
                </c:pt>
                <c:pt idx="1022">
                  <c:v>41060.0</c:v>
                </c:pt>
                <c:pt idx="1023">
                  <c:v>41059.0</c:v>
                </c:pt>
                <c:pt idx="1024">
                  <c:v>41058.0</c:v>
                </c:pt>
                <c:pt idx="1025">
                  <c:v>41057.0</c:v>
                </c:pt>
                <c:pt idx="1026">
                  <c:v>41054.0</c:v>
                </c:pt>
                <c:pt idx="1027">
                  <c:v>41053.0</c:v>
                </c:pt>
                <c:pt idx="1028">
                  <c:v>41052.0</c:v>
                </c:pt>
                <c:pt idx="1029">
                  <c:v>41051.0</c:v>
                </c:pt>
                <c:pt idx="1030">
                  <c:v>41050.0</c:v>
                </c:pt>
                <c:pt idx="1031">
                  <c:v>41047.0</c:v>
                </c:pt>
                <c:pt idx="1032">
                  <c:v>41046.0</c:v>
                </c:pt>
                <c:pt idx="1033">
                  <c:v>41045.0</c:v>
                </c:pt>
                <c:pt idx="1034">
                  <c:v>41044.0</c:v>
                </c:pt>
                <c:pt idx="1035">
                  <c:v>41043.0</c:v>
                </c:pt>
                <c:pt idx="1036">
                  <c:v>41040.0</c:v>
                </c:pt>
                <c:pt idx="1037">
                  <c:v>41039.0</c:v>
                </c:pt>
                <c:pt idx="1038">
                  <c:v>41038.0</c:v>
                </c:pt>
                <c:pt idx="1039">
                  <c:v>41037.0</c:v>
                </c:pt>
                <c:pt idx="1040">
                  <c:v>41036.0</c:v>
                </c:pt>
                <c:pt idx="1041">
                  <c:v>41033.0</c:v>
                </c:pt>
                <c:pt idx="1042">
                  <c:v>41032.0</c:v>
                </c:pt>
                <c:pt idx="1043">
                  <c:v>41031.0</c:v>
                </c:pt>
                <c:pt idx="1044">
                  <c:v>41030.0</c:v>
                </c:pt>
                <c:pt idx="1045">
                  <c:v>41029.0</c:v>
                </c:pt>
                <c:pt idx="1046">
                  <c:v>41026.0</c:v>
                </c:pt>
                <c:pt idx="1047">
                  <c:v>41025.0</c:v>
                </c:pt>
                <c:pt idx="1048">
                  <c:v>41024.0</c:v>
                </c:pt>
                <c:pt idx="1049">
                  <c:v>41023.0</c:v>
                </c:pt>
                <c:pt idx="1050">
                  <c:v>41022.0</c:v>
                </c:pt>
                <c:pt idx="1051">
                  <c:v>41019.0</c:v>
                </c:pt>
                <c:pt idx="1052">
                  <c:v>41018.0</c:v>
                </c:pt>
                <c:pt idx="1053">
                  <c:v>41017.0</c:v>
                </c:pt>
                <c:pt idx="1054">
                  <c:v>41016.0</c:v>
                </c:pt>
                <c:pt idx="1055">
                  <c:v>41015.0</c:v>
                </c:pt>
                <c:pt idx="1056">
                  <c:v>41012.0</c:v>
                </c:pt>
                <c:pt idx="1057">
                  <c:v>41011.0</c:v>
                </c:pt>
                <c:pt idx="1058">
                  <c:v>41010.0</c:v>
                </c:pt>
                <c:pt idx="1059">
                  <c:v>41009.0</c:v>
                </c:pt>
                <c:pt idx="1060">
                  <c:v>41008.0</c:v>
                </c:pt>
                <c:pt idx="1061">
                  <c:v>41005.0</c:v>
                </c:pt>
                <c:pt idx="1062">
                  <c:v>41004.0</c:v>
                </c:pt>
                <c:pt idx="1063">
                  <c:v>41003.0</c:v>
                </c:pt>
                <c:pt idx="1064">
                  <c:v>41002.0</c:v>
                </c:pt>
                <c:pt idx="1065">
                  <c:v>41001.0</c:v>
                </c:pt>
                <c:pt idx="1066">
                  <c:v>40998.0</c:v>
                </c:pt>
                <c:pt idx="1067">
                  <c:v>40997.0</c:v>
                </c:pt>
                <c:pt idx="1068">
                  <c:v>40996.0</c:v>
                </c:pt>
                <c:pt idx="1069">
                  <c:v>40995.0</c:v>
                </c:pt>
                <c:pt idx="1070">
                  <c:v>40994.0</c:v>
                </c:pt>
                <c:pt idx="1071">
                  <c:v>40991.0</c:v>
                </c:pt>
                <c:pt idx="1072">
                  <c:v>40990.0</c:v>
                </c:pt>
                <c:pt idx="1073">
                  <c:v>40989.0</c:v>
                </c:pt>
                <c:pt idx="1074">
                  <c:v>40988.0</c:v>
                </c:pt>
                <c:pt idx="1075">
                  <c:v>40987.0</c:v>
                </c:pt>
                <c:pt idx="1076">
                  <c:v>40984.0</c:v>
                </c:pt>
                <c:pt idx="1077">
                  <c:v>40983.0</c:v>
                </c:pt>
                <c:pt idx="1078">
                  <c:v>40982.0</c:v>
                </c:pt>
                <c:pt idx="1079">
                  <c:v>40981.0</c:v>
                </c:pt>
                <c:pt idx="1080">
                  <c:v>40980.0</c:v>
                </c:pt>
                <c:pt idx="1081">
                  <c:v>40977.0</c:v>
                </c:pt>
                <c:pt idx="1082">
                  <c:v>40976.0</c:v>
                </c:pt>
                <c:pt idx="1083">
                  <c:v>40975.0</c:v>
                </c:pt>
                <c:pt idx="1084">
                  <c:v>40974.0</c:v>
                </c:pt>
                <c:pt idx="1085">
                  <c:v>40973.0</c:v>
                </c:pt>
                <c:pt idx="1086">
                  <c:v>40970.0</c:v>
                </c:pt>
                <c:pt idx="1087">
                  <c:v>40969.0</c:v>
                </c:pt>
                <c:pt idx="1088">
                  <c:v>40968.0</c:v>
                </c:pt>
                <c:pt idx="1089">
                  <c:v>40967.0</c:v>
                </c:pt>
                <c:pt idx="1090">
                  <c:v>40966.0</c:v>
                </c:pt>
                <c:pt idx="1091">
                  <c:v>40963.0</c:v>
                </c:pt>
                <c:pt idx="1092">
                  <c:v>40962.0</c:v>
                </c:pt>
                <c:pt idx="1093">
                  <c:v>40961.0</c:v>
                </c:pt>
                <c:pt idx="1094">
                  <c:v>40960.0</c:v>
                </c:pt>
                <c:pt idx="1095">
                  <c:v>40959.0</c:v>
                </c:pt>
                <c:pt idx="1096">
                  <c:v>40956.0</c:v>
                </c:pt>
                <c:pt idx="1097">
                  <c:v>40955.0</c:v>
                </c:pt>
                <c:pt idx="1098">
                  <c:v>40954.0</c:v>
                </c:pt>
                <c:pt idx="1099">
                  <c:v>40953.0</c:v>
                </c:pt>
                <c:pt idx="1100">
                  <c:v>40952.0</c:v>
                </c:pt>
                <c:pt idx="1101">
                  <c:v>40949.0</c:v>
                </c:pt>
                <c:pt idx="1102">
                  <c:v>40948.0</c:v>
                </c:pt>
                <c:pt idx="1103">
                  <c:v>40947.0</c:v>
                </c:pt>
                <c:pt idx="1104">
                  <c:v>40946.0</c:v>
                </c:pt>
                <c:pt idx="1105">
                  <c:v>40945.0</c:v>
                </c:pt>
                <c:pt idx="1106">
                  <c:v>40942.0</c:v>
                </c:pt>
                <c:pt idx="1107">
                  <c:v>40941.0</c:v>
                </c:pt>
                <c:pt idx="1108">
                  <c:v>40940.0</c:v>
                </c:pt>
                <c:pt idx="1109">
                  <c:v>40939.0</c:v>
                </c:pt>
                <c:pt idx="1110">
                  <c:v>40938.0</c:v>
                </c:pt>
                <c:pt idx="1111">
                  <c:v>40935.0</c:v>
                </c:pt>
                <c:pt idx="1112">
                  <c:v>40934.0</c:v>
                </c:pt>
                <c:pt idx="1113">
                  <c:v>40933.0</c:v>
                </c:pt>
                <c:pt idx="1114">
                  <c:v>40932.0</c:v>
                </c:pt>
                <c:pt idx="1115">
                  <c:v>40931.0</c:v>
                </c:pt>
                <c:pt idx="1116">
                  <c:v>40928.0</c:v>
                </c:pt>
                <c:pt idx="1117">
                  <c:v>40927.0</c:v>
                </c:pt>
                <c:pt idx="1118">
                  <c:v>40926.0</c:v>
                </c:pt>
                <c:pt idx="1119">
                  <c:v>40925.0</c:v>
                </c:pt>
                <c:pt idx="1120">
                  <c:v>40924.0</c:v>
                </c:pt>
                <c:pt idx="1121">
                  <c:v>40921.0</c:v>
                </c:pt>
                <c:pt idx="1122">
                  <c:v>40920.0</c:v>
                </c:pt>
                <c:pt idx="1123">
                  <c:v>40919.0</c:v>
                </c:pt>
                <c:pt idx="1124">
                  <c:v>40918.0</c:v>
                </c:pt>
                <c:pt idx="1125">
                  <c:v>40917.0</c:v>
                </c:pt>
                <c:pt idx="1126">
                  <c:v>40914.0</c:v>
                </c:pt>
                <c:pt idx="1127">
                  <c:v>40913.0</c:v>
                </c:pt>
                <c:pt idx="1128">
                  <c:v>40912.0</c:v>
                </c:pt>
                <c:pt idx="1129">
                  <c:v>40911.0</c:v>
                </c:pt>
                <c:pt idx="1130">
                  <c:v>40910.0</c:v>
                </c:pt>
                <c:pt idx="1131">
                  <c:v>40907.0</c:v>
                </c:pt>
                <c:pt idx="1132">
                  <c:v>40906.0</c:v>
                </c:pt>
                <c:pt idx="1133">
                  <c:v>40905.0</c:v>
                </c:pt>
                <c:pt idx="1134">
                  <c:v>40904.0</c:v>
                </c:pt>
                <c:pt idx="1135">
                  <c:v>40903.0</c:v>
                </c:pt>
                <c:pt idx="1136">
                  <c:v>40900.0</c:v>
                </c:pt>
                <c:pt idx="1137">
                  <c:v>40899.0</c:v>
                </c:pt>
                <c:pt idx="1138">
                  <c:v>40898.0</c:v>
                </c:pt>
                <c:pt idx="1139">
                  <c:v>40897.0</c:v>
                </c:pt>
                <c:pt idx="1140">
                  <c:v>40896.0</c:v>
                </c:pt>
                <c:pt idx="1141">
                  <c:v>40893.0</c:v>
                </c:pt>
                <c:pt idx="1142">
                  <c:v>40892.0</c:v>
                </c:pt>
                <c:pt idx="1143">
                  <c:v>40891.0</c:v>
                </c:pt>
                <c:pt idx="1144">
                  <c:v>40890.0</c:v>
                </c:pt>
                <c:pt idx="1145">
                  <c:v>40889.0</c:v>
                </c:pt>
                <c:pt idx="1146">
                  <c:v>40886.0</c:v>
                </c:pt>
                <c:pt idx="1147">
                  <c:v>40885.0</c:v>
                </c:pt>
                <c:pt idx="1148">
                  <c:v>40884.0</c:v>
                </c:pt>
                <c:pt idx="1149">
                  <c:v>40883.0</c:v>
                </c:pt>
                <c:pt idx="1150">
                  <c:v>40882.0</c:v>
                </c:pt>
                <c:pt idx="1151">
                  <c:v>40879.0</c:v>
                </c:pt>
                <c:pt idx="1152">
                  <c:v>40878.0</c:v>
                </c:pt>
                <c:pt idx="1153">
                  <c:v>40877.0</c:v>
                </c:pt>
                <c:pt idx="1154">
                  <c:v>40876.0</c:v>
                </c:pt>
                <c:pt idx="1155">
                  <c:v>40875.0</c:v>
                </c:pt>
                <c:pt idx="1156">
                  <c:v>40872.0</c:v>
                </c:pt>
                <c:pt idx="1157">
                  <c:v>40871.0</c:v>
                </c:pt>
                <c:pt idx="1158">
                  <c:v>40870.0</c:v>
                </c:pt>
                <c:pt idx="1159">
                  <c:v>40869.0</c:v>
                </c:pt>
                <c:pt idx="1160">
                  <c:v>40868.0</c:v>
                </c:pt>
                <c:pt idx="1161">
                  <c:v>40865.0</c:v>
                </c:pt>
                <c:pt idx="1162">
                  <c:v>40864.0</c:v>
                </c:pt>
                <c:pt idx="1163">
                  <c:v>40863.0</c:v>
                </c:pt>
                <c:pt idx="1164">
                  <c:v>40862.0</c:v>
                </c:pt>
                <c:pt idx="1165">
                  <c:v>40861.0</c:v>
                </c:pt>
                <c:pt idx="1166">
                  <c:v>40858.0</c:v>
                </c:pt>
                <c:pt idx="1167">
                  <c:v>40857.0</c:v>
                </c:pt>
                <c:pt idx="1168">
                  <c:v>40856.0</c:v>
                </c:pt>
                <c:pt idx="1169">
                  <c:v>40855.0</c:v>
                </c:pt>
                <c:pt idx="1170">
                  <c:v>40854.0</c:v>
                </c:pt>
                <c:pt idx="1171">
                  <c:v>40851.0</c:v>
                </c:pt>
                <c:pt idx="1172">
                  <c:v>40850.0</c:v>
                </c:pt>
                <c:pt idx="1173">
                  <c:v>40849.0</c:v>
                </c:pt>
                <c:pt idx="1174">
                  <c:v>40848.0</c:v>
                </c:pt>
                <c:pt idx="1175">
                  <c:v>40847.0</c:v>
                </c:pt>
                <c:pt idx="1176">
                  <c:v>40844.0</c:v>
                </c:pt>
                <c:pt idx="1177">
                  <c:v>40843.0</c:v>
                </c:pt>
                <c:pt idx="1178">
                  <c:v>40842.0</c:v>
                </c:pt>
                <c:pt idx="1179">
                  <c:v>40841.0</c:v>
                </c:pt>
                <c:pt idx="1180">
                  <c:v>40840.0</c:v>
                </c:pt>
                <c:pt idx="1181">
                  <c:v>40837.0</c:v>
                </c:pt>
                <c:pt idx="1182">
                  <c:v>40836.0</c:v>
                </c:pt>
                <c:pt idx="1183">
                  <c:v>40835.0</c:v>
                </c:pt>
                <c:pt idx="1184">
                  <c:v>40834.0</c:v>
                </c:pt>
                <c:pt idx="1185">
                  <c:v>40833.0</c:v>
                </c:pt>
                <c:pt idx="1186">
                  <c:v>40830.0</c:v>
                </c:pt>
                <c:pt idx="1187">
                  <c:v>40829.0</c:v>
                </c:pt>
                <c:pt idx="1188">
                  <c:v>40828.0</c:v>
                </c:pt>
                <c:pt idx="1189">
                  <c:v>40827.0</c:v>
                </c:pt>
                <c:pt idx="1190">
                  <c:v>40826.0</c:v>
                </c:pt>
                <c:pt idx="1191">
                  <c:v>40823.0</c:v>
                </c:pt>
                <c:pt idx="1192">
                  <c:v>40822.0</c:v>
                </c:pt>
                <c:pt idx="1193">
                  <c:v>40821.0</c:v>
                </c:pt>
                <c:pt idx="1194">
                  <c:v>40820.0</c:v>
                </c:pt>
                <c:pt idx="1195">
                  <c:v>40819.0</c:v>
                </c:pt>
                <c:pt idx="1196">
                  <c:v>40816.0</c:v>
                </c:pt>
                <c:pt idx="1197">
                  <c:v>40815.0</c:v>
                </c:pt>
                <c:pt idx="1198">
                  <c:v>40814.0</c:v>
                </c:pt>
                <c:pt idx="1199">
                  <c:v>40813.0</c:v>
                </c:pt>
                <c:pt idx="1200">
                  <c:v>40812.0</c:v>
                </c:pt>
                <c:pt idx="1201">
                  <c:v>40809.0</c:v>
                </c:pt>
                <c:pt idx="1202">
                  <c:v>40808.0</c:v>
                </c:pt>
                <c:pt idx="1203">
                  <c:v>40807.0</c:v>
                </c:pt>
                <c:pt idx="1204">
                  <c:v>40806.0</c:v>
                </c:pt>
                <c:pt idx="1205">
                  <c:v>40805.0</c:v>
                </c:pt>
                <c:pt idx="1206">
                  <c:v>40802.0</c:v>
                </c:pt>
                <c:pt idx="1207">
                  <c:v>40801.0</c:v>
                </c:pt>
                <c:pt idx="1208">
                  <c:v>40800.0</c:v>
                </c:pt>
                <c:pt idx="1209">
                  <c:v>40799.0</c:v>
                </c:pt>
                <c:pt idx="1210">
                  <c:v>40798.0</c:v>
                </c:pt>
                <c:pt idx="1211">
                  <c:v>40795.0</c:v>
                </c:pt>
                <c:pt idx="1212">
                  <c:v>40794.0</c:v>
                </c:pt>
                <c:pt idx="1213">
                  <c:v>40793.0</c:v>
                </c:pt>
                <c:pt idx="1214">
                  <c:v>40792.0</c:v>
                </c:pt>
                <c:pt idx="1215">
                  <c:v>40791.0</c:v>
                </c:pt>
                <c:pt idx="1216">
                  <c:v>40788.0</c:v>
                </c:pt>
                <c:pt idx="1217">
                  <c:v>40787.0</c:v>
                </c:pt>
                <c:pt idx="1218">
                  <c:v>40786.0</c:v>
                </c:pt>
                <c:pt idx="1219">
                  <c:v>40785.0</c:v>
                </c:pt>
                <c:pt idx="1220">
                  <c:v>40784.0</c:v>
                </c:pt>
                <c:pt idx="1221">
                  <c:v>40781.0</c:v>
                </c:pt>
                <c:pt idx="1222">
                  <c:v>40780.0</c:v>
                </c:pt>
                <c:pt idx="1223">
                  <c:v>40779.0</c:v>
                </c:pt>
                <c:pt idx="1224">
                  <c:v>40778.0</c:v>
                </c:pt>
                <c:pt idx="1225">
                  <c:v>40777.0</c:v>
                </c:pt>
                <c:pt idx="1226">
                  <c:v>40774.0</c:v>
                </c:pt>
                <c:pt idx="1227">
                  <c:v>40773.0</c:v>
                </c:pt>
                <c:pt idx="1228">
                  <c:v>40772.0</c:v>
                </c:pt>
                <c:pt idx="1229">
                  <c:v>40771.0</c:v>
                </c:pt>
                <c:pt idx="1230">
                  <c:v>40770.0</c:v>
                </c:pt>
                <c:pt idx="1231">
                  <c:v>40767.0</c:v>
                </c:pt>
                <c:pt idx="1232">
                  <c:v>40766.0</c:v>
                </c:pt>
                <c:pt idx="1233">
                  <c:v>40765.0</c:v>
                </c:pt>
                <c:pt idx="1234">
                  <c:v>40764.0</c:v>
                </c:pt>
                <c:pt idx="1235">
                  <c:v>40763.0</c:v>
                </c:pt>
                <c:pt idx="1236">
                  <c:v>40760.0</c:v>
                </c:pt>
                <c:pt idx="1237">
                  <c:v>40759.0</c:v>
                </c:pt>
                <c:pt idx="1238">
                  <c:v>40758.0</c:v>
                </c:pt>
                <c:pt idx="1239">
                  <c:v>40757.0</c:v>
                </c:pt>
                <c:pt idx="1240">
                  <c:v>40756.0</c:v>
                </c:pt>
                <c:pt idx="1241">
                  <c:v>40753.0</c:v>
                </c:pt>
                <c:pt idx="1242">
                  <c:v>40752.0</c:v>
                </c:pt>
                <c:pt idx="1243">
                  <c:v>40751.0</c:v>
                </c:pt>
                <c:pt idx="1244">
                  <c:v>40750.0</c:v>
                </c:pt>
                <c:pt idx="1245">
                  <c:v>40749.0</c:v>
                </c:pt>
                <c:pt idx="1246">
                  <c:v>40746.0</c:v>
                </c:pt>
                <c:pt idx="1247">
                  <c:v>40745.0</c:v>
                </c:pt>
                <c:pt idx="1248">
                  <c:v>40744.0</c:v>
                </c:pt>
                <c:pt idx="1249">
                  <c:v>40743.0</c:v>
                </c:pt>
                <c:pt idx="1250">
                  <c:v>40742.0</c:v>
                </c:pt>
                <c:pt idx="1251">
                  <c:v>40739.0</c:v>
                </c:pt>
                <c:pt idx="1252">
                  <c:v>40738.0</c:v>
                </c:pt>
                <c:pt idx="1253">
                  <c:v>40737.0</c:v>
                </c:pt>
                <c:pt idx="1254">
                  <c:v>40736.0</c:v>
                </c:pt>
                <c:pt idx="1255">
                  <c:v>40735.0</c:v>
                </c:pt>
                <c:pt idx="1256">
                  <c:v>40732.0</c:v>
                </c:pt>
                <c:pt idx="1257">
                  <c:v>40731.0</c:v>
                </c:pt>
                <c:pt idx="1258">
                  <c:v>40730.0</c:v>
                </c:pt>
                <c:pt idx="1259">
                  <c:v>40729.0</c:v>
                </c:pt>
                <c:pt idx="1260">
                  <c:v>40728.0</c:v>
                </c:pt>
                <c:pt idx="1261">
                  <c:v>40725.0</c:v>
                </c:pt>
                <c:pt idx="1262">
                  <c:v>40724.0</c:v>
                </c:pt>
                <c:pt idx="1263">
                  <c:v>40723.0</c:v>
                </c:pt>
                <c:pt idx="1264">
                  <c:v>40722.0</c:v>
                </c:pt>
                <c:pt idx="1265">
                  <c:v>40721.0</c:v>
                </c:pt>
                <c:pt idx="1266">
                  <c:v>40718.0</c:v>
                </c:pt>
                <c:pt idx="1267">
                  <c:v>40717.0</c:v>
                </c:pt>
                <c:pt idx="1268">
                  <c:v>40716.0</c:v>
                </c:pt>
                <c:pt idx="1269">
                  <c:v>40715.0</c:v>
                </c:pt>
                <c:pt idx="1270">
                  <c:v>40714.0</c:v>
                </c:pt>
                <c:pt idx="1271">
                  <c:v>40711.0</c:v>
                </c:pt>
                <c:pt idx="1272">
                  <c:v>40710.0</c:v>
                </c:pt>
                <c:pt idx="1273">
                  <c:v>40709.0</c:v>
                </c:pt>
                <c:pt idx="1274">
                  <c:v>40708.0</c:v>
                </c:pt>
                <c:pt idx="1275">
                  <c:v>40707.0</c:v>
                </c:pt>
                <c:pt idx="1276">
                  <c:v>40704.0</c:v>
                </c:pt>
                <c:pt idx="1277">
                  <c:v>40703.0</c:v>
                </c:pt>
                <c:pt idx="1278">
                  <c:v>40702.0</c:v>
                </c:pt>
                <c:pt idx="1279">
                  <c:v>40701.0</c:v>
                </c:pt>
                <c:pt idx="1280">
                  <c:v>40700.0</c:v>
                </c:pt>
                <c:pt idx="1281">
                  <c:v>40697.0</c:v>
                </c:pt>
                <c:pt idx="1282">
                  <c:v>40696.0</c:v>
                </c:pt>
                <c:pt idx="1283">
                  <c:v>40695.0</c:v>
                </c:pt>
                <c:pt idx="1284">
                  <c:v>40694.0</c:v>
                </c:pt>
                <c:pt idx="1285">
                  <c:v>40693.0</c:v>
                </c:pt>
                <c:pt idx="1286">
                  <c:v>40690.0</c:v>
                </c:pt>
                <c:pt idx="1287">
                  <c:v>40689.0</c:v>
                </c:pt>
                <c:pt idx="1288">
                  <c:v>40688.0</c:v>
                </c:pt>
                <c:pt idx="1289">
                  <c:v>40687.0</c:v>
                </c:pt>
                <c:pt idx="1290">
                  <c:v>40686.0</c:v>
                </c:pt>
                <c:pt idx="1291">
                  <c:v>40683.0</c:v>
                </c:pt>
                <c:pt idx="1292">
                  <c:v>40682.0</c:v>
                </c:pt>
                <c:pt idx="1293">
                  <c:v>40681.0</c:v>
                </c:pt>
                <c:pt idx="1294">
                  <c:v>40680.0</c:v>
                </c:pt>
                <c:pt idx="1295">
                  <c:v>40679.0</c:v>
                </c:pt>
                <c:pt idx="1296">
                  <c:v>40676.0</c:v>
                </c:pt>
                <c:pt idx="1297">
                  <c:v>40675.0</c:v>
                </c:pt>
                <c:pt idx="1298">
                  <c:v>40674.0</c:v>
                </c:pt>
                <c:pt idx="1299">
                  <c:v>40673.0</c:v>
                </c:pt>
                <c:pt idx="1300">
                  <c:v>40672.0</c:v>
                </c:pt>
                <c:pt idx="1301">
                  <c:v>40669.0</c:v>
                </c:pt>
                <c:pt idx="1302">
                  <c:v>40668.0</c:v>
                </c:pt>
                <c:pt idx="1303">
                  <c:v>40667.0</c:v>
                </c:pt>
                <c:pt idx="1304">
                  <c:v>40666.0</c:v>
                </c:pt>
                <c:pt idx="1305">
                  <c:v>40665.0</c:v>
                </c:pt>
                <c:pt idx="1306">
                  <c:v>40662.0</c:v>
                </c:pt>
                <c:pt idx="1307">
                  <c:v>40661.0</c:v>
                </c:pt>
                <c:pt idx="1308">
                  <c:v>40660.0</c:v>
                </c:pt>
                <c:pt idx="1309">
                  <c:v>40659.0</c:v>
                </c:pt>
                <c:pt idx="1310">
                  <c:v>40658.0</c:v>
                </c:pt>
                <c:pt idx="1311">
                  <c:v>40655.0</c:v>
                </c:pt>
                <c:pt idx="1312">
                  <c:v>40654.0</c:v>
                </c:pt>
                <c:pt idx="1313">
                  <c:v>40653.0</c:v>
                </c:pt>
                <c:pt idx="1314">
                  <c:v>40652.0</c:v>
                </c:pt>
                <c:pt idx="1315">
                  <c:v>40651.0</c:v>
                </c:pt>
                <c:pt idx="1316">
                  <c:v>40648.0</c:v>
                </c:pt>
                <c:pt idx="1317">
                  <c:v>40647.0</c:v>
                </c:pt>
                <c:pt idx="1318">
                  <c:v>40646.0</c:v>
                </c:pt>
                <c:pt idx="1319">
                  <c:v>40645.0</c:v>
                </c:pt>
                <c:pt idx="1320">
                  <c:v>40644.0</c:v>
                </c:pt>
                <c:pt idx="1321">
                  <c:v>40641.0</c:v>
                </c:pt>
                <c:pt idx="1322">
                  <c:v>40640.0</c:v>
                </c:pt>
                <c:pt idx="1323">
                  <c:v>40639.0</c:v>
                </c:pt>
                <c:pt idx="1324">
                  <c:v>40638.0</c:v>
                </c:pt>
                <c:pt idx="1325">
                  <c:v>40637.0</c:v>
                </c:pt>
                <c:pt idx="1326">
                  <c:v>40634.0</c:v>
                </c:pt>
                <c:pt idx="1327">
                  <c:v>40633.0</c:v>
                </c:pt>
                <c:pt idx="1328">
                  <c:v>40632.0</c:v>
                </c:pt>
                <c:pt idx="1329">
                  <c:v>40631.0</c:v>
                </c:pt>
                <c:pt idx="1330">
                  <c:v>40630.0</c:v>
                </c:pt>
                <c:pt idx="1331">
                  <c:v>40627.0</c:v>
                </c:pt>
                <c:pt idx="1332">
                  <c:v>40626.0</c:v>
                </c:pt>
                <c:pt idx="1333">
                  <c:v>40625.0</c:v>
                </c:pt>
                <c:pt idx="1334">
                  <c:v>40624.0</c:v>
                </c:pt>
                <c:pt idx="1335">
                  <c:v>40623.0</c:v>
                </c:pt>
                <c:pt idx="1336">
                  <c:v>40620.0</c:v>
                </c:pt>
                <c:pt idx="1337">
                  <c:v>40619.0</c:v>
                </c:pt>
                <c:pt idx="1338">
                  <c:v>40618.0</c:v>
                </c:pt>
                <c:pt idx="1339">
                  <c:v>40617.0</c:v>
                </c:pt>
                <c:pt idx="1340">
                  <c:v>40616.0</c:v>
                </c:pt>
                <c:pt idx="1341">
                  <c:v>40613.0</c:v>
                </c:pt>
                <c:pt idx="1342">
                  <c:v>40612.0</c:v>
                </c:pt>
                <c:pt idx="1343">
                  <c:v>40611.0</c:v>
                </c:pt>
                <c:pt idx="1344">
                  <c:v>40610.0</c:v>
                </c:pt>
                <c:pt idx="1345">
                  <c:v>40609.0</c:v>
                </c:pt>
                <c:pt idx="1346">
                  <c:v>40606.0</c:v>
                </c:pt>
                <c:pt idx="1347">
                  <c:v>40605.0</c:v>
                </c:pt>
                <c:pt idx="1348">
                  <c:v>40604.0</c:v>
                </c:pt>
                <c:pt idx="1349">
                  <c:v>40603.0</c:v>
                </c:pt>
                <c:pt idx="1350">
                  <c:v>40602.0</c:v>
                </c:pt>
                <c:pt idx="1351">
                  <c:v>40599.0</c:v>
                </c:pt>
                <c:pt idx="1352">
                  <c:v>40598.0</c:v>
                </c:pt>
                <c:pt idx="1353">
                  <c:v>40597.0</c:v>
                </c:pt>
                <c:pt idx="1354">
                  <c:v>40596.0</c:v>
                </c:pt>
                <c:pt idx="1355">
                  <c:v>40595.0</c:v>
                </c:pt>
                <c:pt idx="1356">
                  <c:v>40592.0</c:v>
                </c:pt>
                <c:pt idx="1357">
                  <c:v>40591.0</c:v>
                </c:pt>
                <c:pt idx="1358">
                  <c:v>40590.0</c:v>
                </c:pt>
                <c:pt idx="1359">
                  <c:v>40589.0</c:v>
                </c:pt>
                <c:pt idx="1360">
                  <c:v>40588.0</c:v>
                </c:pt>
                <c:pt idx="1361">
                  <c:v>40585.0</c:v>
                </c:pt>
                <c:pt idx="1362">
                  <c:v>40584.0</c:v>
                </c:pt>
                <c:pt idx="1363">
                  <c:v>40583.0</c:v>
                </c:pt>
                <c:pt idx="1364">
                  <c:v>40582.0</c:v>
                </c:pt>
                <c:pt idx="1365">
                  <c:v>40581.0</c:v>
                </c:pt>
                <c:pt idx="1366">
                  <c:v>40578.0</c:v>
                </c:pt>
                <c:pt idx="1367">
                  <c:v>40577.0</c:v>
                </c:pt>
                <c:pt idx="1368">
                  <c:v>40576.0</c:v>
                </c:pt>
                <c:pt idx="1369">
                  <c:v>40575.0</c:v>
                </c:pt>
                <c:pt idx="1370">
                  <c:v>40574.0</c:v>
                </c:pt>
                <c:pt idx="1371">
                  <c:v>40571.0</c:v>
                </c:pt>
                <c:pt idx="1372">
                  <c:v>40570.0</c:v>
                </c:pt>
                <c:pt idx="1373">
                  <c:v>40569.0</c:v>
                </c:pt>
                <c:pt idx="1374">
                  <c:v>40568.0</c:v>
                </c:pt>
                <c:pt idx="1375">
                  <c:v>40567.0</c:v>
                </c:pt>
                <c:pt idx="1376">
                  <c:v>40564.0</c:v>
                </c:pt>
                <c:pt idx="1377">
                  <c:v>40563.0</c:v>
                </c:pt>
                <c:pt idx="1378">
                  <c:v>40562.0</c:v>
                </c:pt>
                <c:pt idx="1379">
                  <c:v>40561.0</c:v>
                </c:pt>
                <c:pt idx="1380">
                  <c:v>40560.0</c:v>
                </c:pt>
                <c:pt idx="1381">
                  <c:v>40557.0</c:v>
                </c:pt>
                <c:pt idx="1382">
                  <c:v>40556.0</c:v>
                </c:pt>
                <c:pt idx="1383">
                  <c:v>40555.0</c:v>
                </c:pt>
                <c:pt idx="1384">
                  <c:v>40554.0</c:v>
                </c:pt>
                <c:pt idx="1385">
                  <c:v>40553.0</c:v>
                </c:pt>
                <c:pt idx="1386">
                  <c:v>40550.0</c:v>
                </c:pt>
                <c:pt idx="1387">
                  <c:v>40549.0</c:v>
                </c:pt>
                <c:pt idx="1388">
                  <c:v>40548.0</c:v>
                </c:pt>
                <c:pt idx="1389">
                  <c:v>40547.0</c:v>
                </c:pt>
                <c:pt idx="1390">
                  <c:v>40546.0</c:v>
                </c:pt>
                <c:pt idx="1391">
                  <c:v>40543.0</c:v>
                </c:pt>
                <c:pt idx="1392">
                  <c:v>40542.0</c:v>
                </c:pt>
                <c:pt idx="1393">
                  <c:v>40541.0</c:v>
                </c:pt>
                <c:pt idx="1394">
                  <c:v>40540.0</c:v>
                </c:pt>
                <c:pt idx="1395">
                  <c:v>40539.0</c:v>
                </c:pt>
                <c:pt idx="1396">
                  <c:v>40536.0</c:v>
                </c:pt>
                <c:pt idx="1397">
                  <c:v>40535.0</c:v>
                </c:pt>
                <c:pt idx="1398">
                  <c:v>40534.0</c:v>
                </c:pt>
                <c:pt idx="1399">
                  <c:v>40533.0</c:v>
                </c:pt>
                <c:pt idx="1400">
                  <c:v>40532.0</c:v>
                </c:pt>
                <c:pt idx="1401">
                  <c:v>40529.0</c:v>
                </c:pt>
                <c:pt idx="1402">
                  <c:v>40528.0</c:v>
                </c:pt>
                <c:pt idx="1403">
                  <c:v>40527.0</c:v>
                </c:pt>
                <c:pt idx="1404">
                  <c:v>40526.0</c:v>
                </c:pt>
                <c:pt idx="1405">
                  <c:v>40525.0</c:v>
                </c:pt>
                <c:pt idx="1406">
                  <c:v>40522.0</c:v>
                </c:pt>
                <c:pt idx="1407">
                  <c:v>40521.0</c:v>
                </c:pt>
                <c:pt idx="1408">
                  <c:v>40520.0</c:v>
                </c:pt>
                <c:pt idx="1409">
                  <c:v>40519.0</c:v>
                </c:pt>
                <c:pt idx="1410">
                  <c:v>40518.0</c:v>
                </c:pt>
                <c:pt idx="1411">
                  <c:v>40515.0</c:v>
                </c:pt>
                <c:pt idx="1412">
                  <c:v>40514.0</c:v>
                </c:pt>
                <c:pt idx="1413">
                  <c:v>40513.0</c:v>
                </c:pt>
                <c:pt idx="1414">
                  <c:v>40512.0</c:v>
                </c:pt>
                <c:pt idx="1415">
                  <c:v>40511.0</c:v>
                </c:pt>
                <c:pt idx="1416">
                  <c:v>40508.0</c:v>
                </c:pt>
                <c:pt idx="1417">
                  <c:v>40507.0</c:v>
                </c:pt>
                <c:pt idx="1418">
                  <c:v>40506.0</c:v>
                </c:pt>
                <c:pt idx="1419">
                  <c:v>40505.0</c:v>
                </c:pt>
                <c:pt idx="1420">
                  <c:v>40504.0</c:v>
                </c:pt>
                <c:pt idx="1421">
                  <c:v>40501.0</c:v>
                </c:pt>
                <c:pt idx="1422">
                  <c:v>40500.0</c:v>
                </c:pt>
                <c:pt idx="1423">
                  <c:v>40499.0</c:v>
                </c:pt>
                <c:pt idx="1424">
                  <c:v>40498.0</c:v>
                </c:pt>
                <c:pt idx="1425">
                  <c:v>40497.0</c:v>
                </c:pt>
                <c:pt idx="1426">
                  <c:v>40494.0</c:v>
                </c:pt>
                <c:pt idx="1427">
                  <c:v>40493.0</c:v>
                </c:pt>
                <c:pt idx="1428">
                  <c:v>40492.0</c:v>
                </c:pt>
                <c:pt idx="1429">
                  <c:v>40491.0</c:v>
                </c:pt>
                <c:pt idx="1430">
                  <c:v>40490.0</c:v>
                </c:pt>
                <c:pt idx="1431">
                  <c:v>40487.0</c:v>
                </c:pt>
                <c:pt idx="1432">
                  <c:v>40486.0</c:v>
                </c:pt>
                <c:pt idx="1433">
                  <c:v>40485.0</c:v>
                </c:pt>
                <c:pt idx="1434">
                  <c:v>40484.0</c:v>
                </c:pt>
                <c:pt idx="1435">
                  <c:v>40483.0</c:v>
                </c:pt>
                <c:pt idx="1436">
                  <c:v>40480.0</c:v>
                </c:pt>
                <c:pt idx="1437">
                  <c:v>40479.0</c:v>
                </c:pt>
                <c:pt idx="1438">
                  <c:v>40478.0</c:v>
                </c:pt>
                <c:pt idx="1439">
                  <c:v>40477.0</c:v>
                </c:pt>
                <c:pt idx="1440">
                  <c:v>40476.0</c:v>
                </c:pt>
                <c:pt idx="1441">
                  <c:v>40473.0</c:v>
                </c:pt>
                <c:pt idx="1442">
                  <c:v>40472.0</c:v>
                </c:pt>
                <c:pt idx="1443">
                  <c:v>40471.0</c:v>
                </c:pt>
                <c:pt idx="1444">
                  <c:v>40470.0</c:v>
                </c:pt>
                <c:pt idx="1445">
                  <c:v>40469.0</c:v>
                </c:pt>
                <c:pt idx="1446">
                  <c:v>40466.0</c:v>
                </c:pt>
                <c:pt idx="1447">
                  <c:v>40465.0</c:v>
                </c:pt>
                <c:pt idx="1448">
                  <c:v>40464.0</c:v>
                </c:pt>
                <c:pt idx="1449">
                  <c:v>40463.0</c:v>
                </c:pt>
                <c:pt idx="1450">
                  <c:v>40462.0</c:v>
                </c:pt>
                <c:pt idx="1451">
                  <c:v>40459.0</c:v>
                </c:pt>
                <c:pt idx="1452">
                  <c:v>40458.0</c:v>
                </c:pt>
                <c:pt idx="1453">
                  <c:v>40457.0</c:v>
                </c:pt>
                <c:pt idx="1454">
                  <c:v>40456.0</c:v>
                </c:pt>
                <c:pt idx="1455">
                  <c:v>40455.0</c:v>
                </c:pt>
                <c:pt idx="1456">
                  <c:v>40452.0</c:v>
                </c:pt>
                <c:pt idx="1457">
                  <c:v>40451.0</c:v>
                </c:pt>
                <c:pt idx="1458">
                  <c:v>40450.0</c:v>
                </c:pt>
                <c:pt idx="1459">
                  <c:v>40449.0</c:v>
                </c:pt>
                <c:pt idx="1460">
                  <c:v>40448.0</c:v>
                </c:pt>
                <c:pt idx="1461">
                  <c:v>40445.0</c:v>
                </c:pt>
                <c:pt idx="1462">
                  <c:v>40444.0</c:v>
                </c:pt>
                <c:pt idx="1463">
                  <c:v>40443.0</c:v>
                </c:pt>
                <c:pt idx="1464">
                  <c:v>40442.0</c:v>
                </c:pt>
                <c:pt idx="1465">
                  <c:v>40441.0</c:v>
                </c:pt>
                <c:pt idx="1466">
                  <c:v>40438.0</c:v>
                </c:pt>
                <c:pt idx="1467">
                  <c:v>40437.0</c:v>
                </c:pt>
                <c:pt idx="1468">
                  <c:v>40436.0</c:v>
                </c:pt>
                <c:pt idx="1469">
                  <c:v>40435.0</c:v>
                </c:pt>
                <c:pt idx="1470">
                  <c:v>40434.0</c:v>
                </c:pt>
                <c:pt idx="1471">
                  <c:v>40431.0</c:v>
                </c:pt>
                <c:pt idx="1472">
                  <c:v>40430.0</c:v>
                </c:pt>
                <c:pt idx="1473">
                  <c:v>40429.0</c:v>
                </c:pt>
                <c:pt idx="1474">
                  <c:v>40428.0</c:v>
                </c:pt>
                <c:pt idx="1475">
                  <c:v>40427.0</c:v>
                </c:pt>
                <c:pt idx="1476">
                  <c:v>40424.0</c:v>
                </c:pt>
                <c:pt idx="1477">
                  <c:v>40423.0</c:v>
                </c:pt>
                <c:pt idx="1478">
                  <c:v>40422.0</c:v>
                </c:pt>
                <c:pt idx="1479">
                  <c:v>40421.0</c:v>
                </c:pt>
                <c:pt idx="1480">
                  <c:v>40420.0</c:v>
                </c:pt>
                <c:pt idx="1481">
                  <c:v>40417.0</c:v>
                </c:pt>
                <c:pt idx="1482">
                  <c:v>40416.0</c:v>
                </c:pt>
                <c:pt idx="1483">
                  <c:v>40415.0</c:v>
                </c:pt>
                <c:pt idx="1484">
                  <c:v>40414.0</c:v>
                </c:pt>
                <c:pt idx="1485">
                  <c:v>40413.0</c:v>
                </c:pt>
                <c:pt idx="1486">
                  <c:v>40410.0</c:v>
                </c:pt>
                <c:pt idx="1487">
                  <c:v>40409.0</c:v>
                </c:pt>
                <c:pt idx="1488">
                  <c:v>40408.0</c:v>
                </c:pt>
                <c:pt idx="1489">
                  <c:v>40407.0</c:v>
                </c:pt>
                <c:pt idx="1490">
                  <c:v>40406.0</c:v>
                </c:pt>
                <c:pt idx="1491">
                  <c:v>40403.0</c:v>
                </c:pt>
                <c:pt idx="1492">
                  <c:v>40402.0</c:v>
                </c:pt>
                <c:pt idx="1493">
                  <c:v>40401.0</c:v>
                </c:pt>
                <c:pt idx="1494">
                  <c:v>40400.0</c:v>
                </c:pt>
                <c:pt idx="1495">
                  <c:v>40399.0</c:v>
                </c:pt>
                <c:pt idx="1496">
                  <c:v>40396.0</c:v>
                </c:pt>
                <c:pt idx="1497">
                  <c:v>40395.0</c:v>
                </c:pt>
                <c:pt idx="1498">
                  <c:v>40394.0</c:v>
                </c:pt>
                <c:pt idx="1499">
                  <c:v>40393.0</c:v>
                </c:pt>
                <c:pt idx="1500">
                  <c:v>40392.0</c:v>
                </c:pt>
                <c:pt idx="1501">
                  <c:v>40389.0</c:v>
                </c:pt>
                <c:pt idx="1502">
                  <c:v>40388.0</c:v>
                </c:pt>
                <c:pt idx="1503">
                  <c:v>40387.0</c:v>
                </c:pt>
                <c:pt idx="1504">
                  <c:v>40386.0</c:v>
                </c:pt>
                <c:pt idx="1505">
                  <c:v>40385.0</c:v>
                </c:pt>
                <c:pt idx="1506">
                  <c:v>40382.0</c:v>
                </c:pt>
                <c:pt idx="1507">
                  <c:v>40381.0</c:v>
                </c:pt>
                <c:pt idx="1508">
                  <c:v>40380.0</c:v>
                </c:pt>
                <c:pt idx="1509">
                  <c:v>40379.0</c:v>
                </c:pt>
                <c:pt idx="1510">
                  <c:v>40378.0</c:v>
                </c:pt>
                <c:pt idx="1511">
                  <c:v>40375.0</c:v>
                </c:pt>
                <c:pt idx="1512">
                  <c:v>40374.0</c:v>
                </c:pt>
                <c:pt idx="1513">
                  <c:v>40373.0</c:v>
                </c:pt>
                <c:pt idx="1514">
                  <c:v>40372.0</c:v>
                </c:pt>
                <c:pt idx="1515">
                  <c:v>40371.0</c:v>
                </c:pt>
                <c:pt idx="1516">
                  <c:v>40368.0</c:v>
                </c:pt>
                <c:pt idx="1517">
                  <c:v>40367.0</c:v>
                </c:pt>
                <c:pt idx="1518">
                  <c:v>40366.0</c:v>
                </c:pt>
                <c:pt idx="1519">
                  <c:v>40365.0</c:v>
                </c:pt>
                <c:pt idx="1520">
                  <c:v>40364.0</c:v>
                </c:pt>
                <c:pt idx="1521">
                  <c:v>40361.0</c:v>
                </c:pt>
                <c:pt idx="1522">
                  <c:v>40360.0</c:v>
                </c:pt>
                <c:pt idx="1523">
                  <c:v>40359.0</c:v>
                </c:pt>
                <c:pt idx="1524">
                  <c:v>40358.0</c:v>
                </c:pt>
                <c:pt idx="1525">
                  <c:v>40357.0</c:v>
                </c:pt>
                <c:pt idx="1526">
                  <c:v>40354.0</c:v>
                </c:pt>
                <c:pt idx="1527">
                  <c:v>40353.0</c:v>
                </c:pt>
                <c:pt idx="1528">
                  <c:v>40352.0</c:v>
                </c:pt>
                <c:pt idx="1529">
                  <c:v>40351.0</c:v>
                </c:pt>
                <c:pt idx="1530">
                  <c:v>40350.0</c:v>
                </c:pt>
                <c:pt idx="1531">
                  <c:v>40347.0</c:v>
                </c:pt>
                <c:pt idx="1532">
                  <c:v>40346.0</c:v>
                </c:pt>
                <c:pt idx="1533">
                  <c:v>40345.0</c:v>
                </c:pt>
                <c:pt idx="1534">
                  <c:v>40344.0</c:v>
                </c:pt>
                <c:pt idx="1535">
                  <c:v>40343.0</c:v>
                </c:pt>
                <c:pt idx="1536">
                  <c:v>40340.0</c:v>
                </c:pt>
                <c:pt idx="1537">
                  <c:v>40339.0</c:v>
                </c:pt>
                <c:pt idx="1538">
                  <c:v>40338.0</c:v>
                </c:pt>
                <c:pt idx="1539">
                  <c:v>40337.0</c:v>
                </c:pt>
                <c:pt idx="1540">
                  <c:v>40336.0</c:v>
                </c:pt>
                <c:pt idx="1541">
                  <c:v>40333.0</c:v>
                </c:pt>
                <c:pt idx="1542">
                  <c:v>40332.0</c:v>
                </c:pt>
                <c:pt idx="1543">
                  <c:v>40331.0</c:v>
                </c:pt>
                <c:pt idx="1544">
                  <c:v>40330.0</c:v>
                </c:pt>
                <c:pt idx="1545">
                  <c:v>40329.0</c:v>
                </c:pt>
                <c:pt idx="1546">
                  <c:v>40326.0</c:v>
                </c:pt>
                <c:pt idx="1547">
                  <c:v>40325.0</c:v>
                </c:pt>
                <c:pt idx="1548">
                  <c:v>40324.0</c:v>
                </c:pt>
                <c:pt idx="1549">
                  <c:v>40323.0</c:v>
                </c:pt>
                <c:pt idx="1550">
                  <c:v>40322.0</c:v>
                </c:pt>
                <c:pt idx="1551">
                  <c:v>40319.0</c:v>
                </c:pt>
                <c:pt idx="1552">
                  <c:v>40318.0</c:v>
                </c:pt>
                <c:pt idx="1553">
                  <c:v>40317.0</c:v>
                </c:pt>
                <c:pt idx="1554">
                  <c:v>40316.0</c:v>
                </c:pt>
                <c:pt idx="1555">
                  <c:v>40315.0</c:v>
                </c:pt>
                <c:pt idx="1556">
                  <c:v>40312.0</c:v>
                </c:pt>
                <c:pt idx="1557">
                  <c:v>40311.0</c:v>
                </c:pt>
                <c:pt idx="1558">
                  <c:v>40310.0</c:v>
                </c:pt>
                <c:pt idx="1559">
                  <c:v>40309.0</c:v>
                </c:pt>
                <c:pt idx="1560">
                  <c:v>40308.0</c:v>
                </c:pt>
                <c:pt idx="1561">
                  <c:v>40305.0</c:v>
                </c:pt>
                <c:pt idx="1562">
                  <c:v>40304.0</c:v>
                </c:pt>
                <c:pt idx="1563">
                  <c:v>40303.0</c:v>
                </c:pt>
                <c:pt idx="1564">
                  <c:v>40302.0</c:v>
                </c:pt>
                <c:pt idx="1565">
                  <c:v>40301.0</c:v>
                </c:pt>
                <c:pt idx="1566">
                  <c:v>40298.0</c:v>
                </c:pt>
                <c:pt idx="1567">
                  <c:v>40297.0</c:v>
                </c:pt>
                <c:pt idx="1568">
                  <c:v>40296.0</c:v>
                </c:pt>
                <c:pt idx="1569">
                  <c:v>40295.0</c:v>
                </c:pt>
                <c:pt idx="1570">
                  <c:v>40294.0</c:v>
                </c:pt>
                <c:pt idx="1571">
                  <c:v>40291.0</c:v>
                </c:pt>
                <c:pt idx="1572">
                  <c:v>40290.0</c:v>
                </c:pt>
                <c:pt idx="1573">
                  <c:v>40289.0</c:v>
                </c:pt>
                <c:pt idx="1574">
                  <c:v>40288.0</c:v>
                </c:pt>
                <c:pt idx="1575">
                  <c:v>40287.0</c:v>
                </c:pt>
                <c:pt idx="1576">
                  <c:v>40284.0</c:v>
                </c:pt>
                <c:pt idx="1577">
                  <c:v>40283.0</c:v>
                </c:pt>
                <c:pt idx="1578">
                  <c:v>40282.0</c:v>
                </c:pt>
                <c:pt idx="1579">
                  <c:v>40281.0</c:v>
                </c:pt>
                <c:pt idx="1580">
                  <c:v>40280.0</c:v>
                </c:pt>
                <c:pt idx="1581">
                  <c:v>40277.0</c:v>
                </c:pt>
                <c:pt idx="1582">
                  <c:v>40276.0</c:v>
                </c:pt>
                <c:pt idx="1583">
                  <c:v>40275.0</c:v>
                </c:pt>
                <c:pt idx="1584">
                  <c:v>40274.0</c:v>
                </c:pt>
                <c:pt idx="1585">
                  <c:v>40273.0</c:v>
                </c:pt>
                <c:pt idx="1586">
                  <c:v>40270.0</c:v>
                </c:pt>
                <c:pt idx="1587">
                  <c:v>40269.0</c:v>
                </c:pt>
                <c:pt idx="1588">
                  <c:v>40268.0</c:v>
                </c:pt>
                <c:pt idx="1589">
                  <c:v>40267.0</c:v>
                </c:pt>
                <c:pt idx="1590">
                  <c:v>40266.0</c:v>
                </c:pt>
                <c:pt idx="1591">
                  <c:v>40263.0</c:v>
                </c:pt>
                <c:pt idx="1592">
                  <c:v>40262.0</c:v>
                </c:pt>
                <c:pt idx="1593">
                  <c:v>40261.0</c:v>
                </c:pt>
                <c:pt idx="1594">
                  <c:v>40260.0</c:v>
                </c:pt>
                <c:pt idx="1595">
                  <c:v>40259.0</c:v>
                </c:pt>
                <c:pt idx="1596">
                  <c:v>40256.0</c:v>
                </c:pt>
                <c:pt idx="1597">
                  <c:v>40255.0</c:v>
                </c:pt>
                <c:pt idx="1598">
                  <c:v>40254.0</c:v>
                </c:pt>
                <c:pt idx="1599">
                  <c:v>40253.0</c:v>
                </c:pt>
                <c:pt idx="1600">
                  <c:v>40252.0</c:v>
                </c:pt>
                <c:pt idx="1601">
                  <c:v>40249.0</c:v>
                </c:pt>
                <c:pt idx="1602">
                  <c:v>40248.0</c:v>
                </c:pt>
                <c:pt idx="1603">
                  <c:v>40247.0</c:v>
                </c:pt>
                <c:pt idx="1604">
                  <c:v>40246.0</c:v>
                </c:pt>
                <c:pt idx="1605">
                  <c:v>40245.0</c:v>
                </c:pt>
                <c:pt idx="1606">
                  <c:v>40242.0</c:v>
                </c:pt>
                <c:pt idx="1607">
                  <c:v>40241.0</c:v>
                </c:pt>
                <c:pt idx="1608">
                  <c:v>40240.0</c:v>
                </c:pt>
                <c:pt idx="1609">
                  <c:v>40239.0</c:v>
                </c:pt>
                <c:pt idx="1610">
                  <c:v>40238.0</c:v>
                </c:pt>
                <c:pt idx="1611">
                  <c:v>40235.0</c:v>
                </c:pt>
                <c:pt idx="1612">
                  <c:v>40234.0</c:v>
                </c:pt>
                <c:pt idx="1613">
                  <c:v>40233.0</c:v>
                </c:pt>
                <c:pt idx="1614">
                  <c:v>40232.0</c:v>
                </c:pt>
                <c:pt idx="1615">
                  <c:v>40231.0</c:v>
                </c:pt>
                <c:pt idx="1616">
                  <c:v>40228.0</c:v>
                </c:pt>
                <c:pt idx="1617">
                  <c:v>40227.0</c:v>
                </c:pt>
                <c:pt idx="1618">
                  <c:v>40226.0</c:v>
                </c:pt>
                <c:pt idx="1619">
                  <c:v>40225.0</c:v>
                </c:pt>
                <c:pt idx="1620">
                  <c:v>40224.0</c:v>
                </c:pt>
                <c:pt idx="1621">
                  <c:v>40221.0</c:v>
                </c:pt>
                <c:pt idx="1622">
                  <c:v>40220.0</c:v>
                </c:pt>
                <c:pt idx="1623">
                  <c:v>40219.0</c:v>
                </c:pt>
                <c:pt idx="1624">
                  <c:v>40218.0</c:v>
                </c:pt>
                <c:pt idx="1625">
                  <c:v>40217.0</c:v>
                </c:pt>
                <c:pt idx="1626">
                  <c:v>40214.0</c:v>
                </c:pt>
                <c:pt idx="1627">
                  <c:v>40213.0</c:v>
                </c:pt>
                <c:pt idx="1628">
                  <c:v>40212.0</c:v>
                </c:pt>
                <c:pt idx="1629">
                  <c:v>40211.0</c:v>
                </c:pt>
                <c:pt idx="1630">
                  <c:v>40210.0</c:v>
                </c:pt>
                <c:pt idx="1631">
                  <c:v>40207.0</c:v>
                </c:pt>
                <c:pt idx="1632">
                  <c:v>40206.0</c:v>
                </c:pt>
                <c:pt idx="1633">
                  <c:v>40205.0</c:v>
                </c:pt>
                <c:pt idx="1634">
                  <c:v>40204.0</c:v>
                </c:pt>
                <c:pt idx="1635">
                  <c:v>40203.0</c:v>
                </c:pt>
                <c:pt idx="1636">
                  <c:v>40200.0</c:v>
                </c:pt>
                <c:pt idx="1637">
                  <c:v>40199.0</c:v>
                </c:pt>
                <c:pt idx="1638">
                  <c:v>40198.0</c:v>
                </c:pt>
                <c:pt idx="1639">
                  <c:v>40197.0</c:v>
                </c:pt>
                <c:pt idx="1640">
                  <c:v>40196.0</c:v>
                </c:pt>
                <c:pt idx="1641">
                  <c:v>40193.0</c:v>
                </c:pt>
                <c:pt idx="1642">
                  <c:v>40192.0</c:v>
                </c:pt>
                <c:pt idx="1643">
                  <c:v>40191.0</c:v>
                </c:pt>
                <c:pt idx="1644">
                  <c:v>40190.0</c:v>
                </c:pt>
                <c:pt idx="1645">
                  <c:v>40189.0</c:v>
                </c:pt>
                <c:pt idx="1646">
                  <c:v>40186.0</c:v>
                </c:pt>
                <c:pt idx="1647">
                  <c:v>40185.0</c:v>
                </c:pt>
                <c:pt idx="1648">
                  <c:v>40184.0</c:v>
                </c:pt>
                <c:pt idx="1649">
                  <c:v>40183.0</c:v>
                </c:pt>
                <c:pt idx="1650">
                  <c:v>40182.0</c:v>
                </c:pt>
                <c:pt idx="1651">
                  <c:v>40179.0</c:v>
                </c:pt>
                <c:pt idx="1652">
                  <c:v>40178.0</c:v>
                </c:pt>
                <c:pt idx="1653">
                  <c:v>40177.0</c:v>
                </c:pt>
                <c:pt idx="1654">
                  <c:v>40176.0</c:v>
                </c:pt>
                <c:pt idx="1655">
                  <c:v>40175.0</c:v>
                </c:pt>
                <c:pt idx="1656">
                  <c:v>40172.0</c:v>
                </c:pt>
                <c:pt idx="1657">
                  <c:v>40171.0</c:v>
                </c:pt>
                <c:pt idx="1658">
                  <c:v>40170.0</c:v>
                </c:pt>
                <c:pt idx="1659">
                  <c:v>40169.0</c:v>
                </c:pt>
                <c:pt idx="1660">
                  <c:v>40168.0</c:v>
                </c:pt>
                <c:pt idx="1661">
                  <c:v>40165.0</c:v>
                </c:pt>
                <c:pt idx="1662">
                  <c:v>40164.0</c:v>
                </c:pt>
                <c:pt idx="1663">
                  <c:v>40163.0</c:v>
                </c:pt>
                <c:pt idx="1664">
                  <c:v>40162.0</c:v>
                </c:pt>
                <c:pt idx="1665">
                  <c:v>40161.0</c:v>
                </c:pt>
                <c:pt idx="1666">
                  <c:v>40158.0</c:v>
                </c:pt>
                <c:pt idx="1667">
                  <c:v>40157.0</c:v>
                </c:pt>
                <c:pt idx="1668">
                  <c:v>40156.0</c:v>
                </c:pt>
                <c:pt idx="1669">
                  <c:v>40155.0</c:v>
                </c:pt>
                <c:pt idx="1670">
                  <c:v>40154.0</c:v>
                </c:pt>
                <c:pt idx="1671">
                  <c:v>40151.0</c:v>
                </c:pt>
                <c:pt idx="1672">
                  <c:v>40150.0</c:v>
                </c:pt>
                <c:pt idx="1673">
                  <c:v>40149.0</c:v>
                </c:pt>
                <c:pt idx="1674">
                  <c:v>40148.0</c:v>
                </c:pt>
                <c:pt idx="1675">
                  <c:v>40147.0</c:v>
                </c:pt>
                <c:pt idx="1676">
                  <c:v>40144.0</c:v>
                </c:pt>
                <c:pt idx="1677">
                  <c:v>40143.0</c:v>
                </c:pt>
                <c:pt idx="1678">
                  <c:v>40142.0</c:v>
                </c:pt>
                <c:pt idx="1679">
                  <c:v>40141.0</c:v>
                </c:pt>
                <c:pt idx="1680">
                  <c:v>40140.0</c:v>
                </c:pt>
                <c:pt idx="1681">
                  <c:v>40137.0</c:v>
                </c:pt>
                <c:pt idx="1682">
                  <c:v>40136.0</c:v>
                </c:pt>
                <c:pt idx="1683">
                  <c:v>40135.0</c:v>
                </c:pt>
                <c:pt idx="1684">
                  <c:v>40134.0</c:v>
                </c:pt>
                <c:pt idx="1685">
                  <c:v>40133.0</c:v>
                </c:pt>
                <c:pt idx="1686">
                  <c:v>40130.0</c:v>
                </c:pt>
                <c:pt idx="1687">
                  <c:v>40129.0</c:v>
                </c:pt>
                <c:pt idx="1688">
                  <c:v>40128.0</c:v>
                </c:pt>
                <c:pt idx="1689">
                  <c:v>40127.0</c:v>
                </c:pt>
                <c:pt idx="1690">
                  <c:v>40126.0</c:v>
                </c:pt>
                <c:pt idx="1691">
                  <c:v>40123.0</c:v>
                </c:pt>
                <c:pt idx="1692">
                  <c:v>40122.0</c:v>
                </c:pt>
                <c:pt idx="1693">
                  <c:v>40121.0</c:v>
                </c:pt>
                <c:pt idx="1694">
                  <c:v>40120.0</c:v>
                </c:pt>
                <c:pt idx="1695">
                  <c:v>40119.0</c:v>
                </c:pt>
                <c:pt idx="1696">
                  <c:v>40116.0</c:v>
                </c:pt>
                <c:pt idx="1697">
                  <c:v>40115.0</c:v>
                </c:pt>
                <c:pt idx="1698">
                  <c:v>40114.0</c:v>
                </c:pt>
                <c:pt idx="1699">
                  <c:v>40113.0</c:v>
                </c:pt>
                <c:pt idx="1700">
                  <c:v>40112.0</c:v>
                </c:pt>
                <c:pt idx="1701">
                  <c:v>40109.0</c:v>
                </c:pt>
                <c:pt idx="1702">
                  <c:v>40108.0</c:v>
                </c:pt>
                <c:pt idx="1703">
                  <c:v>40107.0</c:v>
                </c:pt>
                <c:pt idx="1704">
                  <c:v>40106.0</c:v>
                </c:pt>
                <c:pt idx="1705">
                  <c:v>40105.0</c:v>
                </c:pt>
                <c:pt idx="1706">
                  <c:v>40102.0</c:v>
                </c:pt>
                <c:pt idx="1707">
                  <c:v>40101.0</c:v>
                </c:pt>
                <c:pt idx="1708">
                  <c:v>40100.0</c:v>
                </c:pt>
                <c:pt idx="1709">
                  <c:v>40099.0</c:v>
                </c:pt>
                <c:pt idx="1710">
                  <c:v>40098.0</c:v>
                </c:pt>
                <c:pt idx="1711">
                  <c:v>40095.0</c:v>
                </c:pt>
                <c:pt idx="1712">
                  <c:v>40094.0</c:v>
                </c:pt>
                <c:pt idx="1713">
                  <c:v>40093.0</c:v>
                </c:pt>
                <c:pt idx="1714">
                  <c:v>40092.0</c:v>
                </c:pt>
                <c:pt idx="1715">
                  <c:v>40091.0</c:v>
                </c:pt>
                <c:pt idx="1716">
                  <c:v>40088.0</c:v>
                </c:pt>
                <c:pt idx="1717">
                  <c:v>40087.0</c:v>
                </c:pt>
                <c:pt idx="1718">
                  <c:v>40086.0</c:v>
                </c:pt>
                <c:pt idx="1719">
                  <c:v>40085.0</c:v>
                </c:pt>
                <c:pt idx="1720">
                  <c:v>40084.0</c:v>
                </c:pt>
                <c:pt idx="1721">
                  <c:v>40081.0</c:v>
                </c:pt>
                <c:pt idx="1722">
                  <c:v>40080.0</c:v>
                </c:pt>
                <c:pt idx="1723">
                  <c:v>40079.0</c:v>
                </c:pt>
                <c:pt idx="1724">
                  <c:v>40078.0</c:v>
                </c:pt>
                <c:pt idx="1725">
                  <c:v>40077.0</c:v>
                </c:pt>
                <c:pt idx="1726">
                  <c:v>40074.0</c:v>
                </c:pt>
                <c:pt idx="1727">
                  <c:v>40073.0</c:v>
                </c:pt>
                <c:pt idx="1728">
                  <c:v>40072.0</c:v>
                </c:pt>
                <c:pt idx="1729">
                  <c:v>40071.0</c:v>
                </c:pt>
                <c:pt idx="1730">
                  <c:v>40070.0</c:v>
                </c:pt>
                <c:pt idx="1731">
                  <c:v>40067.0</c:v>
                </c:pt>
                <c:pt idx="1732">
                  <c:v>40066.0</c:v>
                </c:pt>
                <c:pt idx="1733">
                  <c:v>40065.0</c:v>
                </c:pt>
                <c:pt idx="1734">
                  <c:v>40064.0</c:v>
                </c:pt>
                <c:pt idx="1735">
                  <c:v>40063.0</c:v>
                </c:pt>
                <c:pt idx="1736">
                  <c:v>40060.0</c:v>
                </c:pt>
                <c:pt idx="1737">
                  <c:v>40059.0</c:v>
                </c:pt>
                <c:pt idx="1738">
                  <c:v>40058.0</c:v>
                </c:pt>
                <c:pt idx="1739">
                  <c:v>40057.0</c:v>
                </c:pt>
                <c:pt idx="1740">
                  <c:v>40056.0</c:v>
                </c:pt>
                <c:pt idx="1741">
                  <c:v>40053.0</c:v>
                </c:pt>
                <c:pt idx="1742">
                  <c:v>40052.0</c:v>
                </c:pt>
                <c:pt idx="1743">
                  <c:v>40051.0</c:v>
                </c:pt>
                <c:pt idx="1744">
                  <c:v>40050.0</c:v>
                </c:pt>
                <c:pt idx="1745">
                  <c:v>40049.0</c:v>
                </c:pt>
                <c:pt idx="1746">
                  <c:v>40046.0</c:v>
                </c:pt>
                <c:pt idx="1747">
                  <c:v>40045.0</c:v>
                </c:pt>
                <c:pt idx="1748">
                  <c:v>40044.0</c:v>
                </c:pt>
                <c:pt idx="1749">
                  <c:v>40043.0</c:v>
                </c:pt>
                <c:pt idx="1750">
                  <c:v>40042.0</c:v>
                </c:pt>
                <c:pt idx="1751">
                  <c:v>40039.0</c:v>
                </c:pt>
                <c:pt idx="1752">
                  <c:v>40038.0</c:v>
                </c:pt>
                <c:pt idx="1753">
                  <c:v>40037.0</c:v>
                </c:pt>
                <c:pt idx="1754">
                  <c:v>40036.0</c:v>
                </c:pt>
                <c:pt idx="1755">
                  <c:v>40035.0</c:v>
                </c:pt>
                <c:pt idx="1756">
                  <c:v>40032.0</c:v>
                </c:pt>
                <c:pt idx="1757">
                  <c:v>40031.0</c:v>
                </c:pt>
                <c:pt idx="1758">
                  <c:v>40030.0</c:v>
                </c:pt>
                <c:pt idx="1759">
                  <c:v>40029.0</c:v>
                </c:pt>
                <c:pt idx="1760">
                  <c:v>40028.0</c:v>
                </c:pt>
                <c:pt idx="1761">
                  <c:v>40025.0</c:v>
                </c:pt>
                <c:pt idx="1762">
                  <c:v>40024.0</c:v>
                </c:pt>
                <c:pt idx="1763">
                  <c:v>40023.0</c:v>
                </c:pt>
                <c:pt idx="1764">
                  <c:v>40022.0</c:v>
                </c:pt>
                <c:pt idx="1765">
                  <c:v>40021.0</c:v>
                </c:pt>
                <c:pt idx="1766">
                  <c:v>40018.0</c:v>
                </c:pt>
                <c:pt idx="1767">
                  <c:v>40017.0</c:v>
                </c:pt>
                <c:pt idx="1768">
                  <c:v>40016.0</c:v>
                </c:pt>
                <c:pt idx="1769">
                  <c:v>40015.0</c:v>
                </c:pt>
                <c:pt idx="1770">
                  <c:v>40014.0</c:v>
                </c:pt>
                <c:pt idx="1771">
                  <c:v>40011.0</c:v>
                </c:pt>
                <c:pt idx="1772">
                  <c:v>40010.0</c:v>
                </c:pt>
                <c:pt idx="1773">
                  <c:v>40009.0</c:v>
                </c:pt>
                <c:pt idx="1774">
                  <c:v>40008.0</c:v>
                </c:pt>
                <c:pt idx="1775">
                  <c:v>40007.0</c:v>
                </c:pt>
                <c:pt idx="1776">
                  <c:v>40004.0</c:v>
                </c:pt>
                <c:pt idx="1777">
                  <c:v>40003.0</c:v>
                </c:pt>
                <c:pt idx="1778">
                  <c:v>40002.0</c:v>
                </c:pt>
                <c:pt idx="1779">
                  <c:v>40001.0</c:v>
                </c:pt>
                <c:pt idx="1780">
                  <c:v>40000.0</c:v>
                </c:pt>
                <c:pt idx="1781">
                  <c:v>39997.0</c:v>
                </c:pt>
                <c:pt idx="1782">
                  <c:v>39996.0</c:v>
                </c:pt>
                <c:pt idx="1783">
                  <c:v>39995.0</c:v>
                </c:pt>
                <c:pt idx="1784">
                  <c:v>39994.0</c:v>
                </c:pt>
                <c:pt idx="1785">
                  <c:v>39993.0</c:v>
                </c:pt>
                <c:pt idx="1786">
                  <c:v>39990.0</c:v>
                </c:pt>
                <c:pt idx="1787">
                  <c:v>39989.0</c:v>
                </c:pt>
                <c:pt idx="1788">
                  <c:v>39988.0</c:v>
                </c:pt>
                <c:pt idx="1789">
                  <c:v>39987.0</c:v>
                </c:pt>
                <c:pt idx="1790">
                  <c:v>39986.0</c:v>
                </c:pt>
                <c:pt idx="1791">
                  <c:v>39983.0</c:v>
                </c:pt>
                <c:pt idx="1792">
                  <c:v>39982.0</c:v>
                </c:pt>
                <c:pt idx="1793">
                  <c:v>39981.0</c:v>
                </c:pt>
                <c:pt idx="1794">
                  <c:v>39980.0</c:v>
                </c:pt>
                <c:pt idx="1795">
                  <c:v>39979.0</c:v>
                </c:pt>
                <c:pt idx="1796">
                  <c:v>39976.0</c:v>
                </c:pt>
                <c:pt idx="1797">
                  <c:v>39975.0</c:v>
                </c:pt>
                <c:pt idx="1798">
                  <c:v>39974.0</c:v>
                </c:pt>
                <c:pt idx="1799">
                  <c:v>39973.0</c:v>
                </c:pt>
                <c:pt idx="1800">
                  <c:v>39972.0</c:v>
                </c:pt>
                <c:pt idx="1801">
                  <c:v>39969.0</c:v>
                </c:pt>
                <c:pt idx="1802">
                  <c:v>39968.0</c:v>
                </c:pt>
                <c:pt idx="1803">
                  <c:v>39967.0</c:v>
                </c:pt>
                <c:pt idx="1804">
                  <c:v>39966.0</c:v>
                </c:pt>
                <c:pt idx="1805">
                  <c:v>39965.0</c:v>
                </c:pt>
                <c:pt idx="1806">
                  <c:v>39962.0</c:v>
                </c:pt>
                <c:pt idx="1807">
                  <c:v>39961.0</c:v>
                </c:pt>
                <c:pt idx="1808">
                  <c:v>39960.0</c:v>
                </c:pt>
                <c:pt idx="1809">
                  <c:v>39959.0</c:v>
                </c:pt>
                <c:pt idx="1810">
                  <c:v>39958.0</c:v>
                </c:pt>
                <c:pt idx="1811">
                  <c:v>39955.0</c:v>
                </c:pt>
                <c:pt idx="1812">
                  <c:v>39954.0</c:v>
                </c:pt>
                <c:pt idx="1813">
                  <c:v>39953.0</c:v>
                </c:pt>
                <c:pt idx="1814">
                  <c:v>39952.0</c:v>
                </c:pt>
                <c:pt idx="1815">
                  <c:v>39951.0</c:v>
                </c:pt>
                <c:pt idx="1816">
                  <c:v>39948.0</c:v>
                </c:pt>
                <c:pt idx="1817">
                  <c:v>39947.0</c:v>
                </c:pt>
                <c:pt idx="1818">
                  <c:v>39946.0</c:v>
                </c:pt>
                <c:pt idx="1819">
                  <c:v>39945.0</c:v>
                </c:pt>
                <c:pt idx="1820">
                  <c:v>39944.0</c:v>
                </c:pt>
                <c:pt idx="1821">
                  <c:v>39941.0</c:v>
                </c:pt>
                <c:pt idx="1822">
                  <c:v>39940.0</c:v>
                </c:pt>
                <c:pt idx="1823">
                  <c:v>39939.0</c:v>
                </c:pt>
                <c:pt idx="1824">
                  <c:v>39938.0</c:v>
                </c:pt>
                <c:pt idx="1825">
                  <c:v>39937.0</c:v>
                </c:pt>
                <c:pt idx="1826">
                  <c:v>39934.0</c:v>
                </c:pt>
                <c:pt idx="1827">
                  <c:v>39933.0</c:v>
                </c:pt>
                <c:pt idx="1828">
                  <c:v>39932.0</c:v>
                </c:pt>
                <c:pt idx="1829">
                  <c:v>39931.0</c:v>
                </c:pt>
                <c:pt idx="1830">
                  <c:v>39930.0</c:v>
                </c:pt>
                <c:pt idx="1831">
                  <c:v>39927.0</c:v>
                </c:pt>
                <c:pt idx="1832">
                  <c:v>39926.0</c:v>
                </c:pt>
                <c:pt idx="1833">
                  <c:v>39925.0</c:v>
                </c:pt>
                <c:pt idx="1834">
                  <c:v>39924.0</c:v>
                </c:pt>
                <c:pt idx="1835">
                  <c:v>39923.0</c:v>
                </c:pt>
                <c:pt idx="1836">
                  <c:v>39920.0</c:v>
                </c:pt>
                <c:pt idx="1837">
                  <c:v>39919.0</c:v>
                </c:pt>
                <c:pt idx="1838">
                  <c:v>39918.0</c:v>
                </c:pt>
                <c:pt idx="1839">
                  <c:v>39917.0</c:v>
                </c:pt>
                <c:pt idx="1840">
                  <c:v>39916.0</c:v>
                </c:pt>
                <c:pt idx="1841">
                  <c:v>39913.0</c:v>
                </c:pt>
                <c:pt idx="1842">
                  <c:v>39912.0</c:v>
                </c:pt>
                <c:pt idx="1843">
                  <c:v>39911.0</c:v>
                </c:pt>
                <c:pt idx="1844">
                  <c:v>39910.0</c:v>
                </c:pt>
                <c:pt idx="1845">
                  <c:v>39909.0</c:v>
                </c:pt>
                <c:pt idx="1846">
                  <c:v>39906.0</c:v>
                </c:pt>
                <c:pt idx="1847">
                  <c:v>39905.0</c:v>
                </c:pt>
                <c:pt idx="1848">
                  <c:v>39904.0</c:v>
                </c:pt>
                <c:pt idx="1849">
                  <c:v>39903.0</c:v>
                </c:pt>
                <c:pt idx="1850">
                  <c:v>39902.0</c:v>
                </c:pt>
                <c:pt idx="1851">
                  <c:v>39899.0</c:v>
                </c:pt>
                <c:pt idx="1852">
                  <c:v>39898.0</c:v>
                </c:pt>
                <c:pt idx="1853">
                  <c:v>39897.0</c:v>
                </c:pt>
                <c:pt idx="1854">
                  <c:v>39896.0</c:v>
                </c:pt>
                <c:pt idx="1855">
                  <c:v>39895.0</c:v>
                </c:pt>
                <c:pt idx="1856">
                  <c:v>39892.0</c:v>
                </c:pt>
                <c:pt idx="1857">
                  <c:v>39891.0</c:v>
                </c:pt>
                <c:pt idx="1858">
                  <c:v>39890.0</c:v>
                </c:pt>
                <c:pt idx="1859">
                  <c:v>39889.0</c:v>
                </c:pt>
                <c:pt idx="1860">
                  <c:v>39888.0</c:v>
                </c:pt>
                <c:pt idx="1861">
                  <c:v>39885.0</c:v>
                </c:pt>
                <c:pt idx="1862">
                  <c:v>39884.0</c:v>
                </c:pt>
                <c:pt idx="1863">
                  <c:v>39883.0</c:v>
                </c:pt>
                <c:pt idx="1864">
                  <c:v>39882.0</c:v>
                </c:pt>
                <c:pt idx="1865">
                  <c:v>39881.0</c:v>
                </c:pt>
                <c:pt idx="1866">
                  <c:v>39878.0</c:v>
                </c:pt>
                <c:pt idx="1867">
                  <c:v>39877.0</c:v>
                </c:pt>
                <c:pt idx="1868">
                  <c:v>39876.0</c:v>
                </c:pt>
                <c:pt idx="1869">
                  <c:v>39875.0</c:v>
                </c:pt>
                <c:pt idx="1870">
                  <c:v>39874.0</c:v>
                </c:pt>
                <c:pt idx="1871">
                  <c:v>39871.0</c:v>
                </c:pt>
                <c:pt idx="1872">
                  <c:v>39870.0</c:v>
                </c:pt>
                <c:pt idx="1873">
                  <c:v>39869.0</c:v>
                </c:pt>
                <c:pt idx="1874">
                  <c:v>39868.0</c:v>
                </c:pt>
                <c:pt idx="1875">
                  <c:v>39867.0</c:v>
                </c:pt>
                <c:pt idx="1876">
                  <c:v>39864.0</c:v>
                </c:pt>
                <c:pt idx="1877">
                  <c:v>39863.0</c:v>
                </c:pt>
                <c:pt idx="1878">
                  <c:v>39862.0</c:v>
                </c:pt>
                <c:pt idx="1879">
                  <c:v>39861.0</c:v>
                </c:pt>
                <c:pt idx="1880">
                  <c:v>39860.0</c:v>
                </c:pt>
                <c:pt idx="1881">
                  <c:v>39857.0</c:v>
                </c:pt>
                <c:pt idx="1882">
                  <c:v>39856.0</c:v>
                </c:pt>
                <c:pt idx="1883">
                  <c:v>39855.0</c:v>
                </c:pt>
                <c:pt idx="1884">
                  <c:v>39854.0</c:v>
                </c:pt>
                <c:pt idx="1885">
                  <c:v>39853.0</c:v>
                </c:pt>
                <c:pt idx="1886">
                  <c:v>39850.0</c:v>
                </c:pt>
                <c:pt idx="1887">
                  <c:v>39849.0</c:v>
                </c:pt>
                <c:pt idx="1888">
                  <c:v>39848.0</c:v>
                </c:pt>
                <c:pt idx="1889">
                  <c:v>39847.0</c:v>
                </c:pt>
                <c:pt idx="1890">
                  <c:v>39846.0</c:v>
                </c:pt>
                <c:pt idx="1891">
                  <c:v>39843.0</c:v>
                </c:pt>
                <c:pt idx="1892">
                  <c:v>39842.0</c:v>
                </c:pt>
                <c:pt idx="1893">
                  <c:v>39841.0</c:v>
                </c:pt>
                <c:pt idx="1894">
                  <c:v>39840.0</c:v>
                </c:pt>
                <c:pt idx="1895">
                  <c:v>39839.0</c:v>
                </c:pt>
                <c:pt idx="1896">
                  <c:v>39836.0</c:v>
                </c:pt>
                <c:pt idx="1897">
                  <c:v>39835.0</c:v>
                </c:pt>
                <c:pt idx="1898">
                  <c:v>39834.0</c:v>
                </c:pt>
                <c:pt idx="1899">
                  <c:v>39833.0</c:v>
                </c:pt>
                <c:pt idx="1900">
                  <c:v>39832.0</c:v>
                </c:pt>
                <c:pt idx="1901">
                  <c:v>39829.0</c:v>
                </c:pt>
                <c:pt idx="1902">
                  <c:v>39828.0</c:v>
                </c:pt>
                <c:pt idx="1903">
                  <c:v>39827.0</c:v>
                </c:pt>
                <c:pt idx="1904">
                  <c:v>39826.0</c:v>
                </c:pt>
                <c:pt idx="1905">
                  <c:v>39825.0</c:v>
                </c:pt>
                <c:pt idx="1906">
                  <c:v>39822.0</c:v>
                </c:pt>
                <c:pt idx="1907">
                  <c:v>39821.0</c:v>
                </c:pt>
                <c:pt idx="1908">
                  <c:v>39820.0</c:v>
                </c:pt>
                <c:pt idx="1909">
                  <c:v>39819.0</c:v>
                </c:pt>
                <c:pt idx="1910">
                  <c:v>39818.0</c:v>
                </c:pt>
                <c:pt idx="1911">
                  <c:v>39815.0</c:v>
                </c:pt>
                <c:pt idx="1912">
                  <c:v>39814.0</c:v>
                </c:pt>
                <c:pt idx="1913">
                  <c:v>39813.0</c:v>
                </c:pt>
                <c:pt idx="1914">
                  <c:v>39812.0</c:v>
                </c:pt>
                <c:pt idx="1915">
                  <c:v>39811.0</c:v>
                </c:pt>
                <c:pt idx="1916">
                  <c:v>39808.0</c:v>
                </c:pt>
                <c:pt idx="1917">
                  <c:v>39807.0</c:v>
                </c:pt>
                <c:pt idx="1918">
                  <c:v>39806.0</c:v>
                </c:pt>
                <c:pt idx="1919">
                  <c:v>39805.0</c:v>
                </c:pt>
                <c:pt idx="1920">
                  <c:v>39804.0</c:v>
                </c:pt>
                <c:pt idx="1921">
                  <c:v>39801.0</c:v>
                </c:pt>
                <c:pt idx="1922">
                  <c:v>39800.0</c:v>
                </c:pt>
                <c:pt idx="1923">
                  <c:v>39799.0</c:v>
                </c:pt>
                <c:pt idx="1924">
                  <c:v>39798.0</c:v>
                </c:pt>
                <c:pt idx="1925">
                  <c:v>39797.0</c:v>
                </c:pt>
                <c:pt idx="1926">
                  <c:v>39794.0</c:v>
                </c:pt>
                <c:pt idx="1927">
                  <c:v>39793.0</c:v>
                </c:pt>
                <c:pt idx="1928">
                  <c:v>39792.0</c:v>
                </c:pt>
                <c:pt idx="1929">
                  <c:v>39791.0</c:v>
                </c:pt>
                <c:pt idx="1930">
                  <c:v>39790.0</c:v>
                </c:pt>
                <c:pt idx="1931">
                  <c:v>39787.0</c:v>
                </c:pt>
                <c:pt idx="1932">
                  <c:v>39786.0</c:v>
                </c:pt>
                <c:pt idx="1933">
                  <c:v>39785.0</c:v>
                </c:pt>
                <c:pt idx="1934">
                  <c:v>39784.0</c:v>
                </c:pt>
                <c:pt idx="1935">
                  <c:v>39783.0</c:v>
                </c:pt>
                <c:pt idx="1936">
                  <c:v>39780.0</c:v>
                </c:pt>
                <c:pt idx="1937">
                  <c:v>39779.0</c:v>
                </c:pt>
                <c:pt idx="1938">
                  <c:v>39778.0</c:v>
                </c:pt>
                <c:pt idx="1939">
                  <c:v>39777.0</c:v>
                </c:pt>
                <c:pt idx="1940">
                  <c:v>39776.0</c:v>
                </c:pt>
                <c:pt idx="1941">
                  <c:v>39773.0</c:v>
                </c:pt>
                <c:pt idx="1942">
                  <c:v>39772.0</c:v>
                </c:pt>
                <c:pt idx="1943">
                  <c:v>39771.0</c:v>
                </c:pt>
                <c:pt idx="1944">
                  <c:v>39770.0</c:v>
                </c:pt>
                <c:pt idx="1945">
                  <c:v>39769.0</c:v>
                </c:pt>
                <c:pt idx="1946">
                  <c:v>39766.0</c:v>
                </c:pt>
                <c:pt idx="1947">
                  <c:v>39765.0</c:v>
                </c:pt>
                <c:pt idx="1948">
                  <c:v>39764.0</c:v>
                </c:pt>
                <c:pt idx="1949">
                  <c:v>39763.0</c:v>
                </c:pt>
                <c:pt idx="1950">
                  <c:v>39762.0</c:v>
                </c:pt>
                <c:pt idx="1951">
                  <c:v>39759.0</c:v>
                </c:pt>
                <c:pt idx="1952">
                  <c:v>39758.0</c:v>
                </c:pt>
                <c:pt idx="1953">
                  <c:v>39757.0</c:v>
                </c:pt>
                <c:pt idx="1954">
                  <c:v>39756.0</c:v>
                </c:pt>
                <c:pt idx="1955">
                  <c:v>39755.0</c:v>
                </c:pt>
                <c:pt idx="1956">
                  <c:v>39752.0</c:v>
                </c:pt>
                <c:pt idx="1957">
                  <c:v>39751.0</c:v>
                </c:pt>
                <c:pt idx="1958">
                  <c:v>39750.0</c:v>
                </c:pt>
                <c:pt idx="1959">
                  <c:v>39749.0</c:v>
                </c:pt>
                <c:pt idx="1960">
                  <c:v>39748.0</c:v>
                </c:pt>
                <c:pt idx="1961">
                  <c:v>39745.0</c:v>
                </c:pt>
                <c:pt idx="1962">
                  <c:v>39744.0</c:v>
                </c:pt>
                <c:pt idx="1963">
                  <c:v>39743.0</c:v>
                </c:pt>
                <c:pt idx="1964">
                  <c:v>39742.0</c:v>
                </c:pt>
                <c:pt idx="1965">
                  <c:v>39741.0</c:v>
                </c:pt>
                <c:pt idx="1966">
                  <c:v>39738.0</c:v>
                </c:pt>
                <c:pt idx="1967">
                  <c:v>39737.0</c:v>
                </c:pt>
                <c:pt idx="1968">
                  <c:v>39736.0</c:v>
                </c:pt>
                <c:pt idx="1969">
                  <c:v>39735.0</c:v>
                </c:pt>
                <c:pt idx="1970">
                  <c:v>39734.0</c:v>
                </c:pt>
                <c:pt idx="1971">
                  <c:v>39731.0</c:v>
                </c:pt>
                <c:pt idx="1972">
                  <c:v>39730.0</c:v>
                </c:pt>
                <c:pt idx="1973">
                  <c:v>39729.0</c:v>
                </c:pt>
                <c:pt idx="1974">
                  <c:v>39728.0</c:v>
                </c:pt>
                <c:pt idx="1975">
                  <c:v>39727.0</c:v>
                </c:pt>
                <c:pt idx="1976">
                  <c:v>39724.0</c:v>
                </c:pt>
                <c:pt idx="1977">
                  <c:v>39723.0</c:v>
                </c:pt>
                <c:pt idx="1978">
                  <c:v>39722.0</c:v>
                </c:pt>
                <c:pt idx="1979">
                  <c:v>39721.0</c:v>
                </c:pt>
                <c:pt idx="1980">
                  <c:v>39720.0</c:v>
                </c:pt>
                <c:pt idx="1981">
                  <c:v>39717.0</c:v>
                </c:pt>
                <c:pt idx="1982">
                  <c:v>39716.0</c:v>
                </c:pt>
                <c:pt idx="1983">
                  <c:v>39715.0</c:v>
                </c:pt>
                <c:pt idx="1984">
                  <c:v>39714.0</c:v>
                </c:pt>
                <c:pt idx="1985">
                  <c:v>39713.0</c:v>
                </c:pt>
                <c:pt idx="1986">
                  <c:v>39710.0</c:v>
                </c:pt>
                <c:pt idx="1987">
                  <c:v>39709.0</c:v>
                </c:pt>
                <c:pt idx="1988">
                  <c:v>39708.0</c:v>
                </c:pt>
                <c:pt idx="1989">
                  <c:v>39707.0</c:v>
                </c:pt>
                <c:pt idx="1990">
                  <c:v>39706.0</c:v>
                </c:pt>
                <c:pt idx="1991">
                  <c:v>39703.0</c:v>
                </c:pt>
                <c:pt idx="1992">
                  <c:v>39702.0</c:v>
                </c:pt>
                <c:pt idx="1993">
                  <c:v>39701.0</c:v>
                </c:pt>
                <c:pt idx="1994">
                  <c:v>39700.0</c:v>
                </c:pt>
                <c:pt idx="1995">
                  <c:v>39699.0</c:v>
                </c:pt>
                <c:pt idx="1996">
                  <c:v>39696.0</c:v>
                </c:pt>
                <c:pt idx="1997">
                  <c:v>39695.0</c:v>
                </c:pt>
                <c:pt idx="1998">
                  <c:v>39694.0</c:v>
                </c:pt>
                <c:pt idx="1999">
                  <c:v>39693.0</c:v>
                </c:pt>
                <c:pt idx="2000">
                  <c:v>39692.0</c:v>
                </c:pt>
                <c:pt idx="2001">
                  <c:v>39689.0</c:v>
                </c:pt>
                <c:pt idx="2002">
                  <c:v>39688.0</c:v>
                </c:pt>
                <c:pt idx="2003">
                  <c:v>39687.0</c:v>
                </c:pt>
                <c:pt idx="2004">
                  <c:v>39686.0</c:v>
                </c:pt>
                <c:pt idx="2005">
                  <c:v>39685.0</c:v>
                </c:pt>
                <c:pt idx="2006">
                  <c:v>39682.0</c:v>
                </c:pt>
                <c:pt idx="2007">
                  <c:v>39681.0</c:v>
                </c:pt>
                <c:pt idx="2008">
                  <c:v>39680.0</c:v>
                </c:pt>
                <c:pt idx="2009">
                  <c:v>39679.0</c:v>
                </c:pt>
                <c:pt idx="2010">
                  <c:v>39678.0</c:v>
                </c:pt>
                <c:pt idx="2011">
                  <c:v>39675.0</c:v>
                </c:pt>
                <c:pt idx="2012">
                  <c:v>39674.0</c:v>
                </c:pt>
                <c:pt idx="2013">
                  <c:v>39673.0</c:v>
                </c:pt>
                <c:pt idx="2014">
                  <c:v>39672.0</c:v>
                </c:pt>
                <c:pt idx="2015">
                  <c:v>39671.0</c:v>
                </c:pt>
                <c:pt idx="2016">
                  <c:v>39668.0</c:v>
                </c:pt>
                <c:pt idx="2017">
                  <c:v>39667.0</c:v>
                </c:pt>
                <c:pt idx="2018">
                  <c:v>39666.0</c:v>
                </c:pt>
                <c:pt idx="2019">
                  <c:v>39665.0</c:v>
                </c:pt>
                <c:pt idx="2020">
                  <c:v>39664.0</c:v>
                </c:pt>
                <c:pt idx="2021">
                  <c:v>39661.0</c:v>
                </c:pt>
                <c:pt idx="2022">
                  <c:v>39660.0</c:v>
                </c:pt>
                <c:pt idx="2023">
                  <c:v>39659.0</c:v>
                </c:pt>
                <c:pt idx="2024">
                  <c:v>39658.0</c:v>
                </c:pt>
                <c:pt idx="2025">
                  <c:v>39657.0</c:v>
                </c:pt>
                <c:pt idx="2026">
                  <c:v>39654.0</c:v>
                </c:pt>
                <c:pt idx="2027">
                  <c:v>39653.0</c:v>
                </c:pt>
                <c:pt idx="2028">
                  <c:v>39652.0</c:v>
                </c:pt>
                <c:pt idx="2029">
                  <c:v>39651.0</c:v>
                </c:pt>
                <c:pt idx="2030">
                  <c:v>39650.0</c:v>
                </c:pt>
                <c:pt idx="2031">
                  <c:v>39647.0</c:v>
                </c:pt>
                <c:pt idx="2032">
                  <c:v>39646.0</c:v>
                </c:pt>
                <c:pt idx="2033">
                  <c:v>39645.0</c:v>
                </c:pt>
                <c:pt idx="2034">
                  <c:v>39644.0</c:v>
                </c:pt>
                <c:pt idx="2035">
                  <c:v>39643.0</c:v>
                </c:pt>
                <c:pt idx="2036">
                  <c:v>39640.0</c:v>
                </c:pt>
                <c:pt idx="2037">
                  <c:v>39639.0</c:v>
                </c:pt>
                <c:pt idx="2038">
                  <c:v>39638.0</c:v>
                </c:pt>
                <c:pt idx="2039">
                  <c:v>39637.0</c:v>
                </c:pt>
                <c:pt idx="2040">
                  <c:v>39636.0</c:v>
                </c:pt>
                <c:pt idx="2041">
                  <c:v>39633.0</c:v>
                </c:pt>
                <c:pt idx="2042">
                  <c:v>39632.0</c:v>
                </c:pt>
                <c:pt idx="2043">
                  <c:v>39631.0</c:v>
                </c:pt>
                <c:pt idx="2044">
                  <c:v>39630.0</c:v>
                </c:pt>
                <c:pt idx="2045">
                  <c:v>39629.0</c:v>
                </c:pt>
                <c:pt idx="2046">
                  <c:v>39626.0</c:v>
                </c:pt>
                <c:pt idx="2047">
                  <c:v>39625.0</c:v>
                </c:pt>
                <c:pt idx="2048">
                  <c:v>39624.0</c:v>
                </c:pt>
                <c:pt idx="2049">
                  <c:v>39623.0</c:v>
                </c:pt>
                <c:pt idx="2050">
                  <c:v>39622.0</c:v>
                </c:pt>
                <c:pt idx="2051">
                  <c:v>39619.0</c:v>
                </c:pt>
                <c:pt idx="2052">
                  <c:v>39618.0</c:v>
                </c:pt>
                <c:pt idx="2053">
                  <c:v>39617.0</c:v>
                </c:pt>
                <c:pt idx="2054">
                  <c:v>39616.0</c:v>
                </c:pt>
                <c:pt idx="2055">
                  <c:v>39615.0</c:v>
                </c:pt>
                <c:pt idx="2056">
                  <c:v>39612.0</c:v>
                </c:pt>
                <c:pt idx="2057">
                  <c:v>39611.0</c:v>
                </c:pt>
                <c:pt idx="2058">
                  <c:v>39610.0</c:v>
                </c:pt>
                <c:pt idx="2059">
                  <c:v>39609.0</c:v>
                </c:pt>
                <c:pt idx="2060">
                  <c:v>39608.0</c:v>
                </c:pt>
                <c:pt idx="2061">
                  <c:v>39605.0</c:v>
                </c:pt>
                <c:pt idx="2062">
                  <c:v>39604.0</c:v>
                </c:pt>
                <c:pt idx="2063">
                  <c:v>39603.0</c:v>
                </c:pt>
                <c:pt idx="2064">
                  <c:v>39602.0</c:v>
                </c:pt>
                <c:pt idx="2065">
                  <c:v>39601.0</c:v>
                </c:pt>
                <c:pt idx="2066">
                  <c:v>39598.0</c:v>
                </c:pt>
                <c:pt idx="2067">
                  <c:v>39597.0</c:v>
                </c:pt>
                <c:pt idx="2068">
                  <c:v>39596.0</c:v>
                </c:pt>
                <c:pt idx="2069">
                  <c:v>39595.0</c:v>
                </c:pt>
                <c:pt idx="2070">
                  <c:v>39594.0</c:v>
                </c:pt>
                <c:pt idx="2071">
                  <c:v>39591.0</c:v>
                </c:pt>
                <c:pt idx="2072">
                  <c:v>39590.0</c:v>
                </c:pt>
                <c:pt idx="2073">
                  <c:v>39589.0</c:v>
                </c:pt>
                <c:pt idx="2074">
                  <c:v>39588.0</c:v>
                </c:pt>
                <c:pt idx="2075">
                  <c:v>39587.0</c:v>
                </c:pt>
                <c:pt idx="2076">
                  <c:v>39584.0</c:v>
                </c:pt>
                <c:pt idx="2077">
                  <c:v>39583.0</c:v>
                </c:pt>
                <c:pt idx="2078">
                  <c:v>39582.0</c:v>
                </c:pt>
                <c:pt idx="2079">
                  <c:v>39581.0</c:v>
                </c:pt>
                <c:pt idx="2080">
                  <c:v>39580.0</c:v>
                </c:pt>
                <c:pt idx="2081">
                  <c:v>39577.0</c:v>
                </c:pt>
                <c:pt idx="2082">
                  <c:v>39576.0</c:v>
                </c:pt>
                <c:pt idx="2083">
                  <c:v>39575.0</c:v>
                </c:pt>
                <c:pt idx="2084">
                  <c:v>39574.0</c:v>
                </c:pt>
                <c:pt idx="2085">
                  <c:v>39573.0</c:v>
                </c:pt>
                <c:pt idx="2086">
                  <c:v>39570.0</c:v>
                </c:pt>
                <c:pt idx="2087">
                  <c:v>39569.0</c:v>
                </c:pt>
                <c:pt idx="2088">
                  <c:v>39568.0</c:v>
                </c:pt>
                <c:pt idx="2089">
                  <c:v>39567.0</c:v>
                </c:pt>
                <c:pt idx="2090">
                  <c:v>39566.0</c:v>
                </c:pt>
                <c:pt idx="2091">
                  <c:v>39563.0</c:v>
                </c:pt>
                <c:pt idx="2092">
                  <c:v>39562.0</c:v>
                </c:pt>
                <c:pt idx="2093">
                  <c:v>39561.0</c:v>
                </c:pt>
                <c:pt idx="2094">
                  <c:v>39560.0</c:v>
                </c:pt>
                <c:pt idx="2095">
                  <c:v>39559.0</c:v>
                </c:pt>
                <c:pt idx="2096">
                  <c:v>39556.0</c:v>
                </c:pt>
                <c:pt idx="2097">
                  <c:v>39555.0</c:v>
                </c:pt>
                <c:pt idx="2098">
                  <c:v>39554.0</c:v>
                </c:pt>
                <c:pt idx="2099">
                  <c:v>39553.0</c:v>
                </c:pt>
                <c:pt idx="2100">
                  <c:v>39552.0</c:v>
                </c:pt>
                <c:pt idx="2101">
                  <c:v>39549.0</c:v>
                </c:pt>
                <c:pt idx="2102">
                  <c:v>39548.0</c:v>
                </c:pt>
                <c:pt idx="2103">
                  <c:v>39547.0</c:v>
                </c:pt>
                <c:pt idx="2104">
                  <c:v>39546.0</c:v>
                </c:pt>
                <c:pt idx="2105">
                  <c:v>39545.0</c:v>
                </c:pt>
                <c:pt idx="2106">
                  <c:v>39542.0</c:v>
                </c:pt>
                <c:pt idx="2107">
                  <c:v>39541.0</c:v>
                </c:pt>
                <c:pt idx="2108">
                  <c:v>39540.0</c:v>
                </c:pt>
                <c:pt idx="2109">
                  <c:v>39539.0</c:v>
                </c:pt>
                <c:pt idx="2110">
                  <c:v>39538.0</c:v>
                </c:pt>
                <c:pt idx="2111">
                  <c:v>39535.0</c:v>
                </c:pt>
                <c:pt idx="2112">
                  <c:v>39534.0</c:v>
                </c:pt>
                <c:pt idx="2113">
                  <c:v>39533.0</c:v>
                </c:pt>
                <c:pt idx="2114">
                  <c:v>39532.0</c:v>
                </c:pt>
                <c:pt idx="2115">
                  <c:v>39531.0</c:v>
                </c:pt>
                <c:pt idx="2116">
                  <c:v>39528.0</c:v>
                </c:pt>
                <c:pt idx="2117">
                  <c:v>39527.0</c:v>
                </c:pt>
                <c:pt idx="2118">
                  <c:v>39526.0</c:v>
                </c:pt>
                <c:pt idx="2119">
                  <c:v>39525.0</c:v>
                </c:pt>
                <c:pt idx="2120">
                  <c:v>39524.0</c:v>
                </c:pt>
                <c:pt idx="2121">
                  <c:v>39521.0</c:v>
                </c:pt>
                <c:pt idx="2122">
                  <c:v>39520.0</c:v>
                </c:pt>
                <c:pt idx="2123">
                  <c:v>39519.0</c:v>
                </c:pt>
                <c:pt idx="2124">
                  <c:v>39518.0</c:v>
                </c:pt>
                <c:pt idx="2125">
                  <c:v>39517.0</c:v>
                </c:pt>
                <c:pt idx="2126">
                  <c:v>39514.0</c:v>
                </c:pt>
                <c:pt idx="2127">
                  <c:v>39513.0</c:v>
                </c:pt>
                <c:pt idx="2128">
                  <c:v>39512.0</c:v>
                </c:pt>
                <c:pt idx="2129">
                  <c:v>39511.0</c:v>
                </c:pt>
                <c:pt idx="2130">
                  <c:v>39510.0</c:v>
                </c:pt>
                <c:pt idx="2131">
                  <c:v>39507.0</c:v>
                </c:pt>
                <c:pt idx="2132">
                  <c:v>39506.0</c:v>
                </c:pt>
                <c:pt idx="2133">
                  <c:v>39505.0</c:v>
                </c:pt>
                <c:pt idx="2134">
                  <c:v>39504.0</c:v>
                </c:pt>
                <c:pt idx="2135">
                  <c:v>39503.0</c:v>
                </c:pt>
                <c:pt idx="2136">
                  <c:v>39500.0</c:v>
                </c:pt>
                <c:pt idx="2137">
                  <c:v>39499.0</c:v>
                </c:pt>
                <c:pt idx="2138">
                  <c:v>39498.0</c:v>
                </c:pt>
                <c:pt idx="2139">
                  <c:v>39497.0</c:v>
                </c:pt>
                <c:pt idx="2140">
                  <c:v>39496.0</c:v>
                </c:pt>
                <c:pt idx="2141">
                  <c:v>39493.0</c:v>
                </c:pt>
                <c:pt idx="2142">
                  <c:v>39492.0</c:v>
                </c:pt>
                <c:pt idx="2143">
                  <c:v>39491.0</c:v>
                </c:pt>
                <c:pt idx="2144">
                  <c:v>39490.0</c:v>
                </c:pt>
                <c:pt idx="2145">
                  <c:v>39489.0</c:v>
                </c:pt>
                <c:pt idx="2146">
                  <c:v>39486.0</c:v>
                </c:pt>
                <c:pt idx="2147">
                  <c:v>39485.0</c:v>
                </c:pt>
                <c:pt idx="2148">
                  <c:v>39484.0</c:v>
                </c:pt>
                <c:pt idx="2149">
                  <c:v>39483.0</c:v>
                </c:pt>
                <c:pt idx="2150">
                  <c:v>39482.0</c:v>
                </c:pt>
                <c:pt idx="2151">
                  <c:v>39479.0</c:v>
                </c:pt>
                <c:pt idx="2152">
                  <c:v>39478.0</c:v>
                </c:pt>
                <c:pt idx="2153">
                  <c:v>39477.0</c:v>
                </c:pt>
                <c:pt idx="2154">
                  <c:v>39476.0</c:v>
                </c:pt>
                <c:pt idx="2155">
                  <c:v>39475.0</c:v>
                </c:pt>
                <c:pt idx="2156">
                  <c:v>39472.0</c:v>
                </c:pt>
                <c:pt idx="2157">
                  <c:v>39471.0</c:v>
                </c:pt>
                <c:pt idx="2158">
                  <c:v>39470.0</c:v>
                </c:pt>
                <c:pt idx="2159">
                  <c:v>39469.0</c:v>
                </c:pt>
                <c:pt idx="2160">
                  <c:v>39468.0</c:v>
                </c:pt>
                <c:pt idx="2161">
                  <c:v>39465.0</c:v>
                </c:pt>
                <c:pt idx="2162">
                  <c:v>39464.0</c:v>
                </c:pt>
                <c:pt idx="2163">
                  <c:v>39463.0</c:v>
                </c:pt>
                <c:pt idx="2164">
                  <c:v>39462.0</c:v>
                </c:pt>
                <c:pt idx="2165">
                  <c:v>39461.0</c:v>
                </c:pt>
                <c:pt idx="2166">
                  <c:v>39458.0</c:v>
                </c:pt>
                <c:pt idx="2167">
                  <c:v>39457.0</c:v>
                </c:pt>
                <c:pt idx="2168">
                  <c:v>39456.0</c:v>
                </c:pt>
                <c:pt idx="2169">
                  <c:v>39455.0</c:v>
                </c:pt>
                <c:pt idx="2170">
                  <c:v>39454.0</c:v>
                </c:pt>
                <c:pt idx="2171">
                  <c:v>39451.0</c:v>
                </c:pt>
                <c:pt idx="2172">
                  <c:v>39450.0</c:v>
                </c:pt>
                <c:pt idx="2173">
                  <c:v>39449.0</c:v>
                </c:pt>
                <c:pt idx="2174">
                  <c:v>39448.0</c:v>
                </c:pt>
                <c:pt idx="2175">
                  <c:v>39447.0</c:v>
                </c:pt>
                <c:pt idx="2176">
                  <c:v>39444.0</c:v>
                </c:pt>
                <c:pt idx="2177">
                  <c:v>39443.0</c:v>
                </c:pt>
                <c:pt idx="2178">
                  <c:v>39442.0</c:v>
                </c:pt>
                <c:pt idx="2179">
                  <c:v>39441.0</c:v>
                </c:pt>
                <c:pt idx="2180">
                  <c:v>39440.0</c:v>
                </c:pt>
                <c:pt idx="2181">
                  <c:v>39437.0</c:v>
                </c:pt>
                <c:pt idx="2182">
                  <c:v>39436.0</c:v>
                </c:pt>
                <c:pt idx="2183">
                  <c:v>39435.0</c:v>
                </c:pt>
                <c:pt idx="2184">
                  <c:v>39434.0</c:v>
                </c:pt>
                <c:pt idx="2185">
                  <c:v>39433.0</c:v>
                </c:pt>
                <c:pt idx="2186">
                  <c:v>39430.0</c:v>
                </c:pt>
                <c:pt idx="2187">
                  <c:v>39429.0</c:v>
                </c:pt>
                <c:pt idx="2188">
                  <c:v>39428.0</c:v>
                </c:pt>
                <c:pt idx="2189">
                  <c:v>39427.0</c:v>
                </c:pt>
                <c:pt idx="2190">
                  <c:v>39426.0</c:v>
                </c:pt>
                <c:pt idx="2191">
                  <c:v>39423.0</c:v>
                </c:pt>
                <c:pt idx="2192">
                  <c:v>39422.0</c:v>
                </c:pt>
                <c:pt idx="2193">
                  <c:v>39421.0</c:v>
                </c:pt>
                <c:pt idx="2194">
                  <c:v>39420.0</c:v>
                </c:pt>
                <c:pt idx="2195">
                  <c:v>39419.0</c:v>
                </c:pt>
                <c:pt idx="2196">
                  <c:v>39416.0</c:v>
                </c:pt>
                <c:pt idx="2197">
                  <c:v>39415.0</c:v>
                </c:pt>
                <c:pt idx="2198">
                  <c:v>39414.0</c:v>
                </c:pt>
                <c:pt idx="2199">
                  <c:v>39413.0</c:v>
                </c:pt>
                <c:pt idx="2200">
                  <c:v>39412.0</c:v>
                </c:pt>
                <c:pt idx="2201">
                  <c:v>39409.0</c:v>
                </c:pt>
                <c:pt idx="2202">
                  <c:v>39408.0</c:v>
                </c:pt>
                <c:pt idx="2203">
                  <c:v>39407.0</c:v>
                </c:pt>
                <c:pt idx="2204">
                  <c:v>39406.0</c:v>
                </c:pt>
                <c:pt idx="2205">
                  <c:v>39405.0</c:v>
                </c:pt>
                <c:pt idx="2206">
                  <c:v>39402.0</c:v>
                </c:pt>
                <c:pt idx="2207">
                  <c:v>39401.0</c:v>
                </c:pt>
                <c:pt idx="2208">
                  <c:v>39400.0</c:v>
                </c:pt>
                <c:pt idx="2209">
                  <c:v>39399.0</c:v>
                </c:pt>
                <c:pt idx="2210">
                  <c:v>39398.0</c:v>
                </c:pt>
                <c:pt idx="2211">
                  <c:v>39395.0</c:v>
                </c:pt>
                <c:pt idx="2212">
                  <c:v>39394.0</c:v>
                </c:pt>
                <c:pt idx="2213">
                  <c:v>39393.0</c:v>
                </c:pt>
                <c:pt idx="2214">
                  <c:v>39392.0</c:v>
                </c:pt>
                <c:pt idx="2215">
                  <c:v>39391.0</c:v>
                </c:pt>
                <c:pt idx="2216">
                  <c:v>39388.0</c:v>
                </c:pt>
                <c:pt idx="2217">
                  <c:v>39387.0</c:v>
                </c:pt>
                <c:pt idx="2218">
                  <c:v>39386.0</c:v>
                </c:pt>
                <c:pt idx="2219">
                  <c:v>39385.0</c:v>
                </c:pt>
                <c:pt idx="2220">
                  <c:v>39384.0</c:v>
                </c:pt>
                <c:pt idx="2221">
                  <c:v>39381.0</c:v>
                </c:pt>
                <c:pt idx="2222">
                  <c:v>39380.0</c:v>
                </c:pt>
                <c:pt idx="2223">
                  <c:v>39379.0</c:v>
                </c:pt>
                <c:pt idx="2224">
                  <c:v>39378.0</c:v>
                </c:pt>
                <c:pt idx="2225">
                  <c:v>39377.0</c:v>
                </c:pt>
                <c:pt idx="2226">
                  <c:v>39374.0</c:v>
                </c:pt>
                <c:pt idx="2227">
                  <c:v>39373.0</c:v>
                </c:pt>
                <c:pt idx="2228">
                  <c:v>39372.0</c:v>
                </c:pt>
                <c:pt idx="2229">
                  <c:v>39371.0</c:v>
                </c:pt>
                <c:pt idx="2230">
                  <c:v>39370.0</c:v>
                </c:pt>
                <c:pt idx="2231">
                  <c:v>39367.0</c:v>
                </c:pt>
                <c:pt idx="2232">
                  <c:v>39366.0</c:v>
                </c:pt>
                <c:pt idx="2233">
                  <c:v>39365.0</c:v>
                </c:pt>
                <c:pt idx="2234">
                  <c:v>39364.0</c:v>
                </c:pt>
                <c:pt idx="2235">
                  <c:v>39363.0</c:v>
                </c:pt>
                <c:pt idx="2236">
                  <c:v>39360.0</c:v>
                </c:pt>
                <c:pt idx="2237">
                  <c:v>39359.0</c:v>
                </c:pt>
                <c:pt idx="2238">
                  <c:v>39358.0</c:v>
                </c:pt>
                <c:pt idx="2239">
                  <c:v>39357.0</c:v>
                </c:pt>
                <c:pt idx="2240">
                  <c:v>39356.0</c:v>
                </c:pt>
                <c:pt idx="2241">
                  <c:v>39353.0</c:v>
                </c:pt>
                <c:pt idx="2242">
                  <c:v>39352.0</c:v>
                </c:pt>
                <c:pt idx="2243">
                  <c:v>39351.0</c:v>
                </c:pt>
                <c:pt idx="2244">
                  <c:v>39350.0</c:v>
                </c:pt>
                <c:pt idx="2245">
                  <c:v>39349.0</c:v>
                </c:pt>
                <c:pt idx="2246">
                  <c:v>39346.0</c:v>
                </c:pt>
                <c:pt idx="2247">
                  <c:v>39345.0</c:v>
                </c:pt>
                <c:pt idx="2248">
                  <c:v>39344.0</c:v>
                </c:pt>
                <c:pt idx="2249">
                  <c:v>39343.0</c:v>
                </c:pt>
                <c:pt idx="2250">
                  <c:v>39342.0</c:v>
                </c:pt>
                <c:pt idx="2251">
                  <c:v>39339.0</c:v>
                </c:pt>
                <c:pt idx="2252">
                  <c:v>39338.0</c:v>
                </c:pt>
                <c:pt idx="2253">
                  <c:v>39337.0</c:v>
                </c:pt>
                <c:pt idx="2254">
                  <c:v>39336.0</c:v>
                </c:pt>
                <c:pt idx="2255">
                  <c:v>39335.0</c:v>
                </c:pt>
                <c:pt idx="2256">
                  <c:v>39332.0</c:v>
                </c:pt>
                <c:pt idx="2257">
                  <c:v>39331.0</c:v>
                </c:pt>
                <c:pt idx="2258">
                  <c:v>39330.0</c:v>
                </c:pt>
                <c:pt idx="2259">
                  <c:v>39329.0</c:v>
                </c:pt>
                <c:pt idx="2260">
                  <c:v>39328.0</c:v>
                </c:pt>
                <c:pt idx="2261">
                  <c:v>39325.0</c:v>
                </c:pt>
                <c:pt idx="2262">
                  <c:v>39324.0</c:v>
                </c:pt>
                <c:pt idx="2263">
                  <c:v>39323.0</c:v>
                </c:pt>
                <c:pt idx="2264">
                  <c:v>39322.0</c:v>
                </c:pt>
                <c:pt idx="2265">
                  <c:v>39321.0</c:v>
                </c:pt>
                <c:pt idx="2266">
                  <c:v>39318.0</c:v>
                </c:pt>
                <c:pt idx="2267">
                  <c:v>39317.0</c:v>
                </c:pt>
                <c:pt idx="2268">
                  <c:v>39316.0</c:v>
                </c:pt>
                <c:pt idx="2269">
                  <c:v>39315.0</c:v>
                </c:pt>
                <c:pt idx="2270">
                  <c:v>39314.0</c:v>
                </c:pt>
                <c:pt idx="2271">
                  <c:v>39311.0</c:v>
                </c:pt>
                <c:pt idx="2272">
                  <c:v>39310.0</c:v>
                </c:pt>
                <c:pt idx="2273">
                  <c:v>39309.0</c:v>
                </c:pt>
                <c:pt idx="2274">
                  <c:v>39308.0</c:v>
                </c:pt>
                <c:pt idx="2275">
                  <c:v>39307.0</c:v>
                </c:pt>
                <c:pt idx="2276">
                  <c:v>39304.0</c:v>
                </c:pt>
                <c:pt idx="2277">
                  <c:v>39303.0</c:v>
                </c:pt>
                <c:pt idx="2278">
                  <c:v>39302.0</c:v>
                </c:pt>
                <c:pt idx="2279">
                  <c:v>39301.0</c:v>
                </c:pt>
                <c:pt idx="2280">
                  <c:v>39300.0</c:v>
                </c:pt>
                <c:pt idx="2281">
                  <c:v>39297.0</c:v>
                </c:pt>
                <c:pt idx="2282">
                  <c:v>39296.0</c:v>
                </c:pt>
                <c:pt idx="2283">
                  <c:v>39295.0</c:v>
                </c:pt>
                <c:pt idx="2284">
                  <c:v>39294.0</c:v>
                </c:pt>
                <c:pt idx="2285">
                  <c:v>39293.0</c:v>
                </c:pt>
                <c:pt idx="2286">
                  <c:v>39290.0</c:v>
                </c:pt>
                <c:pt idx="2287">
                  <c:v>39289.0</c:v>
                </c:pt>
                <c:pt idx="2288">
                  <c:v>39288.0</c:v>
                </c:pt>
                <c:pt idx="2289">
                  <c:v>39287.0</c:v>
                </c:pt>
                <c:pt idx="2290">
                  <c:v>39286.0</c:v>
                </c:pt>
                <c:pt idx="2291">
                  <c:v>39283.0</c:v>
                </c:pt>
                <c:pt idx="2292">
                  <c:v>39282.0</c:v>
                </c:pt>
                <c:pt idx="2293">
                  <c:v>39281.0</c:v>
                </c:pt>
                <c:pt idx="2294">
                  <c:v>39280.0</c:v>
                </c:pt>
                <c:pt idx="2295">
                  <c:v>39279.0</c:v>
                </c:pt>
                <c:pt idx="2296">
                  <c:v>39276.0</c:v>
                </c:pt>
                <c:pt idx="2297">
                  <c:v>39275.0</c:v>
                </c:pt>
                <c:pt idx="2298">
                  <c:v>39274.0</c:v>
                </c:pt>
                <c:pt idx="2299">
                  <c:v>39273.0</c:v>
                </c:pt>
                <c:pt idx="2300">
                  <c:v>39272.0</c:v>
                </c:pt>
                <c:pt idx="2301">
                  <c:v>39269.0</c:v>
                </c:pt>
                <c:pt idx="2302">
                  <c:v>39268.0</c:v>
                </c:pt>
                <c:pt idx="2303">
                  <c:v>39267.0</c:v>
                </c:pt>
                <c:pt idx="2304">
                  <c:v>39266.0</c:v>
                </c:pt>
                <c:pt idx="2305">
                  <c:v>39265.0</c:v>
                </c:pt>
                <c:pt idx="2306">
                  <c:v>39262.0</c:v>
                </c:pt>
                <c:pt idx="2307">
                  <c:v>39261.0</c:v>
                </c:pt>
                <c:pt idx="2308">
                  <c:v>39260.0</c:v>
                </c:pt>
                <c:pt idx="2309">
                  <c:v>39259.0</c:v>
                </c:pt>
                <c:pt idx="2310">
                  <c:v>39258.0</c:v>
                </c:pt>
                <c:pt idx="2311">
                  <c:v>39255.0</c:v>
                </c:pt>
                <c:pt idx="2312">
                  <c:v>39254.0</c:v>
                </c:pt>
                <c:pt idx="2313">
                  <c:v>39253.0</c:v>
                </c:pt>
                <c:pt idx="2314">
                  <c:v>39252.0</c:v>
                </c:pt>
                <c:pt idx="2315">
                  <c:v>39251.0</c:v>
                </c:pt>
                <c:pt idx="2316">
                  <c:v>39248.0</c:v>
                </c:pt>
                <c:pt idx="2317">
                  <c:v>39247.0</c:v>
                </c:pt>
                <c:pt idx="2318">
                  <c:v>39246.0</c:v>
                </c:pt>
                <c:pt idx="2319">
                  <c:v>39245.0</c:v>
                </c:pt>
                <c:pt idx="2320">
                  <c:v>39244.0</c:v>
                </c:pt>
                <c:pt idx="2321">
                  <c:v>39241.0</c:v>
                </c:pt>
                <c:pt idx="2322">
                  <c:v>39240.0</c:v>
                </c:pt>
                <c:pt idx="2323">
                  <c:v>39239.0</c:v>
                </c:pt>
                <c:pt idx="2324">
                  <c:v>39238.0</c:v>
                </c:pt>
                <c:pt idx="2325">
                  <c:v>39237.0</c:v>
                </c:pt>
                <c:pt idx="2326">
                  <c:v>39234.0</c:v>
                </c:pt>
                <c:pt idx="2327">
                  <c:v>39233.0</c:v>
                </c:pt>
                <c:pt idx="2328">
                  <c:v>39232.0</c:v>
                </c:pt>
                <c:pt idx="2329">
                  <c:v>39231.0</c:v>
                </c:pt>
                <c:pt idx="2330">
                  <c:v>39230.0</c:v>
                </c:pt>
                <c:pt idx="2331">
                  <c:v>39227.0</c:v>
                </c:pt>
                <c:pt idx="2332">
                  <c:v>39226.0</c:v>
                </c:pt>
                <c:pt idx="2333">
                  <c:v>39225.0</c:v>
                </c:pt>
                <c:pt idx="2334">
                  <c:v>39224.0</c:v>
                </c:pt>
                <c:pt idx="2335">
                  <c:v>39223.0</c:v>
                </c:pt>
                <c:pt idx="2336">
                  <c:v>39220.0</c:v>
                </c:pt>
                <c:pt idx="2337">
                  <c:v>39219.0</c:v>
                </c:pt>
                <c:pt idx="2338">
                  <c:v>39218.0</c:v>
                </c:pt>
                <c:pt idx="2339">
                  <c:v>39217.0</c:v>
                </c:pt>
                <c:pt idx="2340">
                  <c:v>39216.0</c:v>
                </c:pt>
                <c:pt idx="2341">
                  <c:v>39213.0</c:v>
                </c:pt>
                <c:pt idx="2342">
                  <c:v>39212.0</c:v>
                </c:pt>
                <c:pt idx="2343">
                  <c:v>39211.0</c:v>
                </c:pt>
                <c:pt idx="2344">
                  <c:v>39210.0</c:v>
                </c:pt>
                <c:pt idx="2345">
                  <c:v>39209.0</c:v>
                </c:pt>
                <c:pt idx="2346">
                  <c:v>39206.0</c:v>
                </c:pt>
                <c:pt idx="2347">
                  <c:v>39205.0</c:v>
                </c:pt>
                <c:pt idx="2348">
                  <c:v>39204.0</c:v>
                </c:pt>
                <c:pt idx="2349">
                  <c:v>39203.0</c:v>
                </c:pt>
                <c:pt idx="2350">
                  <c:v>39202.0</c:v>
                </c:pt>
                <c:pt idx="2351">
                  <c:v>39199.0</c:v>
                </c:pt>
                <c:pt idx="2352">
                  <c:v>39198.0</c:v>
                </c:pt>
                <c:pt idx="2353">
                  <c:v>39197.0</c:v>
                </c:pt>
                <c:pt idx="2354">
                  <c:v>39196.0</c:v>
                </c:pt>
                <c:pt idx="2355">
                  <c:v>39195.0</c:v>
                </c:pt>
                <c:pt idx="2356">
                  <c:v>39192.0</c:v>
                </c:pt>
                <c:pt idx="2357">
                  <c:v>39191.0</c:v>
                </c:pt>
                <c:pt idx="2358">
                  <c:v>39190.0</c:v>
                </c:pt>
                <c:pt idx="2359">
                  <c:v>39189.0</c:v>
                </c:pt>
                <c:pt idx="2360">
                  <c:v>39188.0</c:v>
                </c:pt>
                <c:pt idx="2361">
                  <c:v>39185.0</c:v>
                </c:pt>
                <c:pt idx="2362">
                  <c:v>39184.0</c:v>
                </c:pt>
                <c:pt idx="2363">
                  <c:v>39183.0</c:v>
                </c:pt>
                <c:pt idx="2364">
                  <c:v>39182.0</c:v>
                </c:pt>
                <c:pt idx="2365">
                  <c:v>39181.0</c:v>
                </c:pt>
                <c:pt idx="2366">
                  <c:v>39178.0</c:v>
                </c:pt>
                <c:pt idx="2367">
                  <c:v>39177.0</c:v>
                </c:pt>
                <c:pt idx="2368">
                  <c:v>39176.0</c:v>
                </c:pt>
                <c:pt idx="2369">
                  <c:v>39175.0</c:v>
                </c:pt>
                <c:pt idx="2370">
                  <c:v>39174.0</c:v>
                </c:pt>
                <c:pt idx="2371">
                  <c:v>39171.0</c:v>
                </c:pt>
                <c:pt idx="2372">
                  <c:v>39170.0</c:v>
                </c:pt>
                <c:pt idx="2373">
                  <c:v>39169.0</c:v>
                </c:pt>
                <c:pt idx="2374">
                  <c:v>39168.0</c:v>
                </c:pt>
                <c:pt idx="2375">
                  <c:v>39167.0</c:v>
                </c:pt>
                <c:pt idx="2376">
                  <c:v>39164.0</c:v>
                </c:pt>
                <c:pt idx="2377">
                  <c:v>39163.0</c:v>
                </c:pt>
                <c:pt idx="2378">
                  <c:v>39162.0</c:v>
                </c:pt>
                <c:pt idx="2379">
                  <c:v>39161.0</c:v>
                </c:pt>
                <c:pt idx="2380">
                  <c:v>39160.0</c:v>
                </c:pt>
                <c:pt idx="2381">
                  <c:v>39157.0</c:v>
                </c:pt>
                <c:pt idx="2382">
                  <c:v>39156.0</c:v>
                </c:pt>
                <c:pt idx="2383">
                  <c:v>39155.0</c:v>
                </c:pt>
                <c:pt idx="2384">
                  <c:v>39154.0</c:v>
                </c:pt>
                <c:pt idx="2385">
                  <c:v>39153.0</c:v>
                </c:pt>
                <c:pt idx="2386">
                  <c:v>39150.0</c:v>
                </c:pt>
                <c:pt idx="2387">
                  <c:v>39149.0</c:v>
                </c:pt>
                <c:pt idx="2388">
                  <c:v>39148.0</c:v>
                </c:pt>
                <c:pt idx="2389">
                  <c:v>39147.0</c:v>
                </c:pt>
                <c:pt idx="2390">
                  <c:v>39146.0</c:v>
                </c:pt>
                <c:pt idx="2391">
                  <c:v>39143.0</c:v>
                </c:pt>
                <c:pt idx="2392">
                  <c:v>39142.0</c:v>
                </c:pt>
                <c:pt idx="2393">
                  <c:v>39141.0</c:v>
                </c:pt>
                <c:pt idx="2394">
                  <c:v>39140.0</c:v>
                </c:pt>
                <c:pt idx="2395">
                  <c:v>39139.0</c:v>
                </c:pt>
                <c:pt idx="2396">
                  <c:v>39136.0</c:v>
                </c:pt>
                <c:pt idx="2397">
                  <c:v>39135.0</c:v>
                </c:pt>
                <c:pt idx="2398">
                  <c:v>39134.0</c:v>
                </c:pt>
                <c:pt idx="2399">
                  <c:v>39133.0</c:v>
                </c:pt>
                <c:pt idx="2400">
                  <c:v>39132.0</c:v>
                </c:pt>
                <c:pt idx="2401">
                  <c:v>39129.0</c:v>
                </c:pt>
                <c:pt idx="2402">
                  <c:v>39128.0</c:v>
                </c:pt>
                <c:pt idx="2403">
                  <c:v>39127.0</c:v>
                </c:pt>
                <c:pt idx="2404">
                  <c:v>39126.0</c:v>
                </c:pt>
                <c:pt idx="2405">
                  <c:v>39125.0</c:v>
                </c:pt>
                <c:pt idx="2406">
                  <c:v>39122.0</c:v>
                </c:pt>
                <c:pt idx="2407">
                  <c:v>39121.0</c:v>
                </c:pt>
                <c:pt idx="2408">
                  <c:v>39120.0</c:v>
                </c:pt>
                <c:pt idx="2409">
                  <c:v>39119.0</c:v>
                </c:pt>
                <c:pt idx="2410">
                  <c:v>39118.0</c:v>
                </c:pt>
                <c:pt idx="2411">
                  <c:v>39115.0</c:v>
                </c:pt>
                <c:pt idx="2412">
                  <c:v>39114.0</c:v>
                </c:pt>
                <c:pt idx="2413">
                  <c:v>39113.0</c:v>
                </c:pt>
                <c:pt idx="2414">
                  <c:v>39112.0</c:v>
                </c:pt>
                <c:pt idx="2415">
                  <c:v>39111.0</c:v>
                </c:pt>
                <c:pt idx="2416">
                  <c:v>39108.0</c:v>
                </c:pt>
                <c:pt idx="2417">
                  <c:v>39107.0</c:v>
                </c:pt>
                <c:pt idx="2418">
                  <c:v>39106.0</c:v>
                </c:pt>
                <c:pt idx="2419">
                  <c:v>39105.0</c:v>
                </c:pt>
                <c:pt idx="2420">
                  <c:v>39104.0</c:v>
                </c:pt>
                <c:pt idx="2421">
                  <c:v>39101.0</c:v>
                </c:pt>
                <c:pt idx="2422">
                  <c:v>39100.0</c:v>
                </c:pt>
                <c:pt idx="2423">
                  <c:v>39099.0</c:v>
                </c:pt>
                <c:pt idx="2424">
                  <c:v>39098.0</c:v>
                </c:pt>
                <c:pt idx="2425">
                  <c:v>39097.0</c:v>
                </c:pt>
                <c:pt idx="2426">
                  <c:v>39094.0</c:v>
                </c:pt>
                <c:pt idx="2427">
                  <c:v>39093.0</c:v>
                </c:pt>
                <c:pt idx="2428">
                  <c:v>39092.0</c:v>
                </c:pt>
                <c:pt idx="2429">
                  <c:v>39091.0</c:v>
                </c:pt>
                <c:pt idx="2430">
                  <c:v>39090.0</c:v>
                </c:pt>
                <c:pt idx="2431">
                  <c:v>39087.0</c:v>
                </c:pt>
                <c:pt idx="2432">
                  <c:v>39086.0</c:v>
                </c:pt>
                <c:pt idx="2433">
                  <c:v>39085.0</c:v>
                </c:pt>
                <c:pt idx="2434">
                  <c:v>39084.0</c:v>
                </c:pt>
                <c:pt idx="2435">
                  <c:v>39083.0</c:v>
                </c:pt>
                <c:pt idx="2436">
                  <c:v>39080.0</c:v>
                </c:pt>
                <c:pt idx="2437">
                  <c:v>39079.0</c:v>
                </c:pt>
                <c:pt idx="2438">
                  <c:v>39078.0</c:v>
                </c:pt>
                <c:pt idx="2439">
                  <c:v>39077.0</c:v>
                </c:pt>
                <c:pt idx="2440">
                  <c:v>39076.0</c:v>
                </c:pt>
                <c:pt idx="2441">
                  <c:v>39073.0</c:v>
                </c:pt>
                <c:pt idx="2442">
                  <c:v>39072.0</c:v>
                </c:pt>
                <c:pt idx="2443">
                  <c:v>39071.0</c:v>
                </c:pt>
                <c:pt idx="2444">
                  <c:v>39070.0</c:v>
                </c:pt>
                <c:pt idx="2445">
                  <c:v>39069.0</c:v>
                </c:pt>
                <c:pt idx="2446">
                  <c:v>39066.0</c:v>
                </c:pt>
                <c:pt idx="2447">
                  <c:v>39065.0</c:v>
                </c:pt>
                <c:pt idx="2448">
                  <c:v>39064.0</c:v>
                </c:pt>
                <c:pt idx="2449">
                  <c:v>39063.0</c:v>
                </c:pt>
                <c:pt idx="2450">
                  <c:v>39062.0</c:v>
                </c:pt>
                <c:pt idx="2451">
                  <c:v>39059.0</c:v>
                </c:pt>
                <c:pt idx="2452">
                  <c:v>39058.0</c:v>
                </c:pt>
                <c:pt idx="2453">
                  <c:v>39057.0</c:v>
                </c:pt>
                <c:pt idx="2454">
                  <c:v>39056.0</c:v>
                </c:pt>
                <c:pt idx="2455">
                  <c:v>39055.0</c:v>
                </c:pt>
                <c:pt idx="2456">
                  <c:v>39052.0</c:v>
                </c:pt>
                <c:pt idx="2457">
                  <c:v>39051.0</c:v>
                </c:pt>
                <c:pt idx="2458">
                  <c:v>39050.0</c:v>
                </c:pt>
                <c:pt idx="2459">
                  <c:v>39049.0</c:v>
                </c:pt>
                <c:pt idx="2460">
                  <c:v>39048.0</c:v>
                </c:pt>
                <c:pt idx="2461">
                  <c:v>39045.0</c:v>
                </c:pt>
                <c:pt idx="2462">
                  <c:v>39044.0</c:v>
                </c:pt>
                <c:pt idx="2463">
                  <c:v>39043.0</c:v>
                </c:pt>
                <c:pt idx="2464">
                  <c:v>39042.0</c:v>
                </c:pt>
                <c:pt idx="2465">
                  <c:v>39041.0</c:v>
                </c:pt>
                <c:pt idx="2466">
                  <c:v>39038.0</c:v>
                </c:pt>
                <c:pt idx="2467">
                  <c:v>39037.0</c:v>
                </c:pt>
                <c:pt idx="2468">
                  <c:v>39036.0</c:v>
                </c:pt>
                <c:pt idx="2469">
                  <c:v>39035.0</c:v>
                </c:pt>
                <c:pt idx="2470">
                  <c:v>39034.0</c:v>
                </c:pt>
                <c:pt idx="2471">
                  <c:v>39031.0</c:v>
                </c:pt>
                <c:pt idx="2472">
                  <c:v>39030.0</c:v>
                </c:pt>
                <c:pt idx="2473">
                  <c:v>39029.0</c:v>
                </c:pt>
                <c:pt idx="2474">
                  <c:v>39028.0</c:v>
                </c:pt>
                <c:pt idx="2475">
                  <c:v>39027.0</c:v>
                </c:pt>
                <c:pt idx="2476">
                  <c:v>39024.0</c:v>
                </c:pt>
                <c:pt idx="2477">
                  <c:v>39023.0</c:v>
                </c:pt>
                <c:pt idx="2478">
                  <c:v>39022.0</c:v>
                </c:pt>
                <c:pt idx="2479">
                  <c:v>39021.0</c:v>
                </c:pt>
                <c:pt idx="2480">
                  <c:v>39020.0</c:v>
                </c:pt>
                <c:pt idx="2481">
                  <c:v>39017.0</c:v>
                </c:pt>
                <c:pt idx="2482">
                  <c:v>39016.0</c:v>
                </c:pt>
                <c:pt idx="2483">
                  <c:v>39015.0</c:v>
                </c:pt>
                <c:pt idx="2484">
                  <c:v>39014.0</c:v>
                </c:pt>
                <c:pt idx="2485">
                  <c:v>39013.0</c:v>
                </c:pt>
                <c:pt idx="2486">
                  <c:v>39010.0</c:v>
                </c:pt>
                <c:pt idx="2487">
                  <c:v>39009.0</c:v>
                </c:pt>
                <c:pt idx="2488">
                  <c:v>39008.0</c:v>
                </c:pt>
                <c:pt idx="2489">
                  <c:v>39007.0</c:v>
                </c:pt>
                <c:pt idx="2490">
                  <c:v>39006.0</c:v>
                </c:pt>
                <c:pt idx="2491">
                  <c:v>39003.0</c:v>
                </c:pt>
                <c:pt idx="2492">
                  <c:v>39002.0</c:v>
                </c:pt>
                <c:pt idx="2493">
                  <c:v>39001.0</c:v>
                </c:pt>
                <c:pt idx="2494">
                  <c:v>39000.0</c:v>
                </c:pt>
                <c:pt idx="2495">
                  <c:v>38999.0</c:v>
                </c:pt>
                <c:pt idx="2496">
                  <c:v>38996.0</c:v>
                </c:pt>
                <c:pt idx="2497">
                  <c:v>38995.0</c:v>
                </c:pt>
                <c:pt idx="2498">
                  <c:v>38994.0</c:v>
                </c:pt>
                <c:pt idx="2499">
                  <c:v>38993.0</c:v>
                </c:pt>
                <c:pt idx="2500">
                  <c:v>38992.0</c:v>
                </c:pt>
                <c:pt idx="2501">
                  <c:v>38989.0</c:v>
                </c:pt>
                <c:pt idx="2502">
                  <c:v>38988.0</c:v>
                </c:pt>
                <c:pt idx="2503">
                  <c:v>38987.0</c:v>
                </c:pt>
                <c:pt idx="2504">
                  <c:v>38986.0</c:v>
                </c:pt>
                <c:pt idx="2505">
                  <c:v>38985.0</c:v>
                </c:pt>
                <c:pt idx="2506">
                  <c:v>38982.0</c:v>
                </c:pt>
                <c:pt idx="2507">
                  <c:v>38981.0</c:v>
                </c:pt>
                <c:pt idx="2508">
                  <c:v>38980.0</c:v>
                </c:pt>
                <c:pt idx="2509">
                  <c:v>38979.0</c:v>
                </c:pt>
                <c:pt idx="2510">
                  <c:v>38978.0</c:v>
                </c:pt>
                <c:pt idx="2511">
                  <c:v>38975.0</c:v>
                </c:pt>
                <c:pt idx="2512">
                  <c:v>38974.0</c:v>
                </c:pt>
                <c:pt idx="2513">
                  <c:v>38973.0</c:v>
                </c:pt>
                <c:pt idx="2514">
                  <c:v>38972.0</c:v>
                </c:pt>
                <c:pt idx="2515">
                  <c:v>38971.0</c:v>
                </c:pt>
                <c:pt idx="2516">
                  <c:v>38968.0</c:v>
                </c:pt>
                <c:pt idx="2517">
                  <c:v>38967.0</c:v>
                </c:pt>
                <c:pt idx="2518">
                  <c:v>38966.0</c:v>
                </c:pt>
                <c:pt idx="2519">
                  <c:v>38965.0</c:v>
                </c:pt>
                <c:pt idx="2520">
                  <c:v>38964.0</c:v>
                </c:pt>
                <c:pt idx="2521">
                  <c:v>38961.0</c:v>
                </c:pt>
                <c:pt idx="2522">
                  <c:v>38960.0</c:v>
                </c:pt>
                <c:pt idx="2523">
                  <c:v>38959.0</c:v>
                </c:pt>
                <c:pt idx="2524">
                  <c:v>38958.0</c:v>
                </c:pt>
                <c:pt idx="2525">
                  <c:v>38957.0</c:v>
                </c:pt>
                <c:pt idx="2526">
                  <c:v>38954.0</c:v>
                </c:pt>
                <c:pt idx="2527">
                  <c:v>38953.0</c:v>
                </c:pt>
                <c:pt idx="2528">
                  <c:v>38952.0</c:v>
                </c:pt>
                <c:pt idx="2529">
                  <c:v>38951.0</c:v>
                </c:pt>
                <c:pt idx="2530">
                  <c:v>38950.0</c:v>
                </c:pt>
                <c:pt idx="2531">
                  <c:v>38947.0</c:v>
                </c:pt>
                <c:pt idx="2532">
                  <c:v>38946.0</c:v>
                </c:pt>
                <c:pt idx="2533">
                  <c:v>38945.0</c:v>
                </c:pt>
                <c:pt idx="2534">
                  <c:v>38944.0</c:v>
                </c:pt>
                <c:pt idx="2535">
                  <c:v>38943.0</c:v>
                </c:pt>
                <c:pt idx="2536">
                  <c:v>38940.0</c:v>
                </c:pt>
                <c:pt idx="2537">
                  <c:v>38939.0</c:v>
                </c:pt>
                <c:pt idx="2538">
                  <c:v>38938.0</c:v>
                </c:pt>
                <c:pt idx="2539">
                  <c:v>38937.0</c:v>
                </c:pt>
                <c:pt idx="2540">
                  <c:v>38936.0</c:v>
                </c:pt>
                <c:pt idx="2541">
                  <c:v>38933.0</c:v>
                </c:pt>
                <c:pt idx="2542">
                  <c:v>38932.0</c:v>
                </c:pt>
                <c:pt idx="2543">
                  <c:v>38931.0</c:v>
                </c:pt>
                <c:pt idx="2544">
                  <c:v>38930.0</c:v>
                </c:pt>
                <c:pt idx="2545">
                  <c:v>38929.0</c:v>
                </c:pt>
                <c:pt idx="2546">
                  <c:v>38926.0</c:v>
                </c:pt>
                <c:pt idx="2547">
                  <c:v>38925.0</c:v>
                </c:pt>
                <c:pt idx="2548">
                  <c:v>38924.0</c:v>
                </c:pt>
                <c:pt idx="2549">
                  <c:v>38923.0</c:v>
                </c:pt>
                <c:pt idx="2550">
                  <c:v>38922.0</c:v>
                </c:pt>
                <c:pt idx="2551">
                  <c:v>38919.0</c:v>
                </c:pt>
                <c:pt idx="2552">
                  <c:v>38918.0</c:v>
                </c:pt>
                <c:pt idx="2553">
                  <c:v>38917.0</c:v>
                </c:pt>
                <c:pt idx="2554">
                  <c:v>38916.0</c:v>
                </c:pt>
                <c:pt idx="2555">
                  <c:v>38915.0</c:v>
                </c:pt>
                <c:pt idx="2556">
                  <c:v>38912.0</c:v>
                </c:pt>
                <c:pt idx="2557">
                  <c:v>38911.0</c:v>
                </c:pt>
                <c:pt idx="2558">
                  <c:v>38910.0</c:v>
                </c:pt>
                <c:pt idx="2559">
                  <c:v>38909.0</c:v>
                </c:pt>
                <c:pt idx="2560">
                  <c:v>38908.0</c:v>
                </c:pt>
                <c:pt idx="2561">
                  <c:v>38905.0</c:v>
                </c:pt>
                <c:pt idx="2562">
                  <c:v>38904.0</c:v>
                </c:pt>
                <c:pt idx="2563">
                  <c:v>38903.0</c:v>
                </c:pt>
                <c:pt idx="2564">
                  <c:v>38902.0</c:v>
                </c:pt>
                <c:pt idx="2565">
                  <c:v>38901.0</c:v>
                </c:pt>
                <c:pt idx="2566">
                  <c:v>38898.0</c:v>
                </c:pt>
                <c:pt idx="2567">
                  <c:v>38897.0</c:v>
                </c:pt>
                <c:pt idx="2568">
                  <c:v>38896.0</c:v>
                </c:pt>
                <c:pt idx="2569">
                  <c:v>38895.0</c:v>
                </c:pt>
                <c:pt idx="2570">
                  <c:v>38894.0</c:v>
                </c:pt>
                <c:pt idx="2571">
                  <c:v>38891.0</c:v>
                </c:pt>
                <c:pt idx="2572">
                  <c:v>38890.0</c:v>
                </c:pt>
                <c:pt idx="2573">
                  <c:v>38889.0</c:v>
                </c:pt>
                <c:pt idx="2574">
                  <c:v>38888.0</c:v>
                </c:pt>
                <c:pt idx="2575">
                  <c:v>38887.0</c:v>
                </c:pt>
                <c:pt idx="2576">
                  <c:v>38884.0</c:v>
                </c:pt>
                <c:pt idx="2577">
                  <c:v>38883.0</c:v>
                </c:pt>
                <c:pt idx="2578">
                  <c:v>38882.0</c:v>
                </c:pt>
                <c:pt idx="2579">
                  <c:v>38881.0</c:v>
                </c:pt>
                <c:pt idx="2580">
                  <c:v>38880.0</c:v>
                </c:pt>
                <c:pt idx="2581">
                  <c:v>38877.0</c:v>
                </c:pt>
                <c:pt idx="2582">
                  <c:v>38876.0</c:v>
                </c:pt>
                <c:pt idx="2583">
                  <c:v>38875.0</c:v>
                </c:pt>
                <c:pt idx="2584">
                  <c:v>38874.0</c:v>
                </c:pt>
                <c:pt idx="2585">
                  <c:v>38873.0</c:v>
                </c:pt>
                <c:pt idx="2586">
                  <c:v>38870.0</c:v>
                </c:pt>
                <c:pt idx="2587">
                  <c:v>38869.0</c:v>
                </c:pt>
                <c:pt idx="2588">
                  <c:v>38868.0</c:v>
                </c:pt>
                <c:pt idx="2589">
                  <c:v>38867.0</c:v>
                </c:pt>
                <c:pt idx="2590">
                  <c:v>38866.0</c:v>
                </c:pt>
                <c:pt idx="2591">
                  <c:v>38863.0</c:v>
                </c:pt>
                <c:pt idx="2592">
                  <c:v>38862.0</c:v>
                </c:pt>
                <c:pt idx="2593">
                  <c:v>38861.0</c:v>
                </c:pt>
                <c:pt idx="2594">
                  <c:v>38860.0</c:v>
                </c:pt>
                <c:pt idx="2595">
                  <c:v>38859.0</c:v>
                </c:pt>
                <c:pt idx="2596">
                  <c:v>38856.0</c:v>
                </c:pt>
                <c:pt idx="2597">
                  <c:v>38855.0</c:v>
                </c:pt>
                <c:pt idx="2598">
                  <c:v>38854.0</c:v>
                </c:pt>
                <c:pt idx="2599">
                  <c:v>38853.0</c:v>
                </c:pt>
                <c:pt idx="2600">
                  <c:v>38852.0</c:v>
                </c:pt>
                <c:pt idx="2601">
                  <c:v>38849.0</c:v>
                </c:pt>
                <c:pt idx="2602">
                  <c:v>38848.0</c:v>
                </c:pt>
                <c:pt idx="2603">
                  <c:v>38847.0</c:v>
                </c:pt>
                <c:pt idx="2604">
                  <c:v>38846.0</c:v>
                </c:pt>
                <c:pt idx="2605">
                  <c:v>38845.0</c:v>
                </c:pt>
                <c:pt idx="2606">
                  <c:v>38842.0</c:v>
                </c:pt>
              </c:numCache>
            </c:numRef>
          </c:cat>
          <c:val>
            <c:numRef>
              <c:f>'3f. Exchange Rate USDZAR'!$B$10:$B$2616</c:f>
              <c:numCache>
                <c:formatCode>0.00</c:formatCode>
                <c:ptCount val="2607"/>
                <c:pt idx="0">
                  <c:v>14.9047</c:v>
                </c:pt>
                <c:pt idx="1">
                  <c:v>14.5958</c:v>
                </c:pt>
                <c:pt idx="2">
                  <c:v>14.3226</c:v>
                </c:pt>
                <c:pt idx="3">
                  <c:v>14.2506</c:v>
                </c:pt>
                <c:pt idx="4">
                  <c:v>14.2742</c:v>
                </c:pt>
                <c:pt idx="5">
                  <c:v>14.5218</c:v>
                </c:pt>
                <c:pt idx="6">
                  <c:v>14.4132</c:v>
                </c:pt>
                <c:pt idx="7">
                  <c:v>14.4981</c:v>
                </c:pt>
                <c:pt idx="8">
                  <c:v>14.427</c:v>
                </c:pt>
                <c:pt idx="9">
                  <c:v>14.2876</c:v>
                </c:pt>
                <c:pt idx="10">
                  <c:v>14.2185</c:v>
                </c:pt>
                <c:pt idx="11">
                  <c:v>14.3138</c:v>
                </c:pt>
                <c:pt idx="12">
                  <c:v>14.4606</c:v>
                </c:pt>
                <c:pt idx="13">
                  <c:v>14.5674</c:v>
                </c:pt>
                <c:pt idx="14">
                  <c:v>14.5563</c:v>
                </c:pt>
                <c:pt idx="15">
                  <c:v>14.5776</c:v>
                </c:pt>
                <c:pt idx="16">
                  <c:v>14.7463</c:v>
                </c:pt>
                <c:pt idx="17">
                  <c:v>14.7045</c:v>
                </c:pt>
                <c:pt idx="18">
                  <c:v>14.9888</c:v>
                </c:pt>
                <c:pt idx="19">
                  <c:v>15.2295</c:v>
                </c:pt>
                <c:pt idx="20">
                  <c:v>15.2064</c:v>
                </c:pt>
                <c:pt idx="21">
                  <c:v>15.1367</c:v>
                </c:pt>
                <c:pt idx="22">
                  <c:v>14.7136</c:v>
                </c:pt>
                <c:pt idx="23">
                  <c:v>14.6378</c:v>
                </c:pt>
                <c:pt idx="24">
                  <c:v>14.6915</c:v>
                </c:pt>
                <c:pt idx="25">
                  <c:v>14.9482</c:v>
                </c:pt>
                <c:pt idx="26">
                  <c:v>15.2443</c:v>
                </c:pt>
                <c:pt idx="27">
                  <c:v>15.5498</c:v>
                </c:pt>
                <c:pt idx="28">
                  <c:v>15.4642</c:v>
                </c:pt>
                <c:pt idx="29">
                  <c:v>15.5344</c:v>
                </c:pt>
                <c:pt idx="30">
                  <c:v>15.3721</c:v>
                </c:pt>
                <c:pt idx="31">
                  <c:v>15.2115</c:v>
                </c:pt>
                <c:pt idx="32">
                  <c:v>15.2183</c:v>
                </c:pt>
                <c:pt idx="33">
                  <c:v>15.2684</c:v>
                </c:pt>
                <c:pt idx="34">
                  <c:v>15.1658</c:v>
                </c:pt>
                <c:pt idx="35">
                  <c:v>15.9532</c:v>
                </c:pt>
                <c:pt idx="36">
                  <c:v>15.9192</c:v>
                </c:pt>
                <c:pt idx="37">
                  <c:v>15.5431</c:v>
                </c:pt>
                <c:pt idx="38">
                  <c:v>15.2697</c:v>
                </c:pt>
                <c:pt idx="39">
                  <c:v>15.4536</c:v>
                </c:pt>
                <c:pt idx="40">
                  <c:v>15.2074</c:v>
                </c:pt>
                <c:pt idx="41">
                  <c:v>15.4142</c:v>
                </c:pt>
                <c:pt idx="42">
                  <c:v>15.2394</c:v>
                </c:pt>
                <c:pt idx="43">
                  <c:v>15.2973</c:v>
                </c:pt>
                <c:pt idx="44">
                  <c:v>15.5856</c:v>
                </c:pt>
                <c:pt idx="45">
                  <c:v>15.6195</c:v>
                </c:pt>
                <c:pt idx="46">
                  <c:v>15.5902</c:v>
                </c:pt>
                <c:pt idx="47">
                  <c:v>15.8158</c:v>
                </c:pt>
                <c:pt idx="48">
                  <c:v>16.2368</c:v>
                </c:pt>
                <c:pt idx="49">
                  <c:v>15.6523</c:v>
                </c:pt>
                <c:pt idx="50">
                  <c:v>15.6261</c:v>
                </c:pt>
                <c:pt idx="51">
                  <c:v>15.198</c:v>
                </c:pt>
                <c:pt idx="52">
                  <c:v>15.175</c:v>
                </c:pt>
                <c:pt idx="53">
                  <c:v>15.4124</c:v>
                </c:pt>
                <c:pt idx="54">
                  <c:v>15.4205</c:v>
                </c:pt>
                <c:pt idx="55">
                  <c:v>15.4771</c:v>
                </c:pt>
                <c:pt idx="56">
                  <c:v>15.7462</c:v>
                </c:pt>
                <c:pt idx="57">
                  <c:v>15.749</c:v>
                </c:pt>
                <c:pt idx="58">
                  <c:v>15.8356</c:v>
                </c:pt>
                <c:pt idx="59">
                  <c:v>15.8134</c:v>
                </c:pt>
                <c:pt idx="60">
                  <c:v>15.8493</c:v>
                </c:pt>
                <c:pt idx="61">
                  <c:v>16.0581</c:v>
                </c:pt>
                <c:pt idx="62">
                  <c:v>16.1469</c:v>
                </c:pt>
                <c:pt idx="63">
                  <c:v>15.9771</c:v>
                </c:pt>
                <c:pt idx="64">
                  <c:v>15.8752</c:v>
                </c:pt>
                <c:pt idx="65">
                  <c:v>16.1204</c:v>
                </c:pt>
                <c:pt idx="66">
                  <c:v>16.1749</c:v>
                </c:pt>
                <c:pt idx="67">
                  <c:v>15.9623</c:v>
                </c:pt>
                <c:pt idx="68">
                  <c:v>15.9083</c:v>
                </c:pt>
                <c:pt idx="69">
                  <c:v>16.168</c:v>
                </c:pt>
                <c:pt idx="70">
                  <c:v>16.3971</c:v>
                </c:pt>
                <c:pt idx="71">
                  <c:v>16.372</c:v>
                </c:pt>
                <c:pt idx="72">
                  <c:v>16.5157</c:v>
                </c:pt>
                <c:pt idx="73">
                  <c:v>16.483</c:v>
                </c:pt>
                <c:pt idx="74">
                  <c:v>16.5119</c:v>
                </c:pt>
                <c:pt idx="75">
                  <c:v>16.8787</c:v>
                </c:pt>
                <c:pt idx="76">
                  <c:v>16.7264</c:v>
                </c:pt>
                <c:pt idx="77">
                  <c:v>16.8156</c:v>
                </c:pt>
                <c:pt idx="78">
                  <c:v>16.7977</c:v>
                </c:pt>
                <c:pt idx="79">
                  <c:v>16.4593</c:v>
                </c:pt>
                <c:pt idx="80">
                  <c:v>16.4638</c:v>
                </c:pt>
                <c:pt idx="81">
                  <c:v>16.7682</c:v>
                </c:pt>
                <c:pt idx="82">
                  <c:v>16.9238</c:v>
                </c:pt>
                <c:pt idx="83">
                  <c:v>16.1761</c:v>
                </c:pt>
                <c:pt idx="84">
                  <c:v>15.9492</c:v>
                </c:pt>
                <c:pt idx="85">
                  <c:v>15.8279</c:v>
                </c:pt>
                <c:pt idx="86">
                  <c:v>15.6188</c:v>
                </c:pt>
                <c:pt idx="87">
                  <c:v>15.6028</c:v>
                </c:pt>
                <c:pt idx="88">
                  <c:v>15.4754</c:v>
                </c:pt>
                <c:pt idx="89">
                  <c:v>15.4868</c:v>
                </c:pt>
                <c:pt idx="90">
                  <c:v>15.5613</c:v>
                </c:pt>
                <c:pt idx="91">
                  <c:v>15.3056</c:v>
                </c:pt>
                <c:pt idx="92">
                  <c:v>15.3138</c:v>
                </c:pt>
                <c:pt idx="93">
                  <c:v>15.2299</c:v>
                </c:pt>
                <c:pt idx="94">
                  <c:v>15.294</c:v>
                </c:pt>
                <c:pt idx="95">
                  <c:v>15.2186</c:v>
                </c:pt>
                <c:pt idx="96">
                  <c:v>15.1922</c:v>
                </c:pt>
                <c:pt idx="97">
                  <c:v>15.1031</c:v>
                </c:pt>
                <c:pt idx="98">
                  <c:v>15.0964</c:v>
                </c:pt>
                <c:pt idx="99">
                  <c:v>15.163</c:v>
                </c:pt>
                <c:pt idx="100">
                  <c:v>15.0322</c:v>
                </c:pt>
                <c:pt idx="101">
                  <c:v>14.9421</c:v>
                </c:pt>
                <c:pt idx="102">
                  <c:v>15.1248</c:v>
                </c:pt>
                <c:pt idx="103">
                  <c:v>15.7558</c:v>
                </c:pt>
                <c:pt idx="104">
                  <c:v>15.2698</c:v>
                </c:pt>
                <c:pt idx="105">
                  <c:v>14.5936</c:v>
                </c:pt>
                <c:pt idx="106">
                  <c:v>14.5663</c:v>
                </c:pt>
                <c:pt idx="107">
                  <c:v>14.5236</c:v>
                </c:pt>
                <c:pt idx="108">
                  <c:v>14.3451</c:v>
                </c:pt>
                <c:pt idx="109">
                  <c:v>14.345</c:v>
                </c:pt>
                <c:pt idx="110">
                  <c:v>14.3688</c:v>
                </c:pt>
                <c:pt idx="111">
                  <c:v>14.4374</c:v>
                </c:pt>
                <c:pt idx="112">
                  <c:v>14.4916</c:v>
                </c:pt>
                <c:pt idx="113">
                  <c:v>14.4018</c:v>
                </c:pt>
                <c:pt idx="114">
                  <c:v>14.1374</c:v>
                </c:pt>
                <c:pt idx="115">
                  <c:v>14.0148</c:v>
                </c:pt>
                <c:pt idx="116">
                  <c:v>14.0931</c:v>
                </c:pt>
                <c:pt idx="117">
                  <c:v>13.963</c:v>
                </c:pt>
                <c:pt idx="118">
                  <c:v>14.0416</c:v>
                </c:pt>
                <c:pt idx="119">
                  <c:v>14.1936</c:v>
                </c:pt>
                <c:pt idx="120">
                  <c:v>14.2769</c:v>
                </c:pt>
                <c:pt idx="121">
                  <c:v>14.3766</c:v>
                </c:pt>
                <c:pt idx="122">
                  <c:v>14.3949</c:v>
                </c:pt>
                <c:pt idx="123">
                  <c:v>14.1917</c:v>
                </c:pt>
                <c:pt idx="124">
                  <c:v>14.2536</c:v>
                </c:pt>
                <c:pt idx="125">
                  <c:v>14.3122</c:v>
                </c:pt>
                <c:pt idx="126">
                  <c:v>14.1879</c:v>
                </c:pt>
                <c:pt idx="127">
                  <c:v>13.9071</c:v>
                </c:pt>
                <c:pt idx="128">
                  <c:v>13.9773</c:v>
                </c:pt>
                <c:pt idx="129">
                  <c:v>13.7733</c:v>
                </c:pt>
                <c:pt idx="130">
                  <c:v>13.7805</c:v>
                </c:pt>
                <c:pt idx="131">
                  <c:v>13.8246</c:v>
                </c:pt>
                <c:pt idx="132">
                  <c:v>13.8577</c:v>
                </c:pt>
                <c:pt idx="133">
                  <c:v>13.5882</c:v>
                </c:pt>
                <c:pt idx="134">
                  <c:v>13.6729</c:v>
                </c:pt>
                <c:pt idx="135">
                  <c:v>13.641</c:v>
                </c:pt>
                <c:pt idx="136">
                  <c:v>13.6513</c:v>
                </c:pt>
                <c:pt idx="137">
                  <c:v>13.4123</c:v>
                </c:pt>
                <c:pt idx="138">
                  <c:v>13.4958</c:v>
                </c:pt>
                <c:pt idx="139">
                  <c:v>13.28</c:v>
                </c:pt>
                <c:pt idx="140">
                  <c:v>13.2623</c:v>
                </c:pt>
                <c:pt idx="141">
                  <c:v>13.0833</c:v>
                </c:pt>
                <c:pt idx="142">
                  <c:v>13.0578</c:v>
                </c:pt>
                <c:pt idx="143">
                  <c:v>13.3</c:v>
                </c:pt>
                <c:pt idx="144">
                  <c:v>13.4594</c:v>
                </c:pt>
                <c:pt idx="145">
                  <c:v>13.2682</c:v>
                </c:pt>
                <c:pt idx="146">
                  <c:v>13.3446</c:v>
                </c:pt>
                <c:pt idx="147">
                  <c:v>13.3901</c:v>
                </c:pt>
                <c:pt idx="148">
                  <c:v>13.4093</c:v>
                </c:pt>
                <c:pt idx="149">
                  <c:v>13.5483</c:v>
                </c:pt>
                <c:pt idx="150">
                  <c:v>13.6125</c:v>
                </c:pt>
                <c:pt idx="151">
                  <c:v>13.7817</c:v>
                </c:pt>
                <c:pt idx="152">
                  <c:v>13.9111</c:v>
                </c:pt>
                <c:pt idx="153">
                  <c:v>13.8633</c:v>
                </c:pt>
                <c:pt idx="154">
                  <c:v>13.9855</c:v>
                </c:pt>
                <c:pt idx="155">
                  <c:v>14.0685</c:v>
                </c:pt>
                <c:pt idx="156">
                  <c:v>13.8682</c:v>
                </c:pt>
                <c:pt idx="157">
                  <c:v>13.8897</c:v>
                </c:pt>
                <c:pt idx="158">
                  <c:v>13.8526</c:v>
                </c:pt>
                <c:pt idx="159">
                  <c:v>13.6981</c:v>
                </c:pt>
                <c:pt idx="160">
                  <c:v>13.4764</c:v>
                </c:pt>
                <c:pt idx="161">
                  <c:v>13.2746</c:v>
                </c:pt>
                <c:pt idx="162">
                  <c:v>13.3635</c:v>
                </c:pt>
                <c:pt idx="163">
                  <c:v>13.2863</c:v>
                </c:pt>
                <c:pt idx="164">
                  <c:v>13.4607</c:v>
                </c:pt>
                <c:pt idx="165">
                  <c:v>13.519</c:v>
                </c:pt>
                <c:pt idx="166">
                  <c:v>13.554</c:v>
                </c:pt>
                <c:pt idx="167">
                  <c:v>13.6301</c:v>
                </c:pt>
                <c:pt idx="168">
                  <c:v>13.7109</c:v>
                </c:pt>
                <c:pt idx="169">
                  <c:v>13.7295</c:v>
                </c:pt>
                <c:pt idx="170">
                  <c:v>13.9551</c:v>
                </c:pt>
                <c:pt idx="171">
                  <c:v>13.862</c:v>
                </c:pt>
                <c:pt idx="172">
                  <c:v>13.5401</c:v>
                </c:pt>
                <c:pt idx="173">
                  <c:v>13.4429</c:v>
                </c:pt>
                <c:pt idx="174">
                  <c:v>13.4135</c:v>
                </c:pt>
                <c:pt idx="175">
                  <c:v>13.2624</c:v>
                </c:pt>
                <c:pt idx="176">
                  <c:v>13.3088</c:v>
                </c:pt>
                <c:pt idx="177">
                  <c:v>13.1312</c:v>
                </c:pt>
                <c:pt idx="178">
                  <c:v>13.1519</c:v>
                </c:pt>
                <c:pt idx="179">
                  <c:v>13.0738</c:v>
                </c:pt>
                <c:pt idx="180">
                  <c:v>13.1458</c:v>
                </c:pt>
                <c:pt idx="181">
                  <c:v>12.9387</c:v>
                </c:pt>
                <c:pt idx="182">
                  <c:v>12.8552</c:v>
                </c:pt>
                <c:pt idx="183">
                  <c:v>12.9414</c:v>
                </c:pt>
                <c:pt idx="184">
                  <c:v>12.9166</c:v>
                </c:pt>
                <c:pt idx="185">
                  <c:v>12.8939</c:v>
                </c:pt>
                <c:pt idx="186">
                  <c:v>12.7935</c:v>
                </c:pt>
                <c:pt idx="187">
                  <c:v>12.814</c:v>
                </c:pt>
                <c:pt idx="188">
                  <c:v>12.7648</c:v>
                </c:pt>
                <c:pt idx="189">
                  <c:v>12.8042</c:v>
                </c:pt>
                <c:pt idx="190">
                  <c:v>12.6523</c:v>
                </c:pt>
                <c:pt idx="191">
                  <c:v>12.629</c:v>
                </c:pt>
                <c:pt idx="192">
                  <c:v>12.7411</c:v>
                </c:pt>
                <c:pt idx="193">
                  <c:v>12.806</c:v>
                </c:pt>
                <c:pt idx="194">
                  <c:v>12.6536</c:v>
                </c:pt>
                <c:pt idx="195">
                  <c:v>12.6987</c:v>
                </c:pt>
                <c:pt idx="196">
                  <c:v>12.672</c:v>
                </c:pt>
                <c:pt idx="197">
                  <c:v>12.7298</c:v>
                </c:pt>
                <c:pt idx="198">
                  <c:v>12.503</c:v>
                </c:pt>
                <c:pt idx="199">
                  <c:v>12.5654</c:v>
                </c:pt>
                <c:pt idx="200">
                  <c:v>12.6241</c:v>
                </c:pt>
                <c:pt idx="201">
                  <c:v>12.6481</c:v>
                </c:pt>
                <c:pt idx="202">
                  <c:v>12.4456</c:v>
                </c:pt>
                <c:pt idx="203">
                  <c:v>12.4249</c:v>
                </c:pt>
                <c:pt idx="204">
                  <c:v>12.3317</c:v>
                </c:pt>
                <c:pt idx="205">
                  <c:v>12.4368</c:v>
                </c:pt>
                <c:pt idx="206">
                  <c:v>12.3405</c:v>
                </c:pt>
                <c:pt idx="207">
                  <c:v>12.3873</c:v>
                </c:pt>
                <c:pt idx="208">
                  <c:v>12.4231</c:v>
                </c:pt>
                <c:pt idx="209">
                  <c:v>12.3364</c:v>
                </c:pt>
                <c:pt idx="210">
                  <c:v>12.4409</c:v>
                </c:pt>
                <c:pt idx="211">
                  <c:v>12.4909</c:v>
                </c:pt>
                <c:pt idx="212">
                  <c:v>12.5237</c:v>
                </c:pt>
                <c:pt idx="213">
                  <c:v>12.5278</c:v>
                </c:pt>
                <c:pt idx="214">
                  <c:v>12.5232</c:v>
                </c:pt>
                <c:pt idx="215">
                  <c:v>12.3737</c:v>
                </c:pt>
                <c:pt idx="216">
                  <c:v>12.3128</c:v>
                </c:pt>
                <c:pt idx="217">
                  <c:v>12.2661</c:v>
                </c:pt>
                <c:pt idx="218">
                  <c:v>12.2471</c:v>
                </c:pt>
                <c:pt idx="219">
                  <c:v>12.1514</c:v>
                </c:pt>
                <c:pt idx="220">
                  <c:v>12.2748</c:v>
                </c:pt>
                <c:pt idx="221">
                  <c:v>12.197</c:v>
                </c:pt>
                <c:pt idx="222">
                  <c:v>12.0997</c:v>
                </c:pt>
                <c:pt idx="223">
                  <c:v>12.1255</c:v>
                </c:pt>
                <c:pt idx="224">
                  <c:v>12.2084</c:v>
                </c:pt>
                <c:pt idx="225">
                  <c:v>12.1131</c:v>
                </c:pt>
                <c:pt idx="226">
                  <c:v>12.1526</c:v>
                </c:pt>
                <c:pt idx="227">
                  <c:v>12.2068</c:v>
                </c:pt>
                <c:pt idx="228">
                  <c:v>12.3959</c:v>
                </c:pt>
                <c:pt idx="229">
                  <c:v>12.3843</c:v>
                </c:pt>
                <c:pt idx="230">
                  <c:v>12.3963</c:v>
                </c:pt>
                <c:pt idx="231">
                  <c:v>12.3843</c:v>
                </c:pt>
                <c:pt idx="232">
                  <c:v>12.3608</c:v>
                </c:pt>
                <c:pt idx="233">
                  <c:v>12.301</c:v>
                </c:pt>
                <c:pt idx="234">
                  <c:v>12.4401</c:v>
                </c:pt>
                <c:pt idx="235">
                  <c:v>12.5455</c:v>
                </c:pt>
                <c:pt idx="236">
                  <c:v>12.5794</c:v>
                </c:pt>
                <c:pt idx="237">
                  <c:v>12.3549</c:v>
                </c:pt>
                <c:pt idx="238">
                  <c:v>12.294</c:v>
                </c:pt>
                <c:pt idx="239">
                  <c:v>12.1946</c:v>
                </c:pt>
                <c:pt idx="240">
                  <c:v>12.2635</c:v>
                </c:pt>
                <c:pt idx="241">
                  <c:v>12.1556</c:v>
                </c:pt>
                <c:pt idx="242">
                  <c:v>12.1535</c:v>
                </c:pt>
                <c:pt idx="243">
                  <c:v>12.0667</c:v>
                </c:pt>
                <c:pt idx="244">
                  <c:v>12.0793</c:v>
                </c:pt>
                <c:pt idx="245">
                  <c:v>11.9438</c:v>
                </c:pt>
                <c:pt idx="246">
                  <c:v>11.8774</c:v>
                </c:pt>
                <c:pt idx="247">
                  <c:v>11.8321</c:v>
                </c:pt>
                <c:pt idx="248">
                  <c:v>11.8858</c:v>
                </c:pt>
                <c:pt idx="249">
                  <c:v>11.9201</c:v>
                </c:pt>
                <c:pt idx="250">
                  <c:v>11.8497</c:v>
                </c:pt>
                <c:pt idx="251">
                  <c:v>11.7669</c:v>
                </c:pt>
                <c:pt idx="252">
                  <c:v>11.8065</c:v>
                </c:pt>
                <c:pt idx="253">
                  <c:v>11.8794</c:v>
                </c:pt>
                <c:pt idx="254">
                  <c:v>12.0412</c:v>
                </c:pt>
                <c:pt idx="255">
                  <c:v>12.0657</c:v>
                </c:pt>
                <c:pt idx="256">
                  <c:v>11.9199</c:v>
                </c:pt>
                <c:pt idx="257">
                  <c:v>12.0204</c:v>
                </c:pt>
                <c:pt idx="258">
                  <c:v>12.0181</c:v>
                </c:pt>
                <c:pt idx="259">
                  <c:v>11.9874</c:v>
                </c:pt>
                <c:pt idx="260">
                  <c:v>12.0599</c:v>
                </c:pt>
                <c:pt idx="261">
                  <c:v>12.0724</c:v>
                </c:pt>
                <c:pt idx="262">
                  <c:v>11.9146</c:v>
                </c:pt>
                <c:pt idx="263">
                  <c:v>11.7451</c:v>
                </c:pt>
                <c:pt idx="264">
                  <c:v>11.8401</c:v>
                </c:pt>
                <c:pt idx="265">
                  <c:v>11.9732</c:v>
                </c:pt>
                <c:pt idx="266">
                  <c:v>12.1442</c:v>
                </c:pt>
                <c:pt idx="267">
                  <c:v>12.1554</c:v>
                </c:pt>
                <c:pt idx="268">
                  <c:v>12.209</c:v>
                </c:pt>
                <c:pt idx="269">
                  <c:v>12.1211</c:v>
                </c:pt>
                <c:pt idx="270">
                  <c:v>12.1001</c:v>
                </c:pt>
                <c:pt idx="271">
                  <c:v>12.0667</c:v>
                </c:pt>
                <c:pt idx="272">
                  <c:v>11.9848</c:v>
                </c:pt>
                <c:pt idx="273">
                  <c:v>12.1479</c:v>
                </c:pt>
                <c:pt idx="274">
                  <c:v>12.0091</c:v>
                </c:pt>
                <c:pt idx="275">
                  <c:v>12.1125</c:v>
                </c:pt>
                <c:pt idx="276">
                  <c:v>11.9922</c:v>
                </c:pt>
                <c:pt idx="277">
                  <c:v>11.9197</c:v>
                </c:pt>
                <c:pt idx="278">
                  <c:v>11.8042</c:v>
                </c:pt>
                <c:pt idx="279">
                  <c:v>11.8487</c:v>
                </c:pt>
                <c:pt idx="280">
                  <c:v>11.7566</c:v>
                </c:pt>
                <c:pt idx="281">
                  <c:v>11.7857</c:v>
                </c:pt>
                <c:pt idx="282">
                  <c:v>11.9581</c:v>
                </c:pt>
                <c:pt idx="283">
                  <c:v>11.9725</c:v>
                </c:pt>
                <c:pt idx="284">
                  <c:v>12.1422</c:v>
                </c:pt>
                <c:pt idx="285">
                  <c:v>12.139</c:v>
                </c:pt>
                <c:pt idx="286">
                  <c:v>12.025</c:v>
                </c:pt>
                <c:pt idx="287">
                  <c:v>11.9829</c:v>
                </c:pt>
                <c:pt idx="288">
                  <c:v>11.8533</c:v>
                </c:pt>
                <c:pt idx="289">
                  <c:v>11.7992</c:v>
                </c:pt>
                <c:pt idx="290">
                  <c:v>11.9141</c:v>
                </c:pt>
                <c:pt idx="291">
                  <c:v>12.0173</c:v>
                </c:pt>
                <c:pt idx="292">
                  <c:v>12.3306</c:v>
                </c:pt>
                <c:pt idx="293">
                  <c:v>12.3568</c:v>
                </c:pt>
                <c:pt idx="294">
                  <c:v>12.3727</c:v>
                </c:pt>
                <c:pt idx="295">
                  <c:v>12.3844</c:v>
                </c:pt>
                <c:pt idx="296">
                  <c:v>12.4609</c:v>
                </c:pt>
                <c:pt idx="297">
                  <c:v>12.2743</c:v>
                </c:pt>
                <c:pt idx="298">
                  <c:v>12.2661</c:v>
                </c:pt>
                <c:pt idx="299">
                  <c:v>12.3129</c:v>
                </c:pt>
                <c:pt idx="300">
                  <c:v>12.0835</c:v>
                </c:pt>
                <c:pt idx="301">
                  <c:v>12.053</c:v>
                </c:pt>
                <c:pt idx="302">
                  <c:v>11.8606</c:v>
                </c:pt>
                <c:pt idx="303">
                  <c:v>11.8109</c:v>
                </c:pt>
                <c:pt idx="304">
                  <c:v>11.7472</c:v>
                </c:pt>
                <c:pt idx="305">
                  <c:v>11.7708</c:v>
                </c:pt>
                <c:pt idx="306">
                  <c:v>11.6865</c:v>
                </c:pt>
                <c:pt idx="307">
                  <c:v>11.5024</c:v>
                </c:pt>
                <c:pt idx="308">
                  <c:v>11.4445</c:v>
                </c:pt>
                <c:pt idx="309">
                  <c:v>11.4878</c:v>
                </c:pt>
                <c:pt idx="310">
                  <c:v>11.6394</c:v>
                </c:pt>
                <c:pt idx="311">
                  <c:v>11.6233</c:v>
                </c:pt>
                <c:pt idx="312">
                  <c:v>11.6747</c:v>
                </c:pt>
                <c:pt idx="313">
                  <c:v>11.7092</c:v>
                </c:pt>
                <c:pt idx="314">
                  <c:v>11.6184</c:v>
                </c:pt>
                <c:pt idx="315">
                  <c:v>11.6632</c:v>
                </c:pt>
                <c:pt idx="316">
                  <c:v>11.6308</c:v>
                </c:pt>
                <c:pt idx="317">
                  <c:v>11.7197</c:v>
                </c:pt>
                <c:pt idx="318">
                  <c:v>11.8743</c:v>
                </c:pt>
                <c:pt idx="319">
                  <c:v>11.6979</c:v>
                </c:pt>
                <c:pt idx="320">
                  <c:v>11.5923</c:v>
                </c:pt>
                <c:pt idx="321">
                  <c:v>11.5265</c:v>
                </c:pt>
                <c:pt idx="322">
                  <c:v>11.2815</c:v>
                </c:pt>
                <c:pt idx="323">
                  <c:v>11.4631</c:v>
                </c:pt>
                <c:pt idx="324">
                  <c:v>11.3881</c:v>
                </c:pt>
                <c:pt idx="325">
                  <c:v>11.5229</c:v>
                </c:pt>
                <c:pt idx="326">
                  <c:v>11.6562</c:v>
                </c:pt>
                <c:pt idx="327">
                  <c:v>11.571</c:v>
                </c:pt>
                <c:pt idx="328">
                  <c:v>11.5355</c:v>
                </c:pt>
                <c:pt idx="329">
                  <c:v>11.5655</c:v>
                </c:pt>
                <c:pt idx="330">
                  <c:v>11.4386</c:v>
                </c:pt>
                <c:pt idx="331">
                  <c:v>11.4096</c:v>
                </c:pt>
                <c:pt idx="332">
                  <c:v>11.3826</c:v>
                </c:pt>
                <c:pt idx="333">
                  <c:v>11.5432</c:v>
                </c:pt>
                <c:pt idx="334">
                  <c:v>11.6035</c:v>
                </c:pt>
                <c:pt idx="335">
                  <c:v>11.6271</c:v>
                </c:pt>
                <c:pt idx="336">
                  <c:v>11.5694</c:v>
                </c:pt>
                <c:pt idx="337">
                  <c:v>11.5428</c:v>
                </c:pt>
                <c:pt idx="338">
                  <c:v>11.4359</c:v>
                </c:pt>
                <c:pt idx="339">
                  <c:v>11.5049</c:v>
                </c:pt>
                <c:pt idx="340">
                  <c:v>11.5124</c:v>
                </c:pt>
                <c:pt idx="341">
                  <c:v>11.4741</c:v>
                </c:pt>
                <c:pt idx="342">
                  <c:v>11.5597</c:v>
                </c:pt>
                <c:pt idx="343">
                  <c:v>11.716</c:v>
                </c:pt>
                <c:pt idx="344">
                  <c:v>11.702</c:v>
                </c:pt>
                <c:pt idx="345">
                  <c:v>11.719</c:v>
                </c:pt>
                <c:pt idx="346">
                  <c:v>11.6986</c:v>
                </c:pt>
                <c:pt idx="347">
                  <c:v>11.528</c:v>
                </c:pt>
                <c:pt idx="348">
                  <c:v>11.551</c:v>
                </c:pt>
                <c:pt idx="349">
                  <c:v>11.5724</c:v>
                </c:pt>
                <c:pt idx="350">
                  <c:v>11.6649</c:v>
                </c:pt>
                <c:pt idx="351">
                  <c:v>11.5988</c:v>
                </c:pt>
                <c:pt idx="352">
                  <c:v>11.6419</c:v>
                </c:pt>
                <c:pt idx="353">
                  <c:v>11.6505</c:v>
                </c:pt>
                <c:pt idx="354">
                  <c:v>11.6496</c:v>
                </c:pt>
                <c:pt idx="355">
                  <c:v>11.5531</c:v>
                </c:pt>
                <c:pt idx="356">
                  <c:v>11.6121</c:v>
                </c:pt>
                <c:pt idx="357">
                  <c:v>11.5849</c:v>
                </c:pt>
                <c:pt idx="358">
                  <c:v>11.6015</c:v>
                </c:pt>
                <c:pt idx="359">
                  <c:v>11.6643</c:v>
                </c:pt>
                <c:pt idx="360">
                  <c:v>11.76</c:v>
                </c:pt>
                <c:pt idx="361">
                  <c:v>11.6015</c:v>
                </c:pt>
                <c:pt idx="362">
                  <c:v>11.6309</c:v>
                </c:pt>
                <c:pt idx="363">
                  <c:v>11.5529</c:v>
                </c:pt>
                <c:pt idx="364">
                  <c:v>11.4511</c:v>
                </c:pt>
                <c:pt idx="365">
                  <c:v>11.5554</c:v>
                </c:pt>
                <c:pt idx="366">
                  <c:v>11.3409</c:v>
                </c:pt>
                <c:pt idx="367">
                  <c:v>11.183</c:v>
                </c:pt>
                <c:pt idx="368">
                  <c:v>11.2219</c:v>
                </c:pt>
                <c:pt idx="369">
                  <c:v>11.1378</c:v>
                </c:pt>
                <c:pt idx="370">
                  <c:v>10.9764</c:v>
                </c:pt>
                <c:pt idx="371">
                  <c:v>11.0751</c:v>
                </c:pt>
                <c:pt idx="372">
                  <c:v>10.9828</c:v>
                </c:pt>
                <c:pt idx="373">
                  <c:v>10.9627</c:v>
                </c:pt>
                <c:pt idx="374">
                  <c:v>10.9472</c:v>
                </c:pt>
                <c:pt idx="375">
                  <c:v>11.0401</c:v>
                </c:pt>
                <c:pt idx="376">
                  <c:v>10.9609</c:v>
                </c:pt>
                <c:pt idx="377">
                  <c:v>10.9573</c:v>
                </c:pt>
                <c:pt idx="378">
                  <c:v>11.0543</c:v>
                </c:pt>
                <c:pt idx="379">
                  <c:v>11.035</c:v>
                </c:pt>
                <c:pt idx="380">
                  <c:v>11.1258</c:v>
                </c:pt>
                <c:pt idx="381">
                  <c:v>11.1113</c:v>
                </c:pt>
                <c:pt idx="382">
                  <c:v>11.2179</c:v>
                </c:pt>
                <c:pt idx="383">
                  <c:v>11.1881</c:v>
                </c:pt>
                <c:pt idx="384">
                  <c:v>11.2285</c:v>
                </c:pt>
                <c:pt idx="385">
                  <c:v>11.2655</c:v>
                </c:pt>
                <c:pt idx="386">
                  <c:v>11.2705</c:v>
                </c:pt>
                <c:pt idx="387">
                  <c:v>11.268</c:v>
                </c:pt>
                <c:pt idx="388">
                  <c:v>11.1477</c:v>
                </c:pt>
                <c:pt idx="389">
                  <c:v>11.0453</c:v>
                </c:pt>
                <c:pt idx="390">
                  <c:v>11.0767</c:v>
                </c:pt>
                <c:pt idx="391">
                  <c:v>11.0319</c:v>
                </c:pt>
                <c:pt idx="392">
                  <c:v>10.8649</c:v>
                </c:pt>
                <c:pt idx="393">
                  <c:v>10.8507</c:v>
                </c:pt>
                <c:pt idx="394">
                  <c:v>10.8628</c:v>
                </c:pt>
                <c:pt idx="395">
                  <c:v>10.9428</c:v>
                </c:pt>
                <c:pt idx="396">
                  <c:v>10.9369</c:v>
                </c:pt>
                <c:pt idx="397">
                  <c:v>10.9664</c:v>
                </c:pt>
                <c:pt idx="398">
                  <c:v>10.9983</c:v>
                </c:pt>
                <c:pt idx="399">
                  <c:v>11.0252</c:v>
                </c:pt>
                <c:pt idx="400">
                  <c:v>11.0204</c:v>
                </c:pt>
                <c:pt idx="401">
                  <c:v>11.0882</c:v>
                </c:pt>
                <c:pt idx="402">
                  <c:v>11.0815</c:v>
                </c:pt>
                <c:pt idx="403">
                  <c:v>11.1005</c:v>
                </c:pt>
                <c:pt idx="404">
                  <c:v>11.0535</c:v>
                </c:pt>
                <c:pt idx="405">
                  <c:v>11.0363</c:v>
                </c:pt>
                <c:pt idx="406">
                  <c:v>11.0668</c:v>
                </c:pt>
                <c:pt idx="407">
                  <c:v>11.07</c:v>
                </c:pt>
                <c:pt idx="408">
                  <c:v>11.1743</c:v>
                </c:pt>
                <c:pt idx="409">
                  <c:v>11.1793</c:v>
                </c:pt>
                <c:pt idx="410">
                  <c:v>11.24</c:v>
                </c:pt>
                <c:pt idx="411">
                  <c:v>11.3465</c:v>
                </c:pt>
                <c:pt idx="412">
                  <c:v>11.1962</c:v>
                </c:pt>
                <c:pt idx="413">
                  <c:v>11.2686</c:v>
                </c:pt>
                <c:pt idx="414">
                  <c:v>11.297</c:v>
                </c:pt>
                <c:pt idx="415">
                  <c:v>11.273</c:v>
                </c:pt>
                <c:pt idx="416">
                  <c:v>11.2342</c:v>
                </c:pt>
                <c:pt idx="417">
                  <c:v>11.1986</c:v>
                </c:pt>
                <c:pt idx="418">
                  <c:v>11.1477</c:v>
                </c:pt>
                <c:pt idx="419">
                  <c:v>11.1392</c:v>
                </c:pt>
                <c:pt idx="420">
                  <c:v>11.1702</c:v>
                </c:pt>
                <c:pt idx="421">
                  <c:v>11.0826</c:v>
                </c:pt>
                <c:pt idx="422">
                  <c:v>11.0531</c:v>
                </c:pt>
                <c:pt idx="423">
                  <c:v>10.9556</c:v>
                </c:pt>
                <c:pt idx="424">
                  <c:v>10.898</c:v>
                </c:pt>
                <c:pt idx="425">
                  <c:v>10.9957</c:v>
                </c:pt>
                <c:pt idx="426">
                  <c:v>10.991</c:v>
                </c:pt>
                <c:pt idx="427">
                  <c:v>10.9723</c:v>
                </c:pt>
                <c:pt idx="428">
                  <c:v>10.9396</c:v>
                </c:pt>
                <c:pt idx="429">
                  <c:v>10.9269</c:v>
                </c:pt>
                <c:pt idx="430">
                  <c:v>10.7954</c:v>
                </c:pt>
                <c:pt idx="431">
                  <c:v>10.6979</c:v>
                </c:pt>
                <c:pt idx="432">
                  <c:v>10.7191</c:v>
                </c:pt>
                <c:pt idx="433">
                  <c:v>10.673</c:v>
                </c:pt>
                <c:pt idx="434">
                  <c:v>10.7431</c:v>
                </c:pt>
                <c:pt idx="435">
                  <c:v>10.6799</c:v>
                </c:pt>
                <c:pt idx="436">
                  <c:v>10.6493</c:v>
                </c:pt>
                <c:pt idx="437">
                  <c:v>10.6391</c:v>
                </c:pt>
                <c:pt idx="438">
                  <c:v>10.6122</c:v>
                </c:pt>
                <c:pt idx="439">
                  <c:v>10.6829</c:v>
                </c:pt>
                <c:pt idx="440">
                  <c:v>10.7157</c:v>
                </c:pt>
                <c:pt idx="441">
                  <c:v>10.6885</c:v>
                </c:pt>
                <c:pt idx="442">
                  <c:v>10.7016</c:v>
                </c:pt>
                <c:pt idx="443">
                  <c:v>10.698</c:v>
                </c:pt>
                <c:pt idx="444">
                  <c:v>10.6488</c:v>
                </c:pt>
                <c:pt idx="445">
                  <c:v>10.6098</c:v>
                </c:pt>
                <c:pt idx="446">
                  <c:v>10.6037</c:v>
                </c:pt>
                <c:pt idx="447">
                  <c:v>10.5479</c:v>
                </c:pt>
                <c:pt idx="448">
                  <c:v>10.5779</c:v>
                </c:pt>
                <c:pt idx="449">
                  <c:v>10.6449</c:v>
                </c:pt>
                <c:pt idx="450">
                  <c:v>10.6298</c:v>
                </c:pt>
                <c:pt idx="451">
                  <c:v>10.6833</c:v>
                </c:pt>
                <c:pt idx="452">
                  <c:v>10.7594</c:v>
                </c:pt>
                <c:pt idx="453">
                  <c:v>10.7184</c:v>
                </c:pt>
                <c:pt idx="454">
                  <c:v>10.7476</c:v>
                </c:pt>
                <c:pt idx="455">
                  <c:v>10.6888</c:v>
                </c:pt>
                <c:pt idx="456">
                  <c:v>10.7151</c:v>
                </c:pt>
                <c:pt idx="457">
                  <c:v>10.7029</c:v>
                </c:pt>
                <c:pt idx="458">
                  <c:v>10.7065</c:v>
                </c:pt>
                <c:pt idx="459">
                  <c:v>10.5913</c:v>
                </c:pt>
                <c:pt idx="460">
                  <c:v>10.5787</c:v>
                </c:pt>
                <c:pt idx="461">
                  <c:v>10.5136</c:v>
                </c:pt>
                <c:pt idx="462">
                  <c:v>10.5257</c:v>
                </c:pt>
                <c:pt idx="463">
                  <c:v>10.4955</c:v>
                </c:pt>
                <c:pt idx="464">
                  <c:v>10.5761</c:v>
                </c:pt>
                <c:pt idx="465">
                  <c:v>10.6033</c:v>
                </c:pt>
                <c:pt idx="466">
                  <c:v>10.6512</c:v>
                </c:pt>
                <c:pt idx="467">
                  <c:v>10.69</c:v>
                </c:pt>
                <c:pt idx="468">
                  <c:v>10.6689</c:v>
                </c:pt>
                <c:pt idx="469">
                  <c:v>10.6999</c:v>
                </c:pt>
                <c:pt idx="470">
                  <c:v>10.6821</c:v>
                </c:pt>
                <c:pt idx="471">
                  <c:v>10.7188</c:v>
                </c:pt>
                <c:pt idx="472">
                  <c:v>10.701</c:v>
                </c:pt>
                <c:pt idx="473">
                  <c:v>10.6978</c:v>
                </c:pt>
                <c:pt idx="474">
                  <c:v>10.692</c:v>
                </c:pt>
                <c:pt idx="475">
                  <c:v>10.7654</c:v>
                </c:pt>
                <c:pt idx="476">
                  <c:v>10.7508</c:v>
                </c:pt>
                <c:pt idx="477">
                  <c:v>10.7411</c:v>
                </c:pt>
                <c:pt idx="478">
                  <c:v>10.7669</c:v>
                </c:pt>
                <c:pt idx="479">
                  <c:v>10.6681</c:v>
                </c:pt>
                <c:pt idx="480">
                  <c:v>10.6277</c:v>
                </c:pt>
                <c:pt idx="481">
                  <c:v>10.617</c:v>
                </c:pt>
                <c:pt idx="482">
                  <c:v>10.6449</c:v>
                </c:pt>
                <c:pt idx="483">
                  <c:v>10.6164</c:v>
                </c:pt>
                <c:pt idx="484">
                  <c:v>10.6124</c:v>
                </c:pt>
                <c:pt idx="485">
                  <c:v>10.5772</c:v>
                </c:pt>
                <c:pt idx="486">
                  <c:v>10.6941</c:v>
                </c:pt>
                <c:pt idx="487">
                  <c:v>10.7204</c:v>
                </c:pt>
                <c:pt idx="488">
                  <c:v>10.7373</c:v>
                </c:pt>
                <c:pt idx="489">
                  <c:v>10.8407</c:v>
                </c:pt>
                <c:pt idx="490">
                  <c:v>10.7424</c:v>
                </c:pt>
                <c:pt idx="491">
                  <c:v>10.6772</c:v>
                </c:pt>
                <c:pt idx="492">
                  <c:v>10.6883</c:v>
                </c:pt>
                <c:pt idx="493">
                  <c:v>10.7335</c:v>
                </c:pt>
                <c:pt idx="494">
                  <c:v>10.7136</c:v>
                </c:pt>
                <c:pt idx="495">
                  <c:v>10.6465</c:v>
                </c:pt>
                <c:pt idx="496">
                  <c:v>10.5765</c:v>
                </c:pt>
                <c:pt idx="497">
                  <c:v>10.6996</c:v>
                </c:pt>
                <c:pt idx="498">
                  <c:v>10.7533</c:v>
                </c:pt>
                <c:pt idx="499">
                  <c:v>10.7394</c:v>
                </c:pt>
                <c:pt idx="500">
                  <c:v>10.6701</c:v>
                </c:pt>
                <c:pt idx="501">
                  <c:v>10.5731</c:v>
                </c:pt>
                <c:pt idx="502">
                  <c:v>10.4092</c:v>
                </c:pt>
                <c:pt idx="503">
                  <c:v>10.4697</c:v>
                </c:pt>
                <c:pt idx="504">
                  <c:v>10.4623</c:v>
                </c:pt>
                <c:pt idx="505">
                  <c:v>10.3594</c:v>
                </c:pt>
                <c:pt idx="506">
                  <c:v>10.3158</c:v>
                </c:pt>
                <c:pt idx="507">
                  <c:v>10.3292</c:v>
                </c:pt>
                <c:pt idx="508">
                  <c:v>10.4134</c:v>
                </c:pt>
                <c:pt idx="509">
                  <c:v>10.4523</c:v>
                </c:pt>
                <c:pt idx="510">
                  <c:v>10.3478</c:v>
                </c:pt>
                <c:pt idx="511">
                  <c:v>10.3463</c:v>
                </c:pt>
                <c:pt idx="512">
                  <c:v>10.4129</c:v>
                </c:pt>
                <c:pt idx="513">
                  <c:v>10.3008</c:v>
                </c:pt>
                <c:pt idx="514">
                  <c:v>10.3144</c:v>
                </c:pt>
                <c:pt idx="515">
                  <c:v>10.3628</c:v>
                </c:pt>
                <c:pt idx="516">
                  <c:v>10.3776</c:v>
                </c:pt>
                <c:pt idx="517">
                  <c:v>10.3309</c:v>
                </c:pt>
                <c:pt idx="518">
                  <c:v>10.4701</c:v>
                </c:pt>
                <c:pt idx="519">
                  <c:v>10.4783</c:v>
                </c:pt>
                <c:pt idx="520">
                  <c:v>10.5336</c:v>
                </c:pt>
                <c:pt idx="521">
                  <c:v>10.4612</c:v>
                </c:pt>
                <c:pt idx="522">
                  <c:v>10.4845</c:v>
                </c:pt>
                <c:pt idx="523">
                  <c:v>10.5277</c:v>
                </c:pt>
                <c:pt idx="524">
                  <c:v>10.5575</c:v>
                </c:pt>
                <c:pt idx="525">
                  <c:v>10.6211</c:v>
                </c:pt>
                <c:pt idx="526">
                  <c:v>10.6416</c:v>
                </c:pt>
                <c:pt idx="527">
                  <c:v>10.626</c:v>
                </c:pt>
                <c:pt idx="528">
                  <c:v>10.5957</c:v>
                </c:pt>
                <c:pt idx="529">
                  <c:v>10.5465</c:v>
                </c:pt>
                <c:pt idx="530">
                  <c:v>10.5035</c:v>
                </c:pt>
                <c:pt idx="531">
                  <c:v>10.4885</c:v>
                </c:pt>
                <c:pt idx="532">
                  <c:v>10.4948</c:v>
                </c:pt>
                <c:pt idx="533">
                  <c:v>10.555</c:v>
                </c:pt>
                <c:pt idx="534">
                  <c:v>10.587</c:v>
                </c:pt>
                <c:pt idx="535">
                  <c:v>10.5002</c:v>
                </c:pt>
                <c:pt idx="536">
                  <c:v>10.4792</c:v>
                </c:pt>
                <c:pt idx="537">
                  <c:v>10.4152</c:v>
                </c:pt>
                <c:pt idx="538">
                  <c:v>10.4614</c:v>
                </c:pt>
                <c:pt idx="539">
                  <c:v>10.4344</c:v>
                </c:pt>
                <c:pt idx="540">
                  <c:v>10.5224</c:v>
                </c:pt>
                <c:pt idx="541">
                  <c:v>10.538</c:v>
                </c:pt>
                <c:pt idx="542">
                  <c:v>10.6403</c:v>
                </c:pt>
                <c:pt idx="543">
                  <c:v>10.605</c:v>
                </c:pt>
                <c:pt idx="544">
                  <c:v>10.5669</c:v>
                </c:pt>
                <c:pt idx="545">
                  <c:v>10.5192</c:v>
                </c:pt>
                <c:pt idx="546">
                  <c:v>10.5866</c:v>
                </c:pt>
                <c:pt idx="547">
                  <c:v>10.5977</c:v>
                </c:pt>
                <c:pt idx="548">
                  <c:v>10.6777</c:v>
                </c:pt>
                <c:pt idx="549">
                  <c:v>10.7432</c:v>
                </c:pt>
                <c:pt idx="550">
                  <c:v>10.819</c:v>
                </c:pt>
                <c:pt idx="551">
                  <c:v>10.8868</c:v>
                </c:pt>
                <c:pt idx="552">
                  <c:v>10.8835</c:v>
                </c:pt>
                <c:pt idx="553">
                  <c:v>10.7666</c:v>
                </c:pt>
                <c:pt idx="554">
                  <c:v>10.7443</c:v>
                </c:pt>
                <c:pt idx="555">
                  <c:v>10.7245</c:v>
                </c:pt>
                <c:pt idx="556">
                  <c:v>10.6943</c:v>
                </c:pt>
                <c:pt idx="557">
                  <c:v>10.791</c:v>
                </c:pt>
                <c:pt idx="558">
                  <c:v>10.8271</c:v>
                </c:pt>
                <c:pt idx="559">
                  <c:v>10.8503</c:v>
                </c:pt>
                <c:pt idx="560">
                  <c:v>10.7592</c:v>
                </c:pt>
                <c:pt idx="561">
                  <c:v>10.717</c:v>
                </c:pt>
                <c:pt idx="562">
                  <c:v>10.6067</c:v>
                </c:pt>
                <c:pt idx="563">
                  <c:v>10.6747</c:v>
                </c:pt>
                <c:pt idx="564">
                  <c:v>10.788</c:v>
                </c:pt>
                <c:pt idx="565">
                  <c:v>10.8819</c:v>
                </c:pt>
                <c:pt idx="566">
                  <c:v>10.7188</c:v>
                </c:pt>
                <c:pt idx="567">
                  <c:v>10.7323</c:v>
                </c:pt>
                <c:pt idx="568">
                  <c:v>10.8394</c:v>
                </c:pt>
                <c:pt idx="569">
                  <c:v>10.7184</c:v>
                </c:pt>
                <c:pt idx="570">
                  <c:v>10.7979</c:v>
                </c:pt>
                <c:pt idx="571">
                  <c:v>10.9316</c:v>
                </c:pt>
                <c:pt idx="572">
                  <c:v>11.01</c:v>
                </c:pt>
                <c:pt idx="573">
                  <c:v>11.012</c:v>
                </c:pt>
                <c:pt idx="574">
                  <c:v>10.862</c:v>
                </c:pt>
                <c:pt idx="575">
                  <c:v>10.8287</c:v>
                </c:pt>
                <c:pt idx="576">
                  <c:v>10.8633</c:v>
                </c:pt>
                <c:pt idx="577">
                  <c:v>10.9969</c:v>
                </c:pt>
                <c:pt idx="578">
                  <c:v>11.029</c:v>
                </c:pt>
                <c:pt idx="579">
                  <c:v>10.9884</c:v>
                </c:pt>
                <c:pt idx="580">
                  <c:v>11.1383</c:v>
                </c:pt>
                <c:pt idx="581">
                  <c:v>11.0535</c:v>
                </c:pt>
                <c:pt idx="582">
                  <c:v>11.0241</c:v>
                </c:pt>
                <c:pt idx="583">
                  <c:v>11.1556</c:v>
                </c:pt>
                <c:pt idx="584">
                  <c:v>11.0776</c:v>
                </c:pt>
                <c:pt idx="585">
                  <c:v>11.2245</c:v>
                </c:pt>
                <c:pt idx="586">
                  <c:v>11.124</c:v>
                </c:pt>
                <c:pt idx="587">
                  <c:v>11.2035</c:v>
                </c:pt>
                <c:pt idx="588">
                  <c:v>11.2311</c:v>
                </c:pt>
                <c:pt idx="589">
                  <c:v>11.0735</c:v>
                </c:pt>
                <c:pt idx="590">
                  <c:v>11.1606</c:v>
                </c:pt>
                <c:pt idx="591">
                  <c:v>11.093</c:v>
                </c:pt>
                <c:pt idx="592">
                  <c:v>11.0346</c:v>
                </c:pt>
                <c:pt idx="593">
                  <c:v>10.8736</c:v>
                </c:pt>
                <c:pt idx="594">
                  <c:v>10.8566</c:v>
                </c:pt>
                <c:pt idx="595">
                  <c:v>10.8585</c:v>
                </c:pt>
                <c:pt idx="596">
                  <c:v>10.837</c:v>
                </c:pt>
                <c:pt idx="597">
                  <c:v>10.92</c:v>
                </c:pt>
                <c:pt idx="598">
                  <c:v>10.8588</c:v>
                </c:pt>
                <c:pt idx="599">
                  <c:v>10.8058</c:v>
                </c:pt>
                <c:pt idx="600">
                  <c:v>10.8168</c:v>
                </c:pt>
                <c:pt idx="601">
                  <c:v>10.6687</c:v>
                </c:pt>
                <c:pt idx="602">
                  <c:v>10.7948</c:v>
                </c:pt>
                <c:pt idx="603">
                  <c:v>10.7641</c:v>
                </c:pt>
                <c:pt idx="604">
                  <c:v>10.6348</c:v>
                </c:pt>
                <c:pt idx="605">
                  <c:v>10.6402</c:v>
                </c:pt>
                <c:pt idx="606">
                  <c:v>10.6501</c:v>
                </c:pt>
                <c:pt idx="607">
                  <c:v>10.6884</c:v>
                </c:pt>
                <c:pt idx="608">
                  <c:v>10.44</c:v>
                </c:pt>
                <c:pt idx="609">
                  <c:v>10.5206</c:v>
                </c:pt>
                <c:pt idx="610">
                  <c:v>10.4323</c:v>
                </c:pt>
                <c:pt idx="611">
                  <c:v>10.5404</c:v>
                </c:pt>
                <c:pt idx="612">
                  <c:v>10.3534</c:v>
                </c:pt>
                <c:pt idx="613">
                  <c:v>10.3325</c:v>
                </c:pt>
                <c:pt idx="614">
                  <c:v>10.3441</c:v>
                </c:pt>
                <c:pt idx="615">
                  <c:v>10.3256</c:v>
                </c:pt>
                <c:pt idx="616">
                  <c:v>10.3375</c:v>
                </c:pt>
                <c:pt idx="617">
                  <c:v>10.3776</c:v>
                </c:pt>
                <c:pt idx="618">
                  <c:v>10.3529</c:v>
                </c:pt>
                <c:pt idx="619">
                  <c:v>10.3459</c:v>
                </c:pt>
                <c:pt idx="620">
                  <c:v>10.2812</c:v>
                </c:pt>
                <c:pt idx="621">
                  <c:v>10.3329</c:v>
                </c:pt>
                <c:pt idx="622">
                  <c:v>10.429</c:v>
                </c:pt>
                <c:pt idx="623">
                  <c:v>10.381</c:v>
                </c:pt>
                <c:pt idx="624">
                  <c:v>10.3457</c:v>
                </c:pt>
                <c:pt idx="625">
                  <c:v>10.3876</c:v>
                </c:pt>
                <c:pt idx="626">
                  <c:v>10.3309</c:v>
                </c:pt>
                <c:pt idx="627">
                  <c:v>10.4519</c:v>
                </c:pt>
                <c:pt idx="628">
                  <c:v>10.4554</c:v>
                </c:pt>
                <c:pt idx="629">
                  <c:v>10.3632</c:v>
                </c:pt>
                <c:pt idx="630">
                  <c:v>10.2644</c:v>
                </c:pt>
                <c:pt idx="631">
                  <c:v>10.1891</c:v>
                </c:pt>
                <c:pt idx="632">
                  <c:v>10.1984</c:v>
                </c:pt>
                <c:pt idx="633">
                  <c:v>10.2265</c:v>
                </c:pt>
                <c:pt idx="634">
                  <c:v>10.1337</c:v>
                </c:pt>
                <c:pt idx="635">
                  <c:v>10.0808</c:v>
                </c:pt>
                <c:pt idx="636">
                  <c:v>10.0812</c:v>
                </c:pt>
                <c:pt idx="637">
                  <c:v>10.1546</c:v>
                </c:pt>
                <c:pt idx="638">
                  <c:v>10.1207</c:v>
                </c:pt>
                <c:pt idx="639">
                  <c:v>10.1871</c:v>
                </c:pt>
                <c:pt idx="640">
                  <c:v>10.127</c:v>
                </c:pt>
                <c:pt idx="641">
                  <c:v>10.1744</c:v>
                </c:pt>
                <c:pt idx="642">
                  <c:v>10.2127</c:v>
                </c:pt>
                <c:pt idx="643">
                  <c:v>10.3258</c:v>
                </c:pt>
                <c:pt idx="644">
                  <c:v>10.3887</c:v>
                </c:pt>
                <c:pt idx="645">
                  <c:v>10.3773</c:v>
                </c:pt>
                <c:pt idx="646">
                  <c:v>10.333</c:v>
                </c:pt>
                <c:pt idx="647">
                  <c:v>10.2916</c:v>
                </c:pt>
                <c:pt idx="648">
                  <c:v>10.2536</c:v>
                </c:pt>
                <c:pt idx="649">
                  <c:v>10.215</c:v>
                </c:pt>
                <c:pt idx="650">
                  <c:v>10.1277</c:v>
                </c:pt>
                <c:pt idx="651">
                  <c:v>10.1946</c:v>
                </c:pt>
                <c:pt idx="652">
                  <c:v>10.0313</c:v>
                </c:pt>
                <c:pt idx="653">
                  <c:v>9.8688</c:v>
                </c:pt>
                <c:pt idx="654">
                  <c:v>9.8882</c:v>
                </c:pt>
                <c:pt idx="655">
                  <c:v>9.84</c:v>
                </c:pt>
                <c:pt idx="656">
                  <c:v>9.8014</c:v>
                </c:pt>
                <c:pt idx="657">
                  <c:v>9.7579</c:v>
                </c:pt>
                <c:pt idx="658">
                  <c:v>9.7698</c:v>
                </c:pt>
                <c:pt idx="659">
                  <c:v>9.7216</c:v>
                </c:pt>
                <c:pt idx="660">
                  <c:v>9.847300000000001</c:v>
                </c:pt>
                <c:pt idx="661">
                  <c:v>9.763</c:v>
                </c:pt>
                <c:pt idx="662">
                  <c:v>9.8011</c:v>
                </c:pt>
                <c:pt idx="663">
                  <c:v>9.8907</c:v>
                </c:pt>
                <c:pt idx="664">
                  <c:v>9.9266</c:v>
                </c:pt>
                <c:pt idx="665">
                  <c:v>9.9399</c:v>
                </c:pt>
                <c:pt idx="666">
                  <c:v>9.9034</c:v>
                </c:pt>
                <c:pt idx="667">
                  <c:v>9.9119</c:v>
                </c:pt>
                <c:pt idx="668">
                  <c:v>10.017</c:v>
                </c:pt>
                <c:pt idx="669">
                  <c:v>9.998100000000001</c:v>
                </c:pt>
                <c:pt idx="670">
                  <c:v>9.9825</c:v>
                </c:pt>
                <c:pt idx="671">
                  <c:v>9.9828</c:v>
                </c:pt>
                <c:pt idx="672">
                  <c:v>10.0429</c:v>
                </c:pt>
                <c:pt idx="673">
                  <c:v>10.0514</c:v>
                </c:pt>
                <c:pt idx="674">
                  <c:v>10.1133</c:v>
                </c:pt>
                <c:pt idx="675">
                  <c:v>10.0458</c:v>
                </c:pt>
                <c:pt idx="676">
                  <c:v>10.0752</c:v>
                </c:pt>
                <c:pt idx="677">
                  <c:v>10.0018</c:v>
                </c:pt>
                <c:pt idx="678">
                  <c:v>9.9633</c:v>
                </c:pt>
                <c:pt idx="679">
                  <c:v>9.8416</c:v>
                </c:pt>
                <c:pt idx="680">
                  <c:v>9.8331</c:v>
                </c:pt>
                <c:pt idx="681">
                  <c:v>9.8734</c:v>
                </c:pt>
                <c:pt idx="682">
                  <c:v>9.6943</c:v>
                </c:pt>
                <c:pt idx="683">
                  <c:v>9.8096</c:v>
                </c:pt>
                <c:pt idx="684">
                  <c:v>9.805</c:v>
                </c:pt>
                <c:pt idx="685">
                  <c:v>9.8121</c:v>
                </c:pt>
                <c:pt idx="686">
                  <c:v>9.9434</c:v>
                </c:pt>
                <c:pt idx="687">
                  <c:v>9.9505</c:v>
                </c:pt>
                <c:pt idx="688">
                  <c:v>9.8898</c:v>
                </c:pt>
                <c:pt idx="689">
                  <c:v>10.0097</c:v>
                </c:pt>
                <c:pt idx="690">
                  <c:v>9.9739</c:v>
                </c:pt>
                <c:pt idx="691">
                  <c:v>10.0105</c:v>
                </c:pt>
                <c:pt idx="692">
                  <c:v>10.2519</c:v>
                </c:pt>
                <c:pt idx="693">
                  <c:v>10.2206</c:v>
                </c:pt>
                <c:pt idx="694">
                  <c:v>10.3342</c:v>
                </c:pt>
                <c:pt idx="695">
                  <c:v>10.246</c:v>
                </c:pt>
                <c:pt idx="696">
                  <c:v>10.2631</c:v>
                </c:pt>
                <c:pt idx="697">
                  <c:v>10.3393</c:v>
                </c:pt>
                <c:pt idx="698">
                  <c:v>10.3285</c:v>
                </c:pt>
                <c:pt idx="699">
                  <c:v>10.4121</c:v>
                </c:pt>
                <c:pt idx="700">
                  <c:v>10.3255</c:v>
                </c:pt>
                <c:pt idx="701">
                  <c:v>10.2195</c:v>
                </c:pt>
                <c:pt idx="702">
                  <c:v>10.2615</c:v>
                </c:pt>
                <c:pt idx="703">
                  <c:v>10.2358</c:v>
                </c:pt>
                <c:pt idx="704">
                  <c:v>10.1509</c:v>
                </c:pt>
                <c:pt idx="705">
                  <c:v>10.2059</c:v>
                </c:pt>
                <c:pt idx="706">
                  <c:v>10.0633</c:v>
                </c:pt>
                <c:pt idx="707">
                  <c:v>9.9972</c:v>
                </c:pt>
                <c:pt idx="708">
                  <c:v>9.929</c:v>
                </c:pt>
                <c:pt idx="709">
                  <c:v>9.9653</c:v>
                </c:pt>
                <c:pt idx="710">
                  <c:v>9.8485</c:v>
                </c:pt>
                <c:pt idx="711">
                  <c:v>9.7805</c:v>
                </c:pt>
                <c:pt idx="712">
                  <c:v>9.8112</c:v>
                </c:pt>
                <c:pt idx="713">
                  <c:v>9.9065</c:v>
                </c:pt>
                <c:pt idx="714">
                  <c:v>9.9261</c:v>
                </c:pt>
                <c:pt idx="715">
                  <c:v>9.854</c:v>
                </c:pt>
                <c:pt idx="716">
                  <c:v>9.8452</c:v>
                </c:pt>
                <c:pt idx="717">
                  <c:v>9.9676</c:v>
                </c:pt>
                <c:pt idx="718">
                  <c:v>9.9127</c:v>
                </c:pt>
                <c:pt idx="719">
                  <c:v>9.804</c:v>
                </c:pt>
                <c:pt idx="720">
                  <c:v>9.7773</c:v>
                </c:pt>
                <c:pt idx="721">
                  <c:v>9.7895</c:v>
                </c:pt>
                <c:pt idx="722">
                  <c:v>9.8226</c:v>
                </c:pt>
                <c:pt idx="723">
                  <c:v>9.7734</c:v>
                </c:pt>
                <c:pt idx="724">
                  <c:v>9.7023</c:v>
                </c:pt>
                <c:pt idx="725">
                  <c:v>9.8048</c:v>
                </c:pt>
                <c:pt idx="726">
                  <c:v>9.8574</c:v>
                </c:pt>
                <c:pt idx="727">
                  <c:v>9.9428</c:v>
                </c:pt>
                <c:pt idx="728">
                  <c:v>9.8161</c:v>
                </c:pt>
                <c:pt idx="729">
                  <c:v>9.8718</c:v>
                </c:pt>
                <c:pt idx="730">
                  <c:v>9.8934</c:v>
                </c:pt>
                <c:pt idx="731">
                  <c:v>9.9888</c:v>
                </c:pt>
                <c:pt idx="732">
                  <c:v>10.0582</c:v>
                </c:pt>
                <c:pt idx="733">
                  <c:v>10.0336</c:v>
                </c:pt>
                <c:pt idx="734">
                  <c:v>10.0382</c:v>
                </c:pt>
                <c:pt idx="735">
                  <c:v>10.1885</c:v>
                </c:pt>
                <c:pt idx="736">
                  <c:v>10.1789</c:v>
                </c:pt>
                <c:pt idx="737">
                  <c:v>10.0362</c:v>
                </c:pt>
                <c:pt idx="738">
                  <c:v>10.1178</c:v>
                </c:pt>
                <c:pt idx="739">
                  <c:v>9.9274</c:v>
                </c:pt>
                <c:pt idx="740">
                  <c:v>9.905</c:v>
                </c:pt>
                <c:pt idx="741">
                  <c:v>9.9326</c:v>
                </c:pt>
                <c:pt idx="742">
                  <c:v>9.9647</c:v>
                </c:pt>
                <c:pt idx="743">
                  <c:v>10.1189</c:v>
                </c:pt>
                <c:pt idx="744">
                  <c:v>10.0731</c:v>
                </c:pt>
                <c:pt idx="745">
                  <c:v>10.0963</c:v>
                </c:pt>
                <c:pt idx="746">
                  <c:v>10.175</c:v>
                </c:pt>
                <c:pt idx="747">
                  <c:v>10.2034</c:v>
                </c:pt>
                <c:pt idx="748">
                  <c:v>9.9602</c:v>
                </c:pt>
                <c:pt idx="749">
                  <c:v>9.9851</c:v>
                </c:pt>
                <c:pt idx="750">
                  <c:v>9.9174</c:v>
                </c:pt>
                <c:pt idx="751">
                  <c:v>9.9804</c:v>
                </c:pt>
                <c:pt idx="752">
                  <c:v>9.8729</c:v>
                </c:pt>
                <c:pt idx="753">
                  <c:v>10.0178</c:v>
                </c:pt>
                <c:pt idx="754">
                  <c:v>10.0618</c:v>
                </c:pt>
                <c:pt idx="755">
                  <c:v>10.1512</c:v>
                </c:pt>
                <c:pt idx="756">
                  <c:v>10.0063</c:v>
                </c:pt>
                <c:pt idx="757">
                  <c:v>9.8978</c:v>
                </c:pt>
                <c:pt idx="758">
                  <c:v>10.0271</c:v>
                </c:pt>
                <c:pt idx="759">
                  <c:v>9.8346</c:v>
                </c:pt>
                <c:pt idx="760">
                  <c:v>9.8333</c:v>
                </c:pt>
                <c:pt idx="761">
                  <c:v>10.087</c:v>
                </c:pt>
                <c:pt idx="762">
                  <c:v>10.0298</c:v>
                </c:pt>
                <c:pt idx="763">
                  <c:v>9.8331</c:v>
                </c:pt>
                <c:pt idx="764">
                  <c:v>9.7738</c:v>
                </c:pt>
                <c:pt idx="765">
                  <c:v>9.6111</c:v>
                </c:pt>
                <c:pt idx="766">
                  <c:v>9.594</c:v>
                </c:pt>
                <c:pt idx="767">
                  <c:v>9.5442</c:v>
                </c:pt>
                <c:pt idx="768">
                  <c:v>9.5527</c:v>
                </c:pt>
                <c:pt idx="769">
                  <c:v>9.5182</c:v>
                </c:pt>
                <c:pt idx="770">
                  <c:v>9.4419</c:v>
                </c:pt>
                <c:pt idx="771">
                  <c:v>9.4086</c:v>
                </c:pt>
                <c:pt idx="772">
                  <c:v>9.3128</c:v>
                </c:pt>
                <c:pt idx="773">
                  <c:v>9.2843</c:v>
                </c:pt>
                <c:pt idx="774">
                  <c:v>9.2249</c:v>
                </c:pt>
                <c:pt idx="775">
                  <c:v>9.1554</c:v>
                </c:pt>
                <c:pt idx="776">
                  <c:v>9.104200000000001</c:v>
                </c:pt>
                <c:pt idx="777">
                  <c:v>8.9802</c:v>
                </c:pt>
                <c:pt idx="778">
                  <c:v>9.0033</c:v>
                </c:pt>
                <c:pt idx="779">
                  <c:v>9.0121</c:v>
                </c:pt>
                <c:pt idx="780">
                  <c:v>8.9924</c:v>
                </c:pt>
                <c:pt idx="781">
                  <c:v>8.9159</c:v>
                </c:pt>
                <c:pt idx="782">
                  <c:v>8.9767</c:v>
                </c:pt>
                <c:pt idx="783">
                  <c:v>9.0308</c:v>
                </c:pt>
                <c:pt idx="784">
                  <c:v>8.9963</c:v>
                </c:pt>
                <c:pt idx="785">
                  <c:v>8.998200000000001</c:v>
                </c:pt>
                <c:pt idx="786">
                  <c:v>9.1135</c:v>
                </c:pt>
                <c:pt idx="787">
                  <c:v>9.0598</c:v>
                </c:pt>
                <c:pt idx="788">
                  <c:v>9.178100000000001</c:v>
                </c:pt>
                <c:pt idx="789">
                  <c:v>9.2256</c:v>
                </c:pt>
                <c:pt idx="790">
                  <c:v>9.2461</c:v>
                </c:pt>
                <c:pt idx="791">
                  <c:v>9.2503</c:v>
                </c:pt>
                <c:pt idx="792">
                  <c:v>9.185</c:v>
                </c:pt>
                <c:pt idx="793">
                  <c:v>9.1935</c:v>
                </c:pt>
                <c:pt idx="794">
                  <c:v>9.128500000000001</c:v>
                </c:pt>
                <c:pt idx="795">
                  <c:v>9.1616</c:v>
                </c:pt>
                <c:pt idx="796">
                  <c:v>8.946300000000001</c:v>
                </c:pt>
                <c:pt idx="797">
                  <c:v>8.8972</c:v>
                </c:pt>
                <c:pt idx="798">
                  <c:v>8.8851</c:v>
                </c:pt>
                <c:pt idx="799">
                  <c:v>8.919</c:v>
                </c:pt>
                <c:pt idx="800">
                  <c:v>9.0097</c:v>
                </c:pt>
                <c:pt idx="801">
                  <c:v>9.0958</c:v>
                </c:pt>
                <c:pt idx="802">
                  <c:v>9.1634</c:v>
                </c:pt>
                <c:pt idx="803">
                  <c:v>9.2179</c:v>
                </c:pt>
                <c:pt idx="804">
                  <c:v>9.214600000000001</c:v>
                </c:pt>
                <c:pt idx="805">
                  <c:v>9.1835</c:v>
                </c:pt>
                <c:pt idx="806">
                  <c:v>9.2415</c:v>
                </c:pt>
                <c:pt idx="807">
                  <c:v>9.2252</c:v>
                </c:pt>
                <c:pt idx="808">
                  <c:v>9.2668</c:v>
                </c:pt>
                <c:pt idx="809">
                  <c:v>9.2553</c:v>
                </c:pt>
                <c:pt idx="810">
                  <c:v>9.2868</c:v>
                </c:pt>
                <c:pt idx="811">
                  <c:v>9.3101</c:v>
                </c:pt>
                <c:pt idx="812">
                  <c:v>9.3155</c:v>
                </c:pt>
                <c:pt idx="813">
                  <c:v>9.2988</c:v>
                </c:pt>
                <c:pt idx="814">
                  <c:v>9.269</c:v>
                </c:pt>
                <c:pt idx="815">
                  <c:v>9.1802</c:v>
                </c:pt>
                <c:pt idx="816">
                  <c:v>9.1921</c:v>
                </c:pt>
                <c:pt idx="817">
                  <c:v>9.1758</c:v>
                </c:pt>
                <c:pt idx="818">
                  <c:v>9.248900000000001</c:v>
                </c:pt>
                <c:pt idx="819">
                  <c:v>9.1805</c:v>
                </c:pt>
                <c:pt idx="820">
                  <c:v>9.1219</c:v>
                </c:pt>
                <c:pt idx="821">
                  <c:v>9.1166</c:v>
                </c:pt>
                <c:pt idx="822">
                  <c:v>9.149100000000001</c:v>
                </c:pt>
                <c:pt idx="823">
                  <c:v>9.1381</c:v>
                </c:pt>
                <c:pt idx="824">
                  <c:v>9.0452</c:v>
                </c:pt>
                <c:pt idx="825">
                  <c:v>9.1242</c:v>
                </c:pt>
                <c:pt idx="826">
                  <c:v>9.0704</c:v>
                </c:pt>
                <c:pt idx="827">
                  <c:v>9.0068</c:v>
                </c:pt>
                <c:pt idx="828">
                  <c:v>8.8629</c:v>
                </c:pt>
                <c:pt idx="829">
                  <c:v>8.8456</c:v>
                </c:pt>
                <c:pt idx="830">
                  <c:v>8.8268</c:v>
                </c:pt>
                <c:pt idx="831">
                  <c:v>8.8647</c:v>
                </c:pt>
                <c:pt idx="832">
                  <c:v>8.8986</c:v>
                </c:pt>
                <c:pt idx="833">
                  <c:v>8.8899</c:v>
                </c:pt>
                <c:pt idx="834">
                  <c:v>8.8562</c:v>
                </c:pt>
                <c:pt idx="835">
                  <c:v>8.9012</c:v>
                </c:pt>
                <c:pt idx="836">
                  <c:v>8.8365</c:v>
                </c:pt>
                <c:pt idx="837">
                  <c:v>8.8105</c:v>
                </c:pt>
                <c:pt idx="838">
                  <c:v>8.8727</c:v>
                </c:pt>
                <c:pt idx="839">
                  <c:v>8.8884</c:v>
                </c:pt>
                <c:pt idx="840">
                  <c:v>8.911200000000001</c:v>
                </c:pt>
                <c:pt idx="841">
                  <c:v>8.8971</c:v>
                </c:pt>
                <c:pt idx="842">
                  <c:v>8.9215</c:v>
                </c:pt>
                <c:pt idx="843">
                  <c:v>8.919</c:v>
                </c:pt>
                <c:pt idx="844">
                  <c:v>8.8509</c:v>
                </c:pt>
                <c:pt idx="845">
                  <c:v>8.9151</c:v>
                </c:pt>
                <c:pt idx="846">
                  <c:v>8.8399</c:v>
                </c:pt>
                <c:pt idx="847">
                  <c:v>8.9369</c:v>
                </c:pt>
                <c:pt idx="848">
                  <c:v>9.043100000000001</c:v>
                </c:pt>
                <c:pt idx="849">
                  <c:v>9.0368</c:v>
                </c:pt>
                <c:pt idx="850">
                  <c:v>9.1126</c:v>
                </c:pt>
                <c:pt idx="851">
                  <c:v>8.9643</c:v>
                </c:pt>
                <c:pt idx="852">
                  <c:v>9.0575</c:v>
                </c:pt>
                <c:pt idx="853">
                  <c:v>9.0285</c:v>
                </c:pt>
                <c:pt idx="854">
                  <c:v>8.8632</c:v>
                </c:pt>
                <c:pt idx="855">
                  <c:v>8.8705</c:v>
                </c:pt>
                <c:pt idx="856">
                  <c:v>8.8875</c:v>
                </c:pt>
                <c:pt idx="857">
                  <c:v>8.8041</c:v>
                </c:pt>
                <c:pt idx="858">
                  <c:v>8.8023</c:v>
                </c:pt>
                <c:pt idx="859">
                  <c:v>8.8235</c:v>
                </c:pt>
                <c:pt idx="860">
                  <c:v>8.7129</c:v>
                </c:pt>
                <c:pt idx="861">
                  <c:v>8.7147</c:v>
                </c:pt>
                <c:pt idx="862">
                  <c:v>8.648</c:v>
                </c:pt>
                <c:pt idx="863">
                  <c:v>8.5871</c:v>
                </c:pt>
                <c:pt idx="864">
                  <c:v>8.5918</c:v>
                </c:pt>
                <c:pt idx="865">
                  <c:v>8.5741</c:v>
                </c:pt>
                <c:pt idx="866">
                  <c:v>8.5694</c:v>
                </c:pt>
                <c:pt idx="867">
                  <c:v>8.542300000000001</c:v>
                </c:pt>
                <c:pt idx="868">
                  <c:v>8.5278</c:v>
                </c:pt>
                <c:pt idx="869">
                  <c:v>8.4575</c:v>
                </c:pt>
                <c:pt idx="870">
                  <c:v>8.4778</c:v>
                </c:pt>
                <c:pt idx="871">
                  <c:v>8.4714</c:v>
                </c:pt>
                <c:pt idx="872">
                  <c:v>8.511</c:v>
                </c:pt>
                <c:pt idx="873">
                  <c:v>8.5663</c:v>
                </c:pt>
                <c:pt idx="874">
                  <c:v>8.5949</c:v>
                </c:pt>
                <c:pt idx="875">
                  <c:v>8.5865</c:v>
                </c:pt>
                <c:pt idx="876">
                  <c:v>8.5773</c:v>
                </c:pt>
                <c:pt idx="877">
                  <c:v>8.501</c:v>
                </c:pt>
                <c:pt idx="878">
                  <c:v>8.4746</c:v>
                </c:pt>
                <c:pt idx="879">
                  <c:v>8.4594</c:v>
                </c:pt>
                <c:pt idx="880">
                  <c:v>8.5504</c:v>
                </c:pt>
                <c:pt idx="881">
                  <c:v>8.622</c:v>
                </c:pt>
                <c:pt idx="882">
                  <c:v>8.6675</c:v>
                </c:pt>
                <c:pt idx="883">
                  <c:v>8.6266</c:v>
                </c:pt>
                <c:pt idx="884">
                  <c:v>8.6464</c:v>
                </c:pt>
                <c:pt idx="885">
                  <c:v>8.6715</c:v>
                </c:pt>
                <c:pt idx="886">
                  <c:v>8.663</c:v>
                </c:pt>
                <c:pt idx="887">
                  <c:v>8.688700000000001</c:v>
                </c:pt>
                <c:pt idx="888">
                  <c:v>8.7612</c:v>
                </c:pt>
                <c:pt idx="889">
                  <c:v>8.803</c:v>
                </c:pt>
                <c:pt idx="890">
                  <c:v>8.8595</c:v>
                </c:pt>
                <c:pt idx="891">
                  <c:v>8.8907</c:v>
                </c:pt>
                <c:pt idx="892">
                  <c:v>8.789</c:v>
                </c:pt>
                <c:pt idx="893">
                  <c:v>8.8157</c:v>
                </c:pt>
                <c:pt idx="894">
                  <c:v>8.8258</c:v>
                </c:pt>
                <c:pt idx="895">
                  <c:v>8.8761</c:v>
                </c:pt>
                <c:pt idx="896">
                  <c:v>8.8851</c:v>
                </c:pt>
                <c:pt idx="897">
                  <c:v>8.9405</c:v>
                </c:pt>
                <c:pt idx="898">
                  <c:v>8.9608</c:v>
                </c:pt>
                <c:pt idx="899">
                  <c:v>8.8608</c:v>
                </c:pt>
                <c:pt idx="900">
                  <c:v>8.8382</c:v>
                </c:pt>
                <c:pt idx="901">
                  <c:v>8.8716</c:v>
                </c:pt>
                <c:pt idx="902">
                  <c:v>8.94</c:v>
                </c:pt>
                <c:pt idx="903">
                  <c:v>8.9087</c:v>
                </c:pt>
                <c:pt idx="904">
                  <c:v>8.774800000000001</c:v>
                </c:pt>
                <c:pt idx="905">
                  <c:v>8.7486</c:v>
                </c:pt>
                <c:pt idx="906">
                  <c:v>8.7102</c:v>
                </c:pt>
                <c:pt idx="907">
                  <c:v>8.7104</c:v>
                </c:pt>
                <c:pt idx="908">
                  <c:v>8.6504</c:v>
                </c:pt>
                <c:pt idx="909">
                  <c:v>8.6257</c:v>
                </c:pt>
                <c:pt idx="910">
                  <c:v>8.7452</c:v>
                </c:pt>
                <c:pt idx="911">
                  <c:v>8.7714</c:v>
                </c:pt>
                <c:pt idx="912">
                  <c:v>8.649100000000001</c:v>
                </c:pt>
                <c:pt idx="913">
                  <c:v>8.6573</c:v>
                </c:pt>
                <c:pt idx="914">
                  <c:v>8.6435</c:v>
                </c:pt>
                <c:pt idx="915">
                  <c:v>8.6865</c:v>
                </c:pt>
                <c:pt idx="916">
                  <c:v>8.6467</c:v>
                </c:pt>
                <c:pt idx="917">
                  <c:v>8.719200000000001</c:v>
                </c:pt>
                <c:pt idx="918">
                  <c:v>8.7732</c:v>
                </c:pt>
                <c:pt idx="919">
                  <c:v>8.768800000000001</c:v>
                </c:pt>
                <c:pt idx="920">
                  <c:v>8.639200000000001</c:v>
                </c:pt>
                <c:pt idx="921">
                  <c:v>8.633800000000001</c:v>
                </c:pt>
                <c:pt idx="922">
                  <c:v>8.6294</c:v>
                </c:pt>
                <c:pt idx="923">
                  <c:v>8.5887</c:v>
                </c:pt>
                <c:pt idx="924">
                  <c:v>8.7442</c:v>
                </c:pt>
                <c:pt idx="925">
                  <c:v>8.8114</c:v>
                </c:pt>
                <c:pt idx="926">
                  <c:v>8.7447</c:v>
                </c:pt>
                <c:pt idx="927">
                  <c:v>8.6759</c:v>
                </c:pt>
                <c:pt idx="928">
                  <c:v>8.7068</c:v>
                </c:pt>
                <c:pt idx="929">
                  <c:v>8.7647</c:v>
                </c:pt>
                <c:pt idx="930">
                  <c:v>8.8525</c:v>
                </c:pt>
                <c:pt idx="931">
                  <c:v>8.7318</c:v>
                </c:pt>
                <c:pt idx="932">
                  <c:v>8.5247</c:v>
                </c:pt>
                <c:pt idx="933">
                  <c:v>8.43</c:v>
                </c:pt>
                <c:pt idx="934">
                  <c:v>8.3714</c:v>
                </c:pt>
                <c:pt idx="935">
                  <c:v>8.3675</c:v>
                </c:pt>
                <c:pt idx="936">
                  <c:v>8.2903</c:v>
                </c:pt>
                <c:pt idx="937">
                  <c:v>8.2257</c:v>
                </c:pt>
                <c:pt idx="938">
                  <c:v>8.2264</c:v>
                </c:pt>
                <c:pt idx="939">
                  <c:v>8.1808</c:v>
                </c:pt>
                <c:pt idx="940">
                  <c:v>8.2561</c:v>
                </c:pt>
                <c:pt idx="941">
                  <c:v>8.233700000000001</c:v>
                </c:pt>
                <c:pt idx="942">
                  <c:v>8.3307</c:v>
                </c:pt>
                <c:pt idx="943">
                  <c:v>8.2502</c:v>
                </c:pt>
                <c:pt idx="944">
                  <c:v>8.2021</c:v>
                </c:pt>
                <c:pt idx="945">
                  <c:v>8.2403</c:v>
                </c:pt>
                <c:pt idx="946">
                  <c:v>8.214</c:v>
                </c:pt>
                <c:pt idx="947">
                  <c:v>8.3235</c:v>
                </c:pt>
                <c:pt idx="948">
                  <c:v>8.3378</c:v>
                </c:pt>
                <c:pt idx="949">
                  <c:v>8.1539</c:v>
                </c:pt>
                <c:pt idx="950">
                  <c:v>8.1463</c:v>
                </c:pt>
                <c:pt idx="951">
                  <c:v>8.1714</c:v>
                </c:pt>
                <c:pt idx="952">
                  <c:v>8.2858</c:v>
                </c:pt>
                <c:pt idx="953">
                  <c:v>8.3943</c:v>
                </c:pt>
                <c:pt idx="954">
                  <c:v>8.411300000000001</c:v>
                </c:pt>
                <c:pt idx="955">
                  <c:v>8.4011</c:v>
                </c:pt>
                <c:pt idx="956">
                  <c:v>8.3947</c:v>
                </c:pt>
                <c:pt idx="957">
                  <c:v>8.4816</c:v>
                </c:pt>
                <c:pt idx="958">
                  <c:v>8.41</c:v>
                </c:pt>
                <c:pt idx="959">
                  <c:v>8.3854</c:v>
                </c:pt>
                <c:pt idx="960">
                  <c:v>8.4146</c:v>
                </c:pt>
                <c:pt idx="961">
                  <c:v>8.384</c:v>
                </c:pt>
                <c:pt idx="962">
                  <c:v>8.294</c:v>
                </c:pt>
                <c:pt idx="963">
                  <c:v>8.307</c:v>
                </c:pt>
                <c:pt idx="964">
                  <c:v>8.236000000000001</c:v>
                </c:pt>
                <c:pt idx="965">
                  <c:v>8.3057</c:v>
                </c:pt>
                <c:pt idx="966">
                  <c:v>8.3147</c:v>
                </c:pt>
                <c:pt idx="967">
                  <c:v>8.2202</c:v>
                </c:pt>
                <c:pt idx="968">
                  <c:v>8.222</c:v>
                </c:pt>
                <c:pt idx="969">
                  <c:v>8.1685</c:v>
                </c:pt>
                <c:pt idx="970">
                  <c:v>8.1557</c:v>
                </c:pt>
                <c:pt idx="971">
                  <c:v>8.0859</c:v>
                </c:pt>
                <c:pt idx="972">
                  <c:v>8.1062</c:v>
                </c:pt>
                <c:pt idx="973">
                  <c:v>8.103</c:v>
                </c:pt>
                <c:pt idx="974">
                  <c:v>8.1322</c:v>
                </c:pt>
                <c:pt idx="975">
                  <c:v>8.1448</c:v>
                </c:pt>
                <c:pt idx="976">
                  <c:v>8.1333</c:v>
                </c:pt>
                <c:pt idx="977">
                  <c:v>8.374</c:v>
                </c:pt>
                <c:pt idx="978">
                  <c:v>8.26</c:v>
                </c:pt>
                <c:pt idx="979">
                  <c:v>8.2623</c:v>
                </c:pt>
                <c:pt idx="980">
                  <c:v>8.210100000000001</c:v>
                </c:pt>
                <c:pt idx="981">
                  <c:v>8.1938</c:v>
                </c:pt>
                <c:pt idx="982">
                  <c:v>8.2657</c:v>
                </c:pt>
                <c:pt idx="983">
                  <c:v>8.45</c:v>
                </c:pt>
                <c:pt idx="984">
                  <c:v>8.539</c:v>
                </c:pt>
                <c:pt idx="985">
                  <c:v>8.4457</c:v>
                </c:pt>
                <c:pt idx="986">
                  <c:v>8.2851</c:v>
                </c:pt>
                <c:pt idx="987">
                  <c:v>8.1683</c:v>
                </c:pt>
                <c:pt idx="988">
                  <c:v>8.1546</c:v>
                </c:pt>
                <c:pt idx="989">
                  <c:v>8.200100000000001</c:v>
                </c:pt>
                <c:pt idx="990">
                  <c:v>8.2228</c:v>
                </c:pt>
                <c:pt idx="991">
                  <c:v>8.268000000000001</c:v>
                </c:pt>
                <c:pt idx="992">
                  <c:v>8.3414</c:v>
                </c:pt>
                <c:pt idx="993">
                  <c:v>8.2458</c:v>
                </c:pt>
                <c:pt idx="994">
                  <c:v>8.1896</c:v>
                </c:pt>
                <c:pt idx="995">
                  <c:v>8.2536</c:v>
                </c:pt>
                <c:pt idx="996">
                  <c:v>8.2574</c:v>
                </c:pt>
                <c:pt idx="997">
                  <c:v>8.1264</c:v>
                </c:pt>
                <c:pt idx="998">
                  <c:v>8.138</c:v>
                </c:pt>
                <c:pt idx="999">
                  <c:v>8.0865</c:v>
                </c:pt>
                <c:pt idx="1000">
                  <c:v>8.1714</c:v>
                </c:pt>
                <c:pt idx="1001">
                  <c:v>8.1878</c:v>
                </c:pt>
                <c:pt idx="1002">
                  <c:v>8.4359</c:v>
                </c:pt>
                <c:pt idx="1003">
                  <c:v>8.4074</c:v>
                </c:pt>
                <c:pt idx="1004">
                  <c:v>8.4498</c:v>
                </c:pt>
                <c:pt idx="1005">
                  <c:v>8.4972</c:v>
                </c:pt>
                <c:pt idx="1006">
                  <c:v>8.4087</c:v>
                </c:pt>
                <c:pt idx="1007">
                  <c:v>8.3413</c:v>
                </c:pt>
                <c:pt idx="1008">
                  <c:v>8.202</c:v>
                </c:pt>
                <c:pt idx="1009">
                  <c:v>8.2</c:v>
                </c:pt>
                <c:pt idx="1010">
                  <c:v>8.3291</c:v>
                </c:pt>
                <c:pt idx="1011">
                  <c:v>8.3548</c:v>
                </c:pt>
                <c:pt idx="1012">
                  <c:v>8.408</c:v>
                </c:pt>
                <c:pt idx="1013">
                  <c:v>8.3605</c:v>
                </c:pt>
                <c:pt idx="1014">
                  <c:v>8.4371</c:v>
                </c:pt>
                <c:pt idx="1015">
                  <c:v>8.448600000000001</c:v>
                </c:pt>
                <c:pt idx="1016">
                  <c:v>8.4215</c:v>
                </c:pt>
                <c:pt idx="1017">
                  <c:v>8.3305</c:v>
                </c:pt>
                <c:pt idx="1018">
                  <c:v>8.3139</c:v>
                </c:pt>
                <c:pt idx="1019">
                  <c:v>8.4553</c:v>
                </c:pt>
                <c:pt idx="1020">
                  <c:v>8.5085</c:v>
                </c:pt>
                <c:pt idx="1021">
                  <c:v>8.6057</c:v>
                </c:pt>
                <c:pt idx="1022">
                  <c:v>8.5033</c:v>
                </c:pt>
                <c:pt idx="1023">
                  <c:v>8.5</c:v>
                </c:pt>
                <c:pt idx="1024">
                  <c:v>8.349</c:v>
                </c:pt>
                <c:pt idx="1025">
                  <c:v>8.3493</c:v>
                </c:pt>
                <c:pt idx="1026">
                  <c:v>8.3799</c:v>
                </c:pt>
                <c:pt idx="1027">
                  <c:v>8.3741</c:v>
                </c:pt>
                <c:pt idx="1028">
                  <c:v>8.4358</c:v>
                </c:pt>
                <c:pt idx="1029">
                  <c:v>8.274000000000001</c:v>
                </c:pt>
                <c:pt idx="1030">
                  <c:v>8.2701</c:v>
                </c:pt>
                <c:pt idx="1031">
                  <c:v>8.334300000000001</c:v>
                </c:pt>
                <c:pt idx="1032">
                  <c:v>8.3215</c:v>
                </c:pt>
                <c:pt idx="1033">
                  <c:v>8.2816</c:v>
                </c:pt>
                <c:pt idx="1034">
                  <c:v>8.2776</c:v>
                </c:pt>
                <c:pt idx="1035">
                  <c:v>8.1661</c:v>
                </c:pt>
                <c:pt idx="1036">
                  <c:v>8.0886</c:v>
                </c:pt>
                <c:pt idx="1037">
                  <c:v>8.004200000000001</c:v>
                </c:pt>
                <c:pt idx="1038">
                  <c:v>8.0026</c:v>
                </c:pt>
                <c:pt idx="1039">
                  <c:v>7.9151</c:v>
                </c:pt>
                <c:pt idx="1040">
                  <c:v>7.8131</c:v>
                </c:pt>
                <c:pt idx="1041">
                  <c:v>7.8199</c:v>
                </c:pt>
                <c:pt idx="1042">
                  <c:v>7.7219</c:v>
                </c:pt>
                <c:pt idx="1043">
                  <c:v>7.7442</c:v>
                </c:pt>
                <c:pt idx="1044">
                  <c:v>7.7251</c:v>
                </c:pt>
                <c:pt idx="1045">
                  <c:v>7.7861</c:v>
                </c:pt>
                <c:pt idx="1046">
                  <c:v>7.7565</c:v>
                </c:pt>
                <c:pt idx="1047">
                  <c:v>7.7841</c:v>
                </c:pt>
                <c:pt idx="1048">
                  <c:v>7.7611</c:v>
                </c:pt>
                <c:pt idx="1049">
                  <c:v>7.8119</c:v>
                </c:pt>
                <c:pt idx="1050">
                  <c:v>7.8647</c:v>
                </c:pt>
                <c:pt idx="1051">
                  <c:v>7.802799999999999</c:v>
                </c:pt>
                <c:pt idx="1052">
                  <c:v>7.8602</c:v>
                </c:pt>
                <c:pt idx="1053">
                  <c:v>7.8189</c:v>
                </c:pt>
                <c:pt idx="1054">
                  <c:v>7.7946</c:v>
                </c:pt>
                <c:pt idx="1055">
                  <c:v>7.9518</c:v>
                </c:pt>
                <c:pt idx="1056">
                  <c:v>7.9392</c:v>
                </c:pt>
                <c:pt idx="1057">
                  <c:v>7.8968</c:v>
                </c:pt>
                <c:pt idx="1058">
                  <c:v>7.9793</c:v>
                </c:pt>
                <c:pt idx="1059">
                  <c:v>8.0085</c:v>
                </c:pt>
                <c:pt idx="1060">
                  <c:v>7.8745</c:v>
                </c:pt>
                <c:pt idx="1061">
                  <c:v>7.885</c:v>
                </c:pt>
                <c:pt idx="1062">
                  <c:v>7.8383</c:v>
                </c:pt>
                <c:pt idx="1063">
                  <c:v>7.8221</c:v>
                </c:pt>
                <c:pt idx="1064">
                  <c:v>7.7025</c:v>
                </c:pt>
                <c:pt idx="1065">
                  <c:v>7.6339</c:v>
                </c:pt>
                <c:pt idx="1066">
                  <c:v>7.6456</c:v>
                </c:pt>
                <c:pt idx="1067">
                  <c:v>7.7458</c:v>
                </c:pt>
                <c:pt idx="1068">
                  <c:v>7.688</c:v>
                </c:pt>
                <c:pt idx="1069">
                  <c:v>7.594</c:v>
                </c:pt>
                <c:pt idx="1070">
                  <c:v>7.5898</c:v>
                </c:pt>
                <c:pt idx="1071">
                  <c:v>7.6827</c:v>
                </c:pt>
                <c:pt idx="1072">
                  <c:v>7.7128</c:v>
                </c:pt>
                <c:pt idx="1073">
                  <c:v>7.6571</c:v>
                </c:pt>
                <c:pt idx="1074">
                  <c:v>7.6101</c:v>
                </c:pt>
                <c:pt idx="1075">
                  <c:v>7.5239</c:v>
                </c:pt>
                <c:pt idx="1076">
                  <c:v>7.5753</c:v>
                </c:pt>
                <c:pt idx="1077">
                  <c:v>7.6171</c:v>
                </c:pt>
                <c:pt idx="1078">
                  <c:v>7.7297</c:v>
                </c:pt>
                <c:pt idx="1079">
                  <c:v>7.5399</c:v>
                </c:pt>
                <c:pt idx="1080">
                  <c:v>7.5544</c:v>
                </c:pt>
                <c:pt idx="1081">
                  <c:v>7.5344</c:v>
                </c:pt>
                <c:pt idx="1082">
                  <c:v>7.5191</c:v>
                </c:pt>
                <c:pt idx="1083">
                  <c:v>7.6181</c:v>
                </c:pt>
                <c:pt idx="1084">
                  <c:v>7.6603</c:v>
                </c:pt>
                <c:pt idx="1085">
                  <c:v>7.555</c:v>
                </c:pt>
                <c:pt idx="1086">
                  <c:v>7.5169</c:v>
                </c:pt>
                <c:pt idx="1087">
                  <c:v>7.4578</c:v>
                </c:pt>
                <c:pt idx="1088">
                  <c:v>7.4531</c:v>
                </c:pt>
                <c:pt idx="1089">
                  <c:v>7.534</c:v>
                </c:pt>
                <c:pt idx="1090">
                  <c:v>7.538</c:v>
                </c:pt>
                <c:pt idx="1091">
                  <c:v>7.591</c:v>
                </c:pt>
                <c:pt idx="1092">
                  <c:v>7.6809</c:v>
                </c:pt>
                <c:pt idx="1093">
                  <c:v>7.7356</c:v>
                </c:pt>
                <c:pt idx="1094">
                  <c:v>7.7226</c:v>
                </c:pt>
                <c:pt idx="1095">
                  <c:v>7.6652</c:v>
                </c:pt>
                <c:pt idx="1096">
                  <c:v>7.7487</c:v>
                </c:pt>
                <c:pt idx="1097">
                  <c:v>7.7824</c:v>
                </c:pt>
                <c:pt idx="1098">
                  <c:v>7.7326</c:v>
                </c:pt>
                <c:pt idx="1099">
                  <c:v>7.7455</c:v>
                </c:pt>
                <c:pt idx="1100">
                  <c:v>7.6967</c:v>
                </c:pt>
                <c:pt idx="1101">
                  <c:v>7.7465</c:v>
                </c:pt>
                <c:pt idx="1102">
                  <c:v>7.6036</c:v>
                </c:pt>
                <c:pt idx="1103">
                  <c:v>7.5803</c:v>
                </c:pt>
                <c:pt idx="1104">
                  <c:v>7.5607</c:v>
                </c:pt>
                <c:pt idx="1105">
                  <c:v>7.5574</c:v>
                </c:pt>
                <c:pt idx="1106">
                  <c:v>7.5563</c:v>
                </c:pt>
                <c:pt idx="1107">
                  <c:v>7.64</c:v>
                </c:pt>
                <c:pt idx="1108">
                  <c:v>7.6735</c:v>
                </c:pt>
                <c:pt idx="1109">
                  <c:v>7.812</c:v>
                </c:pt>
                <c:pt idx="1110">
                  <c:v>7.8543</c:v>
                </c:pt>
                <c:pt idx="1111">
                  <c:v>7.7723</c:v>
                </c:pt>
                <c:pt idx="1112">
                  <c:v>7.7895</c:v>
                </c:pt>
                <c:pt idx="1113">
                  <c:v>7.9731</c:v>
                </c:pt>
                <c:pt idx="1114">
                  <c:v>7.9367</c:v>
                </c:pt>
                <c:pt idx="1115">
                  <c:v>7.9331</c:v>
                </c:pt>
                <c:pt idx="1116">
                  <c:v>7.9434</c:v>
                </c:pt>
                <c:pt idx="1117">
                  <c:v>7.9044</c:v>
                </c:pt>
                <c:pt idx="1118">
                  <c:v>7.9926</c:v>
                </c:pt>
                <c:pt idx="1119">
                  <c:v>8.0494</c:v>
                </c:pt>
                <c:pt idx="1120">
                  <c:v>8.1082</c:v>
                </c:pt>
                <c:pt idx="1121">
                  <c:v>8.1451</c:v>
                </c:pt>
                <c:pt idx="1122">
                  <c:v>8.0468</c:v>
                </c:pt>
                <c:pt idx="1123">
                  <c:v>8.1158</c:v>
                </c:pt>
                <c:pt idx="1124">
                  <c:v>8.1076</c:v>
                </c:pt>
                <c:pt idx="1125">
                  <c:v>8.1828</c:v>
                </c:pt>
                <c:pt idx="1126">
                  <c:v>8.1609</c:v>
                </c:pt>
                <c:pt idx="1127">
                  <c:v>8.1724</c:v>
                </c:pt>
                <c:pt idx="1128">
                  <c:v>8.1312</c:v>
                </c:pt>
                <c:pt idx="1129">
                  <c:v>8.0307</c:v>
                </c:pt>
                <c:pt idx="1130">
                  <c:v>8.0766</c:v>
                </c:pt>
                <c:pt idx="1131">
                  <c:v>8.0751</c:v>
                </c:pt>
                <c:pt idx="1132">
                  <c:v>8.185</c:v>
                </c:pt>
                <c:pt idx="1133">
                  <c:v>8.1932</c:v>
                </c:pt>
                <c:pt idx="1134">
                  <c:v>8.1409</c:v>
                </c:pt>
                <c:pt idx="1135">
                  <c:v>8.161</c:v>
                </c:pt>
                <c:pt idx="1136">
                  <c:v>8.1368</c:v>
                </c:pt>
                <c:pt idx="1137">
                  <c:v>8.1695</c:v>
                </c:pt>
                <c:pt idx="1138">
                  <c:v>8.263</c:v>
                </c:pt>
                <c:pt idx="1139">
                  <c:v>8.210000000000001</c:v>
                </c:pt>
                <c:pt idx="1140">
                  <c:v>8.3923</c:v>
                </c:pt>
                <c:pt idx="1141">
                  <c:v>8.3827</c:v>
                </c:pt>
                <c:pt idx="1142">
                  <c:v>8.4046</c:v>
                </c:pt>
                <c:pt idx="1143">
                  <c:v>8.434900000000001</c:v>
                </c:pt>
                <c:pt idx="1144">
                  <c:v>8.292</c:v>
                </c:pt>
                <c:pt idx="1145">
                  <c:v>8.2647</c:v>
                </c:pt>
                <c:pt idx="1146">
                  <c:v>8.116</c:v>
                </c:pt>
                <c:pt idx="1147">
                  <c:v>8.2675</c:v>
                </c:pt>
                <c:pt idx="1148">
                  <c:v>8.0225</c:v>
                </c:pt>
                <c:pt idx="1149">
                  <c:v>8.029</c:v>
                </c:pt>
                <c:pt idx="1150">
                  <c:v>8.006</c:v>
                </c:pt>
                <c:pt idx="1151">
                  <c:v>8.0569</c:v>
                </c:pt>
                <c:pt idx="1152">
                  <c:v>8.0928</c:v>
                </c:pt>
                <c:pt idx="1153">
                  <c:v>8.132</c:v>
                </c:pt>
                <c:pt idx="1154">
                  <c:v>8.3535</c:v>
                </c:pt>
                <c:pt idx="1155">
                  <c:v>8.3929</c:v>
                </c:pt>
                <c:pt idx="1156">
                  <c:v>8.5412</c:v>
                </c:pt>
                <c:pt idx="1157">
                  <c:v>8.4825</c:v>
                </c:pt>
                <c:pt idx="1158">
                  <c:v>8.5295</c:v>
                </c:pt>
                <c:pt idx="1159">
                  <c:v>8.3775</c:v>
                </c:pt>
                <c:pt idx="1160">
                  <c:v>8.328</c:v>
                </c:pt>
                <c:pt idx="1161">
                  <c:v>8.219</c:v>
                </c:pt>
                <c:pt idx="1162">
                  <c:v>8.2278</c:v>
                </c:pt>
                <c:pt idx="1163">
                  <c:v>8.1519</c:v>
                </c:pt>
                <c:pt idx="1164">
                  <c:v>8.1749</c:v>
                </c:pt>
                <c:pt idx="1165">
                  <c:v>8.0214</c:v>
                </c:pt>
                <c:pt idx="1166">
                  <c:v>7.9015</c:v>
                </c:pt>
                <c:pt idx="1167">
                  <c:v>7.9727</c:v>
                </c:pt>
                <c:pt idx="1168">
                  <c:v>7.9923</c:v>
                </c:pt>
                <c:pt idx="1169">
                  <c:v>7.8638</c:v>
                </c:pt>
                <c:pt idx="1170">
                  <c:v>7.967</c:v>
                </c:pt>
                <c:pt idx="1171">
                  <c:v>7.8945</c:v>
                </c:pt>
                <c:pt idx="1172">
                  <c:v>7.85</c:v>
                </c:pt>
                <c:pt idx="1173">
                  <c:v>7.9965</c:v>
                </c:pt>
                <c:pt idx="1174">
                  <c:v>8.0548</c:v>
                </c:pt>
                <c:pt idx="1175">
                  <c:v>7.8791</c:v>
                </c:pt>
                <c:pt idx="1176">
                  <c:v>7.7355</c:v>
                </c:pt>
                <c:pt idx="1177">
                  <c:v>7.7147</c:v>
                </c:pt>
                <c:pt idx="1178">
                  <c:v>8.0024</c:v>
                </c:pt>
                <c:pt idx="1179">
                  <c:v>7.9061</c:v>
                </c:pt>
                <c:pt idx="1180">
                  <c:v>7.8716</c:v>
                </c:pt>
                <c:pt idx="1181">
                  <c:v>8.0404</c:v>
                </c:pt>
                <c:pt idx="1182">
                  <c:v>8.2107</c:v>
                </c:pt>
                <c:pt idx="1183">
                  <c:v>8.016</c:v>
                </c:pt>
                <c:pt idx="1184">
                  <c:v>7.9965</c:v>
                </c:pt>
                <c:pt idx="1185">
                  <c:v>7.9616</c:v>
                </c:pt>
                <c:pt idx="1186">
                  <c:v>7.8545</c:v>
                </c:pt>
                <c:pt idx="1187">
                  <c:v>7.8965</c:v>
                </c:pt>
                <c:pt idx="1188">
                  <c:v>7.7943</c:v>
                </c:pt>
                <c:pt idx="1189">
                  <c:v>7.9157</c:v>
                </c:pt>
                <c:pt idx="1190">
                  <c:v>7.8399</c:v>
                </c:pt>
                <c:pt idx="1191">
                  <c:v>7.9722</c:v>
                </c:pt>
                <c:pt idx="1192">
                  <c:v>7.9763</c:v>
                </c:pt>
                <c:pt idx="1193">
                  <c:v>8.0205</c:v>
                </c:pt>
                <c:pt idx="1194">
                  <c:v>8.2318</c:v>
                </c:pt>
                <c:pt idx="1195">
                  <c:v>8.229900000000001</c:v>
                </c:pt>
                <c:pt idx="1196">
                  <c:v>8.0395</c:v>
                </c:pt>
                <c:pt idx="1197">
                  <c:v>7.9575</c:v>
                </c:pt>
                <c:pt idx="1198">
                  <c:v>7.81</c:v>
                </c:pt>
                <c:pt idx="1199">
                  <c:v>7.8571</c:v>
                </c:pt>
                <c:pt idx="1200">
                  <c:v>8.0996</c:v>
                </c:pt>
                <c:pt idx="1201">
                  <c:v>8.2549</c:v>
                </c:pt>
                <c:pt idx="1202">
                  <c:v>8.2515</c:v>
                </c:pt>
                <c:pt idx="1203">
                  <c:v>7.9117</c:v>
                </c:pt>
                <c:pt idx="1204">
                  <c:v>7.709</c:v>
                </c:pt>
                <c:pt idx="1205">
                  <c:v>7.7177</c:v>
                </c:pt>
                <c:pt idx="1206">
                  <c:v>7.44</c:v>
                </c:pt>
                <c:pt idx="1207">
                  <c:v>7.3768</c:v>
                </c:pt>
                <c:pt idx="1208">
                  <c:v>7.4105</c:v>
                </c:pt>
                <c:pt idx="1209">
                  <c:v>7.3038</c:v>
                </c:pt>
                <c:pt idx="1210">
                  <c:v>7.4576</c:v>
                </c:pt>
                <c:pt idx="1211">
                  <c:v>7.2737</c:v>
                </c:pt>
                <c:pt idx="1212">
                  <c:v>7.167</c:v>
                </c:pt>
                <c:pt idx="1213">
                  <c:v>7.1394</c:v>
                </c:pt>
                <c:pt idx="1214">
                  <c:v>7.1899</c:v>
                </c:pt>
                <c:pt idx="1215">
                  <c:v>7.1326</c:v>
                </c:pt>
                <c:pt idx="1216">
                  <c:v>7.0674</c:v>
                </c:pt>
                <c:pt idx="1217">
                  <c:v>6.9932</c:v>
                </c:pt>
                <c:pt idx="1218">
                  <c:v>6.9782</c:v>
                </c:pt>
                <c:pt idx="1219">
                  <c:v>7.0871</c:v>
                </c:pt>
                <c:pt idx="1220">
                  <c:v>7.0525</c:v>
                </c:pt>
                <c:pt idx="1221">
                  <c:v>7.1304</c:v>
                </c:pt>
                <c:pt idx="1222">
                  <c:v>7.226</c:v>
                </c:pt>
                <c:pt idx="1223">
                  <c:v>7.2444</c:v>
                </c:pt>
                <c:pt idx="1224">
                  <c:v>7.1755</c:v>
                </c:pt>
                <c:pt idx="1225">
                  <c:v>7.2209</c:v>
                </c:pt>
                <c:pt idx="1226">
                  <c:v>7.178</c:v>
                </c:pt>
                <c:pt idx="1227">
                  <c:v>7.2147</c:v>
                </c:pt>
                <c:pt idx="1228">
                  <c:v>7.0914</c:v>
                </c:pt>
                <c:pt idx="1229">
                  <c:v>7.1367</c:v>
                </c:pt>
                <c:pt idx="1230">
                  <c:v>7.1426</c:v>
                </c:pt>
                <c:pt idx="1231">
                  <c:v>7.168</c:v>
                </c:pt>
                <c:pt idx="1232">
                  <c:v>7.2317</c:v>
                </c:pt>
                <c:pt idx="1233">
                  <c:v>7.2722</c:v>
                </c:pt>
                <c:pt idx="1234">
                  <c:v>7.4029</c:v>
                </c:pt>
                <c:pt idx="1235">
                  <c:v>7.1166</c:v>
                </c:pt>
                <c:pt idx="1236">
                  <c:v>6.8898</c:v>
                </c:pt>
                <c:pt idx="1237">
                  <c:v>6.9225</c:v>
                </c:pt>
                <c:pt idx="1238">
                  <c:v>6.7429</c:v>
                </c:pt>
                <c:pt idx="1239">
                  <c:v>6.7673</c:v>
                </c:pt>
                <c:pt idx="1240">
                  <c:v>6.7346</c:v>
                </c:pt>
                <c:pt idx="1241">
                  <c:v>6.6988</c:v>
                </c:pt>
                <c:pt idx="1242">
                  <c:v>6.7095</c:v>
                </c:pt>
                <c:pt idx="1243">
                  <c:v>6.6703</c:v>
                </c:pt>
                <c:pt idx="1244">
                  <c:v>6.6747</c:v>
                </c:pt>
                <c:pt idx="1245">
                  <c:v>6.7643</c:v>
                </c:pt>
                <c:pt idx="1246">
                  <c:v>6.7716</c:v>
                </c:pt>
                <c:pt idx="1247">
                  <c:v>6.7785</c:v>
                </c:pt>
                <c:pt idx="1248">
                  <c:v>6.8861</c:v>
                </c:pt>
                <c:pt idx="1249">
                  <c:v>6.9444</c:v>
                </c:pt>
                <c:pt idx="1250">
                  <c:v>6.9893</c:v>
                </c:pt>
                <c:pt idx="1251">
                  <c:v>6.9026</c:v>
                </c:pt>
                <c:pt idx="1252">
                  <c:v>6.8572</c:v>
                </c:pt>
                <c:pt idx="1253">
                  <c:v>6.8223</c:v>
                </c:pt>
                <c:pt idx="1254">
                  <c:v>6.8764</c:v>
                </c:pt>
                <c:pt idx="1255">
                  <c:v>6.8335</c:v>
                </c:pt>
                <c:pt idx="1256">
                  <c:v>6.714</c:v>
                </c:pt>
                <c:pt idx="1257">
                  <c:v>6.6777</c:v>
                </c:pt>
                <c:pt idx="1258">
                  <c:v>6.736</c:v>
                </c:pt>
                <c:pt idx="1259">
                  <c:v>6.7303</c:v>
                </c:pt>
                <c:pt idx="1260">
                  <c:v>6.7191</c:v>
                </c:pt>
                <c:pt idx="1261">
                  <c:v>6.7237</c:v>
                </c:pt>
                <c:pt idx="1262">
                  <c:v>6.7602</c:v>
                </c:pt>
                <c:pt idx="1263">
                  <c:v>6.8265</c:v>
                </c:pt>
                <c:pt idx="1264">
                  <c:v>6.8415</c:v>
                </c:pt>
                <c:pt idx="1265">
                  <c:v>6.8737</c:v>
                </c:pt>
                <c:pt idx="1266">
                  <c:v>6.8993</c:v>
                </c:pt>
                <c:pt idx="1267">
                  <c:v>6.8614</c:v>
                </c:pt>
                <c:pt idx="1268">
                  <c:v>6.7586</c:v>
                </c:pt>
                <c:pt idx="1269">
                  <c:v>6.7275</c:v>
                </c:pt>
                <c:pt idx="1270">
                  <c:v>6.7798</c:v>
                </c:pt>
                <c:pt idx="1271">
                  <c:v>6.778</c:v>
                </c:pt>
                <c:pt idx="1272">
                  <c:v>6.8414</c:v>
                </c:pt>
                <c:pt idx="1273">
                  <c:v>6.843199999999999</c:v>
                </c:pt>
                <c:pt idx="1274">
                  <c:v>6.7612</c:v>
                </c:pt>
                <c:pt idx="1275">
                  <c:v>6.8022</c:v>
                </c:pt>
                <c:pt idx="1276">
                  <c:v>6.802799999999999</c:v>
                </c:pt>
                <c:pt idx="1277">
                  <c:v>6.7351</c:v>
                </c:pt>
                <c:pt idx="1278">
                  <c:v>6.7179</c:v>
                </c:pt>
                <c:pt idx="1279">
                  <c:v>6.7129</c:v>
                </c:pt>
                <c:pt idx="1280">
                  <c:v>6.7637</c:v>
                </c:pt>
                <c:pt idx="1281">
                  <c:v>6.6931</c:v>
                </c:pt>
                <c:pt idx="1282">
                  <c:v>6.7573</c:v>
                </c:pt>
                <c:pt idx="1283">
                  <c:v>6.8069</c:v>
                </c:pt>
                <c:pt idx="1284">
                  <c:v>6.8158</c:v>
                </c:pt>
                <c:pt idx="1285">
                  <c:v>6.9457</c:v>
                </c:pt>
                <c:pt idx="1286">
                  <c:v>6.9223</c:v>
                </c:pt>
                <c:pt idx="1287">
                  <c:v>6.9783</c:v>
                </c:pt>
                <c:pt idx="1288">
                  <c:v>7.0256</c:v>
                </c:pt>
                <c:pt idx="1289">
                  <c:v>6.9904</c:v>
                </c:pt>
                <c:pt idx="1290">
                  <c:v>7.0146</c:v>
                </c:pt>
                <c:pt idx="1291">
                  <c:v>6.9069</c:v>
                </c:pt>
                <c:pt idx="1292">
                  <c:v>6.8778</c:v>
                </c:pt>
                <c:pt idx="1293">
                  <c:v>6.9198</c:v>
                </c:pt>
                <c:pt idx="1294">
                  <c:v>6.983</c:v>
                </c:pt>
                <c:pt idx="1295">
                  <c:v>6.982</c:v>
                </c:pt>
                <c:pt idx="1296">
                  <c:v>7.0472</c:v>
                </c:pt>
                <c:pt idx="1297">
                  <c:v>6.9061</c:v>
                </c:pt>
                <c:pt idx="1298">
                  <c:v>6.8923</c:v>
                </c:pt>
                <c:pt idx="1299">
                  <c:v>6.771</c:v>
                </c:pt>
                <c:pt idx="1300">
                  <c:v>6.7543</c:v>
                </c:pt>
                <c:pt idx="1301">
                  <c:v>6.687</c:v>
                </c:pt>
                <c:pt idx="1302">
                  <c:v>6.7369</c:v>
                </c:pt>
                <c:pt idx="1303">
                  <c:v>6.6658</c:v>
                </c:pt>
                <c:pt idx="1304">
                  <c:v>6.6264</c:v>
                </c:pt>
                <c:pt idx="1305">
                  <c:v>6.5802</c:v>
                </c:pt>
                <c:pt idx="1306">
                  <c:v>6.5791</c:v>
                </c:pt>
                <c:pt idx="1307">
                  <c:v>6.625</c:v>
                </c:pt>
                <c:pt idx="1308">
                  <c:v>6.649599999999999</c:v>
                </c:pt>
                <c:pt idx="1309">
                  <c:v>6.6802</c:v>
                </c:pt>
                <c:pt idx="1310">
                  <c:v>6.733</c:v>
                </c:pt>
                <c:pt idx="1311">
                  <c:v>6.7076</c:v>
                </c:pt>
                <c:pt idx="1312">
                  <c:v>6.7047</c:v>
                </c:pt>
                <c:pt idx="1313">
                  <c:v>6.7996</c:v>
                </c:pt>
                <c:pt idx="1314">
                  <c:v>6.8245</c:v>
                </c:pt>
                <c:pt idx="1315">
                  <c:v>6.8648</c:v>
                </c:pt>
                <c:pt idx="1316">
                  <c:v>6.8142</c:v>
                </c:pt>
                <c:pt idx="1317">
                  <c:v>6.8495</c:v>
                </c:pt>
                <c:pt idx="1318">
                  <c:v>6.7937</c:v>
                </c:pt>
                <c:pt idx="1319">
                  <c:v>6.734199999999999</c:v>
                </c:pt>
                <c:pt idx="1320">
                  <c:v>6.6627</c:v>
                </c:pt>
                <c:pt idx="1321">
                  <c:v>6.6563</c:v>
                </c:pt>
                <c:pt idx="1322">
                  <c:v>6.6748</c:v>
                </c:pt>
                <c:pt idx="1323">
                  <c:v>6.6848</c:v>
                </c:pt>
                <c:pt idx="1324">
                  <c:v>6.721999999999999</c:v>
                </c:pt>
                <c:pt idx="1325">
                  <c:v>6.7113</c:v>
                </c:pt>
                <c:pt idx="1326">
                  <c:v>6.6948</c:v>
                </c:pt>
                <c:pt idx="1327">
                  <c:v>6.7694</c:v>
                </c:pt>
                <c:pt idx="1328">
                  <c:v>6.8029</c:v>
                </c:pt>
                <c:pt idx="1329">
                  <c:v>6.8695</c:v>
                </c:pt>
                <c:pt idx="1330">
                  <c:v>6.8636</c:v>
                </c:pt>
                <c:pt idx="1331">
                  <c:v>6.8655</c:v>
                </c:pt>
                <c:pt idx="1332">
                  <c:v>6.8629</c:v>
                </c:pt>
                <c:pt idx="1333">
                  <c:v>6.9171</c:v>
                </c:pt>
                <c:pt idx="1334">
                  <c:v>6.8951</c:v>
                </c:pt>
                <c:pt idx="1335">
                  <c:v>6.9555</c:v>
                </c:pt>
                <c:pt idx="1336">
                  <c:v>7.0022</c:v>
                </c:pt>
                <c:pt idx="1337">
                  <c:v>7.102</c:v>
                </c:pt>
                <c:pt idx="1338">
                  <c:v>7.0761</c:v>
                </c:pt>
                <c:pt idx="1339">
                  <c:v>6.987</c:v>
                </c:pt>
                <c:pt idx="1340">
                  <c:v>6.838</c:v>
                </c:pt>
                <c:pt idx="1341">
                  <c:v>6.8779</c:v>
                </c:pt>
                <c:pt idx="1342">
                  <c:v>6.9057</c:v>
                </c:pt>
                <c:pt idx="1343">
                  <c:v>6.8714</c:v>
                </c:pt>
                <c:pt idx="1344">
                  <c:v>6.8815</c:v>
                </c:pt>
                <c:pt idx="1345">
                  <c:v>6.8836</c:v>
                </c:pt>
                <c:pt idx="1346">
                  <c:v>6.8985</c:v>
                </c:pt>
                <c:pt idx="1347">
                  <c:v>6.9084</c:v>
                </c:pt>
                <c:pt idx="1348">
                  <c:v>6.8784</c:v>
                </c:pt>
                <c:pt idx="1349">
                  <c:v>6.9714</c:v>
                </c:pt>
                <c:pt idx="1350">
                  <c:v>6.9594</c:v>
                </c:pt>
                <c:pt idx="1351">
                  <c:v>7.0028</c:v>
                </c:pt>
                <c:pt idx="1352">
                  <c:v>7.065</c:v>
                </c:pt>
                <c:pt idx="1353">
                  <c:v>7.1262</c:v>
                </c:pt>
                <c:pt idx="1354">
                  <c:v>7.1587</c:v>
                </c:pt>
                <c:pt idx="1355">
                  <c:v>7.1589</c:v>
                </c:pt>
                <c:pt idx="1356">
                  <c:v>7.1325</c:v>
                </c:pt>
                <c:pt idx="1357">
                  <c:v>7.1987</c:v>
                </c:pt>
                <c:pt idx="1358">
                  <c:v>7.2478</c:v>
                </c:pt>
                <c:pt idx="1359">
                  <c:v>7.311</c:v>
                </c:pt>
                <c:pt idx="1360">
                  <c:v>7.306599999999999</c:v>
                </c:pt>
                <c:pt idx="1361">
                  <c:v>7.2956</c:v>
                </c:pt>
                <c:pt idx="1362">
                  <c:v>7.2613</c:v>
                </c:pt>
                <c:pt idx="1363">
                  <c:v>7.2235</c:v>
                </c:pt>
                <c:pt idx="1364">
                  <c:v>7.1738</c:v>
                </c:pt>
                <c:pt idx="1365">
                  <c:v>7.2614</c:v>
                </c:pt>
                <c:pt idx="1366">
                  <c:v>7.2541</c:v>
                </c:pt>
                <c:pt idx="1367">
                  <c:v>7.2753</c:v>
                </c:pt>
                <c:pt idx="1368">
                  <c:v>7.1665</c:v>
                </c:pt>
                <c:pt idx="1369">
                  <c:v>7.1249</c:v>
                </c:pt>
                <c:pt idx="1370">
                  <c:v>7.1788</c:v>
                </c:pt>
                <c:pt idx="1371">
                  <c:v>7.1642</c:v>
                </c:pt>
                <c:pt idx="1372">
                  <c:v>7.0418</c:v>
                </c:pt>
                <c:pt idx="1373">
                  <c:v>7.093</c:v>
                </c:pt>
                <c:pt idx="1374">
                  <c:v>7.0759</c:v>
                </c:pt>
                <c:pt idx="1375">
                  <c:v>7.0055</c:v>
                </c:pt>
                <c:pt idx="1376">
                  <c:v>7.0819</c:v>
                </c:pt>
                <c:pt idx="1377">
                  <c:v>7.0699</c:v>
                </c:pt>
                <c:pt idx="1378">
                  <c:v>6.9898</c:v>
                </c:pt>
                <c:pt idx="1379">
                  <c:v>6.9133</c:v>
                </c:pt>
                <c:pt idx="1380">
                  <c:v>6.8963</c:v>
                </c:pt>
                <c:pt idx="1381">
                  <c:v>6.9444</c:v>
                </c:pt>
                <c:pt idx="1382">
                  <c:v>6.8149</c:v>
                </c:pt>
                <c:pt idx="1383">
                  <c:v>6.8325</c:v>
                </c:pt>
                <c:pt idx="1384">
                  <c:v>6.8714</c:v>
                </c:pt>
                <c:pt idx="1385">
                  <c:v>6.8307</c:v>
                </c:pt>
                <c:pt idx="1386">
                  <c:v>6.8172</c:v>
                </c:pt>
                <c:pt idx="1387">
                  <c:v>6.7815</c:v>
                </c:pt>
                <c:pt idx="1388">
                  <c:v>6.705</c:v>
                </c:pt>
                <c:pt idx="1389">
                  <c:v>6.6998</c:v>
                </c:pt>
                <c:pt idx="1390">
                  <c:v>6.608</c:v>
                </c:pt>
                <c:pt idx="1391">
                  <c:v>6.5869</c:v>
                </c:pt>
                <c:pt idx="1392">
                  <c:v>6.6649</c:v>
                </c:pt>
                <c:pt idx="1393">
                  <c:v>6.660999999999999</c:v>
                </c:pt>
                <c:pt idx="1394">
                  <c:v>6.6603</c:v>
                </c:pt>
                <c:pt idx="1395">
                  <c:v>6.7434</c:v>
                </c:pt>
                <c:pt idx="1396">
                  <c:v>6.733</c:v>
                </c:pt>
                <c:pt idx="1397">
                  <c:v>6.7448</c:v>
                </c:pt>
                <c:pt idx="1398">
                  <c:v>6.796</c:v>
                </c:pt>
                <c:pt idx="1399">
                  <c:v>6.8152</c:v>
                </c:pt>
                <c:pt idx="1400">
                  <c:v>6.8465</c:v>
                </c:pt>
                <c:pt idx="1401">
                  <c:v>6.8655</c:v>
                </c:pt>
                <c:pt idx="1402">
                  <c:v>6.835</c:v>
                </c:pt>
                <c:pt idx="1403">
                  <c:v>6.8252</c:v>
                </c:pt>
                <c:pt idx="1404">
                  <c:v>6.8225</c:v>
                </c:pt>
                <c:pt idx="1405">
                  <c:v>6.846</c:v>
                </c:pt>
                <c:pt idx="1406">
                  <c:v>6.8634</c:v>
                </c:pt>
                <c:pt idx="1407">
                  <c:v>6.8766</c:v>
                </c:pt>
                <c:pt idx="1408">
                  <c:v>6.9275</c:v>
                </c:pt>
                <c:pt idx="1409">
                  <c:v>6.8938</c:v>
                </c:pt>
                <c:pt idx="1410">
                  <c:v>6.8958</c:v>
                </c:pt>
                <c:pt idx="1411">
                  <c:v>6.8582</c:v>
                </c:pt>
                <c:pt idx="1412">
                  <c:v>6.887</c:v>
                </c:pt>
                <c:pt idx="1413">
                  <c:v>7.0061</c:v>
                </c:pt>
                <c:pt idx="1414">
                  <c:v>7.0918</c:v>
                </c:pt>
                <c:pt idx="1415">
                  <c:v>7.1587</c:v>
                </c:pt>
                <c:pt idx="1416">
                  <c:v>7.1385</c:v>
                </c:pt>
                <c:pt idx="1417">
                  <c:v>7.0512</c:v>
                </c:pt>
                <c:pt idx="1418">
                  <c:v>7.0662</c:v>
                </c:pt>
                <c:pt idx="1419">
                  <c:v>7.1078</c:v>
                </c:pt>
                <c:pt idx="1420">
                  <c:v>7.0285</c:v>
                </c:pt>
                <c:pt idx="1421">
                  <c:v>7.0184</c:v>
                </c:pt>
                <c:pt idx="1422">
                  <c:v>6.9887</c:v>
                </c:pt>
                <c:pt idx="1423">
                  <c:v>7.0135</c:v>
                </c:pt>
                <c:pt idx="1424">
                  <c:v>7.0676</c:v>
                </c:pt>
                <c:pt idx="1425">
                  <c:v>6.9485</c:v>
                </c:pt>
                <c:pt idx="1426">
                  <c:v>6.965</c:v>
                </c:pt>
                <c:pt idx="1427">
                  <c:v>6.9448</c:v>
                </c:pt>
                <c:pt idx="1428">
                  <c:v>6.9095</c:v>
                </c:pt>
                <c:pt idx="1429">
                  <c:v>6.8451</c:v>
                </c:pt>
                <c:pt idx="1430">
                  <c:v>6.837099999999999</c:v>
                </c:pt>
                <c:pt idx="1431">
                  <c:v>6.788</c:v>
                </c:pt>
                <c:pt idx="1432">
                  <c:v>6.81</c:v>
                </c:pt>
                <c:pt idx="1433">
                  <c:v>6.9126</c:v>
                </c:pt>
                <c:pt idx="1434">
                  <c:v>6.886</c:v>
                </c:pt>
                <c:pt idx="1435">
                  <c:v>6.979</c:v>
                </c:pt>
                <c:pt idx="1436">
                  <c:v>6.9757</c:v>
                </c:pt>
                <c:pt idx="1437">
                  <c:v>6.994</c:v>
                </c:pt>
                <c:pt idx="1438">
                  <c:v>7.0679</c:v>
                </c:pt>
                <c:pt idx="1439">
                  <c:v>6.9437</c:v>
                </c:pt>
                <c:pt idx="1440">
                  <c:v>6.921</c:v>
                </c:pt>
                <c:pt idx="1441">
                  <c:v>6.9641</c:v>
                </c:pt>
                <c:pt idx="1442">
                  <c:v>6.9475</c:v>
                </c:pt>
                <c:pt idx="1443">
                  <c:v>6.9149</c:v>
                </c:pt>
                <c:pt idx="1444">
                  <c:v>6.9584</c:v>
                </c:pt>
                <c:pt idx="1445">
                  <c:v>6.8713</c:v>
                </c:pt>
                <c:pt idx="1446">
                  <c:v>6.8266</c:v>
                </c:pt>
                <c:pt idx="1447">
                  <c:v>6.8018</c:v>
                </c:pt>
                <c:pt idx="1448">
                  <c:v>6.81</c:v>
                </c:pt>
                <c:pt idx="1449">
                  <c:v>6.8894</c:v>
                </c:pt>
                <c:pt idx="1450">
                  <c:v>6.8567</c:v>
                </c:pt>
                <c:pt idx="1451">
                  <c:v>6.8545</c:v>
                </c:pt>
                <c:pt idx="1452">
                  <c:v>6.9059</c:v>
                </c:pt>
                <c:pt idx="1453">
                  <c:v>6.8576</c:v>
                </c:pt>
                <c:pt idx="1454">
                  <c:v>6.9037</c:v>
                </c:pt>
                <c:pt idx="1455">
                  <c:v>7.0171</c:v>
                </c:pt>
                <c:pt idx="1456">
                  <c:v>6.9402</c:v>
                </c:pt>
                <c:pt idx="1457">
                  <c:v>6.9821</c:v>
                </c:pt>
                <c:pt idx="1458">
                  <c:v>6.9729</c:v>
                </c:pt>
                <c:pt idx="1459">
                  <c:v>6.9748</c:v>
                </c:pt>
                <c:pt idx="1460">
                  <c:v>6.9954</c:v>
                </c:pt>
                <c:pt idx="1461">
                  <c:v>7.0063</c:v>
                </c:pt>
                <c:pt idx="1462">
                  <c:v>7.0361</c:v>
                </c:pt>
                <c:pt idx="1463">
                  <c:v>7.0248</c:v>
                </c:pt>
                <c:pt idx="1464">
                  <c:v>7.1319</c:v>
                </c:pt>
                <c:pt idx="1465">
                  <c:v>7.1294</c:v>
                </c:pt>
                <c:pt idx="1466">
                  <c:v>7.1263</c:v>
                </c:pt>
                <c:pt idx="1467">
                  <c:v>7.1612</c:v>
                </c:pt>
                <c:pt idx="1468">
                  <c:v>7.0931</c:v>
                </c:pt>
                <c:pt idx="1469">
                  <c:v>7.0662</c:v>
                </c:pt>
                <c:pt idx="1470">
                  <c:v>7.1408</c:v>
                </c:pt>
                <c:pt idx="1471">
                  <c:v>7.1884</c:v>
                </c:pt>
                <c:pt idx="1472">
                  <c:v>7.2024</c:v>
                </c:pt>
                <c:pt idx="1473">
                  <c:v>7.2405</c:v>
                </c:pt>
                <c:pt idx="1474">
                  <c:v>7.2631</c:v>
                </c:pt>
                <c:pt idx="1475">
                  <c:v>7.2213</c:v>
                </c:pt>
                <c:pt idx="1476">
                  <c:v>7.1818</c:v>
                </c:pt>
                <c:pt idx="1477">
                  <c:v>7.2352</c:v>
                </c:pt>
                <c:pt idx="1478">
                  <c:v>7.2911</c:v>
                </c:pt>
                <c:pt idx="1479">
                  <c:v>7.3835</c:v>
                </c:pt>
                <c:pt idx="1480">
                  <c:v>7.3413</c:v>
                </c:pt>
                <c:pt idx="1481">
                  <c:v>7.3076</c:v>
                </c:pt>
                <c:pt idx="1482">
                  <c:v>7.3161</c:v>
                </c:pt>
                <c:pt idx="1483">
                  <c:v>7.3651</c:v>
                </c:pt>
                <c:pt idx="1484">
                  <c:v>7.3568</c:v>
                </c:pt>
                <c:pt idx="1485">
                  <c:v>7.3441</c:v>
                </c:pt>
                <c:pt idx="1486">
                  <c:v>7.3288</c:v>
                </c:pt>
                <c:pt idx="1487">
                  <c:v>7.292</c:v>
                </c:pt>
                <c:pt idx="1488">
                  <c:v>7.2563</c:v>
                </c:pt>
                <c:pt idx="1489">
                  <c:v>7.2602</c:v>
                </c:pt>
                <c:pt idx="1490">
                  <c:v>7.2522</c:v>
                </c:pt>
                <c:pt idx="1491">
                  <c:v>7.3058</c:v>
                </c:pt>
                <c:pt idx="1492">
                  <c:v>7.29</c:v>
                </c:pt>
                <c:pt idx="1493">
                  <c:v>7.2804</c:v>
                </c:pt>
                <c:pt idx="1494">
                  <c:v>7.233</c:v>
                </c:pt>
                <c:pt idx="1495">
                  <c:v>7.1908</c:v>
                </c:pt>
                <c:pt idx="1496">
                  <c:v>7.2452</c:v>
                </c:pt>
                <c:pt idx="1497">
                  <c:v>7.2488</c:v>
                </c:pt>
                <c:pt idx="1498">
                  <c:v>7.2553</c:v>
                </c:pt>
                <c:pt idx="1499">
                  <c:v>7.2839</c:v>
                </c:pt>
                <c:pt idx="1500">
                  <c:v>7.2744</c:v>
                </c:pt>
                <c:pt idx="1501">
                  <c:v>7.2988</c:v>
                </c:pt>
                <c:pt idx="1502">
                  <c:v>7.3467</c:v>
                </c:pt>
                <c:pt idx="1503">
                  <c:v>7.3372</c:v>
                </c:pt>
                <c:pt idx="1504">
                  <c:v>7.3263</c:v>
                </c:pt>
                <c:pt idx="1505">
                  <c:v>7.3553</c:v>
                </c:pt>
                <c:pt idx="1506">
                  <c:v>7.4516</c:v>
                </c:pt>
                <c:pt idx="1507">
                  <c:v>7.4408</c:v>
                </c:pt>
                <c:pt idx="1508">
                  <c:v>7.522</c:v>
                </c:pt>
                <c:pt idx="1509">
                  <c:v>7.5815</c:v>
                </c:pt>
                <c:pt idx="1510">
                  <c:v>7.6513</c:v>
                </c:pt>
                <c:pt idx="1511">
                  <c:v>7.5964</c:v>
                </c:pt>
                <c:pt idx="1512">
                  <c:v>7.5852</c:v>
                </c:pt>
                <c:pt idx="1513">
                  <c:v>7.5336</c:v>
                </c:pt>
                <c:pt idx="1514">
                  <c:v>7.5286</c:v>
                </c:pt>
                <c:pt idx="1515">
                  <c:v>7.6171</c:v>
                </c:pt>
                <c:pt idx="1516">
                  <c:v>7.5836</c:v>
                </c:pt>
                <c:pt idx="1517">
                  <c:v>7.5913</c:v>
                </c:pt>
                <c:pt idx="1518">
                  <c:v>7.6249</c:v>
                </c:pt>
                <c:pt idx="1519">
                  <c:v>7.6476</c:v>
                </c:pt>
                <c:pt idx="1520">
                  <c:v>7.7465</c:v>
                </c:pt>
                <c:pt idx="1521">
                  <c:v>7.7254</c:v>
                </c:pt>
                <c:pt idx="1522">
                  <c:v>7.7379</c:v>
                </c:pt>
                <c:pt idx="1523">
                  <c:v>7.6543</c:v>
                </c:pt>
                <c:pt idx="1524">
                  <c:v>7.6662</c:v>
                </c:pt>
                <c:pt idx="1525">
                  <c:v>7.5626</c:v>
                </c:pt>
                <c:pt idx="1526">
                  <c:v>7.62</c:v>
                </c:pt>
                <c:pt idx="1527">
                  <c:v>7.5744</c:v>
                </c:pt>
                <c:pt idx="1528">
                  <c:v>7.55</c:v>
                </c:pt>
                <c:pt idx="1529">
                  <c:v>7.5386</c:v>
                </c:pt>
                <c:pt idx="1530">
                  <c:v>7.4918</c:v>
                </c:pt>
                <c:pt idx="1531">
                  <c:v>7.5174</c:v>
                </c:pt>
                <c:pt idx="1532">
                  <c:v>7.5901</c:v>
                </c:pt>
                <c:pt idx="1533">
                  <c:v>7.5806</c:v>
                </c:pt>
                <c:pt idx="1534">
                  <c:v>7.5958</c:v>
                </c:pt>
                <c:pt idx="1535">
                  <c:v>7.6631</c:v>
                </c:pt>
                <c:pt idx="1536">
                  <c:v>7.7097</c:v>
                </c:pt>
                <c:pt idx="1537">
                  <c:v>7.7151</c:v>
                </c:pt>
                <c:pt idx="1538">
                  <c:v>7.7503</c:v>
                </c:pt>
                <c:pt idx="1539">
                  <c:v>7.7469</c:v>
                </c:pt>
                <c:pt idx="1540">
                  <c:v>7.7996</c:v>
                </c:pt>
                <c:pt idx="1541">
                  <c:v>7.7655</c:v>
                </c:pt>
                <c:pt idx="1542">
                  <c:v>7.7055</c:v>
                </c:pt>
                <c:pt idx="1543">
                  <c:v>7.6761</c:v>
                </c:pt>
                <c:pt idx="1544">
                  <c:v>7.6763</c:v>
                </c:pt>
                <c:pt idx="1545">
                  <c:v>7.6604</c:v>
                </c:pt>
                <c:pt idx="1546">
                  <c:v>7.6085</c:v>
                </c:pt>
                <c:pt idx="1547">
                  <c:v>7.574</c:v>
                </c:pt>
                <c:pt idx="1548">
                  <c:v>7.7188</c:v>
                </c:pt>
                <c:pt idx="1549">
                  <c:v>7.9433</c:v>
                </c:pt>
                <c:pt idx="1550">
                  <c:v>7.8258</c:v>
                </c:pt>
                <c:pt idx="1551">
                  <c:v>7.9275</c:v>
                </c:pt>
                <c:pt idx="1552">
                  <c:v>8.0154</c:v>
                </c:pt>
                <c:pt idx="1553">
                  <c:v>7.8471</c:v>
                </c:pt>
                <c:pt idx="1554">
                  <c:v>7.605</c:v>
                </c:pt>
                <c:pt idx="1555">
                  <c:v>7.6042</c:v>
                </c:pt>
                <c:pt idx="1556">
                  <c:v>7.5416</c:v>
                </c:pt>
                <c:pt idx="1557">
                  <c:v>7.4533</c:v>
                </c:pt>
                <c:pt idx="1558">
                  <c:v>7.4752</c:v>
                </c:pt>
                <c:pt idx="1559">
                  <c:v>7.4872</c:v>
                </c:pt>
                <c:pt idx="1560">
                  <c:v>7.5016</c:v>
                </c:pt>
                <c:pt idx="1561">
                  <c:v>7.6524</c:v>
                </c:pt>
                <c:pt idx="1562">
                  <c:v>7.7398</c:v>
                </c:pt>
                <c:pt idx="1563">
                  <c:v>7.6146</c:v>
                </c:pt>
                <c:pt idx="1564">
                  <c:v>7.5529</c:v>
                </c:pt>
                <c:pt idx="1565">
                  <c:v>7.4099</c:v>
                </c:pt>
                <c:pt idx="1566">
                  <c:v>7.3885</c:v>
                </c:pt>
                <c:pt idx="1567">
                  <c:v>7.3527</c:v>
                </c:pt>
                <c:pt idx="1568">
                  <c:v>7.4861</c:v>
                </c:pt>
                <c:pt idx="1569">
                  <c:v>7.4467</c:v>
                </c:pt>
                <c:pt idx="1570">
                  <c:v>7.3288</c:v>
                </c:pt>
                <c:pt idx="1571">
                  <c:v>7.4395</c:v>
                </c:pt>
                <c:pt idx="1572">
                  <c:v>7.4963</c:v>
                </c:pt>
                <c:pt idx="1573">
                  <c:v>7.4035</c:v>
                </c:pt>
                <c:pt idx="1574">
                  <c:v>7.3875</c:v>
                </c:pt>
                <c:pt idx="1575">
                  <c:v>7.4809</c:v>
                </c:pt>
                <c:pt idx="1576">
                  <c:v>7.4037</c:v>
                </c:pt>
                <c:pt idx="1577">
                  <c:v>7.3138</c:v>
                </c:pt>
                <c:pt idx="1578">
                  <c:v>7.3004</c:v>
                </c:pt>
                <c:pt idx="1579">
                  <c:v>7.3025</c:v>
                </c:pt>
                <c:pt idx="1580">
                  <c:v>7.2684</c:v>
                </c:pt>
                <c:pt idx="1581">
                  <c:v>7.2442</c:v>
                </c:pt>
                <c:pt idx="1582">
                  <c:v>7.269</c:v>
                </c:pt>
                <c:pt idx="1583">
                  <c:v>7.2759</c:v>
                </c:pt>
                <c:pt idx="1584">
                  <c:v>7.264</c:v>
                </c:pt>
                <c:pt idx="1585">
                  <c:v>7.2351</c:v>
                </c:pt>
                <c:pt idx="1586">
                  <c:v>7.2463</c:v>
                </c:pt>
                <c:pt idx="1587">
                  <c:v>7.248</c:v>
                </c:pt>
                <c:pt idx="1588">
                  <c:v>7.2647</c:v>
                </c:pt>
                <c:pt idx="1589">
                  <c:v>7.3825</c:v>
                </c:pt>
                <c:pt idx="1590">
                  <c:v>7.4207</c:v>
                </c:pt>
                <c:pt idx="1591">
                  <c:v>7.4538</c:v>
                </c:pt>
                <c:pt idx="1592">
                  <c:v>7.4675</c:v>
                </c:pt>
                <c:pt idx="1593">
                  <c:v>7.3805</c:v>
                </c:pt>
                <c:pt idx="1594">
                  <c:v>7.3244</c:v>
                </c:pt>
                <c:pt idx="1595">
                  <c:v>7.3274</c:v>
                </c:pt>
                <c:pt idx="1596">
                  <c:v>7.3297</c:v>
                </c:pt>
                <c:pt idx="1597">
                  <c:v>7.291</c:v>
                </c:pt>
                <c:pt idx="1598">
                  <c:v>7.2823</c:v>
                </c:pt>
                <c:pt idx="1599">
                  <c:v>7.3665</c:v>
                </c:pt>
                <c:pt idx="1600">
                  <c:v>7.4194</c:v>
                </c:pt>
                <c:pt idx="1601">
                  <c:v>7.3966</c:v>
                </c:pt>
                <c:pt idx="1602">
                  <c:v>7.4313</c:v>
                </c:pt>
                <c:pt idx="1603">
                  <c:v>7.417</c:v>
                </c:pt>
                <c:pt idx="1604">
                  <c:v>7.387</c:v>
                </c:pt>
                <c:pt idx="1605">
                  <c:v>7.3888</c:v>
                </c:pt>
                <c:pt idx="1606">
                  <c:v>7.4213</c:v>
                </c:pt>
                <c:pt idx="1607">
                  <c:v>7.4769</c:v>
                </c:pt>
                <c:pt idx="1608">
                  <c:v>7.511</c:v>
                </c:pt>
                <c:pt idx="1609">
                  <c:v>7.5933</c:v>
                </c:pt>
                <c:pt idx="1610">
                  <c:v>7.6062</c:v>
                </c:pt>
                <c:pt idx="1611">
                  <c:v>7.6706</c:v>
                </c:pt>
                <c:pt idx="1612">
                  <c:v>7.8388</c:v>
                </c:pt>
                <c:pt idx="1613">
                  <c:v>7.7575</c:v>
                </c:pt>
                <c:pt idx="1614">
                  <c:v>7.7815</c:v>
                </c:pt>
                <c:pt idx="1615">
                  <c:v>7.7265</c:v>
                </c:pt>
                <c:pt idx="1616">
                  <c:v>7.658</c:v>
                </c:pt>
                <c:pt idx="1617">
                  <c:v>7.6127</c:v>
                </c:pt>
                <c:pt idx="1618">
                  <c:v>7.6088</c:v>
                </c:pt>
                <c:pt idx="1619">
                  <c:v>7.6718</c:v>
                </c:pt>
                <c:pt idx="1620">
                  <c:v>7.7328</c:v>
                </c:pt>
                <c:pt idx="1621">
                  <c:v>7.697599999999999</c:v>
                </c:pt>
                <c:pt idx="1622">
                  <c:v>7.6407</c:v>
                </c:pt>
                <c:pt idx="1623">
                  <c:v>7.743</c:v>
                </c:pt>
                <c:pt idx="1624">
                  <c:v>7.697</c:v>
                </c:pt>
                <c:pt idx="1625">
                  <c:v>7.7248</c:v>
                </c:pt>
                <c:pt idx="1626">
                  <c:v>7.7858</c:v>
                </c:pt>
                <c:pt idx="1627">
                  <c:v>7.6895</c:v>
                </c:pt>
                <c:pt idx="1628">
                  <c:v>7.5071</c:v>
                </c:pt>
                <c:pt idx="1629">
                  <c:v>7.4921</c:v>
                </c:pt>
                <c:pt idx="1630">
                  <c:v>7.5075</c:v>
                </c:pt>
                <c:pt idx="1631">
                  <c:v>7.5662</c:v>
                </c:pt>
                <c:pt idx="1632">
                  <c:v>7.6268</c:v>
                </c:pt>
                <c:pt idx="1633">
                  <c:v>7.6218</c:v>
                </c:pt>
                <c:pt idx="1634">
                  <c:v>7.5594</c:v>
                </c:pt>
                <c:pt idx="1635">
                  <c:v>7.6</c:v>
                </c:pt>
                <c:pt idx="1636">
                  <c:v>7.5984</c:v>
                </c:pt>
                <c:pt idx="1637">
                  <c:v>7.5725</c:v>
                </c:pt>
                <c:pt idx="1638">
                  <c:v>7.53</c:v>
                </c:pt>
                <c:pt idx="1639">
                  <c:v>7.4011</c:v>
                </c:pt>
                <c:pt idx="1640">
                  <c:v>7.3962</c:v>
                </c:pt>
                <c:pt idx="1641">
                  <c:v>7.4141</c:v>
                </c:pt>
                <c:pt idx="1642">
                  <c:v>7.4022</c:v>
                </c:pt>
                <c:pt idx="1643">
                  <c:v>7.4053</c:v>
                </c:pt>
                <c:pt idx="1644">
                  <c:v>7.4427</c:v>
                </c:pt>
                <c:pt idx="1645">
                  <c:v>7.369099999999999</c:v>
                </c:pt>
                <c:pt idx="1646">
                  <c:v>7.326</c:v>
                </c:pt>
                <c:pt idx="1647">
                  <c:v>7.4347</c:v>
                </c:pt>
                <c:pt idx="1648">
                  <c:v>7.3048</c:v>
                </c:pt>
                <c:pt idx="1649">
                  <c:v>7.3143</c:v>
                </c:pt>
                <c:pt idx="1650">
                  <c:v>7.2883</c:v>
                </c:pt>
                <c:pt idx="1651">
                  <c:v>7.389</c:v>
                </c:pt>
                <c:pt idx="1652">
                  <c:v>7.38</c:v>
                </c:pt>
                <c:pt idx="1653">
                  <c:v>7.3872</c:v>
                </c:pt>
                <c:pt idx="1654">
                  <c:v>7.391</c:v>
                </c:pt>
                <c:pt idx="1655">
                  <c:v>7.4874</c:v>
                </c:pt>
                <c:pt idx="1656">
                  <c:v>7.5315</c:v>
                </c:pt>
                <c:pt idx="1657">
                  <c:v>7.543</c:v>
                </c:pt>
                <c:pt idx="1658">
                  <c:v>7.6111</c:v>
                </c:pt>
                <c:pt idx="1659">
                  <c:v>7.7085</c:v>
                </c:pt>
                <c:pt idx="1660">
                  <c:v>7.7435</c:v>
                </c:pt>
                <c:pt idx="1661">
                  <c:v>7.577</c:v>
                </c:pt>
                <c:pt idx="1662">
                  <c:v>7.555</c:v>
                </c:pt>
                <c:pt idx="1663">
                  <c:v>7.4138</c:v>
                </c:pt>
                <c:pt idx="1664">
                  <c:v>7.4649</c:v>
                </c:pt>
                <c:pt idx="1665">
                  <c:v>7.3913</c:v>
                </c:pt>
                <c:pt idx="1666">
                  <c:v>7.5323</c:v>
                </c:pt>
                <c:pt idx="1667">
                  <c:v>7.5642</c:v>
                </c:pt>
                <c:pt idx="1668">
                  <c:v>7.594</c:v>
                </c:pt>
                <c:pt idx="1669">
                  <c:v>7.5475</c:v>
                </c:pt>
                <c:pt idx="1670">
                  <c:v>7.4185</c:v>
                </c:pt>
                <c:pt idx="1671">
                  <c:v>7.4221</c:v>
                </c:pt>
                <c:pt idx="1672">
                  <c:v>7.3425</c:v>
                </c:pt>
                <c:pt idx="1673">
                  <c:v>7.325</c:v>
                </c:pt>
                <c:pt idx="1674">
                  <c:v>7.3</c:v>
                </c:pt>
                <c:pt idx="1675">
                  <c:v>7.4215</c:v>
                </c:pt>
                <c:pt idx="1676">
                  <c:v>7.409</c:v>
                </c:pt>
                <c:pt idx="1677">
                  <c:v>7.4916</c:v>
                </c:pt>
                <c:pt idx="1678">
                  <c:v>7.332</c:v>
                </c:pt>
                <c:pt idx="1679">
                  <c:v>7.4555</c:v>
                </c:pt>
                <c:pt idx="1680">
                  <c:v>7.4767</c:v>
                </c:pt>
                <c:pt idx="1681">
                  <c:v>7.611</c:v>
                </c:pt>
                <c:pt idx="1682">
                  <c:v>7.5265</c:v>
                </c:pt>
                <c:pt idx="1683">
                  <c:v>7.4735</c:v>
                </c:pt>
                <c:pt idx="1684">
                  <c:v>7.4741</c:v>
                </c:pt>
                <c:pt idx="1685">
                  <c:v>7.3866</c:v>
                </c:pt>
                <c:pt idx="1686">
                  <c:v>7.4081</c:v>
                </c:pt>
                <c:pt idx="1687">
                  <c:v>7.4425</c:v>
                </c:pt>
                <c:pt idx="1688">
                  <c:v>7.3921</c:v>
                </c:pt>
                <c:pt idx="1689">
                  <c:v>7.3967</c:v>
                </c:pt>
                <c:pt idx="1690">
                  <c:v>7.4078</c:v>
                </c:pt>
                <c:pt idx="1691">
                  <c:v>7.5274</c:v>
                </c:pt>
                <c:pt idx="1692">
                  <c:v>7.6121</c:v>
                </c:pt>
                <c:pt idx="1693">
                  <c:v>7.6438</c:v>
                </c:pt>
                <c:pt idx="1694">
                  <c:v>7.8457</c:v>
                </c:pt>
                <c:pt idx="1695">
                  <c:v>7.895</c:v>
                </c:pt>
                <c:pt idx="1696">
                  <c:v>7.854</c:v>
                </c:pt>
                <c:pt idx="1697">
                  <c:v>7.7085</c:v>
                </c:pt>
                <c:pt idx="1698">
                  <c:v>7.8225</c:v>
                </c:pt>
                <c:pt idx="1699">
                  <c:v>7.683</c:v>
                </c:pt>
                <c:pt idx="1700">
                  <c:v>7.5519</c:v>
                </c:pt>
                <c:pt idx="1701">
                  <c:v>7.4477</c:v>
                </c:pt>
                <c:pt idx="1702">
                  <c:v>7.4288</c:v>
                </c:pt>
                <c:pt idx="1703">
                  <c:v>7.3561</c:v>
                </c:pt>
                <c:pt idx="1704">
                  <c:v>7.3913</c:v>
                </c:pt>
                <c:pt idx="1705">
                  <c:v>7.3107</c:v>
                </c:pt>
                <c:pt idx="1706">
                  <c:v>7.3557</c:v>
                </c:pt>
                <c:pt idx="1707">
                  <c:v>7.2745</c:v>
                </c:pt>
                <c:pt idx="1708">
                  <c:v>7.2622</c:v>
                </c:pt>
                <c:pt idx="1709">
                  <c:v>7.3521</c:v>
                </c:pt>
                <c:pt idx="1710">
                  <c:v>7.3346</c:v>
                </c:pt>
                <c:pt idx="1711">
                  <c:v>7.3929</c:v>
                </c:pt>
                <c:pt idx="1712">
                  <c:v>7.3233</c:v>
                </c:pt>
                <c:pt idx="1713">
                  <c:v>7.4531</c:v>
                </c:pt>
                <c:pt idx="1714">
                  <c:v>7.3817</c:v>
                </c:pt>
                <c:pt idx="1715">
                  <c:v>7.5583</c:v>
                </c:pt>
                <c:pt idx="1716">
                  <c:v>7.662</c:v>
                </c:pt>
                <c:pt idx="1717">
                  <c:v>7.684</c:v>
                </c:pt>
                <c:pt idx="1718">
                  <c:v>7.5093</c:v>
                </c:pt>
                <c:pt idx="1719">
                  <c:v>7.4051</c:v>
                </c:pt>
                <c:pt idx="1720">
                  <c:v>7.3982</c:v>
                </c:pt>
                <c:pt idx="1721">
                  <c:v>7.4161</c:v>
                </c:pt>
                <c:pt idx="1722">
                  <c:v>7.4805</c:v>
                </c:pt>
                <c:pt idx="1723">
                  <c:v>7.4273</c:v>
                </c:pt>
                <c:pt idx="1724">
                  <c:v>7.385</c:v>
                </c:pt>
                <c:pt idx="1725">
                  <c:v>7.4945</c:v>
                </c:pt>
                <c:pt idx="1726">
                  <c:v>7.4349</c:v>
                </c:pt>
                <c:pt idx="1727">
                  <c:v>7.4145</c:v>
                </c:pt>
                <c:pt idx="1728">
                  <c:v>7.3225</c:v>
                </c:pt>
                <c:pt idx="1729">
                  <c:v>7.3741</c:v>
                </c:pt>
                <c:pt idx="1730">
                  <c:v>7.4535</c:v>
                </c:pt>
                <c:pt idx="1731">
                  <c:v>7.443</c:v>
                </c:pt>
                <c:pt idx="1732">
                  <c:v>7.5553</c:v>
                </c:pt>
                <c:pt idx="1733">
                  <c:v>7.4983</c:v>
                </c:pt>
                <c:pt idx="1734">
                  <c:v>7.5187</c:v>
                </c:pt>
                <c:pt idx="1735">
                  <c:v>7.581</c:v>
                </c:pt>
                <c:pt idx="1736">
                  <c:v>7.5995</c:v>
                </c:pt>
                <c:pt idx="1737">
                  <c:v>7.6683</c:v>
                </c:pt>
                <c:pt idx="1738">
                  <c:v>7.8159</c:v>
                </c:pt>
                <c:pt idx="1739">
                  <c:v>7.8859</c:v>
                </c:pt>
                <c:pt idx="1740">
                  <c:v>7.7838</c:v>
                </c:pt>
                <c:pt idx="1741">
                  <c:v>7.7613</c:v>
                </c:pt>
                <c:pt idx="1742">
                  <c:v>7.8541</c:v>
                </c:pt>
                <c:pt idx="1743">
                  <c:v>7.861</c:v>
                </c:pt>
                <c:pt idx="1744">
                  <c:v>7.8186</c:v>
                </c:pt>
                <c:pt idx="1745">
                  <c:v>7.8038</c:v>
                </c:pt>
                <c:pt idx="1746">
                  <c:v>7.7873</c:v>
                </c:pt>
                <c:pt idx="1747">
                  <c:v>7.9055</c:v>
                </c:pt>
                <c:pt idx="1748">
                  <c:v>8.0025</c:v>
                </c:pt>
                <c:pt idx="1749">
                  <c:v>8.0367</c:v>
                </c:pt>
                <c:pt idx="1750">
                  <c:v>8.1565</c:v>
                </c:pt>
                <c:pt idx="1751">
                  <c:v>8.0808</c:v>
                </c:pt>
                <c:pt idx="1752">
                  <c:v>8.0245</c:v>
                </c:pt>
                <c:pt idx="1753">
                  <c:v>8.0663</c:v>
                </c:pt>
                <c:pt idx="1754">
                  <c:v>8.136100000000001</c:v>
                </c:pt>
                <c:pt idx="1755">
                  <c:v>8.1188</c:v>
                </c:pt>
                <c:pt idx="1756">
                  <c:v>7.9913</c:v>
                </c:pt>
                <c:pt idx="1757">
                  <c:v>8.0719</c:v>
                </c:pt>
                <c:pt idx="1758">
                  <c:v>7.924</c:v>
                </c:pt>
                <c:pt idx="1759">
                  <c:v>7.8376</c:v>
                </c:pt>
                <c:pt idx="1760">
                  <c:v>7.7493</c:v>
                </c:pt>
                <c:pt idx="1761">
                  <c:v>7.7828</c:v>
                </c:pt>
                <c:pt idx="1762">
                  <c:v>7.8013</c:v>
                </c:pt>
                <c:pt idx="1763">
                  <c:v>7.8761</c:v>
                </c:pt>
                <c:pt idx="1764">
                  <c:v>7.8907</c:v>
                </c:pt>
                <c:pt idx="1765">
                  <c:v>7.7625</c:v>
                </c:pt>
                <c:pt idx="1766">
                  <c:v>7.7309</c:v>
                </c:pt>
                <c:pt idx="1767">
                  <c:v>7.6463</c:v>
                </c:pt>
                <c:pt idx="1768">
                  <c:v>7.6964</c:v>
                </c:pt>
                <c:pt idx="1769">
                  <c:v>7.8335</c:v>
                </c:pt>
                <c:pt idx="1770">
                  <c:v>7.8525</c:v>
                </c:pt>
                <c:pt idx="1771">
                  <c:v>8.0389</c:v>
                </c:pt>
                <c:pt idx="1772">
                  <c:v>8.1185</c:v>
                </c:pt>
                <c:pt idx="1773">
                  <c:v>8.1283</c:v>
                </c:pt>
                <c:pt idx="1774">
                  <c:v>8.2865</c:v>
                </c:pt>
                <c:pt idx="1775">
                  <c:v>8.2655</c:v>
                </c:pt>
                <c:pt idx="1776">
                  <c:v>8.2663</c:v>
                </c:pt>
                <c:pt idx="1777">
                  <c:v>8.1099</c:v>
                </c:pt>
                <c:pt idx="1778">
                  <c:v>8.2354</c:v>
                </c:pt>
                <c:pt idx="1779">
                  <c:v>8.0503</c:v>
                </c:pt>
                <c:pt idx="1780">
                  <c:v>7.9913</c:v>
                </c:pt>
                <c:pt idx="1781">
                  <c:v>7.9375</c:v>
                </c:pt>
                <c:pt idx="1782">
                  <c:v>7.8463</c:v>
                </c:pt>
                <c:pt idx="1783">
                  <c:v>7.7463</c:v>
                </c:pt>
                <c:pt idx="1784">
                  <c:v>7.745</c:v>
                </c:pt>
                <c:pt idx="1785">
                  <c:v>7.8165</c:v>
                </c:pt>
                <c:pt idx="1786">
                  <c:v>7.8821</c:v>
                </c:pt>
                <c:pt idx="1787">
                  <c:v>8.0245</c:v>
                </c:pt>
                <c:pt idx="1788">
                  <c:v>8.0476</c:v>
                </c:pt>
                <c:pt idx="1789">
                  <c:v>8.1654</c:v>
                </c:pt>
                <c:pt idx="1790">
                  <c:v>8.1955</c:v>
                </c:pt>
                <c:pt idx="1791">
                  <c:v>8.0987</c:v>
                </c:pt>
                <c:pt idx="1792">
                  <c:v>8.1174</c:v>
                </c:pt>
                <c:pt idx="1793">
                  <c:v>8.0953</c:v>
                </c:pt>
                <c:pt idx="1794">
                  <c:v>8.0391</c:v>
                </c:pt>
                <c:pt idx="1795">
                  <c:v>8.097300000000001</c:v>
                </c:pt>
                <c:pt idx="1796">
                  <c:v>8.035</c:v>
                </c:pt>
                <c:pt idx="1797">
                  <c:v>7.9475</c:v>
                </c:pt>
                <c:pt idx="1798">
                  <c:v>8.0878</c:v>
                </c:pt>
                <c:pt idx="1799">
                  <c:v>8.1035</c:v>
                </c:pt>
                <c:pt idx="1800">
                  <c:v>8.17</c:v>
                </c:pt>
                <c:pt idx="1801">
                  <c:v>8.039</c:v>
                </c:pt>
                <c:pt idx="1802">
                  <c:v>8.042</c:v>
                </c:pt>
                <c:pt idx="1803">
                  <c:v>8.1121</c:v>
                </c:pt>
                <c:pt idx="1804">
                  <c:v>8.0145</c:v>
                </c:pt>
                <c:pt idx="1805">
                  <c:v>7.9684</c:v>
                </c:pt>
                <c:pt idx="1806">
                  <c:v>7.9845</c:v>
                </c:pt>
                <c:pt idx="1807">
                  <c:v>8.0976</c:v>
                </c:pt>
                <c:pt idx="1808">
                  <c:v>8.0854</c:v>
                </c:pt>
                <c:pt idx="1809">
                  <c:v>8.283300000000001</c:v>
                </c:pt>
                <c:pt idx="1810">
                  <c:v>8.213</c:v>
                </c:pt>
                <c:pt idx="1811">
                  <c:v>8.2739</c:v>
                </c:pt>
                <c:pt idx="1812">
                  <c:v>8.359</c:v>
                </c:pt>
                <c:pt idx="1813">
                  <c:v>8.3557</c:v>
                </c:pt>
                <c:pt idx="1814">
                  <c:v>8.4455</c:v>
                </c:pt>
                <c:pt idx="1815">
                  <c:v>8.5659</c:v>
                </c:pt>
                <c:pt idx="1816">
                  <c:v>8.7472</c:v>
                </c:pt>
                <c:pt idx="1817">
                  <c:v>8.5594</c:v>
                </c:pt>
                <c:pt idx="1818">
                  <c:v>8.5219</c:v>
                </c:pt>
                <c:pt idx="1819">
                  <c:v>8.4935</c:v>
                </c:pt>
                <c:pt idx="1820">
                  <c:v>8.4236</c:v>
                </c:pt>
                <c:pt idx="1821">
                  <c:v>8.3055</c:v>
                </c:pt>
                <c:pt idx="1822">
                  <c:v>8.3754</c:v>
                </c:pt>
                <c:pt idx="1823">
                  <c:v>8.375</c:v>
                </c:pt>
                <c:pt idx="1824">
                  <c:v>8.4317</c:v>
                </c:pt>
                <c:pt idx="1825">
                  <c:v>8.3725</c:v>
                </c:pt>
                <c:pt idx="1826">
                  <c:v>8.437</c:v>
                </c:pt>
                <c:pt idx="1827">
                  <c:v>8.4816</c:v>
                </c:pt>
                <c:pt idx="1828">
                  <c:v>8.4987</c:v>
                </c:pt>
                <c:pt idx="1829">
                  <c:v>8.7191</c:v>
                </c:pt>
                <c:pt idx="1830">
                  <c:v>8.7675</c:v>
                </c:pt>
                <c:pt idx="1831">
                  <c:v>8.741300000000001</c:v>
                </c:pt>
                <c:pt idx="1832">
                  <c:v>8.9795</c:v>
                </c:pt>
                <c:pt idx="1833">
                  <c:v>8.9001</c:v>
                </c:pt>
                <c:pt idx="1834">
                  <c:v>8.9338</c:v>
                </c:pt>
                <c:pt idx="1835">
                  <c:v>9.0825</c:v>
                </c:pt>
                <c:pt idx="1836">
                  <c:v>8.9666</c:v>
                </c:pt>
                <c:pt idx="1837">
                  <c:v>8.9514</c:v>
                </c:pt>
                <c:pt idx="1838">
                  <c:v>9.1258</c:v>
                </c:pt>
                <c:pt idx="1839">
                  <c:v>9.0758</c:v>
                </c:pt>
                <c:pt idx="1840">
                  <c:v>9.0223</c:v>
                </c:pt>
                <c:pt idx="1841">
                  <c:v>9.0589</c:v>
                </c:pt>
                <c:pt idx="1842">
                  <c:v>9.0963</c:v>
                </c:pt>
                <c:pt idx="1843">
                  <c:v>9.1108</c:v>
                </c:pt>
                <c:pt idx="1844">
                  <c:v>9.1257</c:v>
                </c:pt>
                <c:pt idx="1845">
                  <c:v>9.106</c:v>
                </c:pt>
                <c:pt idx="1846">
                  <c:v>9.077</c:v>
                </c:pt>
                <c:pt idx="1847">
                  <c:v>9.0521</c:v>
                </c:pt>
                <c:pt idx="1848">
                  <c:v>9.3794</c:v>
                </c:pt>
                <c:pt idx="1849">
                  <c:v>9.5175</c:v>
                </c:pt>
                <c:pt idx="1850">
                  <c:v>9.717</c:v>
                </c:pt>
                <c:pt idx="1851">
                  <c:v>9.6344</c:v>
                </c:pt>
                <c:pt idx="1852">
                  <c:v>9.3603</c:v>
                </c:pt>
                <c:pt idx="1853">
                  <c:v>9.4477</c:v>
                </c:pt>
                <c:pt idx="1854">
                  <c:v>9.4787</c:v>
                </c:pt>
                <c:pt idx="1855">
                  <c:v>9.4874</c:v>
                </c:pt>
                <c:pt idx="1856">
                  <c:v>9.6075</c:v>
                </c:pt>
                <c:pt idx="1857">
                  <c:v>9.6431</c:v>
                </c:pt>
                <c:pt idx="1858">
                  <c:v>9.8893</c:v>
                </c:pt>
                <c:pt idx="1859">
                  <c:v>9.9031</c:v>
                </c:pt>
                <c:pt idx="1860">
                  <c:v>9.865</c:v>
                </c:pt>
                <c:pt idx="1861">
                  <c:v>9.9565</c:v>
                </c:pt>
                <c:pt idx="1862">
                  <c:v>9.9759</c:v>
                </c:pt>
                <c:pt idx="1863">
                  <c:v>10.1178</c:v>
                </c:pt>
                <c:pt idx="1864">
                  <c:v>10.3325</c:v>
                </c:pt>
                <c:pt idx="1865">
                  <c:v>10.59</c:v>
                </c:pt>
                <c:pt idx="1866">
                  <c:v>10.474</c:v>
                </c:pt>
                <c:pt idx="1867">
                  <c:v>10.6078</c:v>
                </c:pt>
                <c:pt idx="1868">
                  <c:v>10.3687</c:v>
                </c:pt>
                <c:pt idx="1869">
                  <c:v>10.5</c:v>
                </c:pt>
                <c:pt idx="1870">
                  <c:v>10.5133</c:v>
                </c:pt>
                <c:pt idx="1871">
                  <c:v>10.0895</c:v>
                </c:pt>
                <c:pt idx="1872">
                  <c:v>9.8755</c:v>
                </c:pt>
                <c:pt idx="1873">
                  <c:v>9.965</c:v>
                </c:pt>
                <c:pt idx="1874">
                  <c:v>9.946</c:v>
                </c:pt>
                <c:pt idx="1875">
                  <c:v>10.0695</c:v>
                </c:pt>
                <c:pt idx="1876">
                  <c:v>10.1225</c:v>
                </c:pt>
                <c:pt idx="1877">
                  <c:v>10.0332</c:v>
                </c:pt>
                <c:pt idx="1878">
                  <c:v>10.1749</c:v>
                </c:pt>
                <c:pt idx="1879">
                  <c:v>10.2775</c:v>
                </c:pt>
                <c:pt idx="1880">
                  <c:v>10.0368</c:v>
                </c:pt>
                <c:pt idx="1881">
                  <c:v>9.9597</c:v>
                </c:pt>
                <c:pt idx="1882">
                  <c:v>10.085</c:v>
                </c:pt>
                <c:pt idx="1883">
                  <c:v>9.91</c:v>
                </c:pt>
                <c:pt idx="1884">
                  <c:v>9.78</c:v>
                </c:pt>
                <c:pt idx="1885">
                  <c:v>9.5925</c:v>
                </c:pt>
                <c:pt idx="1886">
                  <c:v>9.6493</c:v>
                </c:pt>
                <c:pt idx="1887">
                  <c:v>9.8146</c:v>
                </c:pt>
                <c:pt idx="1888">
                  <c:v>9.96</c:v>
                </c:pt>
                <c:pt idx="1889">
                  <c:v>10.1425</c:v>
                </c:pt>
                <c:pt idx="1890">
                  <c:v>10.1443</c:v>
                </c:pt>
                <c:pt idx="1891">
                  <c:v>10.2021</c:v>
                </c:pt>
                <c:pt idx="1892">
                  <c:v>10.0415</c:v>
                </c:pt>
                <c:pt idx="1893">
                  <c:v>9.8896</c:v>
                </c:pt>
                <c:pt idx="1894">
                  <c:v>9.9775</c:v>
                </c:pt>
                <c:pt idx="1895">
                  <c:v>10.12</c:v>
                </c:pt>
                <c:pt idx="1896">
                  <c:v>10.225</c:v>
                </c:pt>
                <c:pt idx="1897">
                  <c:v>10.0755</c:v>
                </c:pt>
                <c:pt idx="1898">
                  <c:v>10.159</c:v>
                </c:pt>
                <c:pt idx="1899">
                  <c:v>10.2045</c:v>
                </c:pt>
                <c:pt idx="1900">
                  <c:v>10.1295</c:v>
                </c:pt>
                <c:pt idx="1901">
                  <c:v>10.0715</c:v>
                </c:pt>
                <c:pt idx="1902">
                  <c:v>10.1825</c:v>
                </c:pt>
                <c:pt idx="1903">
                  <c:v>10.1673</c:v>
                </c:pt>
                <c:pt idx="1904">
                  <c:v>10.0147</c:v>
                </c:pt>
                <c:pt idx="1905">
                  <c:v>10.1095</c:v>
                </c:pt>
                <c:pt idx="1906">
                  <c:v>9.778700000000001</c:v>
                </c:pt>
                <c:pt idx="1907">
                  <c:v>9.66</c:v>
                </c:pt>
                <c:pt idx="1908">
                  <c:v>9.4846</c:v>
                </c:pt>
                <c:pt idx="1909">
                  <c:v>9.2954</c:v>
                </c:pt>
                <c:pt idx="1910">
                  <c:v>9.3237</c:v>
                </c:pt>
                <c:pt idx="1911">
                  <c:v>9.288</c:v>
                </c:pt>
                <c:pt idx="1912">
                  <c:v>9.454</c:v>
                </c:pt>
                <c:pt idx="1913">
                  <c:v>9.413</c:v>
                </c:pt>
                <c:pt idx="1914">
                  <c:v>9.3624</c:v>
                </c:pt>
                <c:pt idx="1915">
                  <c:v>9.4473</c:v>
                </c:pt>
                <c:pt idx="1916">
                  <c:v>9.7228</c:v>
                </c:pt>
                <c:pt idx="1917">
                  <c:v>9.73</c:v>
                </c:pt>
                <c:pt idx="1918">
                  <c:v>9.741300000000001</c:v>
                </c:pt>
                <c:pt idx="1919">
                  <c:v>9.6413</c:v>
                </c:pt>
                <c:pt idx="1920">
                  <c:v>9.7256</c:v>
                </c:pt>
                <c:pt idx="1921">
                  <c:v>9.6726</c:v>
                </c:pt>
                <c:pt idx="1922">
                  <c:v>9.5152</c:v>
                </c:pt>
                <c:pt idx="1923">
                  <c:v>9.8163</c:v>
                </c:pt>
                <c:pt idx="1924">
                  <c:v>10.2375</c:v>
                </c:pt>
                <c:pt idx="1925">
                  <c:v>10.125</c:v>
                </c:pt>
                <c:pt idx="1926">
                  <c:v>10.1495</c:v>
                </c:pt>
                <c:pt idx="1927">
                  <c:v>9.955</c:v>
                </c:pt>
                <c:pt idx="1928">
                  <c:v>10.1345</c:v>
                </c:pt>
                <c:pt idx="1929">
                  <c:v>10.085</c:v>
                </c:pt>
                <c:pt idx="1930">
                  <c:v>10.113</c:v>
                </c:pt>
                <c:pt idx="1931">
                  <c:v>10.485</c:v>
                </c:pt>
                <c:pt idx="1932">
                  <c:v>10.2695</c:v>
                </c:pt>
                <c:pt idx="1933">
                  <c:v>10.18</c:v>
                </c:pt>
                <c:pt idx="1934">
                  <c:v>10.3855</c:v>
                </c:pt>
                <c:pt idx="1935">
                  <c:v>10.4795</c:v>
                </c:pt>
                <c:pt idx="1936">
                  <c:v>10.0856</c:v>
                </c:pt>
                <c:pt idx="1937">
                  <c:v>9.91</c:v>
                </c:pt>
                <c:pt idx="1938">
                  <c:v>9.879</c:v>
                </c:pt>
                <c:pt idx="1939">
                  <c:v>9.8974</c:v>
                </c:pt>
                <c:pt idx="1940">
                  <c:v>10.1375</c:v>
                </c:pt>
                <c:pt idx="1941">
                  <c:v>10.4925</c:v>
                </c:pt>
                <c:pt idx="1942">
                  <c:v>10.5587</c:v>
                </c:pt>
                <c:pt idx="1943">
                  <c:v>10.46</c:v>
                </c:pt>
                <c:pt idx="1944">
                  <c:v>10.2239</c:v>
                </c:pt>
                <c:pt idx="1945">
                  <c:v>10.1395</c:v>
                </c:pt>
                <c:pt idx="1946">
                  <c:v>10.0163</c:v>
                </c:pt>
                <c:pt idx="1947">
                  <c:v>10.6477</c:v>
                </c:pt>
                <c:pt idx="1948">
                  <c:v>10.3375</c:v>
                </c:pt>
                <c:pt idx="1949">
                  <c:v>10.3445</c:v>
                </c:pt>
                <c:pt idx="1950">
                  <c:v>9.98</c:v>
                </c:pt>
                <c:pt idx="1951">
                  <c:v>10.175</c:v>
                </c:pt>
                <c:pt idx="1952">
                  <c:v>10.0821</c:v>
                </c:pt>
                <c:pt idx="1953">
                  <c:v>9.713900000000001</c:v>
                </c:pt>
                <c:pt idx="1954">
                  <c:v>9.6463</c:v>
                </c:pt>
                <c:pt idx="1955">
                  <c:v>9.9555</c:v>
                </c:pt>
                <c:pt idx="1956">
                  <c:v>9.7551</c:v>
                </c:pt>
                <c:pt idx="1957">
                  <c:v>10.0499</c:v>
                </c:pt>
                <c:pt idx="1958">
                  <c:v>9.87</c:v>
                </c:pt>
                <c:pt idx="1959">
                  <c:v>10.5798</c:v>
                </c:pt>
                <c:pt idx="1960">
                  <c:v>10.8245</c:v>
                </c:pt>
                <c:pt idx="1961">
                  <c:v>11.0955</c:v>
                </c:pt>
                <c:pt idx="1962">
                  <c:v>11.2091</c:v>
                </c:pt>
                <c:pt idx="1963">
                  <c:v>11.3755</c:v>
                </c:pt>
                <c:pt idx="1964">
                  <c:v>10.6547</c:v>
                </c:pt>
                <c:pt idx="1965">
                  <c:v>10.2191</c:v>
                </c:pt>
                <c:pt idx="1966">
                  <c:v>9.98</c:v>
                </c:pt>
                <c:pt idx="1967">
                  <c:v>10.4933</c:v>
                </c:pt>
                <c:pt idx="1968">
                  <c:v>9.5688</c:v>
                </c:pt>
                <c:pt idx="1969">
                  <c:v>9.02</c:v>
                </c:pt>
                <c:pt idx="1970">
                  <c:v>9.226900000000001</c:v>
                </c:pt>
                <c:pt idx="1971">
                  <c:v>9.353</c:v>
                </c:pt>
                <c:pt idx="1972">
                  <c:v>9.1147</c:v>
                </c:pt>
                <c:pt idx="1973">
                  <c:v>9.2567</c:v>
                </c:pt>
                <c:pt idx="1974">
                  <c:v>8.8955</c:v>
                </c:pt>
                <c:pt idx="1975">
                  <c:v>8.8805</c:v>
                </c:pt>
                <c:pt idx="1976">
                  <c:v>8.4446</c:v>
                </c:pt>
                <c:pt idx="1977">
                  <c:v>8.4737</c:v>
                </c:pt>
                <c:pt idx="1978">
                  <c:v>8.2648</c:v>
                </c:pt>
                <c:pt idx="1979">
                  <c:v>8.3324</c:v>
                </c:pt>
                <c:pt idx="1980">
                  <c:v>8.234500000000001</c:v>
                </c:pt>
                <c:pt idx="1981">
                  <c:v>8.116</c:v>
                </c:pt>
                <c:pt idx="1982">
                  <c:v>8.1313</c:v>
                </c:pt>
                <c:pt idx="1983">
                  <c:v>8.148400000000001</c:v>
                </c:pt>
                <c:pt idx="1984">
                  <c:v>8.1563</c:v>
                </c:pt>
                <c:pt idx="1985">
                  <c:v>7.9848</c:v>
                </c:pt>
                <c:pt idx="1986">
                  <c:v>7.9377</c:v>
                </c:pt>
                <c:pt idx="1987">
                  <c:v>8.3113</c:v>
                </c:pt>
                <c:pt idx="1988">
                  <c:v>8.2456</c:v>
                </c:pt>
                <c:pt idx="1989">
                  <c:v>8.19</c:v>
                </c:pt>
                <c:pt idx="1990">
                  <c:v>8.057</c:v>
                </c:pt>
                <c:pt idx="1991">
                  <c:v>8.0481</c:v>
                </c:pt>
                <c:pt idx="1992">
                  <c:v>8.2576</c:v>
                </c:pt>
                <c:pt idx="1993">
                  <c:v>8.1559</c:v>
                </c:pt>
                <c:pt idx="1994">
                  <c:v>7.9295</c:v>
                </c:pt>
                <c:pt idx="1995">
                  <c:v>7.9386</c:v>
                </c:pt>
                <c:pt idx="1996">
                  <c:v>7.9905</c:v>
                </c:pt>
                <c:pt idx="1997">
                  <c:v>7.9454</c:v>
                </c:pt>
                <c:pt idx="1998">
                  <c:v>7.8841</c:v>
                </c:pt>
                <c:pt idx="1999">
                  <c:v>7.7751</c:v>
                </c:pt>
                <c:pt idx="2000">
                  <c:v>7.7652</c:v>
                </c:pt>
                <c:pt idx="2001">
                  <c:v>7.701</c:v>
                </c:pt>
                <c:pt idx="2002">
                  <c:v>7.7175</c:v>
                </c:pt>
                <c:pt idx="2003">
                  <c:v>7.7745</c:v>
                </c:pt>
                <c:pt idx="2004">
                  <c:v>7.8115</c:v>
                </c:pt>
                <c:pt idx="2005">
                  <c:v>7.749</c:v>
                </c:pt>
                <c:pt idx="2006">
                  <c:v>7.665</c:v>
                </c:pt>
                <c:pt idx="2007">
                  <c:v>7.6635</c:v>
                </c:pt>
                <c:pt idx="2008">
                  <c:v>7.7611</c:v>
                </c:pt>
                <c:pt idx="2009">
                  <c:v>7.7783</c:v>
                </c:pt>
                <c:pt idx="2010">
                  <c:v>7.7055</c:v>
                </c:pt>
                <c:pt idx="2011">
                  <c:v>7.875</c:v>
                </c:pt>
                <c:pt idx="2012">
                  <c:v>7.8619</c:v>
                </c:pt>
                <c:pt idx="2013">
                  <c:v>7.877</c:v>
                </c:pt>
                <c:pt idx="2014">
                  <c:v>7.8437</c:v>
                </c:pt>
                <c:pt idx="2015">
                  <c:v>7.7633</c:v>
                </c:pt>
                <c:pt idx="2016">
                  <c:v>7.7105</c:v>
                </c:pt>
                <c:pt idx="2017">
                  <c:v>7.4855</c:v>
                </c:pt>
                <c:pt idx="2018">
                  <c:v>7.4288</c:v>
                </c:pt>
                <c:pt idx="2019">
                  <c:v>7.3859</c:v>
                </c:pt>
                <c:pt idx="2020">
                  <c:v>7.2463</c:v>
                </c:pt>
                <c:pt idx="2021">
                  <c:v>7.2563</c:v>
                </c:pt>
                <c:pt idx="2022">
                  <c:v>7.3441</c:v>
                </c:pt>
                <c:pt idx="2023">
                  <c:v>7.391199999999999</c:v>
                </c:pt>
                <c:pt idx="2024">
                  <c:v>7.3834</c:v>
                </c:pt>
                <c:pt idx="2025">
                  <c:v>7.5175</c:v>
                </c:pt>
                <c:pt idx="2026">
                  <c:v>7.5722</c:v>
                </c:pt>
                <c:pt idx="2027">
                  <c:v>7.6718</c:v>
                </c:pt>
                <c:pt idx="2028">
                  <c:v>7.5525</c:v>
                </c:pt>
                <c:pt idx="2029">
                  <c:v>7.5075</c:v>
                </c:pt>
                <c:pt idx="2030">
                  <c:v>7.5766</c:v>
                </c:pt>
                <c:pt idx="2031">
                  <c:v>7.6322</c:v>
                </c:pt>
                <c:pt idx="2032">
                  <c:v>7.54</c:v>
                </c:pt>
                <c:pt idx="2033">
                  <c:v>7.6239</c:v>
                </c:pt>
                <c:pt idx="2034">
                  <c:v>7.6533</c:v>
                </c:pt>
                <c:pt idx="2035">
                  <c:v>7.6479</c:v>
                </c:pt>
                <c:pt idx="2036">
                  <c:v>7.6962</c:v>
                </c:pt>
                <c:pt idx="2037">
                  <c:v>7.716</c:v>
                </c:pt>
                <c:pt idx="2038">
                  <c:v>7.687</c:v>
                </c:pt>
                <c:pt idx="2039">
                  <c:v>7.7589</c:v>
                </c:pt>
                <c:pt idx="2040">
                  <c:v>7.7505</c:v>
                </c:pt>
                <c:pt idx="2041">
                  <c:v>7.7427</c:v>
                </c:pt>
                <c:pt idx="2042">
                  <c:v>7.7555</c:v>
                </c:pt>
                <c:pt idx="2043">
                  <c:v>7.8366</c:v>
                </c:pt>
                <c:pt idx="2044">
                  <c:v>7.9105</c:v>
                </c:pt>
                <c:pt idx="2045">
                  <c:v>7.8196</c:v>
                </c:pt>
                <c:pt idx="2046">
                  <c:v>7.9055</c:v>
                </c:pt>
                <c:pt idx="2047">
                  <c:v>7.9246</c:v>
                </c:pt>
                <c:pt idx="2048">
                  <c:v>7.9035</c:v>
                </c:pt>
                <c:pt idx="2049">
                  <c:v>7.9999</c:v>
                </c:pt>
                <c:pt idx="2050">
                  <c:v>8.0727</c:v>
                </c:pt>
                <c:pt idx="2051">
                  <c:v>7.9969</c:v>
                </c:pt>
                <c:pt idx="2052">
                  <c:v>7.9677</c:v>
                </c:pt>
                <c:pt idx="2053">
                  <c:v>8.025</c:v>
                </c:pt>
                <c:pt idx="2054">
                  <c:v>8.0134</c:v>
                </c:pt>
                <c:pt idx="2055">
                  <c:v>8.1013</c:v>
                </c:pt>
                <c:pt idx="2056">
                  <c:v>8.1142</c:v>
                </c:pt>
                <c:pt idx="2057">
                  <c:v>8.1155</c:v>
                </c:pt>
                <c:pt idx="2058">
                  <c:v>8.0086</c:v>
                </c:pt>
                <c:pt idx="2059">
                  <c:v>7.948</c:v>
                </c:pt>
                <c:pt idx="2060">
                  <c:v>7.8749</c:v>
                </c:pt>
                <c:pt idx="2061">
                  <c:v>7.8514</c:v>
                </c:pt>
                <c:pt idx="2062">
                  <c:v>7.8548</c:v>
                </c:pt>
                <c:pt idx="2063">
                  <c:v>7.774599999999999</c:v>
                </c:pt>
                <c:pt idx="2064">
                  <c:v>7.7061</c:v>
                </c:pt>
                <c:pt idx="2065">
                  <c:v>7.7412</c:v>
                </c:pt>
                <c:pt idx="2066">
                  <c:v>7.5992</c:v>
                </c:pt>
                <c:pt idx="2067">
                  <c:v>7.5673</c:v>
                </c:pt>
                <c:pt idx="2068">
                  <c:v>7.685</c:v>
                </c:pt>
                <c:pt idx="2069">
                  <c:v>7.7595</c:v>
                </c:pt>
                <c:pt idx="2070">
                  <c:v>7.6994</c:v>
                </c:pt>
                <c:pt idx="2071">
                  <c:v>7.6529</c:v>
                </c:pt>
                <c:pt idx="2072">
                  <c:v>7.6711</c:v>
                </c:pt>
                <c:pt idx="2073">
                  <c:v>7.6443</c:v>
                </c:pt>
                <c:pt idx="2074">
                  <c:v>7.6355</c:v>
                </c:pt>
                <c:pt idx="2075">
                  <c:v>7.4879</c:v>
                </c:pt>
                <c:pt idx="2076">
                  <c:v>7.4697</c:v>
                </c:pt>
                <c:pt idx="2077">
                  <c:v>7.5695</c:v>
                </c:pt>
                <c:pt idx="2078">
                  <c:v>7.6484</c:v>
                </c:pt>
                <c:pt idx="2079">
                  <c:v>7.5804</c:v>
                </c:pt>
                <c:pt idx="2080">
                  <c:v>7.6163</c:v>
                </c:pt>
                <c:pt idx="2081">
                  <c:v>7.7189</c:v>
                </c:pt>
                <c:pt idx="2082">
                  <c:v>7.5865</c:v>
                </c:pt>
                <c:pt idx="2083">
                  <c:v>7.505</c:v>
                </c:pt>
                <c:pt idx="2084">
                  <c:v>7.5294</c:v>
                </c:pt>
                <c:pt idx="2085">
                  <c:v>7.5713</c:v>
                </c:pt>
                <c:pt idx="2086">
                  <c:v>7.5679</c:v>
                </c:pt>
                <c:pt idx="2087">
                  <c:v>7.6375</c:v>
                </c:pt>
                <c:pt idx="2088">
                  <c:v>7.5648</c:v>
                </c:pt>
                <c:pt idx="2089">
                  <c:v>7.5908</c:v>
                </c:pt>
                <c:pt idx="2090">
                  <c:v>7.5325</c:v>
                </c:pt>
                <c:pt idx="2091">
                  <c:v>7.6056</c:v>
                </c:pt>
                <c:pt idx="2092">
                  <c:v>7.6894</c:v>
                </c:pt>
                <c:pt idx="2093">
                  <c:v>7.6737</c:v>
                </c:pt>
                <c:pt idx="2094">
                  <c:v>7.6525</c:v>
                </c:pt>
                <c:pt idx="2095">
                  <c:v>7.7558</c:v>
                </c:pt>
                <c:pt idx="2096">
                  <c:v>7.7551</c:v>
                </c:pt>
                <c:pt idx="2097">
                  <c:v>7.8087</c:v>
                </c:pt>
                <c:pt idx="2098">
                  <c:v>7.901</c:v>
                </c:pt>
                <c:pt idx="2099">
                  <c:v>7.9428</c:v>
                </c:pt>
                <c:pt idx="2100">
                  <c:v>7.8675</c:v>
                </c:pt>
                <c:pt idx="2101">
                  <c:v>7.81</c:v>
                </c:pt>
                <c:pt idx="2102">
                  <c:v>7.806</c:v>
                </c:pt>
                <c:pt idx="2103">
                  <c:v>7.8525</c:v>
                </c:pt>
                <c:pt idx="2104">
                  <c:v>7.7783</c:v>
                </c:pt>
                <c:pt idx="2105">
                  <c:v>7.7449</c:v>
                </c:pt>
                <c:pt idx="2106">
                  <c:v>7.8146</c:v>
                </c:pt>
                <c:pt idx="2107">
                  <c:v>7.7463</c:v>
                </c:pt>
                <c:pt idx="2108">
                  <c:v>7.8191</c:v>
                </c:pt>
                <c:pt idx="2109">
                  <c:v>8.028700000000001</c:v>
                </c:pt>
                <c:pt idx="2110">
                  <c:v>8.130100000000001</c:v>
                </c:pt>
                <c:pt idx="2111">
                  <c:v>8.1211</c:v>
                </c:pt>
                <c:pt idx="2112">
                  <c:v>7.975</c:v>
                </c:pt>
                <c:pt idx="2113">
                  <c:v>8.065</c:v>
                </c:pt>
                <c:pt idx="2114">
                  <c:v>8.0253</c:v>
                </c:pt>
                <c:pt idx="2115">
                  <c:v>8.116300000000001</c:v>
                </c:pt>
                <c:pt idx="2116">
                  <c:v>8.1587</c:v>
                </c:pt>
                <c:pt idx="2117">
                  <c:v>8.1888</c:v>
                </c:pt>
                <c:pt idx="2118">
                  <c:v>8.076</c:v>
                </c:pt>
                <c:pt idx="2119">
                  <c:v>8.0095</c:v>
                </c:pt>
                <c:pt idx="2120">
                  <c:v>8.1563</c:v>
                </c:pt>
                <c:pt idx="2121">
                  <c:v>7.942</c:v>
                </c:pt>
                <c:pt idx="2122">
                  <c:v>7.8994</c:v>
                </c:pt>
                <c:pt idx="2123">
                  <c:v>7.8663</c:v>
                </c:pt>
                <c:pt idx="2124">
                  <c:v>7.8476</c:v>
                </c:pt>
                <c:pt idx="2125">
                  <c:v>8.0325</c:v>
                </c:pt>
                <c:pt idx="2126">
                  <c:v>7.9825</c:v>
                </c:pt>
                <c:pt idx="2127">
                  <c:v>7.95</c:v>
                </c:pt>
                <c:pt idx="2128">
                  <c:v>7.7667</c:v>
                </c:pt>
                <c:pt idx="2129">
                  <c:v>7.9263</c:v>
                </c:pt>
                <c:pt idx="2130">
                  <c:v>7.766</c:v>
                </c:pt>
                <c:pt idx="2131">
                  <c:v>7.7569</c:v>
                </c:pt>
                <c:pt idx="2132">
                  <c:v>7.5575</c:v>
                </c:pt>
                <c:pt idx="2133">
                  <c:v>7.4556</c:v>
                </c:pt>
                <c:pt idx="2134">
                  <c:v>7.5433</c:v>
                </c:pt>
                <c:pt idx="2135">
                  <c:v>7.6943</c:v>
                </c:pt>
                <c:pt idx="2136">
                  <c:v>7.7545</c:v>
                </c:pt>
                <c:pt idx="2137">
                  <c:v>7.7834</c:v>
                </c:pt>
                <c:pt idx="2138">
                  <c:v>7.8875</c:v>
                </c:pt>
                <c:pt idx="2139">
                  <c:v>7.6827</c:v>
                </c:pt>
                <c:pt idx="2140">
                  <c:v>7.605</c:v>
                </c:pt>
                <c:pt idx="2141">
                  <c:v>7.6735</c:v>
                </c:pt>
                <c:pt idx="2142">
                  <c:v>7.6926</c:v>
                </c:pt>
                <c:pt idx="2143">
                  <c:v>7.724</c:v>
                </c:pt>
                <c:pt idx="2144">
                  <c:v>7.704</c:v>
                </c:pt>
                <c:pt idx="2145">
                  <c:v>7.749</c:v>
                </c:pt>
                <c:pt idx="2146">
                  <c:v>7.802</c:v>
                </c:pt>
                <c:pt idx="2147">
                  <c:v>7.682</c:v>
                </c:pt>
                <c:pt idx="2148">
                  <c:v>7.6658</c:v>
                </c:pt>
                <c:pt idx="2149">
                  <c:v>7.665</c:v>
                </c:pt>
                <c:pt idx="2150">
                  <c:v>7.4376</c:v>
                </c:pt>
                <c:pt idx="2151">
                  <c:v>7.4175</c:v>
                </c:pt>
                <c:pt idx="2152">
                  <c:v>7.477</c:v>
                </c:pt>
                <c:pt idx="2153">
                  <c:v>7.318</c:v>
                </c:pt>
                <c:pt idx="2154">
                  <c:v>7.2073</c:v>
                </c:pt>
                <c:pt idx="2155">
                  <c:v>7.2035</c:v>
                </c:pt>
                <c:pt idx="2156">
                  <c:v>7.1425</c:v>
                </c:pt>
                <c:pt idx="2157">
                  <c:v>7.03</c:v>
                </c:pt>
                <c:pt idx="2158">
                  <c:v>7.1709</c:v>
                </c:pt>
                <c:pt idx="2159">
                  <c:v>7.1008</c:v>
                </c:pt>
                <c:pt idx="2160">
                  <c:v>7.2161</c:v>
                </c:pt>
                <c:pt idx="2161">
                  <c:v>7.0726</c:v>
                </c:pt>
                <c:pt idx="2162">
                  <c:v>7.0255</c:v>
                </c:pt>
                <c:pt idx="2163">
                  <c:v>6.955</c:v>
                </c:pt>
                <c:pt idx="2164">
                  <c:v>6.830999999999999</c:v>
                </c:pt>
                <c:pt idx="2165">
                  <c:v>6.7505</c:v>
                </c:pt>
                <c:pt idx="2166">
                  <c:v>6.7635</c:v>
                </c:pt>
                <c:pt idx="2167">
                  <c:v>6.8332</c:v>
                </c:pt>
                <c:pt idx="2168">
                  <c:v>6.8876</c:v>
                </c:pt>
                <c:pt idx="2169">
                  <c:v>6.8742</c:v>
                </c:pt>
                <c:pt idx="2170">
                  <c:v>6.9128</c:v>
                </c:pt>
                <c:pt idx="2171">
                  <c:v>6.8726</c:v>
                </c:pt>
                <c:pt idx="2172">
                  <c:v>6.8443</c:v>
                </c:pt>
                <c:pt idx="2173">
                  <c:v>6.8375</c:v>
                </c:pt>
                <c:pt idx="2174">
                  <c:v>6.845</c:v>
                </c:pt>
                <c:pt idx="2175">
                  <c:v>6.8615</c:v>
                </c:pt>
                <c:pt idx="2176">
                  <c:v>6.8273</c:v>
                </c:pt>
                <c:pt idx="2177">
                  <c:v>6.8533</c:v>
                </c:pt>
                <c:pt idx="2178">
                  <c:v>6.9835</c:v>
                </c:pt>
                <c:pt idx="2179">
                  <c:v>6.9745</c:v>
                </c:pt>
                <c:pt idx="2180">
                  <c:v>6.9788</c:v>
                </c:pt>
                <c:pt idx="2181">
                  <c:v>7.0224</c:v>
                </c:pt>
                <c:pt idx="2182">
                  <c:v>7.0439</c:v>
                </c:pt>
                <c:pt idx="2183">
                  <c:v>6.9395</c:v>
                </c:pt>
                <c:pt idx="2184">
                  <c:v>6.9213</c:v>
                </c:pt>
                <c:pt idx="2185">
                  <c:v>6.9135</c:v>
                </c:pt>
                <c:pt idx="2186">
                  <c:v>6.875</c:v>
                </c:pt>
                <c:pt idx="2187">
                  <c:v>6.7599</c:v>
                </c:pt>
                <c:pt idx="2188">
                  <c:v>6.7268</c:v>
                </c:pt>
                <c:pt idx="2189">
                  <c:v>6.7048</c:v>
                </c:pt>
                <c:pt idx="2190">
                  <c:v>6.6735</c:v>
                </c:pt>
                <c:pt idx="2191">
                  <c:v>6.7225</c:v>
                </c:pt>
                <c:pt idx="2192">
                  <c:v>6.7433</c:v>
                </c:pt>
                <c:pt idx="2193">
                  <c:v>6.765</c:v>
                </c:pt>
                <c:pt idx="2194">
                  <c:v>6.8033</c:v>
                </c:pt>
                <c:pt idx="2195">
                  <c:v>6.806599999999999</c:v>
                </c:pt>
                <c:pt idx="2196">
                  <c:v>6.805</c:v>
                </c:pt>
                <c:pt idx="2197">
                  <c:v>6.8351</c:v>
                </c:pt>
                <c:pt idx="2198">
                  <c:v>6.8788</c:v>
                </c:pt>
                <c:pt idx="2199">
                  <c:v>7.0088</c:v>
                </c:pt>
                <c:pt idx="2200">
                  <c:v>6.9363</c:v>
                </c:pt>
                <c:pt idx="2201">
                  <c:v>6.8185</c:v>
                </c:pt>
                <c:pt idx="2202">
                  <c:v>6.7893</c:v>
                </c:pt>
                <c:pt idx="2203">
                  <c:v>6.8108</c:v>
                </c:pt>
                <c:pt idx="2204">
                  <c:v>6.7117</c:v>
                </c:pt>
                <c:pt idx="2205">
                  <c:v>6.7613</c:v>
                </c:pt>
                <c:pt idx="2206">
                  <c:v>6.6814</c:v>
                </c:pt>
                <c:pt idx="2207">
                  <c:v>6.7128</c:v>
                </c:pt>
                <c:pt idx="2208">
                  <c:v>6.569</c:v>
                </c:pt>
                <c:pt idx="2209">
                  <c:v>6.7208</c:v>
                </c:pt>
                <c:pt idx="2210">
                  <c:v>6.7925</c:v>
                </c:pt>
                <c:pt idx="2211">
                  <c:v>6.6437</c:v>
                </c:pt>
                <c:pt idx="2212">
                  <c:v>6.5284</c:v>
                </c:pt>
                <c:pt idx="2213">
                  <c:v>6.476</c:v>
                </c:pt>
                <c:pt idx="2214">
                  <c:v>6.5285</c:v>
                </c:pt>
                <c:pt idx="2215">
                  <c:v>6.5737</c:v>
                </c:pt>
                <c:pt idx="2216">
                  <c:v>6.5635</c:v>
                </c:pt>
                <c:pt idx="2217">
                  <c:v>6.5849</c:v>
                </c:pt>
                <c:pt idx="2218">
                  <c:v>6.5353</c:v>
                </c:pt>
                <c:pt idx="2219">
                  <c:v>6.5465</c:v>
                </c:pt>
                <c:pt idx="2220">
                  <c:v>6.5438</c:v>
                </c:pt>
                <c:pt idx="2221">
                  <c:v>6.5044</c:v>
                </c:pt>
                <c:pt idx="2222">
                  <c:v>6.571</c:v>
                </c:pt>
                <c:pt idx="2223">
                  <c:v>6.6689</c:v>
                </c:pt>
                <c:pt idx="2224">
                  <c:v>6.7128</c:v>
                </c:pt>
                <c:pt idx="2225">
                  <c:v>6.8675</c:v>
                </c:pt>
                <c:pt idx="2226">
                  <c:v>6.7932</c:v>
                </c:pt>
                <c:pt idx="2227">
                  <c:v>6.8037</c:v>
                </c:pt>
                <c:pt idx="2228">
                  <c:v>6.838</c:v>
                </c:pt>
                <c:pt idx="2229">
                  <c:v>6.8617</c:v>
                </c:pt>
                <c:pt idx="2230">
                  <c:v>6.848</c:v>
                </c:pt>
                <c:pt idx="2231">
                  <c:v>6.75</c:v>
                </c:pt>
                <c:pt idx="2232">
                  <c:v>6.6914</c:v>
                </c:pt>
                <c:pt idx="2233">
                  <c:v>6.8648</c:v>
                </c:pt>
                <c:pt idx="2234">
                  <c:v>6.8566</c:v>
                </c:pt>
                <c:pt idx="2235">
                  <c:v>6.8575</c:v>
                </c:pt>
                <c:pt idx="2236">
                  <c:v>6.8173</c:v>
                </c:pt>
                <c:pt idx="2237">
                  <c:v>6.905</c:v>
                </c:pt>
                <c:pt idx="2238">
                  <c:v>6.9081</c:v>
                </c:pt>
                <c:pt idx="2239">
                  <c:v>6.9285</c:v>
                </c:pt>
                <c:pt idx="2240">
                  <c:v>6.867</c:v>
                </c:pt>
                <c:pt idx="2241">
                  <c:v>6.8776</c:v>
                </c:pt>
                <c:pt idx="2242">
                  <c:v>6.8833</c:v>
                </c:pt>
                <c:pt idx="2243">
                  <c:v>6.9378</c:v>
                </c:pt>
                <c:pt idx="2244">
                  <c:v>6.9795</c:v>
                </c:pt>
                <c:pt idx="2245">
                  <c:v>6.9713</c:v>
                </c:pt>
                <c:pt idx="2246">
                  <c:v>6.995</c:v>
                </c:pt>
                <c:pt idx="2247">
                  <c:v>7.041</c:v>
                </c:pt>
                <c:pt idx="2248">
                  <c:v>7.0715</c:v>
                </c:pt>
                <c:pt idx="2249">
                  <c:v>7.1763</c:v>
                </c:pt>
                <c:pt idx="2250">
                  <c:v>7.1962</c:v>
                </c:pt>
                <c:pt idx="2251">
                  <c:v>7.1667</c:v>
                </c:pt>
                <c:pt idx="2252">
                  <c:v>7.126</c:v>
                </c:pt>
                <c:pt idx="2253">
                  <c:v>7.135</c:v>
                </c:pt>
                <c:pt idx="2254">
                  <c:v>7.1821</c:v>
                </c:pt>
                <c:pt idx="2255">
                  <c:v>7.2425</c:v>
                </c:pt>
                <c:pt idx="2256">
                  <c:v>7.2358</c:v>
                </c:pt>
                <c:pt idx="2257">
                  <c:v>7.208</c:v>
                </c:pt>
                <c:pt idx="2258">
                  <c:v>7.2505</c:v>
                </c:pt>
                <c:pt idx="2259">
                  <c:v>7.2091</c:v>
                </c:pt>
                <c:pt idx="2260">
                  <c:v>7.2118</c:v>
                </c:pt>
                <c:pt idx="2261">
                  <c:v>7.1601</c:v>
                </c:pt>
                <c:pt idx="2262">
                  <c:v>7.128</c:v>
                </c:pt>
                <c:pt idx="2263">
                  <c:v>7.2265</c:v>
                </c:pt>
                <c:pt idx="2264">
                  <c:v>7.2551</c:v>
                </c:pt>
                <c:pt idx="2265">
                  <c:v>7.2198</c:v>
                </c:pt>
                <c:pt idx="2266">
                  <c:v>7.2004</c:v>
                </c:pt>
                <c:pt idx="2267">
                  <c:v>7.2843</c:v>
                </c:pt>
                <c:pt idx="2268">
                  <c:v>7.2678</c:v>
                </c:pt>
                <c:pt idx="2269">
                  <c:v>7.3827</c:v>
                </c:pt>
                <c:pt idx="2270">
                  <c:v>7.4177</c:v>
                </c:pt>
                <c:pt idx="2271">
                  <c:v>7.4025</c:v>
                </c:pt>
                <c:pt idx="2272">
                  <c:v>7.5851</c:v>
                </c:pt>
                <c:pt idx="2273">
                  <c:v>7.379</c:v>
                </c:pt>
                <c:pt idx="2274">
                  <c:v>7.3102</c:v>
                </c:pt>
                <c:pt idx="2275">
                  <c:v>7.1888</c:v>
                </c:pt>
                <c:pt idx="2276">
                  <c:v>7.1932</c:v>
                </c:pt>
                <c:pt idx="2277">
                  <c:v>7.1425</c:v>
                </c:pt>
                <c:pt idx="2278">
                  <c:v>7.0288</c:v>
                </c:pt>
                <c:pt idx="2279">
                  <c:v>7.0795</c:v>
                </c:pt>
                <c:pt idx="2280">
                  <c:v>7.0724</c:v>
                </c:pt>
                <c:pt idx="2281">
                  <c:v>7.0915</c:v>
                </c:pt>
                <c:pt idx="2282">
                  <c:v>7.0875</c:v>
                </c:pt>
                <c:pt idx="2283">
                  <c:v>7.1415</c:v>
                </c:pt>
                <c:pt idx="2284">
                  <c:v>7.078</c:v>
                </c:pt>
                <c:pt idx="2285">
                  <c:v>7.1293</c:v>
                </c:pt>
                <c:pt idx="2286">
                  <c:v>7.0988</c:v>
                </c:pt>
                <c:pt idx="2287">
                  <c:v>7.036</c:v>
                </c:pt>
                <c:pt idx="2288">
                  <c:v>6.8993</c:v>
                </c:pt>
                <c:pt idx="2289">
                  <c:v>6.8283</c:v>
                </c:pt>
                <c:pt idx="2290">
                  <c:v>6.8085</c:v>
                </c:pt>
                <c:pt idx="2291">
                  <c:v>6.8933</c:v>
                </c:pt>
                <c:pt idx="2292">
                  <c:v>6.8715</c:v>
                </c:pt>
                <c:pt idx="2293">
                  <c:v>6.9689</c:v>
                </c:pt>
                <c:pt idx="2294">
                  <c:v>6.9699</c:v>
                </c:pt>
                <c:pt idx="2295">
                  <c:v>6.9635</c:v>
                </c:pt>
                <c:pt idx="2296">
                  <c:v>6.978</c:v>
                </c:pt>
                <c:pt idx="2297">
                  <c:v>6.9673</c:v>
                </c:pt>
                <c:pt idx="2298">
                  <c:v>7.038</c:v>
                </c:pt>
                <c:pt idx="2299">
                  <c:v>6.9948</c:v>
                </c:pt>
                <c:pt idx="2300">
                  <c:v>6.9612</c:v>
                </c:pt>
                <c:pt idx="2301">
                  <c:v>6.995</c:v>
                </c:pt>
                <c:pt idx="2302">
                  <c:v>7.013</c:v>
                </c:pt>
                <c:pt idx="2303">
                  <c:v>6.9598</c:v>
                </c:pt>
                <c:pt idx="2304">
                  <c:v>6.9865</c:v>
                </c:pt>
                <c:pt idx="2305">
                  <c:v>6.965</c:v>
                </c:pt>
                <c:pt idx="2306">
                  <c:v>7.0588</c:v>
                </c:pt>
                <c:pt idx="2307">
                  <c:v>7.076</c:v>
                </c:pt>
                <c:pt idx="2308">
                  <c:v>7.1765</c:v>
                </c:pt>
                <c:pt idx="2309">
                  <c:v>7.1733</c:v>
                </c:pt>
                <c:pt idx="2310">
                  <c:v>7.153</c:v>
                </c:pt>
                <c:pt idx="2311">
                  <c:v>7.1538</c:v>
                </c:pt>
                <c:pt idx="2312">
                  <c:v>7.1428</c:v>
                </c:pt>
                <c:pt idx="2313">
                  <c:v>7.1118</c:v>
                </c:pt>
                <c:pt idx="2314">
                  <c:v>7.069</c:v>
                </c:pt>
                <c:pt idx="2315">
                  <c:v>7.0845</c:v>
                </c:pt>
                <c:pt idx="2316">
                  <c:v>7.1346</c:v>
                </c:pt>
                <c:pt idx="2317">
                  <c:v>7.195</c:v>
                </c:pt>
                <c:pt idx="2318">
                  <c:v>7.2432</c:v>
                </c:pt>
                <c:pt idx="2319">
                  <c:v>7.229</c:v>
                </c:pt>
                <c:pt idx="2320">
                  <c:v>7.2214</c:v>
                </c:pt>
                <c:pt idx="2321">
                  <c:v>7.2944</c:v>
                </c:pt>
                <c:pt idx="2322">
                  <c:v>7.2231</c:v>
                </c:pt>
                <c:pt idx="2323">
                  <c:v>7.2094</c:v>
                </c:pt>
                <c:pt idx="2324">
                  <c:v>7.1713</c:v>
                </c:pt>
                <c:pt idx="2325">
                  <c:v>7.1215</c:v>
                </c:pt>
                <c:pt idx="2326">
                  <c:v>7.0958</c:v>
                </c:pt>
                <c:pt idx="2327">
                  <c:v>7.1252</c:v>
                </c:pt>
                <c:pt idx="2328">
                  <c:v>7.1698</c:v>
                </c:pt>
                <c:pt idx="2329">
                  <c:v>7.1463</c:v>
                </c:pt>
                <c:pt idx="2330">
                  <c:v>7.1</c:v>
                </c:pt>
                <c:pt idx="2331">
                  <c:v>7.1027</c:v>
                </c:pt>
                <c:pt idx="2332">
                  <c:v>7.147</c:v>
                </c:pt>
                <c:pt idx="2333">
                  <c:v>7.0596</c:v>
                </c:pt>
                <c:pt idx="2334">
                  <c:v>7.0575</c:v>
                </c:pt>
                <c:pt idx="2335">
                  <c:v>7.017</c:v>
                </c:pt>
                <c:pt idx="2336">
                  <c:v>7.0173</c:v>
                </c:pt>
                <c:pt idx="2337">
                  <c:v>7.0402</c:v>
                </c:pt>
                <c:pt idx="2338">
                  <c:v>6.9755</c:v>
                </c:pt>
                <c:pt idx="2339">
                  <c:v>6.8995</c:v>
                </c:pt>
                <c:pt idx="2340">
                  <c:v>6.93</c:v>
                </c:pt>
                <c:pt idx="2341">
                  <c:v>6.981</c:v>
                </c:pt>
                <c:pt idx="2342">
                  <c:v>7.0345</c:v>
                </c:pt>
                <c:pt idx="2343">
                  <c:v>6.893</c:v>
                </c:pt>
                <c:pt idx="2344">
                  <c:v>6.9104</c:v>
                </c:pt>
                <c:pt idx="2345">
                  <c:v>6.8805</c:v>
                </c:pt>
                <c:pt idx="2346">
                  <c:v>6.9415</c:v>
                </c:pt>
                <c:pt idx="2347">
                  <c:v>6.975</c:v>
                </c:pt>
                <c:pt idx="2348">
                  <c:v>7.0283</c:v>
                </c:pt>
                <c:pt idx="2349">
                  <c:v>7.0366</c:v>
                </c:pt>
                <c:pt idx="2350">
                  <c:v>7.0163</c:v>
                </c:pt>
                <c:pt idx="2351">
                  <c:v>7.0595</c:v>
                </c:pt>
                <c:pt idx="2352">
                  <c:v>6.9962</c:v>
                </c:pt>
                <c:pt idx="2353">
                  <c:v>6.981</c:v>
                </c:pt>
                <c:pt idx="2354">
                  <c:v>7.0498</c:v>
                </c:pt>
                <c:pt idx="2355">
                  <c:v>7.077</c:v>
                </c:pt>
                <c:pt idx="2356">
                  <c:v>7.0343</c:v>
                </c:pt>
                <c:pt idx="2357">
                  <c:v>7.0445</c:v>
                </c:pt>
                <c:pt idx="2358">
                  <c:v>7.06</c:v>
                </c:pt>
                <c:pt idx="2359">
                  <c:v>7.0647</c:v>
                </c:pt>
                <c:pt idx="2360">
                  <c:v>7.1064</c:v>
                </c:pt>
                <c:pt idx="2361">
                  <c:v>7.1981</c:v>
                </c:pt>
                <c:pt idx="2362">
                  <c:v>7.1718</c:v>
                </c:pt>
                <c:pt idx="2363">
                  <c:v>7.1335</c:v>
                </c:pt>
                <c:pt idx="2364">
                  <c:v>7.1329</c:v>
                </c:pt>
                <c:pt idx="2365">
                  <c:v>7.1208</c:v>
                </c:pt>
                <c:pt idx="2366">
                  <c:v>7.1335</c:v>
                </c:pt>
                <c:pt idx="2367">
                  <c:v>7.1343</c:v>
                </c:pt>
                <c:pt idx="2368">
                  <c:v>7.1697</c:v>
                </c:pt>
                <c:pt idx="2369">
                  <c:v>7.1722</c:v>
                </c:pt>
                <c:pt idx="2370">
                  <c:v>7.26</c:v>
                </c:pt>
                <c:pt idx="2371">
                  <c:v>7.2973</c:v>
                </c:pt>
                <c:pt idx="2372">
                  <c:v>7.2841</c:v>
                </c:pt>
                <c:pt idx="2373">
                  <c:v>7.3423</c:v>
                </c:pt>
                <c:pt idx="2374">
                  <c:v>7.2478</c:v>
                </c:pt>
                <c:pt idx="2375">
                  <c:v>7.2216</c:v>
                </c:pt>
                <c:pt idx="2376">
                  <c:v>7.2187</c:v>
                </c:pt>
                <c:pt idx="2377">
                  <c:v>7.1858</c:v>
                </c:pt>
                <c:pt idx="2378">
                  <c:v>7.3461</c:v>
                </c:pt>
                <c:pt idx="2379">
                  <c:v>7.3915</c:v>
                </c:pt>
                <c:pt idx="2380">
                  <c:v>7.4263</c:v>
                </c:pt>
                <c:pt idx="2381">
                  <c:v>7.4854</c:v>
                </c:pt>
                <c:pt idx="2382">
                  <c:v>7.4101</c:v>
                </c:pt>
                <c:pt idx="2383">
                  <c:v>7.4613</c:v>
                </c:pt>
                <c:pt idx="2384">
                  <c:v>7.4715</c:v>
                </c:pt>
                <c:pt idx="2385">
                  <c:v>7.3305</c:v>
                </c:pt>
                <c:pt idx="2386">
                  <c:v>7.3242</c:v>
                </c:pt>
                <c:pt idx="2387">
                  <c:v>7.38</c:v>
                </c:pt>
                <c:pt idx="2388">
                  <c:v>7.4295</c:v>
                </c:pt>
                <c:pt idx="2389">
                  <c:v>7.4166</c:v>
                </c:pt>
                <c:pt idx="2390">
                  <c:v>7.4651</c:v>
                </c:pt>
                <c:pt idx="2391">
                  <c:v>7.3928</c:v>
                </c:pt>
                <c:pt idx="2392">
                  <c:v>7.2985</c:v>
                </c:pt>
                <c:pt idx="2393">
                  <c:v>7.2515</c:v>
                </c:pt>
                <c:pt idx="2394">
                  <c:v>7.2137</c:v>
                </c:pt>
                <c:pt idx="2395">
                  <c:v>7.0817</c:v>
                </c:pt>
                <c:pt idx="2396">
                  <c:v>7.0651</c:v>
                </c:pt>
                <c:pt idx="2397">
                  <c:v>7.0703</c:v>
                </c:pt>
                <c:pt idx="2398">
                  <c:v>7.108</c:v>
                </c:pt>
                <c:pt idx="2399">
                  <c:v>7.1239</c:v>
                </c:pt>
                <c:pt idx="2400">
                  <c:v>7.107</c:v>
                </c:pt>
                <c:pt idx="2401">
                  <c:v>7.17</c:v>
                </c:pt>
                <c:pt idx="2402">
                  <c:v>7.2118</c:v>
                </c:pt>
                <c:pt idx="2403">
                  <c:v>7.1935</c:v>
                </c:pt>
                <c:pt idx="2404">
                  <c:v>7.2438</c:v>
                </c:pt>
                <c:pt idx="2405">
                  <c:v>7.2678</c:v>
                </c:pt>
                <c:pt idx="2406">
                  <c:v>7.1605</c:v>
                </c:pt>
                <c:pt idx="2407">
                  <c:v>7.1511</c:v>
                </c:pt>
                <c:pt idx="2408">
                  <c:v>7.1688</c:v>
                </c:pt>
                <c:pt idx="2409">
                  <c:v>7.1968</c:v>
                </c:pt>
                <c:pt idx="2410">
                  <c:v>7.207</c:v>
                </c:pt>
                <c:pt idx="2411">
                  <c:v>7.1951</c:v>
                </c:pt>
                <c:pt idx="2412">
                  <c:v>7.1868</c:v>
                </c:pt>
                <c:pt idx="2413">
                  <c:v>7.2255</c:v>
                </c:pt>
                <c:pt idx="2414">
                  <c:v>7.2964</c:v>
                </c:pt>
                <c:pt idx="2415">
                  <c:v>7.3163</c:v>
                </c:pt>
                <c:pt idx="2416">
                  <c:v>7.2833</c:v>
                </c:pt>
                <c:pt idx="2417">
                  <c:v>7.2408</c:v>
                </c:pt>
                <c:pt idx="2418">
                  <c:v>7.155</c:v>
                </c:pt>
                <c:pt idx="2419">
                  <c:v>7.1226</c:v>
                </c:pt>
                <c:pt idx="2420">
                  <c:v>7.138</c:v>
                </c:pt>
                <c:pt idx="2421">
                  <c:v>7.1471</c:v>
                </c:pt>
                <c:pt idx="2422">
                  <c:v>7.1412</c:v>
                </c:pt>
                <c:pt idx="2423">
                  <c:v>7.1588</c:v>
                </c:pt>
                <c:pt idx="2424">
                  <c:v>7.2315</c:v>
                </c:pt>
                <c:pt idx="2425">
                  <c:v>7.2149</c:v>
                </c:pt>
                <c:pt idx="2426">
                  <c:v>7.2267</c:v>
                </c:pt>
                <c:pt idx="2427">
                  <c:v>7.2633</c:v>
                </c:pt>
                <c:pt idx="2428">
                  <c:v>7.3225</c:v>
                </c:pt>
                <c:pt idx="2429">
                  <c:v>7.3223</c:v>
                </c:pt>
                <c:pt idx="2430">
                  <c:v>7.2418</c:v>
                </c:pt>
                <c:pt idx="2431">
                  <c:v>7.2127</c:v>
                </c:pt>
                <c:pt idx="2432">
                  <c:v>7.0906</c:v>
                </c:pt>
                <c:pt idx="2433">
                  <c:v>6.9448</c:v>
                </c:pt>
                <c:pt idx="2434">
                  <c:v>6.9</c:v>
                </c:pt>
                <c:pt idx="2435">
                  <c:v>7.0061</c:v>
                </c:pt>
                <c:pt idx="2436">
                  <c:v>6.9879</c:v>
                </c:pt>
                <c:pt idx="2437">
                  <c:v>7.0108</c:v>
                </c:pt>
                <c:pt idx="2438">
                  <c:v>7.0888</c:v>
                </c:pt>
                <c:pt idx="2439">
                  <c:v>7.0627</c:v>
                </c:pt>
                <c:pt idx="2440">
                  <c:v>7.039</c:v>
                </c:pt>
                <c:pt idx="2441">
                  <c:v>7.035</c:v>
                </c:pt>
                <c:pt idx="2442">
                  <c:v>7.02</c:v>
                </c:pt>
                <c:pt idx="2443">
                  <c:v>6.9205</c:v>
                </c:pt>
                <c:pt idx="2444">
                  <c:v>7.0208</c:v>
                </c:pt>
                <c:pt idx="2445">
                  <c:v>7.0338</c:v>
                </c:pt>
                <c:pt idx="2446">
                  <c:v>7.0065</c:v>
                </c:pt>
                <c:pt idx="2447">
                  <c:v>6.97</c:v>
                </c:pt>
                <c:pt idx="2448">
                  <c:v>6.9888</c:v>
                </c:pt>
                <c:pt idx="2449">
                  <c:v>7.0068</c:v>
                </c:pt>
                <c:pt idx="2450">
                  <c:v>7.0278</c:v>
                </c:pt>
                <c:pt idx="2451">
                  <c:v>7.0597</c:v>
                </c:pt>
                <c:pt idx="2452">
                  <c:v>7.0244</c:v>
                </c:pt>
                <c:pt idx="2453">
                  <c:v>7.0868</c:v>
                </c:pt>
                <c:pt idx="2454">
                  <c:v>7.1063</c:v>
                </c:pt>
                <c:pt idx="2455">
                  <c:v>7.164</c:v>
                </c:pt>
                <c:pt idx="2456">
                  <c:v>7.1588</c:v>
                </c:pt>
                <c:pt idx="2457">
                  <c:v>7.1513</c:v>
                </c:pt>
                <c:pt idx="2458">
                  <c:v>7.1395</c:v>
                </c:pt>
                <c:pt idx="2459">
                  <c:v>7.165</c:v>
                </c:pt>
                <c:pt idx="2460">
                  <c:v>7.1298</c:v>
                </c:pt>
                <c:pt idx="2461">
                  <c:v>7.1635</c:v>
                </c:pt>
                <c:pt idx="2462">
                  <c:v>7.205</c:v>
                </c:pt>
                <c:pt idx="2463">
                  <c:v>7.1538</c:v>
                </c:pt>
                <c:pt idx="2464">
                  <c:v>7.2065</c:v>
                </c:pt>
                <c:pt idx="2465">
                  <c:v>7.233</c:v>
                </c:pt>
                <c:pt idx="2466">
                  <c:v>7.2826</c:v>
                </c:pt>
                <c:pt idx="2467">
                  <c:v>7.2235</c:v>
                </c:pt>
                <c:pt idx="2468">
                  <c:v>7.2555</c:v>
                </c:pt>
                <c:pt idx="2469">
                  <c:v>7.2688</c:v>
                </c:pt>
                <c:pt idx="2470">
                  <c:v>7.26</c:v>
                </c:pt>
                <c:pt idx="2471">
                  <c:v>7.2159</c:v>
                </c:pt>
                <c:pt idx="2472">
                  <c:v>7.2318</c:v>
                </c:pt>
                <c:pt idx="2473">
                  <c:v>7.3155</c:v>
                </c:pt>
                <c:pt idx="2474">
                  <c:v>7.3063</c:v>
                </c:pt>
                <c:pt idx="2475">
                  <c:v>7.381</c:v>
                </c:pt>
                <c:pt idx="2476">
                  <c:v>7.3768</c:v>
                </c:pt>
                <c:pt idx="2477">
                  <c:v>7.4324</c:v>
                </c:pt>
                <c:pt idx="2478">
                  <c:v>7.3963</c:v>
                </c:pt>
                <c:pt idx="2479">
                  <c:v>7.3865</c:v>
                </c:pt>
                <c:pt idx="2480">
                  <c:v>7.5065</c:v>
                </c:pt>
                <c:pt idx="2481">
                  <c:v>7.43</c:v>
                </c:pt>
                <c:pt idx="2482">
                  <c:v>7.5006</c:v>
                </c:pt>
                <c:pt idx="2483">
                  <c:v>7.5915</c:v>
                </c:pt>
                <c:pt idx="2484">
                  <c:v>7.7095</c:v>
                </c:pt>
                <c:pt idx="2485">
                  <c:v>7.6763</c:v>
                </c:pt>
                <c:pt idx="2486">
                  <c:v>7.5378</c:v>
                </c:pt>
                <c:pt idx="2487">
                  <c:v>7.52</c:v>
                </c:pt>
                <c:pt idx="2488">
                  <c:v>7.5959</c:v>
                </c:pt>
                <c:pt idx="2489">
                  <c:v>7.6099</c:v>
                </c:pt>
                <c:pt idx="2490">
                  <c:v>7.5175</c:v>
                </c:pt>
                <c:pt idx="2491">
                  <c:v>7.4713</c:v>
                </c:pt>
                <c:pt idx="2492">
                  <c:v>7.526</c:v>
                </c:pt>
                <c:pt idx="2493">
                  <c:v>7.669</c:v>
                </c:pt>
                <c:pt idx="2494">
                  <c:v>7.7665</c:v>
                </c:pt>
                <c:pt idx="2495">
                  <c:v>7.8338</c:v>
                </c:pt>
                <c:pt idx="2496">
                  <c:v>7.817</c:v>
                </c:pt>
                <c:pt idx="2497">
                  <c:v>7.806</c:v>
                </c:pt>
                <c:pt idx="2498">
                  <c:v>7.9125</c:v>
                </c:pt>
                <c:pt idx="2499">
                  <c:v>7.884</c:v>
                </c:pt>
                <c:pt idx="2500">
                  <c:v>7.7235</c:v>
                </c:pt>
                <c:pt idx="2501">
                  <c:v>7.7613</c:v>
                </c:pt>
                <c:pt idx="2502">
                  <c:v>7.678</c:v>
                </c:pt>
                <c:pt idx="2503">
                  <c:v>7.6268</c:v>
                </c:pt>
                <c:pt idx="2504">
                  <c:v>7.6563</c:v>
                </c:pt>
                <c:pt idx="2505">
                  <c:v>7.7005</c:v>
                </c:pt>
                <c:pt idx="2506">
                  <c:v>7.6225</c:v>
                </c:pt>
                <c:pt idx="2507">
                  <c:v>7.5835</c:v>
                </c:pt>
                <c:pt idx="2508">
                  <c:v>7.3865</c:v>
                </c:pt>
                <c:pt idx="2509">
                  <c:v>7.367</c:v>
                </c:pt>
                <c:pt idx="2510">
                  <c:v>7.283</c:v>
                </c:pt>
                <c:pt idx="2511">
                  <c:v>7.397</c:v>
                </c:pt>
                <c:pt idx="2512">
                  <c:v>7.4047</c:v>
                </c:pt>
                <c:pt idx="2513">
                  <c:v>7.318</c:v>
                </c:pt>
                <c:pt idx="2514">
                  <c:v>7.3453</c:v>
                </c:pt>
                <c:pt idx="2515">
                  <c:v>7.4085</c:v>
                </c:pt>
                <c:pt idx="2516">
                  <c:v>7.373</c:v>
                </c:pt>
                <c:pt idx="2517">
                  <c:v>7.3475</c:v>
                </c:pt>
                <c:pt idx="2518">
                  <c:v>7.313</c:v>
                </c:pt>
                <c:pt idx="2519">
                  <c:v>7.1887</c:v>
                </c:pt>
                <c:pt idx="2520">
                  <c:v>7.161</c:v>
                </c:pt>
                <c:pt idx="2521">
                  <c:v>7.2088</c:v>
                </c:pt>
                <c:pt idx="2522">
                  <c:v>7.209</c:v>
                </c:pt>
                <c:pt idx="2523">
                  <c:v>7.102</c:v>
                </c:pt>
                <c:pt idx="2524">
                  <c:v>7.1448</c:v>
                </c:pt>
                <c:pt idx="2525">
                  <c:v>7.1833</c:v>
                </c:pt>
                <c:pt idx="2526">
                  <c:v>7.1436</c:v>
                </c:pt>
                <c:pt idx="2527">
                  <c:v>7.1675</c:v>
                </c:pt>
                <c:pt idx="2528">
                  <c:v>7.1398</c:v>
                </c:pt>
                <c:pt idx="2529">
                  <c:v>7.1185</c:v>
                </c:pt>
                <c:pt idx="2530">
                  <c:v>7.0315</c:v>
                </c:pt>
                <c:pt idx="2531">
                  <c:v>6.989</c:v>
                </c:pt>
                <c:pt idx="2532">
                  <c:v>6.7925</c:v>
                </c:pt>
                <c:pt idx="2533">
                  <c:v>6.7445</c:v>
                </c:pt>
                <c:pt idx="2534">
                  <c:v>6.8715</c:v>
                </c:pt>
                <c:pt idx="2535">
                  <c:v>6.8535</c:v>
                </c:pt>
                <c:pt idx="2536">
                  <c:v>6.7925</c:v>
                </c:pt>
                <c:pt idx="2537">
                  <c:v>6.8038</c:v>
                </c:pt>
                <c:pt idx="2538">
                  <c:v>6.7315</c:v>
                </c:pt>
                <c:pt idx="2539">
                  <c:v>6.832</c:v>
                </c:pt>
                <c:pt idx="2540">
                  <c:v>6.7914</c:v>
                </c:pt>
                <c:pt idx="2541">
                  <c:v>6.8168</c:v>
                </c:pt>
                <c:pt idx="2542">
                  <c:v>6.853</c:v>
                </c:pt>
                <c:pt idx="2543">
                  <c:v>6.8925</c:v>
                </c:pt>
                <c:pt idx="2544">
                  <c:v>6.9689</c:v>
                </c:pt>
                <c:pt idx="2545">
                  <c:v>6.9245</c:v>
                </c:pt>
                <c:pt idx="2546">
                  <c:v>6.877</c:v>
                </c:pt>
                <c:pt idx="2547">
                  <c:v>6.82</c:v>
                </c:pt>
                <c:pt idx="2548">
                  <c:v>6.9738</c:v>
                </c:pt>
                <c:pt idx="2549">
                  <c:v>7.013</c:v>
                </c:pt>
                <c:pt idx="2550">
                  <c:v>7.0181</c:v>
                </c:pt>
                <c:pt idx="2551">
                  <c:v>7.0392</c:v>
                </c:pt>
                <c:pt idx="2552">
                  <c:v>6.9693</c:v>
                </c:pt>
                <c:pt idx="2553">
                  <c:v>7.0547</c:v>
                </c:pt>
                <c:pt idx="2554">
                  <c:v>7.1876</c:v>
                </c:pt>
                <c:pt idx="2555">
                  <c:v>7.2225</c:v>
                </c:pt>
                <c:pt idx="2556">
                  <c:v>7.2087</c:v>
                </c:pt>
                <c:pt idx="2557">
                  <c:v>7.1642</c:v>
                </c:pt>
                <c:pt idx="2558">
                  <c:v>7.143</c:v>
                </c:pt>
                <c:pt idx="2559">
                  <c:v>7.1129</c:v>
                </c:pt>
                <c:pt idx="2560">
                  <c:v>7.1214</c:v>
                </c:pt>
                <c:pt idx="2561">
                  <c:v>7.1005</c:v>
                </c:pt>
                <c:pt idx="2562">
                  <c:v>7.1633</c:v>
                </c:pt>
                <c:pt idx="2563">
                  <c:v>7.2288</c:v>
                </c:pt>
                <c:pt idx="2564">
                  <c:v>7.0385</c:v>
                </c:pt>
                <c:pt idx="2565">
                  <c:v>7.0563</c:v>
                </c:pt>
                <c:pt idx="2566">
                  <c:v>7.164</c:v>
                </c:pt>
                <c:pt idx="2567">
                  <c:v>7.2925</c:v>
                </c:pt>
                <c:pt idx="2568">
                  <c:v>7.2423</c:v>
                </c:pt>
                <c:pt idx="2569">
                  <c:v>7.3025</c:v>
                </c:pt>
                <c:pt idx="2570">
                  <c:v>7.3775</c:v>
                </c:pt>
                <c:pt idx="2571">
                  <c:v>7.4463</c:v>
                </c:pt>
                <c:pt idx="2572">
                  <c:v>7.314</c:v>
                </c:pt>
                <c:pt idx="2573">
                  <c:v>7.147</c:v>
                </c:pt>
                <c:pt idx="2574">
                  <c:v>7.0903</c:v>
                </c:pt>
                <c:pt idx="2575">
                  <c:v>6.982</c:v>
                </c:pt>
                <c:pt idx="2576">
                  <c:v>6.893</c:v>
                </c:pt>
                <c:pt idx="2577">
                  <c:v>6.9335</c:v>
                </c:pt>
                <c:pt idx="2578">
                  <c:v>6.846</c:v>
                </c:pt>
                <c:pt idx="2579">
                  <c:v>6.844</c:v>
                </c:pt>
                <c:pt idx="2580">
                  <c:v>6.7723</c:v>
                </c:pt>
                <c:pt idx="2581">
                  <c:v>6.7213</c:v>
                </c:pt>
                <c:pt idx="2582">
                  <c:v>6.7875</c:v>
                </c:pt>
                <c:pt idx="2583">
                  <c:v>6.7125</c:v>
                </c:pt>
                <c:pt idx="2584">
                  <c:v>6.7778</c:v>
                </c:pt>
                <c:pt idx="2585">
                  <c:v>6.6395</c:v>
                </c:pt>
                <c:pt idx="2586">
                  <c:v>6.6515</c:v>
                </c:pt>
                <c:pt idx="2587">
                  <c:v>6.6787</c:v>
                </c:pt>
                <c:pt idx="2588">
                  <c:v>6.7085</c:v>
                </c:pt>
                <c:pt idx="2589">
                  <c:v>6.5843</c:v>
                </c:pt>
                <c:pt idx="2590">
                  <c:v>6.513</c:v>
                </c:pt>
                <c:pt idx="2591">
                  <c:v>6.5385</c:v>
                </c:pt>
                <c:pt idx="2592">
                  <c:v>6.564999999999999</c:v>
                </c:pt>
                <c:pt idx="2593">
                  <c:v>6.6789</c:v>
                </c:pt>
                <c:pt idx="2594">
                  <c:v>6.507</c:v>
                </c:pt>
                <c:pt idx="2595">
                  <c:v>6.59</c:v>
                </c:pt>
                <c:pt idx="2596">
                  <c:v>6.5258</c:v>
                </c:pt>
                <c:pt idx="2597">
                  <c:v>6.4858</c:v>
                </c:pt>
                <c:pt idx="2598">
                  <c:v>6.4</c:v>
                </c:pt>
                <c:pt idx="2599">
                  <c:v>6.3698</c:v>
                </c:pt>
                <c:pt idx="2600">
                  <c:v>6.4143</c:v>
                </c:pt>
                <c:pt idx="2601">
                  <c:v>6.2385</c:v>
                </c:pt>
                <c:pt idx="2602">
                  <c:v>6.063</c:v>
                </c:pt>
                <c:pt idx="2603">
                  <c:v>6.0703</c:v>
                </c:pt>
                <c:pt idx="2604">
                  <c:v>6.0498</c:v>
                </c:pt>
                <c:pt idx="2605">
                  <c:v>6.0585</c:v>
                </c:pt>
                <c:pt idx="2606">
                  <c:v>6.0595</c:v>
                </c:pt>
              </c:numCache>
            </c:numRef>
          </c:val>
          <c:smooth val="0"/>
        </c:ser>
        <c:dLbls>
          <c:showLegendKey val="0"/>
          <c:showVal val="0"/>
          <c:showCatName val="0"/>
          <c:showSerName val="0"/>
          <c:showPercent val="0"/>
          <c:showBubbleSize val="0"/>
        </c:dLbls>
        <c:marker val="1"/>
        <c:smooth val="0"/>
        <c:axId val="2118217192"/>
        <c:axId val="2118233672"/>
      </c:lineChart>
      <c:dateAx>
        <c:axId val="2118217192"/>
        <c:scaling>
          <c:orientation val="minMax"/>
        </c:scaling>
        <c:delete val="0"/>
        <c:axPos val="b"/>
        <c:numFmt formatCode="m/d/yy" sourceLinked="1"/>
        <c:majorTickMark val="out"/>
        <c:minorTickMark val="none"/>
        <c:tickLblPos val="nextTo"/>
        <c:crossAx val="2118233672"/>
        <c:crosses val="autoZero"/>
        <c:auto val="1"/>
        <c:lblOffset val="100"/>
        <c:baseTimeUnit val="days"/>
      </c:dateAx>
      <c:valAx>
        <c:axId val="2118233672"/>
        <c:scaling>
          <c:orientation val="minMax"/>
        </c:scaling>
        <c:delete val="0"/>
        <c:axPos val="l"/>
        <c:majorGridlines/>
        <c:numFmt formatCode="0.00" sourceLinked="1"/>
        <c:majorTickMark val="out"/>
        <c:minorTickMark val="none"/>
        <c:tickLblPos val="nextTo"/>
        <c:crossAx val="2118217192"/>
        <c:crosses val="autoZero"/>
        <c:crossBetween val="between"/>
      </c:valAx>
    </c:plotArea>
    <c:legend>
      <c:legendPos val="r"/>
      <c:overlay val="0"/>
    </c:legend>
    <c:plotVisOnly val="1"/>
    <c:dispBlanksAs val="gap"/>
    <c:showDLblsOverMax val="0"/>
  </c:chart>
  <c:printSettings>
    <c:headerFooter/>
    <c:pageMargins b="1.0" l="0.75" r="0.75" t="1.0"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c:spPr>
          <c:marker>
            <c:symbol val="none"/>
          </c:marker>
          <c:cat>
            <c:numRef>
              <c:f>'3f. Exchange Rate USDZAR'!$A$10:$A$2616</c:f>
              <c:numCache>
                <c:formatCode>m/d/yy</c:formatCode>
                <c:ptCount val="2607"/>
                <c:pt idx="0">
                  <c:v>42494.0</c:v>
                </c:pt>
                <c:pt idx="1">
                  <c:v>42493.0</c:v>
                </c:pt>
                <c:pt idx="2">
                  <c:v>42492.0</c:v>
                </c:pt>
                <c:pt idx="3">
                  <c:v>42489.0</c:v>
                </c:pt>
                <c:pt idx="4">
                  <c:v>42488.0</c:v>
                </c:pt>
                <c:pt idx="5">
                  <c:v>42487.0</c:v>
                </c:pt>
                <c:pt idx="6">
                  <c:v>42486.0</c:v>
                </c:pt>
                <c:pt idx="7">
                  <c:v>42485.0</c:v>
                </c:pt>
                <c:pt idx="8">
                  <c:v>42482.0</c:v>
                </c:pt>
                <c:pt idx="9">
                  <c:v>42481.0</c:v>
                </c:pt>
                <c:pt idx="10">
                  <c:v>42480.0</c:v>
                </c:pt>
                <c:pt idx="11">
                  <c:v>42479.0</c:v>
                </c:pt>
                <c:pt idx="12">
                  <c:v>42478.0</c:v>
                </c:pt>
                <c:pt idx="13">
                  <c:v>42475.0</c:v>
                </c:pt>
                <c:pt idx="14">
                  <c:v>42474.0</c:v>
                </c:pt>
                <c:pt idx="15">
                  <c:v>42473.0</c:v>
                </c:pt>
                <c:pt idx="16">
                  <c:v>42472.0</c:v>
                </c:pt>
                <c:pt idx="17">
                  <c:v>42471.0</c:v>
                </c:pt>
                <c:pt idx="18">
                  <c:v>42468.0</c:v>
                </c:pt>
                <c:pt idx="19">
                  <c:v>42467.0</c:v>
                </c:pt>
                <c:pt idx="20">
                  <c:v>42466.0</c:v>
                </c:pt>
                <c:pt idx="21">
                  <c:v>42465.0</c:v>
                </c:pt>
                <c:pt idx="22">
                  <c:v>42464.0</c:v>
                </c:pt>
                <c:pt idx="23">
                  <c:v>42461.0</c:v>
                </c:pt>
                <c:pt idx="24">
                  <c:v>42460.0</c:v>
                </c:pt>
                <c:pt idx="25">
                  <c:v>42459.0</c:v>
                </c:pt>
                <c:pt idx="26">
                  <c:v>42458.0</c:v>
                </c:pt>
                <c:pt idx="27">
                  <c:v>42457.0</c:v>
                </c:pt>
                <c:pt idx="28">
                  <c:v>42454.0</c:v>
                </c:pt>
                <c:pt idx="29">
                  <c:v>42453.0</c:v>
                </c:pt>
                <c:pt idx="30">
                  <c:v>42452.0</c:v>
                </c:pt>
                <c:pt idx="31">
                  <c:v>42451.0</c:v>
                </c:pt>
                <c:pt idx="32">
                  <c:v>42450.0</c:v>
                </c:pt>
                <c:pt idx="33">
                  <c:v>42447.0</c:v>
                </c:pt>
                <c:pt idx="34">
                  <c:v>42446.0</c:v>
                </c:pt>
                <c:pt idx="35">
                  <c:v>42445.0</c:v>
                </c:pt>
                <c:pt idx="36">
                  <c:v>42444.0</c:v>
                </c:pt>
                <c:pt idx="37">
                  <c:v>42443.0</c:v>
                </c:pt>
                <c:pt idx="38">
                  <c:v>42440.0</c:v>
                </c:pt>
                <c:pt idx="39">
                  <c:v>42439.0</c:v>
                </c:pt>
                <c:pt idx="40">
                  <c:v>42438.0</c:v>
                </c:pt>
                <c:pt idx="41">
                  <c:v>42437.0</c:v>
                </c:pt>
                <c:pt idx="42">
                  <c:v>42436.0</c:v>
                </c:pt>
                <c:pt idx="43">
                  <c:v>42433.0</c:v>
                </c:pt>
                <c:pt idx="44">
                  <c:v>42432.0</c:v>
                </c:pt>
                <c:pt idx="45">
                  <c:v>42431.0</c:v>
                </c:pt>
                <c:pt idx="46">
                  <c:v>42430.0</c:v>
                </c:pt>
                <c:pt idx="47">
                  <c:v>42429.0</c:v>
                </c:pt>
                <c:pt idx="48">
                  <c:v>42426.0</c:v>
                </c:pt>
                <c:pt idx="49">
                  <c:v>42425.0</c:v>
                </c:pt>
                <c:pt idx="50">
                  <c:v>42424.0</c:v>
                </c:pt>
                <c:pt idx="51">
                  <c:v>42423.0</c:v>
                </c:pt>
                <c:pt idx="52">
                  <c:v>42422.0</c:v>
                </c:pt>
                <c:pt idx="53">
                  <c:v>42419.0</c:v>
                </c:pt>
                <c:pt idx="54">
                  <c:v>42418.0</c:v>
                </c:pt>
                <c:pt idx="55">
                  <c:v>42417.0</c:v>
                </c:pt>
                <c:pt idx="56">
                  <c:v>42416.0</c:v>
                </c:pt>
                <c:pt idx="57">
                  <c:v>42415.0</c:v>
                </c:pt>
                <c:pt idx="58">
                  <c:v>42412.0</c:v>
                </c:pt>
                <c:pt idx="59">
                  <c:v>42411.0</c:v>
                </c:pt>
                <c:pt idx="60">
                  <c:v>42410.0</c:v>
                </c:pt>
                <c:pt idx="61">
                  <c:v>42409.0</c:v>
                </c:pt>
                <c:pt idx="62">
                  <c:v>42408.0</c:v>
                </c:pt>
                <c:pt idx="63">
                  <c:v>42405.0</c:v>
                </c:pt>
                <c:pt idx="64">
                  <c:v>42404.0</c:v>
                </c:pt>
                <c:pt idx="65">
                  <c:v>42403.0</c:v>
                </c:pt>
                <c:pt idx="66">
                  <c:v>42402.0</c:v>
                </c:pt>
                <c:pt idx="67">
                  <c:v>42401.0</c:v>
                </c:pt>
                <c:pt idx="68">
                  <c:v>42398.0</c:v>
                </c:pt>
                <c:pt idx="69">
                  <c:v>42397.0</c:v>
                </c:pt>
                <c:pt idx="70">
                  <c:v>42396.0</c:v>
                </c:pt>
                <c:pt idx="71">
                  <c:v>42395.0</c:v>
                </c:pt>
                <c:pt idx="72">
                  <c:v>42394.0</c:v>
                </c:pt>
                <c:pt idx="73">
                  <c:v>42391.0</c:v>
                </c:pt>
                <c:pt idx="74">
                  <c:v>42390.0</c:v>
                </c:pt>
                <c:pt idx="75">
                  <c:v>42389.0</c:v>
                </c:pt>
                <c:pt idx="76">
                  <c:v>42388.0</c:v>
                </c:pt>
                <c:pt idx="77">
                  <c:v>42387.0</c:v>
                </c:pt>
                <c:pt idx="78">
                  <c:v>42384.0</c:v>
                </c:pt>
                <c:pt idx="79">
                  <c:v>42383.0</c:v>
                </c:pt>
                <c:pt idx="80">
                  <c:v>42382.0</c:v>
                </c:pt>
                <c:pt idx="81">
                  <c:v>42381.0</c:v>
                </c:pt>
                <c:pt idx="82">
                  <c:v>42380.0</c:v>
                </c:pt>
                <c:pt idx="83">
                  <c:v>42377.0</c:v>
                </c:pt>
                <c:pt idx="84">
                  <c:v>42376.0</c:v>
                </c:pt>
                <c:pt idx="85">
                  <c:v>42375.0</c:v>
                </c:pt>
                <c:pt idx="86">
                  <c:v>42374.0</c:v>
                </c:pt>
                <c:pt idx="87">
                  <c:v>42373.0</c:v>
                </c:pt>
                <c:pt idx="88">
                  <c:v>42370.0</c:v>
                </c:pt>
                <c:pt idx="89">
                  <c:v>42369.0</c:v>
                </c:pt>
                <c:pt idx="90">
                  <c:v>42368.0</c:v>
                </c:pt>
                <c:pt idx="91">
                  <c:v>42367.0</c:v>
                </c:pt>
                <c:pt idx="92">
                  <c:v>42366.0</c:v>
                </c:pt>
                <c:pt idx="93">
                  <c:v>42363.0</c:v>
                </c:pt>
                <c:pt idx="94">
                  <c:v>42362.0</c:v>
                </c:pt>
                <c:pt idx="95">
                  <c:v>42361.0</c:v>
                </c:pt>
                <c:pt idx="96">
                  <c:v>42360.0</c:v>
                </c:pt>
                <c:pt idx="97">
                  <c:v>42359.0</c:v>
                </c:pt>
                <c:pt idx="98">
                  <c:v>42356.0</c:v>
                </c:pt>
                <c:pt idx="99">
                  <c:v>42355.0</c:v>
                </c:pt>
                <c:pt idx="100">
                  <c:v>42354.0</c:v>
                </c:pt>
                <c:pt idx="101">
                  <c:v>42353.0</c:v>
                </c:pt>
                <c:pt idx="102">
                  <c:v>42352.0</c:v>
                </c:pt>
                <c:pt idx="103">
                  <c:v>42349.0</c:v>
                </c:pt>
                <c:pt idx="104">
                  <c:v>42348.0</c:v>
                </c:pt>
                <c:pt idx="105">
                  <c:v>42347.0</c:v>
                </c:pt>
                <c:pt idx="106">
                  <c:v>42346.0</c:v>
                </c:pt>
                <c:pt idx="107">
                  <c:v>42345.0</c:v>
                </c:pt>
                <c:pt idx="108">
                  <c:v>42342.0</c:v>
                </c:pt>
                <c:pt idx="109">
                  <c:v>42341.0</c:v>
                </c:pt>
                <c:pt idx="110">
                  <c:v>42340.0</c:v>
                </c:pt>
                <c:pt idx="111">
                  <c:v>42339.0</c:v>
                </c:pt>
                <c:pt idx="112">
                  <c:v>42338.0</c:v>
                </c:pt>
                <c:pt idx="113">
                  <c:v>42335.0</c:v>
                </c:pt>
                <c:pt idx="114">
                  <c:v>42333.0</c:v>
                </c:pt>
                <c:pt idx="115">
                  <c:v>42332.0</c:v>
                </c:pt>
                <c:pt idx="116">
                  <c:v>42331.0</c:v>
                </c:pt>
                <c:pt idx="117">
                  <c:v>42328.0</c:v>
                </c:pt>
                <c:pt idx="118">
                  <c:v>42327.0</c:v>
                </c:pt>
                <c:pt idx="119">
                  <c:v>42326.0</c:v>
                </c:pt>
                <c:pt idx="120">
                  <c:v>42325.0</c:v>
                </c:pt>
                <c:pt idx="121">
                  <c:v>42324.0</c:v>
                </c:pt>
                <c:pt idx="122">
                  <c:v>42321.0</c:v>
                </c:pt>
                <c:pt idx="123">
                  <c:v>42319.0</c:v>
                </c:pt>
                <c:pt idx="124">
                  <c:v>42318.0</c:v>
                </c:pt>
                <c:pt idx="125">
                  <c:v>42317.0</c:v>
                </c:pt>
                <c:pt idx="126">
                  <c:v>42314.0</c:v>
                </c:pt>
                <c:pt idx="127">
                  <c:v>42313.0</c:v>
                </c:pt>
                <c:pt idx="128">
                  <c:v>42312.0</c:v>
                </c:pt>
                <c:pt idx="129">
                  <c:v>42311.0</c:v>
                </c:pt>
                <c:pt idx="130">
                  <c:v>42310.0</c:v>
                </c:pt>
                <c:pt idx="131">
                  <c:v>42307.0</c:v>
                </c:pt>
                <c:pt idx="132">
                  <c:v>42306.0</c:v>
                </c:pt>
                <c:pt idx="133">
                  <c:v>42305.0</c:v>
                </c:pt>
                <c:pt idx="134">
                  <c:v>42304.0</c:v>
                </c:pt>
                <c:pt idx="135">
                  <c:v>42303.0</c:v>
                </c:pt>
                <c:pt idx="136">
                  <c:v>42300.0</c:v>
                </c:pt>
                <c:pt idx="137">
                  <c:v>42299.0</c:v>
                </c:pt>
                <c:pt idx="138">
                  <c:v>42298.0</c:v>
                </c:pt>
                <c:pt idx="139">
                  <c:v>42297.0</c:v>
                </c:pt>
                <c:pt idx="140">
                  <c:v>42296.0</c:v>
                </c:pt>
                <c:pt idx="141">
                  <c:v>42293.0</c:v>
                </c:pt>
                <c:pt idx="142">
                  <c:v>42292.0</c:v>
                </c:pt>
                <c:pt idx="143">
                  <c:v>42291.0</c:v>
                </c:pt>
                <c:pt idx="144">
                  <c:v>42290.0</c:v>
                </c:pt>
                <c:pt idx="145">
                  <c:v>42289.0</c:v>
                </c:pt>
                <c:pt idx="146">
                  <c:v>42286.0</c:v>
                </c:pt>
                <c:pt idx="147">
                  <c:v>42285.0</c:v>
                </c:pt>
                <c:pt idx="148">
                  <c:v>42284.0</c:v>
                </c:pt>
                <c:pt idx="149">
                  <c:v>42283.0</c:v>
                </c:pt>
                <c:pt idx="150">
                  <c:v>42282.0</c:v>
                </c:pt>
                <c:pt idx="151">
                  <c:v>42279.0</c:v>
                </c:pt>
                <c:pt idx="152">
                  <c:v>42278.0</c:v>
                </c:pt>
                <c:pt idx="153">
                  <c:v>42277.0</c:v>
                </c:pt>
                <c:pt idx="154">
                  <c:v>42276.0</c:v>
                </c:pt>
                <c:pt idx="155">
                  <c:v>42275.0</c:v>
                </c:pt>
                <c:pt idx="156">
                  <c:v>42272.0</c:v>
                </c:pt>
                <c:pt idx="157">
                  <c:v>42271.0</c:v>
                </c:pt>
                <c:pt idx="158">
                  <c:v>42270.0</c:v>
                </c:pt>
                <c:pt idx="159">
                  <c:v>42269.0</c:v>
                </c:pt>
                <c:pt idx="160">
                  <c:v>42268.0</c:v>
                </c:pt>
                <c:pt idx="161">
                  <c:v>42265.0</c:v>
                </c:pt>
                <c:pt idx="162">
                  <c:v>42264.0</c:v>
                </c:pt>
                <c:pt idx="163">
                  <c:v>42263.0</c:v>
                </c:pt>
                <c:pt idx="164">
                  <c:v>42262.0</c:v>
                </c:pt>
                <c:pt idx="165">
                  <c:v>42261.0</c:v>
                </c:pt>
                <c:pt idx="166">
                  <c:v>42258.0</c:v>
                </c:pt>
                <c:pt idx="167">
                  <c:v>42257.0</c:v>
                </c:pt>
                <c:pt idx="168">
                  <c:v>42256.0</c:v>
                </c:pt>
                <c:pt idx="169">
                  <c:v>42255.0</c:v>
                </c:pt>
                <c:pt idx="170">
                  <c:v>42254.0</c:v>
                </c:pt>
                <c:pt idx="171">
                  <c:v>42251.0</c:v>
                </c:pt>
                <c:pt idx="172">
                  <c:v>42250.0</c:v>
                </c:pt>
                <c:pt idx="173">
                  <c:v>42249.0</c:v>
                </c:pt>
                <c:pt idx="174">
                  <c:v>42248.0</c:v>
                </c:pt>
                <c:pt idx="175">
                  <c:v>42247.0</c:v>
                </c:pt>
                <c:pt idx="176">
                  <c:v>42244.0</c:v>
                </c:pt>
                <c:pt idx="177">
                  <c:v>42243.0</c:v>
                </c:pt>
                <c:pt idx="178">
                  <c:v>42242.0</c:v>
                </c:pt>
                <c:pt idx="179">
                  <c:v>42241.0</c:v>
                </c:pt>
                <c:pt idx="180">
                  <c:v>42240.0</c:v>
                </c:pt>
                <c:pt idx="181">
                  <c:v>42237.0</c:v>
                </c:pt>
                <c:pt idx="182">
                  <c:v>42236.0</c:v>
                </c:pt>
                <c:pt idx="183">
                  <c:v>42235.0</c:v>
                </c:pt>
                <c:pt idx="184">
                  <c:v>42234.0</c:v>
                </c:pt>
                <c:pt idx="185">
                  <c:v>42233.0</c:v>
                </c:pt>
                <c:pt idx="186">
                  <c:v>42230.0</c:v>
                </c:pt>
                <c:pt idx="187">
                  <c:v>42229.0</c:v>
                </c:pt>
                <c:pt idx="188">
                  <c:v>42228.0</c:v>
                </c:pt>
                <c:pt idx="189">
                  <c:v>42227.0</c:v>
                </c:pt>
                <c:pt idx="190">
                  <c:v>42226.0</c:v>
                </c:pt>
                <c:pt idx="191">
                  <c:v>42223.0</c:v>
                </c:pt>
                <c:pt idx="192">
                  <c:v>42222.0</c:v>
                </c:pt>
                <c:pt idx="193">
                  <c:v>42221.0</c:v>
                </c:pt>
                <c:pt idx="194">
                  <c:v>42220.0</c:v>
                </c:pt>
                <c:pt idx="195">
                  <c:v>42219.0</c:v>
                </c:pt>
                <c:pt idx="196">
                  <c:v>42216.0</c:v>
                </c:pt>
                <c:pt idx="197">
                  <c:v>42215.0</c:v>
                </c:pt>
                <c:pt idx="198">
                  <c:v>42214.0</c:v>
                </c:pt>
                <c:pt idx="199">
                  <c:v>42213.0</c:v>
                </c:pt>
                <c:pt idx="200">
                  <c:v>42212.0</c:v>
                </c:pt>
                <c:pt idx="201">
                  <c:v>42209.0</c:v>
                </c:pt>
                <c:pt idx="202">
                  <c:v>42208.0</c:v>
                </c:pt>
                <c:pt idx="203">
                  <c:v>42207.0</c:v>
                </c:pt>
                <c:pt idx="204">
                  <c:v>42206.0</c:v>
                </c:pt>
                <c:pt idx="205">
                  <c:v>42205.0</c:v>
                </c:pt>
                <c:pt idx="206">
                  <c:v>42202.0</c:v>
                </c:pt>
                <c:pt idx="207">
                  <c:v>42201.0</c:v>
                </c:pt>
                <c:pt idx="208">
                  <c:v>42200.0</c:v>
                </c:pt>
                <c:pt idx="209">
                  <c:v>42199.0</c:v>
                </c:pt>
                <c:pt idx="210">
                  <c:v>42198.0</c:v>
                </c:pt>
                <c:pt idx="211">
                  <c:v>42195.0</c:v>
                </c:pt>
                <c:pt idx="212">
                  <c:v>42194.0</c:v>
                </c:pt>
                <c:pt idx="213">
                  <c:v>42193.0</c:v>
                </c:pt>
                <c:pt idx="214">
                  <c:v>42192.0</c:v>
                </c:pt>
                <c:pt idx="215">
                  <c:v>42191.0</c:v>
                </c:pt>
                <c:pt idx="216">
                  <c:v>42188.0</c:v>
                </c:pt>
                <c:pt idx="217">
                  <c:v>42187.0</c:v>
                </c:pt>
                <c:pt idx="218">
                  <c:v>42186.0</c:v>
                </c:pt>
                <c:pt idx="219">
                  <c:v>42185.0</c:v>
                </c:pt>
                <c:pt idx="220">
                  <c:v>42184.0</c:v>
                </c:pt>
                <c:pt idx="221">
                  <c:v>42181.0</c:v>
                </c:pt>
                <c:pt idx="222">
                  <c:v>42180.0</c:v>
                </c:pt>
                <c:pt idx="223">
                  <c:v>42179.0</c:v>
                </c:pt>
                <c:pt idx="224">
                  <c:v>42178.0</c:v>
                </c:pt>
                <c:pt idx="225">
                  <c:v>42177.0</c:v>
                </c:pt>
                <c:pt idx="226">
                  <c:v>42174.0</c:v>
                </c:pt>
                <c:pt idx="227">
                  <c:v>42173.0</c:v>
                </c:pt>
                <c:pt idx="228">
                  <c:v>42172.0</c:v>
                </c:pt>
                <c:pt idx="229">
                  <c:v>42171.0</c:v>
                </c:pt>
                <c:pt idx="230">
                  <c:v>42170.0</c:v>
                </c:pt>
                <c:pt idx="231">
                  <c:v>42167.0</c:v>
                </c:pt>
                <c:pt idx="232">
                  <c:v>42166.0</c:v>
                </c:pt>
                <c:pt idx="233">
                  <c:v>42165.0</c:v>
                </c:pt>
                <c:pt idx="234">
                  <c:v>42164.0</c:v>
                </c:pt>
                <c:pt idx="235">
                  <c:v>42163.0</c:v>
                </c:pt>
                <c:pt idx="236">
                  <c:v>42160.0</c:v>
                </c:pt>
                <c:pt idx="237">
                  <c:v>42159.0</c:v>
                </c:pt>
                <c:pt idx="238">
                  <c:v>42158.0</c:v>
                </c:pt>
                <c:pt idx="239">
                  <c:v>42157.0</c:v>
                </c:pt>
                <c:pt idx="240">
                  <c:v>42156.0</c:v>
                </c:pt>
                <c:pt idx="241">
                  <c:v>42153.0</c:v>
                </c:pt>
                <c:pt idx="242">
                  <c:v>42152.0</c:v>
                </c:pt>
                <c:pt idx="243">
                  <c:v>42151.0</c:v>
                </c:pt>
                <c:pt idx="244">
                  <c:v>42150.0</c:v>
                </c:pt>
                <c:pt idx="245">
                  <c:v>42149.0</c:v>
                </c:pt>
                <c:pt idx="246">
                  <c:v>42146.0</c:v>
                </c:pt>
                <c:pt idx="247">
                  <c:v>42145.0</c:v>
                </c:pt>
                <c:pt idx="248">
                  <c:v>42144.0</c:v>
                </c:pt>
                <c:pt idx="249">
                  <c:v>42143.0</c:v>
                </c:pt>
                <c:pt idx="250">
                  <c:v>42142.0</c:v>
                </c:pt>
                <c:pt idx="251">
                  <c:v>42139.0</c:v>
                </c:pt>
                <c:pt idx="252">
                  <c:v>42138.0</c:v>
                </c:pt>
                <c:pt idx="253">
                  <c:v>42137.0</c:v>
                </c:pt>
                <c:pt idx="254">
                  <c:v>42136.0</c:v>
                </c:pt>
                <c:pt idx="255">
                  <c:v>42135.0</c:v>
                </c:pt>
                <c:pt idx="256">
                  <c:v>42132.0</c:v>
                </c:pt>
                <c:pt idx="257">
                  <c:v>42131.0</c:v>
                </c:pt>
                <c:pt idx="258">
                  <c:v>42130.0</c:v>
                </c:pt>
                <c:pt idx="259">
                  <c:v>42129.0</c:v>
                </c:pt>
                <c:pt idx="260">
                  <c:v>42128.0</c:v>
                </c:pt>
                <c:pt idx="261">
                  <c:v>42125.0</c:v>
                </c:pt>
                <c:pt idx="262">
                  <c:v>42124.0</c:v>
                </c:pt>
                <c:pt idx="263">
                  <c:v>42123.0</c:v>
                </c:pt>
                <c:pt idx="264">
                  <c:v>42122.0</c:v>
                </c:pt>
                <c:pt idx="265">
                  <c:v>42121.0</c:v>
                </c:pt>
                <c:pt idx="266">
                  <c:v>42118.0</c:v>
                </c:pt>
                <c:pt idx="267">
                  <c:v>42117.0</c:v>
                </c:pt>
                <c:pt idx="268">
                  <c:v>42116.0</c:v>
                </c:pt>
                <c:pt idx="269">
                  <c:v>42115.0</c:v>
                </c:pt>
                <c:pt idx="270">
                  <c:v>42114.0</c:v>
                </c:pt>
                <c:pt idx="271">
                  <c:v>42111.0</c:v>
                </c:pt>
                <c:pt idx="272">
                  <c:v>42110.0</c:v>
                </c:pt>
                <c:pt idx="273">
                  <c:v>42109.0</c:v>
                </c:pt>
                <c:pt idx="274">
                  <c:v>42108.0</c:v>
                </c:pt>
                <c:pt idx="275">
                  <c:v>42107.0</c:v>
                </c:pt>
                <c:pt idx="276">
                  <c:v>42104.0</c:v>
                </c:pt>
                <c:pt idx="277">
                  <c:v>42103.0</c:v>
                </c:pt>
                <c:pt idx="278">
                  <c:v>42102.0</c:v>
                </c:pt>
                <c:pt idx="279">
                  <c:v>42101.0</c:v>
                </c:pt>
                <c:pt idx="280">
                  <c:v>42100.0</c:v>
                </c:pt>
                <c:pt idx="281">
                  <c:v>42097.0</c:v>
                </c:pt>
                <c:pt idx="282">
                  <c:v>42096.0</c:v>
                </c:pt>
                <c:pt idx="283">
                  <c:v>42095.0</c:v>
                </c:pt>
                <c:pt idx="284">
                  <c:v>42094.0</c:v>
                </c:pt>
                <c:pt idx="285">
                  <c:v>42093.0</c:v>
                </c:pt>
                <c:pt idx="286">
                  <c:v>42090.0</c:v>
                </c:pt>
                <c:pt idx="287">
                  <c:v>42089.0</c:v>
                </c:pt>
                <c:pt idx="288">
                  <c:v>42088.0</c:v>
                </c:pt>
                <c:pt idx="289">
                  <c:v>42087.0</c:v>
                </c:pt>
                <c:pt idx="290">
                  <c:v>42086.0</c:v>
                </c:pt>
                <c:pt idx="291">
                  <c:v>42083.0</c:v>
                </c:pt>
                <c:pt idx="292">
                  <c:v>42082.0</c:v>
                </c:pt>
                <c:pt idx="293">
                  <c:v>42081.0</c:v>
                </c:pt>
                <c:pt idx="294">
                  <c:v>42080.0</c:v>
                </c:pt>
                <c:pt idx="295">
                  <c:v>42079.0</c:v>
                </c:pt>
                <c:pt idx="296">
                  <c:v>42076.0</c:v>
                </c:pt>
                <c:pt idx="297">
                  <c:v>42075.0</c:v>
                </c:pt>
                <c:pt idx="298">
                  <c:v>42074.0</c:v>
                </c:pt>
                <c:pt idx="299">
                  <c:v>42073.0</c:v>
                </c:pt>
                <c:pt idx="300">
                  <c:v>42072.0</c:v>
                </c:pt>
                <c:pt idx="301">
                  <c:v>42069.0</c:v>
                </c:pt>
                <c:pt idx="302">
                  <c:v>42068.0</c:v>
                </c:pt>
                <c:pt idx="303">
                  <c:v>42067.0</c:v>
                </c:pt>
                <c:pt idx="304">
                  <c:v>42066.0</c:v>
                </c:pt>
                <c:pt idx="305">
                  <c:v>42065.0</c:v>
                </c:pt>
                <c:pt idx="306">
                  <c:v>42062.0</c:v>
                </c:pt>
                <c:pt idx="307">
                  <c:v>42061.0</c:v>
                </c:pt>
                <c:pt idx="308">
                  <c:v>42060.0</c:v>
                </c:pt>
                <c:pt idx="309">
                  <c:v>42059.0</c:v>
                </c:pt>
                <c:pt idx="310">
                  <c:v>42058.0</c:v>
                </c:pt>
                <c:pt idx="311">
                  <c:v>42055.0</c:v>
                </c:pt>
                <c:pt idx="312">
                  <c:v>42054.0</c:v>
                </c:pt>
                <c:pt idx="313">
                  <c:v>42053.0</c:v>
                </c:pt>
                <c:pt idx="314">
                  <c:v>42052.0</c:v>
                </c:pt>
                <c:pt idx="315">
                  <c:v>42051.0</c:v>
                </c:pt>
                <c:pt idx="316">
                  <c:v>42048.0</c:v>
                </c:pt>
                <c:pt idx="317">
                  <c:v>42047.0</c:v>
                </c:pt>
                <c:pt idx="318">
                  <c:v>42046.0</c:v>
                </c:pt>
                <c:pt idx="319">
                  <c:v>42045.0</c:v>
                </c:pt>
                <c:pt idx="320">
                  <c:v>42044.0</c:v>
                </c:pt>
                <c:pt idx="321">
                  <c:v>42041.0</c:v>
                </c:pt>
                <c:pt idx="322">
                  <c:v>42040.0</c:v>
                </c:pt>
                <c:pt idx="323">
                  <c:v>42039.0</c:v>
                </c:pt>
                <c:pt idx="324">
                  <c:v>42038.0</c:v>
                </c:pt>
                <c:pt idx="325">
                  <c:v>42037.0</c:v>
                </c:pt>
                <c:pt idx="326">
                  <c:v>42034.0</c:v>
                </c:pt>
                <c:pt idx="327">
                  <c:v>42033.0</c:v>
                </c:pt>
                <c:pt idx="328">
                  <c:v>42032.0</c:v>
                </c:pt>
                <c:pt idx="329">
                  <c:v>42031.0</c:v>
                </c:pt>
                <c:pt idx="330">
                  <c:v>42030.0</c:v>
                </c:pt>
                <c:pt idx="331">
                  <c:v>42027.0</c:v>
                </c:pt>
                <c:pt idx="332">
                  <c:v>42026.0</c:v>
                </c:pt>
                <c:pt idx="333">
                  <c:v>42025.0</c:v>
                </c:pt>
                <c:pt idx="334">
                  <c:v>42024.0</c:v>
                </c:pt>
                <c:pt idx="335">
                  <c:v>42023.0</c:v>
                </c:pt>
                <c:pt idx="336">
                  <c:v>42020.0</c:v>
                </c:pt>
                <c:pt idx="337">
                  <c:v>42019.0</c:v>
                </c:pt>
                <c:pt idx="338">
                  <c:v>42018.0</c:v>
                </c:pt>
                <c:pt idx="339">
                  <c:v>42017.0</c:v>
                </c:pt>
                <c:pt idx="340">
                  <c:v>42016.0</c:v>
                </c:pt>
                <c:pt idx="341">
                  <c:v>42013.0</c:v>
                </c:pt>
                <c:pt idx="342">
                  <c:v>42012.0</c:v>
                </c:pt>
                <c:pt idx="343">
                  <c:v>42011.0</c:v>
                </c:pt>
                <c:pt idx="344">
                  <c:v>42010.0</c:v>
                </c:pt>
                <c:pt idx="345">
                  <c:v>42009.0</c:v>
                </c:pt>
                <c:pt idx="346">
                  <c:v>42006.0</c:v>
                </c:pt>
                <c:pt idx="347">
                  <c:v>42005.0</c:v>
                </c:pt>
                <c:pt idx="348">
                  <c:v>42004.0</c:v>
                </c:pt>
                <c:pt idx="349">
                  <c:v>42003.0</c:v>
                </c:pt>
                <c:pt idx="350">
                  <c:v>42002.0</c:v>
                </c:pt>
                <c:pt idx="351">
                  <c:v>41999.0</c:v>
                </c:pt>
                <c:pt idx="352">
                  <c:v>41998.0</c:v>
                </c:pt>
                <c:pt idx="353">
                  <c:v>41997.0</c:v>
                </c:pt>
                <c:pt idx="354">
                  <c:v>41996.0</c:v>
                </c:pt>
                <c:pt idx="355">
                  <c:v>41995.0</c:v>
                </c:pt>
                <c:pt idx="356">
                  <c:v>41992.0</c:v>
                </c:pt>
                <c:pt idx="357">
                  <c:v>41991.0</c:v>
                </c:pt>
                <c:pt idx="358">
                  <c:v>41990.0</c:v>
                </c:pt>
                <c:pt idx="359">
                  <c:v>41989.0</c:v>
                </c:pt>
                <c:pt idx="360">
                  <c:v>41988.0</c:v>
                </c:pt>
                <c:pt idx="361">
                  <c:v>41985.0</c:v>
                </c:pt>
                <c:pt idx="362">
                  <c:v>41984.0</c:v>
                </c:pt>
                <c:pt idx="363">
                  <c:v>41983.0</c:v>
                </c:pt>
                <c:pt idx="364">
                  <c:v>41982.0</c:v>
                </c:pt>
                <c:pt idx="365">
                  <c:v>41981.0</c:v>
                </c:pt>
                <c:pt idx="366">
                  <c:v>41978.0</c:v>
                </c:pt>
                <c:pt idx="367">
                  <c:v>41977.0</c:v>
                </c:pt>
                <c:pt idx="368">
                  <c:v>41976.0</c:v>
                </c:pt>
                <c:pt idx="369">
                  <c:v>41975.0</c:v>
                </c:pt>
                <c:pt idx="370">
                  <c:v>41974.0</c:v>
                </c:pt>
                <c:pt idx="371">
                  <c:v>41971.0</c:v>
                </c:pt>
                <c:pt idx="372">
                  <c:v>41970.0</c:v>
                </c:pt>
                <c:pt idx="373">
                  <c:v>41969.0</c:v>
                </c:pt>
                <c:pt idx="374">
                  <c:v>41968.0</c:v>
                </c:pt>
                <c:pt idx="375">
                  <c:v>41967.0</c:v>
                </c:pt>
                <c:pt idx="376">
                  <c:v>41964.0</c:v>
                </c:pt>
                <c:pt idx="377">
                  <c:v>41963.0</c:v>
                </c:pt>
                <c:pt idx="378">
                  <c:v>41962.0</c:v>
                </c:pt>
                <c:pt idx="379">
                  <c:v>41961.0</c:v>
                </c:pt>
                <c:pt idx="380">
                  <c:v>41960.0</c:v>
                </c:pt>
                <c:pt idx="381">
                  <c:v>41957.0</c:v>
                </c:pt>
                <c:pt idx="382">
                  <c:v>41956.0</c:v>
                </c:pt>
                <c:pt idx="383">
                  <c:v>41955.0</c:v>
                </c:pt>
                <c:pt idx="384">
                  <c:v>41954.0</c:v>
                </c:pt>
                <c:pt idx="385">
                  <c:v>41953.0</c:v>
                </c:pt>
                <c:pt idx="386">
                  <c:v>41950.0</c:v>
                </c:pt>
                <c:pt idx="387">
                  <c:v>41949.0</c:v>
                </c:pt>
                <c:pt idx="388">
                  <c:v>41948.0</c:v>
                </c:pt>
                <c:pt idx="389">
                  <c:v>41947.0</c:v>
                </c:pt>
                <c:pt idx="390">
                  <c:v>41946.0</c:v>
                </c:pt>
                <c:pt idx="391">
                  <c:v>41943.0</c:v>
                </c:pt>
                <c:pt idx="392">
                  <c:v>41942.0</c:v>
                </c:pt>
                <c:pt idx="393">
                  <c:v>41941.0</c:v>
                </c:pt>
                <c:pt idx="394">
                  <c:v>41940.0</c:v>
                </c:pt>
                <c:pt idx="395">
                  <c:v>41939.0</c:v>
                </c:pt>
                <c:pt idx="396">
                  <c:v>41936.0</c:v>
                </c:pt>
                <c:pt idx="397">
                  <c:v>41935.0</c:v>
                </c:pt>
                <c:pt idx="398">
                  <c:v>41934.0</c:v>
                </c:pt>
                <c:pt idx="399">
                  <c:v>41933.0</c:v>
                </c:pt>
                <c:pt idx="400">
                  <c:v>41932.0</c:v>
                </c:pt>
                <c:pt idx="401">
                  <c:v>41929.0</c:v>
                </c:pt>
                <c:pt idx="402">
                  <c:v>41928.0</c:v>
                </c:pt>
                <c:pt idx="403">
                  <c:v>41927.0</c:v>
                </c:pt>
                <c:pt idx="404">
                  <c:v>41926.0</c:v>
                </c:pt>
                <c:pt idx="405">
                  <c:v>41925.0</c:v>
                </c:pt>
                <c:pt idx="406">
                  <c:v>41922.0</c:v>
                </c:pt>
                <c:pt idx="407">
                  <c:v>41921.0</c:v>
                </c:pt>
                <c:pt idx="408">
                  <c:v>41920.0</c:v>
                </c:pt>
                <c:pt idx="409">
                  <c:v>41919.0</c:v>
                </c:pt>
                <c:pt idx="410">
                  <c:v>41918.0</c:v>
                </c:pt>
                <c:pt idx="411">
                  <c:v>41915.0</c:v>
                </c:pt>
                <c:pt idx="412">
                  <c:v>41914.0</c:v>
                </c:pt>
                <c:pt idx="413">
                  <c:v>41913.0</c:v>
                </c:pt>
                <c:pt idx="414">
                  <c:v>41912.0</c:v>
                </c:pt>
                <c:pt idx="415">
                  <c:v>41911.0</c:v>
                </c:pt>
                <c:pt idx="416">
                  <c:v>41908.0</c:v>
                </c:pt>
                <c:pt idx="417">
                  <c:v>41907.0</c:v>
                </c:pt>
                <c:pt idx="418">
                  <c:v>41906.0</c:v>
                </c:pt>
                <c:pt idx="419">
                  <c:v>41905.0</c:v>
                </c:pt>
                <c:pt idx="420">
                  <c:v>41904.0</c:v>
                </c:pt>
                <c:pt idx="421">
                  <c:v>41901.0</c:v>
                </c:pt>
                <c:pt idx="422">
                  <c:v>41900.0</c:v>
                </c:pt>
                <c:pt idx="423">
                  <c:v>41899.0</c:v>
                </c:pt>
                <c:pt idx="424">
                  <c:v>41898.0</c:v>
                </c:pt>
                <c:pt idx="425">
                  <c:v>41897.0</c:v>
                </c:pt>
                <c:pt idx="426">
                  <c:v>41894.0</c:v>
                </c:pt>
                <c:pt idx="427">
                  <c:v>41893.0</c:v>
                </c:pt>
                <c:pt idx="428">
                  <c:v>41892.0</c:v>
                </c:pt>
                <c:pt idx="429">
                  <c:v>41891.0</c:v>
                </c:pt>
                <c:pt idx="430">
                  <c:v>41890.0</c:v>
                </c:pt>
                <c:pt idx="431">
                  <c:v>41887.0</c:v>
                </c:pt>
                <c:pt idx="432">
                  <c:v>41886.0</c:v>
                </c:pt>
                <c:pt idx="433">
                  <c:v>41885.0</c:v>
                </c:pt>
                <c:pt idx="434">
                  <c:v>41884.0</c:v>
                </c:pt>
                <c:pt idx="435">
                  <c:v>41883.0</c:v>
                </c:pt>
                <c:pt idx="436">
                  <c:v>41880.0</c:v>
                </c:pt>
                <c:pt idx="437">
                  <c:v>41879.0</c:v>
                </c:pt>
                <c:pt idx="438">
                  <c:v>41878.0</c:v>
                </c:pt>
                <c:pt idx="439">
                  <c:v>41877.0</c:v>
                </c:pt>
                <c:pt idx="440">
                  <c:v>41876.0</c:v>
                </c:pt>
                <c:pt idx="441">
                  <c:v>41873.0</c:v>
                </c:pt>
                <c:pt idx="442">
                  <c:v>41872.0</c:v>
                </c:pt>
                <c:pt idx="443">
                  <c:v>41871.0</c:v>
                </c:pt>
                <c:pt idx="444">
                  <c:v>41870.0</c:v>
                </c:pt>
                <c:pt idx="445">
                  <c:v>41869.0</c:v>
                </c:pt>
                <c:pt idx="446">
                  <c:v>41866.0</c:v>
                </c:pt>
                <c:pt idx="447">
                  <c:v>41865.0</c:v>
                </c:pt>
                <c:pt idx="448">
                  <c:v>41864.0</c:v>
                </c:pt>
                <c:pt idx="449">
                  <c:v>41863.0</c:v>
                </c:pt>
                <c:pt idx="450">
                  <c:v>41862.0</c:v>
                </c:pt>
                <c:pt idx="451">
                  <c:v>41859.0</c:v>
                </c:pt>
                <c:pt idx="452">
                  <c:v>41858.0</c:v>
                </c:pt>
                <c:pt idx="453">
                  <c:v>41857.0</c:v>
                </c:pt>
                <c:pt idx="454">
                  <c:v>41856.0</c:v>
                </c:pt>
                <c:pt idx="455">
                  <c:v>41855.0</c:v>
                </c:pt>
                <c:pt idx="456">
                  <c:v>41852.0</c:v>
                </c:pt>
                <c:pt idx="457">
                  <c:v>41851.0</c:v>
                </c:pt>
                <c:pt idx="458">
                  <c:v>41850.0</c:v>
                </c:pt>
                <c:pt idx="459">
                  <c:v>41849.0</c:v>
                </c:pt>
                <c:pt idx="460">
                  <c:v>41848.0</c:v>
                </c:pt>
                <c:pt idx="461">
                  <c:v>41845.0</c:v>
                </c:pt>
                <c:pt idx="462">
                  <c:v>41844.0</c:v>
                </c:pt>
                <c:pt idx="463">
                  <c:v>41843.0</c:v>
                </c:pt>
                <c:pt idx="464">
                  <c:v>41842.0</c:v>
                </c:pt>
                <c:pt idx="465">
                  <c:v>41841.0</c:v>
                </c:pt>
                <c:pt idx="466">
                  <c:v>41838.0</c:v>
                </c:pt>
                <c:pt idx="467">
                  <c:v>41837.0</c:v>
                </c:pt>
                <c:pt idx="468">
                  <c:v>41836.0</c:v>
                </c:pt>
                <c:pt idx="469">
                  <c:v>41835.0</c:v>
                </c:pt>
                <c:pt idx="470">
                  <c:v>41834.0</c:v>
                </c:pt>
                <c:pt idx="471">
                  <c:v>41831.0</c:v>
                </c:pt>
                <c:pt idx="472">
                  <c:v>41830.0</c:v>
                </c:pt>
                <c:pt idx="473">
                  <c:v>41829.0</c:v>
                </c:pt>
                <c:pt idx="474">
                  <c:v>41828.0</c:v>
                </c:pt>
                <c:pt idx="475">
                  <c:v>41827.0</c:v>
                </c:pt>
                <c:pt idx="476">
                  <c:v>41824.0</c:v>
                </c:pt>
                <c:pt idx="477">
                  <c:v>41823.0</c:v>
                </c:pt>
                <c:pt idx="478">
                  <c:v>41822.0</c:v>
                </c:pt>
                <c:pt idx="479">
                  <c:v>41821.0</c:v>
                </c:pt>
                <c:pt idx="480">
                  <c:v>41820.0</c:v>
                </c:pt>
                <c:pt idx="481">
                  <c:v>41817.0</c:v>
                </c:pt>
                <c:pt idx="482">
                  <c:v>41816.0</c:v>
                </c:pt>
                <c:pt idx="483">
                  <c:v>41815.0</c:v>
                </c:pt>
                <c:pt idx="484">
                  <c:v>41814.0</c:v>
                </c:pt>
                <c:pt idx="485">
                  <c:v>41813.0</c:v>
                </c:pt>
                <c:pt idx="486">
                  <c:v>41810.0</c:v>
                </c:pt>
                <c:pt idx="487">
                  <c:v>41809.0</c:v>
                </c:pt>
                <c:pt idx="488">
                  <c:v>41808.0</c:v>
                </c:pt>
                <c:pt idx="489">
                  <c:v>41807.0</c:v>
                </c:pt>
                <c:pt idx="490">
                  <c:v>41806.0</c:v>
                </c:pt>
                <c:pt idx="491">
                  <c:v>41803.0</c:v>
                </c:pt>
                <c:pt idx="492">
                  <c:v>41802.0</c:v>
                </c:pt>
                <c:pt idx="493">
                  <c:v>41801.0</c:v>
                </c:pt>
                <c:pt idx="494">
                  <c:v>41800.0</c:v>
                </c:pt>
                <c:pt idx="495">
                  <c:v>41799.0</c:v>
                </c:pt>
                <c:pt idx="496">
                  <c:v>41796.0</c:v>
                </c:pt>
                <c:pt idx="497">
                  <c:v>41795.0</c:v>
                </c:pt>
                <c:pt idx="498">
                  <c:v>41794.0</c:v>
                </c:pt>
                <c:pt idx="499">
                  <c:v>41793.0</c:v>
                </c:pt>
                <c:pt idx="500">
                  <c:v>41792.0</c:v>
                </c:pt>
                <c:pt idx="501">
                  <c:v>41789.0</c:v>
                </c:pt>
                <c:pt idx="502">
                  <c:v>41788.0</c:v>
                </c:pt>
                <c:pt idx="503">
                  <c:v>41787.0</c:v>
                </c:pt>
                <c:pt idx="504">
                  <c:v>41786.0</c:v>
                </c:pt>
                <c:pt idx="505">
                  <c:v>41785.0</c:v>
                </c:pt>
                <c:pt idx="506">
                  <c:v>41782.0</c:v>
                </c:pt>
                <c:pt idx="507">
                  <c:v>41781.0</c:v>
                </c:pt>
                <c:pt idx="508">
                  <c:v>41780.0</c:v>
                </c:pt>
                <c:pt idx="509">
                  <c:v>41779.0</c:v>
                </c:pt>
                <c:pt idx="510">
                  <c:v>41778.0</c:v>
                </c:pt>
                <c:pt idx="511">
                  <c:v>41775.0</c:v>
                </c:pt>
                <c:pt idx="512">
                  <c:v>41774.0</c:v>
                </c:pt>
                <c:pt idx="513">
                  <c:v>41773.0</c:v>
                </c:pt>
                <c:pt idx="514">
                  <c:v>41772.0</c:v>
                </c:pt>
                <c:pt idx="515">
                  <c:v>41771.0</c:v>
                </c:pt>
                <c:pt idx="516">
                  <c:v>41768.0</c:v>
                </c:pt>
                <c:pt idx="517">
                  <c:v>41767.0</c:v>
                </c:pt>
                <c:pt idx="518">
                  <c:v>41766.0</c:v>
                </c:pt>
                <c:pt idx="519">
                  <c:v>41765.0</c:v>
                </c:pt>
                <c:pt idx="520">
                  <c:v>41764.0</c:v>
                </c:pt>
                <c:pt idx="521">
                  <c:v>41761.0</c:v>
                </c:pt>
                <c:pt idx="522">
                  <c:v>41760.0</c:v>
                </c:pt>
                <c:pt idx="523">
                  <c:v>41759.0</c:v>
                </c:pt>
                <c:pt idx="524">
                  <c:v>41758.0</c:v>
                </c:pt>
                <c:pt idx="525">
                  <c:v>41757.0</c:v>
                </c:pt>
                <c:pt idx="526">
                  <c:v>41754.0</c:v>
                </c:pt>
                <c:pt idx="527">
                  <c:v>41753.0</c:v>
                </c:pt>
                <c:pt idx="528">
                  <c:v>41752.0</c:v>
                </c:pt>
                <c:pt idx="529">
                  <c:v>41751.0</c:v>
                </c:pt>
                <c:pt idx="530">
                  <c:v>41750.0</c:v>
                </c:pt>
                <c:pt idx="531">
                  <c:v>41747.0</c:v>
                </c:pt>
                <c:pt idx="532">
                  <c:v>41746.0</c:v>
                </c:pt>
                <c:pt idx="533">
                  <c:v>41745.0</c:v>
                </c:pt>
                <c:pt idx="534">
                  <c:v>41744.0</c:v>
                </c:pt>
                <c:pt idx="535">
                  <c:v>41743.0</c:v>
                </c:pt>
                <c:pt idx="536">
                  <c:v>41740.0</c:v>
                </c:pt>
                <c:pt idx="537">
                  <c:v>41739.0</c:v>
                </c:pt>
                <c:pt idx="538">
                  <c:v>41738.0</c:v>
                </c:pt>
                <c:pt idx="539">
                  <c:v>41737.0</c:v>
                </c:pt>
                <c:pt idx="540">
                  <c:v>41736.0</c:v>
                </c:pt>
                <c:pt idx="541">
                  <c:v>41733.0</c:v>
                </c:pt>
                <c:pt idx="542">
                  <c:v>41732.0</c:v>
                </c:pt>
                <c:pt idx="543">
                  <c:v>41731.0</c:v>
                </c:pt>
                <c:pt idx="544">
                  <c:v>41730.0</c:v>
                </c:pt>
                <c:pt idx="545">
                  <c:v>41729.0</c:v>
                </c:pt>
                <c:pt idx="546">
                  <c:v>41726.0</c:v>
                </c:pt>
                <c:pt idx="547">
                  <c:v>41725.0</c:v>
                </c:pt>
                <c:pt idx="548">
                  <c:v>41724.0</c:v>
                </c:pt>
                <c:pt idx="549">
                  <c:v>41723.0</c:v>
                </c:pt>
                <c:pt idx="550">
                  <c:v>41722.0</c:v>
                </c:pt>
                <c:pt idx="551">
                  <c:v>41719.0</c:v>
                </c:pt>
                <c:pt idx="552">
                  <c:v>41718.0</c:v>
                </c:pt>
                <c:pt idx="553">
                  <c:v>41717.0</c:v>
                </c:pt>
                <c:pt idx="554">
                  <c:v>41716.0</c:v>
                </c:pt>
                <c:pt idx="555">
                  <c:v>41715.0</c:v>
                </c:pt>
                <c:pt idx="556">
                  <c:v>41712.0</c:v>
                </c:pt>
                <c:pt idx="557">
                  <c:v>41711.0</c:v>
                </c:pt>
                <c:pt idx="558">
                  <c:v>41710.0</c:v>
                </c:pt>
                <c:pt idx="559">
                  <c:v>41709.0</c:v>
                </c:pt>
                <c:pt idx="560">
                  <c:v>41708.0</c:v>
                </c:pt>
                <c:pt idx="561">
                  <c:v>41705.0</c:v>
                </c:pt>
                <c:pt idx="562">
                  <c:v>41704.0</c:v>
                </c:pt>
                <c:pt idx="563">
                  <c:v>41703.0</c:v>
                </c:pt>
                <c:pt idx="564">
                  <c:v>41702.0</c:v>
                </c:pt>
                <c:pt idx="565">
                  <c:v>41701.0</c:v>
                </c:pt>
                <c:pt idx="566">
                  <c:v>41698.0</c:v>
                </c:pt>
                <c:pt idx="567">
                  <c:v>41697.0</c:v>
                </c:pt>
                <c:pt idx="568">
                  <c:v>41696.0</c:v>
                </c:pt>
                <c:pt idx="569">
                  <c:v>41695.0</c:v>
                </c:pt>
                <c:pt idx="570">
                  <c:v>41694.0</c:v>
                </c:pt>
                <c:pt idx="571">
                  <c:v>41691.0</c:v>
                </c:pt>
                <c:pt idx="572">
                  <c:v>41690.0</c:v>
                </c:pt>
                <c:pt idx="573">
                  <c:v>41689.0</c:v>
                </c:pt>
                <c:pt idx="574">
                  <c:v>41688.0</c:v>
                </c:pt>
                <c:pt idx="575">
                  <c:v>41687.0</c:v>
                </c:pt>
                <c:pt idx="576">
                  <c:v>41684.0</c:v>
                </c:pt>
                <c:pt idx="577">
                  <c:v>41683.0</c:v>
                </c:pt>
                <c:pt idx="578">
                  <c:v>41682.0</c:v>
                </c:pt>
                <c:pt idx="579">
                  <c:v>41681.0</c:v>
                </c:pt>
                <c:pt idx="580">
                  <c:v>41680.0</c:v>
                </c:pt>
                <c:pt idx="581">
                  <c:v>41677.0</c:v>
                </c:pt>
                <c:pt idx="582">
                  <c:v>41676.0</c:v>
                </c:pt>
                <c:pt idx="583">
                  <c:v>41675.0</c:v>
                </c:pt>
                <c:pt idx="584">
                  <c:v>41674.0</c:v>
                </c:pt>
                <c:pt idx="585">
                  <c:v>41673.0</c:v>
                </c:pt>
                <c:pt idx="586">
                  <c:v>41670.0</c:v>
                </c:pt>
                <c:pt idx="587">
                  <c:v>41669.0</c:v>
                </c:pt>
                <c:pt idx="588">
                  <c:v>41668.0</c:v>
                </c:pt>
                <c:pt idx="589">
                  <c:v>41667.0</c:v>
                </c:pt>
                <c:pt idx="590">
                  <c:v>41666.0</c:v>
                </c:pt>
                <c:pt idx="591">
                  <c:v>41663.0</c:v>
                </c:pt>
                <c:pt idx="592">
                  <c:v>41662.0</c:v>
                </c:pt>
                <c:pt idx="593">
                  <c:v>41661.0</c:v>
                </c:pt>
                <c:pt idx="594">
                  <c:v>41660.0</c:v>
                </c:pt>
                <c:pt idx="595">
                  <c:v>41659.0</c:v>
                </c:pt>
                <c:pt idx="596">
                  <c:v>41656.0</c:v>
                </c:pt>
                <c:pt idx="597">
                  <c:v>41655.0</c:v>
                </c:pt>
                <c:pt idx="598">
                  <c:v>41654.0</c:v>
                </c:pt>
                <c:pt idx="599">
                  <c:v>41653.0</c:v>
                </c:pt>
                <c:pt idx="600">
                  <c:v>41652.0</c:v>
                </c:pt>
                <c:pt idx="601">
                  <c:v>41649.0</c:v>
                </c:pt>
                <c:pt idx="602">
                  <c:v>41648.0</c:v>
                </c:pt>
                <c:pt idx="603">
                  <c:v>41647.0</c:v>
                </c:pt>
                <c:pt idx="604">
                  <c:v>41646.0</c:v>
                </c:pt>
                <c:pt idx="605">
                  <c:v>41645.0</c:v>
                </c:pt>
                <c:pt idx="606">
                  <c:v>41642.0</c:v>
                </c:pt>
                <c:pt idx="607">
                  <c:v>41641.0</c:v>
                </c:pt>
                <c:pt idx="608">
                  <c:v>41640.0</c:v>
                </c:pt>
                <c:pt idx="609">
                  <c:v>41639.0</c:v>
                </c:pt>
                <c:pt idx="610">
                  <c:v>41638.0</c:v>
                </c:pt>
                <c:pt idx="611">
                  <c:v>41635.0</c:v>
                </c:pt>
                <c:pt idx="612">
                  <c:v>41634.0</c:v>
                </c:pt>
                <c:pt idx="613">
                  <c:v>41633.0</c:v>
                </c:pt>
                <c:pt idx="614">
                  <c:v>41632.0</c:v>
                </c:pt>
                <c:pt idx="615">
                  <c:v>41631.0</c:v>
                </c:pt>
                <c:pt idx="616">
                  <c:v>41628.0</c:v>
                </c:pt>
                <c:pt idx="617">
                  <c:v>41627.0</c:v>
                </c:pt>
                <c:pt idx="618">
                  <c:v>41626.0</c:v>
                </c:pt>
                <c:pt idx="619">
                  <c:v>41625.0</c:v>
                </c:pt>
                <c:pt idx="620">
                  <c:v>41624.0</c:v>
                </c:pt>
                <c:pt idx="621">
                  <c:v>41621.0</c:v>
                </c:pt>
                <c:pt idx="622">
                  <c:v>41620.0</c:v>
                </c:pt>
                <c:pt idx="623">
                  <c:v>41619.0</c:v>
                </c:pt>
                <c:pt idx="624">
                  <c:v>41618.0</c:v>
                </c:pt>
                <c:pt idx="625">
                  <c:v>41617.0</c:v>
                </c:pt>
                <c:pt idx="626">
                  <c:v>41614.0</c:v>
                </c:pt>
                <c:pt idx="627">
                  <c:v>41613.0</c:v>
                </c:pt>
                <c:pt idx="628">
                  <c:v>41612.0</c:v>
                </c:pt>
                <c:pt idx="629">
                  <c:v>41611.0</c:v>
                </c:pt>
                <c:pt idx="630">
                  <c:v>41610.0</c:v>
                </c:pt>
                <c:pt idx="631">
                  <c:v>41607.0</c:v>
                </c:pt>
                <c:pt idx="632">
                  <c:v>41606.0</c:v>
                </c:pt>
                <c:pt idx="633">
                  <c:v>41605.0</c:v>
                </c:pt>
                <c:pt idx="634">
                  <c:v>41604.0</c:v>
                </c:pt>
                <c:pt idx="635">
                  <c:v>41603.0</c:v>
                </c:pt>
                <c:pt idx="636">
                  <c:v>41600.0</c:v>
                </c:pt>
                <c:pt idx="637">
                  <c:v>41599.0</c:v>
                </c:pt>
                <c:pt idx="638">
                  <c:v>41598.0</c:v>
                </c:pt>
                <c:pt idx="639">
                  <c:v>41597.0</c:v>
                </c:pt>
                <c:pt idx="640">
                  <c:v>41596.0</c:v>
                </c:pt>
                <c:pt idx="641">
                  <c:v>41593.0</c:v>
                </c:pt>
                <c:pt idx="642">
                  <c:v>41592.0</c:v>
                </c:pt>
                <c:pt idx="643">
                  <c:v>41591.0</c:v>
                </c:pt>
                <c:pt idx="644">
                  <c:v>41590.0</c:v>
                </c:pt>
                <c:pt idx="645">
                  <c:v>41589.0</c:v>
                </c:pt>
                <c:pt idx="646">
                  <c:v>41586.0</c:v>
                </c:pt>
                <c:pt idx="647">
                  <c:v>41585.0</c:v>
                </c:pt>
                <c:pt idx="648">
                  <c:v>41584.0</c:v>
                </c:pt>
                <c:pt idx="649">
                  <c:v>41583.0</c:v>
                </c:pt>
                <c:pt idx="650">
                  <c:v>41582.0</c:v>
                </c:pt>
                <c:pt idx="651">
                  <c:v>41579.0</c:v>
                </c:pt>
                <c:pt idx="652">
                  <c:v>41578.0</c:v>
                </c:pt>
                <c:pt idx="653">
                  <c:v>41577.0</c:v>
                </c:pt>
                <c:pt idx="654">
                  <c:v>41576.0</c:v>
                </c:pt>
                <c:pt idx="655">
                  <c:v>41575.0</c:v>
                </c:pt>
                <c:pt idx="656">
                  <c:v>41572.0</c:v>
                </c:pt>
                <c:pt idx="657">
                  <c:v>41571.0</c:v>
                </c:pt>
                <c:pt idx="658">
                  <c:v>41570.0</c:v>
                </c:pt>
                <c:pt idx="659">
                  <c:v>41569.0</c:v>
                </c:pt>
                <c:pt idx="660">
                  <c:v>41568.0</c:v>
                </c:pt>
                <c:pt idx="661">
                  <c:v>41565.0</c:v>
                </c:pt>
                <c:pt idx="662">
                  <c:v>41564.0</c:v>
                </c:pt>
                <c:pt idx="663">
                  <c:v>41563.0</c:v>
                </c:pt>
                <c:pt idx="664">
                  <c:v>41562.0</c:v>
                </c:pt>
                <c:pt idx="665">
                  <c:v>41561.0</c:v>
                </c:pt>
                <c:pt idx="666">
                  <c:v>41558.0</c:v>
                </c:pt>
                <c:pt idx="667">
                  <c:v>41557.0</c:v>
                </c:pt>
                <c:pt idx="668">
                  <c:v>41556.0</c:v>
                </c:pt>
                <c:pt idx="669">
                  <c:v>41555.0</c:v>
                </c:pt>
                <c:pt idx="670">
                  <c:v>41554.0</c:v>
                </c:pt>
                <c:pt idx="671">
                  <c:v>41551.0</c:v>
                </c:pt>
                <c:pt idx="672">
                  <c:v>41550.0</c:v>
                </c:pt>
                <c:pt idx="673">
                  <c:v>41549.0</c:v>
                </c:pt>
                <c:pt idx="674">
                  <c:v>41548.0</c:v>
                </c:pt>
                <c:pt idx="675">
                  <c:v>41547.0</c:v>
                </c:pt>
                <c:pt idx="676">
                  <c:v>41544.0</c:v>
                </c:pt>
                <c:pt idx="677">
                  <c:v>41543.0</c:v>
                </c:pt>
                <c:pt idx="678">
                  <c:v>41542.0</c:v>
                </c:pt>
                <c:pt idx="679">
                  <c:v>41541.0</c:v>
                </c:pt>
                <c:pt idx="680">
                  <c:v>41540.0</c:v>
                </c:pt>
                <c:pt idx="681">
                  <c:v>41537.0</c:v>
                </c:pt>
                <c:pt idx="682">
                  <c:v>41536.0</c:v>
                </c:pt>
                <c:pt idx="683">
                  <c:v>41535.0</c:v>
                </c:pt>
                <c:pt idx="684">
                  <c:v>41534.0</c:v>
                </c:pt>
                <c:pt idx="685">
                  <c:v>41533.0</c:v>
                </c:pt>
                <c:pt idx="686">
                  <c:v>41530.0</c:v>
                </c:pt>
                <c:pt idx="687">
                  <c:v>41529.0</c:v>
                </c:pt>
                <c:pt idx="688">
                  <c:v>41528.0</c:v>
                </c:pt>
                <c:pt idx="689">
                  <c:v>41527.0</c:v>
                </c:pt>
                <c:pt idx="690">
                  <c:v>41526.0</c:v>
                </c:pt>
                <c:pt idx="691">
                  <c:v>41523.0</c:v>
                </c:pt>
                <c:pt idx="692">
                  <c:v>41522.0</c:v>
                </c:pt>
                <c:pt idx="693">
                  <c:v>41521.0</c:v>
                </c:pt>
                <c:pt idx="694">
                  <c:v>41520.0</c:v>
                </c:pt>
                <c:pt idx="695">
                  <c:v>41519.0</c:v>
                </c:pt>
                <c:pt idx="696">
                  <c:v>41516.0</c:v>
                </c:pt>
                <c:pt idx="697">
                  <c:v>41515.0</c:v>
                </c:pt>
                <c:pt idx="698">
                  <c:v>41514.0</c:v>
                </c:pt>
                <c:pt idx="699">
                  <c:v>41513.0</c:v>
                </c:pt>
                <c:pt idx="700">
                  <c:v>41512.0</c:v>
                </c:pt>
                <c:pt idx="701">
                  <c:v>41509.0</c:v>
                </c:pt>
                <c:pt idx="702">
                  <c:v>41508.0</c:v>
                </c:pt>
                <c:pt idx="703">
                  <c:v>41507.0</c:v>
                </c:pt>
                <c:pt idx="704">
                  <c:v>41506.0</c:v>
                </c:pt>
                <c:pt idx="705">
                  <c:v>41505.0</c:v>
                </c:pt>
                <c:pt idx="706">
                  <c:v>41502.0</c:v>
                </c:pt>
                <c:pt idx="707">
                  <c:v>41501.0</c:v>
                </c:pt>
                <c:pt idx="708">
                  <c:v>41500.0</c:v>
                </c:pt>
                <c:pt idx="709">
                  <c:v>41499.0</c:v>
                </c:pt>
                <c:pt idx="710">
                  <c:v>41498.0</c:v>
                </c:pt>
                <c:pt idx="711">
                  <c:v>41495.0</c:v>
                </c:pt>
                <c:pt idx="712">
                  <c:v>41494.0</c:v>
                </c:pt>
                <c:pt idx="713">
                  <c:v>41493.0</c:v>
                </c:pt>
                <c:pt idx="714">
                  <c:v>41492.0</c:v>
                </c:pt>
                <c:pt idx="715">
                  <c:v>41491.0</c:v>
                </c:pt>
                <c:pt idx="716">
                  <c:v>41488.0</c:v>
                </c:pt>
                <c:pt idx="717">
                  <c:v>41487.0</c:v>
                </c:pt>
                <c:pt idx="718">
                  <c:v>41486.0</c:v>
                </c:pt>
                <c:pt idx="719">
                  <c:v>41485.0</c:v>
                </c:pt>
                <c:pt idx="720">
                  <c:v>41484.0</c:v>
                </c:pt>
                <c:pt idx="721">
                  <c:v>41481.0</c:v>
                </c:pt>
                <c:pt idx="722">
                  <c:v>41480.0</c:v>
                </c:pt>
                <c:pt idx="723">
                  <c:v>41479.0</c:v>
                </c:pt>
                <c:pt idx="724">
                  <c:v>41478.0</c:v>
                </c:pt>
                <c:pt idx="725">
                  <c:v>41477.0</c:v>
                </c:pt>
                <c:pt idx="726">
                  <c:v>41474.0</c:v>
                </c:pt>
                <c:pt idx="727">
                  <c:v>41473.0</c:v>
                </c:pt>
                <c:pt idx="728">
                  <c:v>41472.0</c:v>
                </c:pt>
                <c:pt idx="729">
                  <c:v>41471.0</c:v>
                </c:pt>
                <c:pt idx="730">
                  <c:v>41470.0</c:v>
                </c:pt>
                <c:pt idx="731">
                  <c:v>41467.0</c:v>
                </c:pt>
                <c:pt idx="732">
                  <c:v>41466.0</c:v>
                </c:pt>
                <c:pt idx="733">
                  <c:v>41465.0</c:v>
                </c:pt>
                <c:pt idx="734">
                  <c:v>41464.0</c:v>
                </c:pt>
                <c:pt idx="735">
                  <c:v>41463.0</c:v>
                </c:pt>
                <c:pt idx="736">
                  <c:v>41460.0</c:v>
                </c:pt>
                <c:pt idx="737">
                  <c:v>41459.0</c:v>
                </c:pt>
                <c:pt idx="738">
                  <c:v>41458.0</c:v>
                </c:pt>
                <c:pt idx="739">
                  <c:v>41457.0</c:v>
                </c:pt>
                <c:pt idx="740">
                  <c:v>41456.0</c:v>
                </c:pt>
                <c:pt idx="741">
                  <c:v>41453.0</c:v>
                </c:pt>
                <c:pt idx="742">
                  <c:v>41452.0</c:v>
                </c:pt>
                <c:pt idx="743">
                  <c:v>41451.0</c:v>
                </c:pt>
                <c:pt idx="744">
                  <c:v>41450.0</c:v>
                </c:pt>
                <c:pt idx="745">
                  <c:v>41449.0</c:v>
                </c:pt>
                <c:pt idx="746">
                  <c:v>41446.0</c:v>
                </c:pt>
                <c:pt idx="747">
                  <c:v>41445.0</c:v>
                </c:pt>
                <c:pt idx="748">
                  <c:v>41444.0</c:v>
                </c:pt>
                <c:pt idx="749">
                  <c:v>41443.0</c:v>
                </c:pt>
                <c:pt idx="750">
                  <c:v>41442.0</c:v>
                </c:pt>
                <c:pt idx="751">
                  <c:v>41439.0</c:v>
                </c:pt>
                <c:pt idx="752">
                  <c:v>41438.0</c:v>
                </c:pt>
                <c:pt idx="753">
                  <c:v>41437.0</c:v>
                </c:pt>
                <c:pt idx="754">
                  <c:v>41436.0</c:v>
                </c:pt>
                <c:pt idx="755">
                  <c:v>41435.0</c:v>
                </c:pt>
                <c:pt idx="756">
                  <c:v>41432.0</c:v>
                </c:pt>
                <c:pt idx="757">
                  <c:v>41431.0</c:v>
                </c:pt>
                <c:pt idx="758">
                  <c:v>41430.0</c:v>
                </c:pt>
                <c:pt idx="759">
                  <c:v>41429.0</c:v>
                </c:pt>
                <c:pt idx="760">
                  <c:v>41428.0</c:v>
                </c:pt>
                <c:pt idx="761">
                  <c:v>41425.0</c:v>
                </c:pt>
                <c:pt idx="762">
                  <c:v>41424.0</c:v>
                </c:pt>
                <c:pt idx="763">
                  <c:v>41423.0</c:v>
                </c:pt>
                <c:pt idx="764">
                  <c:v>41422.0</c:v>
                </c:pt>
                <c:pt idx="765">
                  <c:v>41421.0</c:v>
                </c:pt>
                <c:pt idx="766">
                  <c:v>41418.0</c:v>
                </c:pt>
                <c:pt idx="767">
                  <c:v>41417.0</c:v>
                </c:pt>
                <c:pt idx="768">
                  <c:v>41416.0</c:v>
                </c:pt>
                <c:pt idx="769">
                  <c:v>41415.0</c:v>
                </c:pt>
                <c:pt idx="770">
                  <c:v>41414.0</c:v>
                </c:pt>
                <c:pt idx="771">
                  <c:v>41411.0</c:v>
                </c:pt>
                <c:pt idx="772">
                  <c:v>41410.0</c:v>
                </c:pt>
                <c:pt idx="773">
                  <c:v>41409.0</c:v>
                </c:pt>
                <c:pt idx="774">
                  <c:v>41408.0</c:v>
                </c:pt>
                <c:pt idx="775">
                  <c:v>41407.0</c:v>
                </c:pt>
                <c:pt idx="776">
                  <c:v>41404.0</c:v>
                </c:pt>
                <c:pt idx="777">
                  <c:v>41403.0</c:v>
                </c:pt>
                <c:pt idx="778">
                  <c:v>41402.0</c:v>
                </c:pt>
                <c:pt idx="779">
                  <c:v>41401.0</c:v>
                </c:pt>
                <c:pt idx="780">
                  <c:v>41400.0</c:v>
                </c:pt>
                <c:pt idx="781">
                  <c:v>41397.0</c:v>
                </c:pt>
                <c:pt idx="782">
                  <c:v>41396.0</c:v>
                </c:pt>
                <c:pt idx="783">
                  <c:v>41395.0</c:v>
                </c:pt>
                <c:pt idx="784">
                  <c:v>41394.0</c:v>
                </c:pt>
                <c:pt idx="785">
                  <c:v>41393.0</c:v>
                </c:pt>
                <c:pt idx="786">
                  <c:v>41390.0</c:v>
                </c:pt>
                <c:pt idx="787">
                  <c:v>41389.0</c:v>
                </c:pt>
                <c:pt idx="788">
                  <c:v>41388.0</c:v>
                </c:pt>
                <c:pt idx="789">
                  <c:v>41387.0</c:v>
                </c:pt>
                <c:pt idx="790">
                  <c:v>41386.0</c:v>
                </c:pt>
                <c:pt idx="791">
                  <c:v>41383.0</c:v>
                </c:pt>
                <c:pt idx="792">
                  <c:v>41382.0</c:v>
                </c:pt>
                <c:pt idx="793">
                  <c:v>41381.0</c:v>
                </c:pt>
                <c:pt idx="794">
                  <c:v>41380.0</c:v>
                </c:pt>
                <c:pt idx="795">
                  <c:v>41379.0</c:v>
                </c:pt>
                <c:pt idx="796">
                  <c:v>41376.0</c:v>
                </c:pt>
                <c:pt idx="797">
                  <c:v>41375.0</c:v>
                </c:pt>
                <c:pt idx="798">
                  <c:v>41374.0</c:v>
                </c:pt>
                <c:pt idx="799">
                  <c:v>41373.0</c:v>
                </c:pt>
                <c:pt idx="800">
                  <c:v>41372.0</c:v>
                </c:pt>
                <c:pt idx="801">
                  <c:v>41369.0</c:v>
                </c:pt>
                <c:pt idx="802">
                  <c:v>41368.0</c:v>
                </c:pt>
                <c:pt idx="803">
                  <c:v>41367.0</c:v>
                </c:pt>
                <c:pt idx="804">
                  <c:v>41366.0</c:v>
                </c:pt>
                <c:pt idx="805">
                  <c:v>41365.0</c:v>
                </c:pt>
                <c:pt idx="806">
                  <c:v>41362.0</c:v>
                </c:pt>
                <c:pt idx="807">
                  <c:v>41361.0</c:v>
                </c:pt>
                <c:pt idx="808">
                  <c:v>41360.0</c:v>
                </c:pt>
                <c:pt idx="809">
                  <c:v>41359.0</c:v>
                </c:pt>
                <c:pt idx="810">
                  <c:v>41358.0</c:v>
                </c:pt>
                <c:pt idx="811">
                  <c:v>41355.0</c:v>
                </c:pt>
                <c:pt idx="812">
                  <c:v>41354.0</c:v>
                </c:pt>
                <c:pt idx="813">
                  <c:v>41353.0</c:v>
                </c:pt>
                <c:pt idx="814">
                  <c:v>41352.0</c:v>
                </c:pt>
                <c:pt idx="815">
                  <c:v>41351.0</c:v>
                </c:pt>
                <c:pt idx="816">
                  <c:v>41348.0</c:v>
                </c:pt>
                <c:pt idx="817">
                  <c:v>41347.0</c:v>
                </c:pt>
                <c:pt idx="818">
                  <c:v>41346.0</c:v>
                </c:pt>
                <c:pt idx="819">
                  <c:v>41345.0</c:v>
                </c:pt>
                <c:pt idx="820">
                  <c:v>41344.0</c:v>
                </c:pt>
                <c:pt idx="821">
                  <c:v>41341.0</c:v>
                </c:pt>
                <c:pt idx="822">
                  <c:v>41340.0</c:v>
                </c:pt>
                <c:pt idx="823">
                  <c:v>41339.0</c:v>
                </c:pt>
                <c:pt idx="824">
                  <c:v>41338.0</c:v>
                </c:pt>
                <c:pt idx="825">
                  <c:v>41337.0</c:v>
                </c:pt>
                <c:pt idx="826">
                  <c:v>41334.0</c:v>
                </c:pt>
                <c:pt idx="827">
                  <c:v>41333.0</c:v>
                </c:pt>
                <c:pt idx="828">
                  <c:v>41332.0</c:v>
                </c:pt>
                <c:pt idx="829">
                  <c:v>41331.0</c:v>
                </c:pt>
                <c:pt idx="830">
                  <c:v>41330.0</c:v>
                </c:pt>
                <c:pt idx="831">
                  <c:v>41327.0</c:v>
                </c:pt>
                <c:pt idx="832">
                  <c:v>41326.0</c:v>
                </c:pt>
                <c:pt idx="833">
                  <c:v>41325.0</c:v>
                </c:pt>
                <c:pt idx="834">
                  <c:v>41324.0</c:v>
                </c:pt>
                <c:pt idx="835">
                  <c:v>41323.0</c:v>
                </c:pt>
                <c:pt idx="836">
                  <c:v>41320.0</c:v>
                </c:pt>
                <c:pt idx="837">
                  <c:v>41319.0</c:v>
                </c:pt>
                <c:pt idx="838">
                  <c:v>41318.0</c:v>
                </c:pt>
                <c:pt idx="839">
                  <c:v>41317.0</c:v>
                </c:pt>
                <c:pt idx="840">
                  <c:v>41316.0</c:v>
                </c:pt>
                <c:pt idx="841">
                  <c:v>41313.0</c:v>
                </c:pt>
                <c:pt idx="842">
                  <c:v>41312.0</c:v>
                </c:pt>
                <c:pt idx="843">
                  <c:v>41311.0</c:v>
                </c:pt>
                <c:pt idx="844">
                  <c:v>41310.0</c:v>
                </c:pt>
                <c:pt idx="845">
                  <c:v>41309.0</c:v>
                </c:pt>
                <c:pt idx="846">
                  <c:v>41306.0</c:v>
                </c:pt>
                <c:pt idx="847">
                  <c:v>41305.0</c:v>
                </c:pt>
                <c:pt idx="848">
                  <c:v>41304.0</c:v>
                </c:pt>
                <c:pt idx="849">
                  <c:v>41303.0</c:v>
                </c:pt>
                <c:pt idx="850">
                  <c:v>41302.0</c:v>
                </c:pt>
                <c:pt idx="851">
                  <c:v>41299.0</c:v>
                </c:pt>
                <c:pt idx="852">
                  <c:v>41298.0</c:v>
                </c:pt>
                <c:pt idx="853">
                  <c:v>41297.0</c:v>
                </c:pt>
                <c:pt idx="854">
                  <c:v>41296.0</c:v>
                </c:pt>
                <c:pt idx="855">
                  <c:v>41295.0</c:v>
                </c:pt>
                <c:pt idx="856">
                  <c:v>41292.0</c:v>
                </c:pt>
                <c:pt idx="857">
                  <c:v>41291.0</c:v>
                </c:pt>
                <c:pt idx="858">
                  <c:v>41290.0</c:v>
                </c:pt>
                <c:pt idx="859">
                  <c:v>41289.0</c:v>
                </c:pt>
                <c:pt idx="860">
                  <c:v>41288.0</c:v>
                </c:pt>
                <c:pt idx="861">
                  <c:v>41285.0</c:v>
                </c:pt>
                <c:pt idx="862">
                  <c:v>41284.0</c:v>
                </c:pt>
                <c:pt idx="863">
                  <c:v>41283.0</c:v>
                </c:pt>
                <c:pt idx="864">
                  <c:v>41282.0</c:v>
                </c:pt>
                <c:pt idx="865">
                  <c:v>41281.0</c:v>
                </c:pt>
                <c:pt idx="866">
                  <c:v>41278.0</c:v>
                </c:pt>
                <c:pt idx="867">
                  <c:v>41277.0</c:v>
                </c:pt>
                <c:pt idx="868">
                  <c:v>41276.0</c:v>
                </c:pt>
                <c:pt idx="869">
                  <c:v>41275.0</c:v>
                </c:pt>
                <c:pt idx="870">
                  <c:v>41274.0</c:v>
                </c:pt>
                <c:pt idx="871">
                  <c:v>41271.0</c:v>
                </c:pt>
                <c:pt idx="872">
                  <c:v>41270.0</c:v>
                </c:pt>
                <c:pt idx="873">
                  <c:v>41269.0</c:v>
                </c:pt>
                <c:pt idx="874">
                  <c:v>41268.0</c:v>
                </c:pt>
                <c:pt idx="875">
                  <c:v>41267.0</c:v>
                </c:pt>
                <c:pt idx="876">
                  <c:v>41264.0</c:v>
                </c:pt>
                <c:pt idx="877">
                  <c:v>41263.0</c:v>
                </c:pt>
                <c:pt idx="878">
                  <c:v>41262.0</c:v>
                </c:pt>
                <c:pt idx="879">
                  <c:v>41261.0</c:v>
                </c:pt>
                <c:pt idx="880">
                  <c:v>41260.0</c:v>
                </c:pt>
                <c:pt idx="881">
                  <c:v>41257.0</c:v>
                </c:pt>
                <c:pt idx="882">
                  <c:v>41256.0</c:v>
                </c:pt>
                <c:pt idx="883">
                  <c:v>41255.0</c:v>
                </c:pt>
                <c:pt idx="884">
                  <c:v>41254.0</c:v>
                </c:pt>
                <c:pt idx="885">
                  <c:v>41253.0</c:v>
                </c:pt>
                <c:pt idx="886">
                  <c:v>41250.0</c:v>
                </c:pt>
                <c:pt idx="887">
                  <c:v>41249.0</c:v>
                </c:pt>
                <c:pt idx="888">
                  <c:v>41248.0</c:v>
                </c:pt>
                <c:pt idx="889">
                  <c:v>41247.0</c:v>
                </c:pt>
                <c:pt idx="890">
                  <c:v>41246.0</c:v>
                </c:pt>
                <c:pt idx="891">
                  <c:v>41243.0</c:v>
                </c:pt>
                <c:pt idx="892">
                  <c:v>41242.0</c:v>
                </c:pt>
                <c:pt idx="893">
                  <c:v>41241.0</c:v>
                </c:pt>
                <c:pt idx="894">
                  <c:v>41240.0</c:v>
                </c:pt>
                <c:pt idx="895">
                  <c:v>41239.0</c:v>
                </c:pt>
                <c:pt idx="896">
                  <c:v>41236.0</c:v>
                </c:pt>
                <c:pt idx="897">
                  <c:v>41235.0</c:v>
                </c:pt>
                <c:pt idx="898">
                  <c:v>41234.0</c:v>
                </c:pt>
                <c:pt idx="899">
                  <c:v>41233.0</c:v>
                </c:pt>
                <c:pt idx="900">
                  <c:v>41232.0</c:v>
                </c:pt>
                <c:pt idx="901">
                  <c:v>41229.0</c:v>
                </c:pt>
                <c:pt idx="902">
                  <c:v>41228.0</c:v>
                </c:pt>
                <c:pt idx="903">
                  <c:v>41227.0</c:v>
                </c:pt>
                <c:pt idx="904">
                  <c:v>41226.0</c:v>
                </c:pt>
                <c:pt idx="905">
                  <c:v>41225.0</c:v>
                </c:pt>
                <c:pt idx="906">
                  <c:v>41222.0</c:v>
                </c:pt>
                <c:pt idx="907">
                  <c:v>41221.0</c:v>
                </c:pt>
                <c:pt idx="908">
                  <c:v>41220.0</c:v>
                </c:pt>
                <c:pt idx="909">
                  <c:v>41219.0</c:v>
                </c:pt>
                <c:pt idx="910">
                  <c:v>41218.0</c:v>
                </c:pt>
                <c:pt idx="911">
                  <c:v>41215.0</c:v>
                </c:pt>
                <c:pt idx="912">
                  <c:v>41214.0</c:v>
                </c:pt>
                <c:pt idx="913">
                  <c:v>41213.0</c:v>
                </c:pt>
                <c:pt idx="914">
                  <c:v>41212.0</c:v>
                </c:pt>
                <c:pt idx="915">
                  <c:v>41211.0</c:v>
                </c:pt>
                <c:pt idx="916">
                  <c:v>41208.0</c:v>
                </c:pt>
                <c:pt idx="917">
                  <c:v>41207.0</c:v>
                </c:pt>
                <c:pt idx="918">
                  <c:v>41206.0</c:v>
                </c:pt>
                <c:pt idx="919">
                  <c:v>41205.0</c:v>
                </c:pt>
                <c:pt idx="920">
                  <c:v>41204.0</c:v>
                </c:pt>
                <c:pt idx="921">
                  <c:v>41201.0</c:v>
                </c:pt>
                <c:pt idx="922">
                  <c:v>41200.0</c:v>
                </c:pt>
                <c:pt idx="923">
                  <c:v>41199.0</c:v>
                </c:pt>
                <c:pt idx="924">
                  <c:v>41198.0</c:v>
                </c:pt>
                <c:pt idx="925">
                  <c:v>41197.0</c:v>
                </c:pt>
                <c:pt idx="926">
                  <c:v>41194.0</c:v>
                </c:pt>
                <c:pt idx="927">
                  <c:v>41193.0</c:v>
                </c:pt>
                <c:pt idx="928">
                  <c:v>41192.0</c:v>
                </c:pt>
                <c:pt idx="929">
                  <c:v>41191.0</c:v>
                </c:pt>
                <c:pt idx="930">
                  <c:v>41190.0</c:v>
                </c:pt>
                <c:pt idx="931">
                  <c:v>41187.0</c:v>
                </c:pt>
                <c:pt idx="932">
                  <c:v>41186.0</c:v>
                </c:pt>
                <c:pt idx="933">
                  <c:v>41185.0</c:v>
                </c:pt>
                <c:pt idx="934">
                  <c:v>41184.0</c:v>
                </c:pt>
                <c:pt idx="935">
                  <c:v>41183.0</c:v>
                </c:pt>
                <c:pt idx="936">
                  <c:v>41180.0</c:v>
                </c:pt>
                <c:pt idx="937">
                  <c:v>41179.0</c:v>
                </c:pt>
                <c:pt idx="938">
                  <c:v>41178.0</c:v>
                </c:pt>
                <c:pt idx="939">
                  <c:v>41177.0</c:v>
                </c:pt>
                <c:pt idx="940">
                  <c:v>41176.0</c:v>
                </c:pt>
                <c:pt idx="941">
                  <c:v>41173.0</c:v>
                </c:pt>
                <c:pt idx="942">
                  <c:v>41172.0</c:v>
                </c:pt>
                <c:pt idx="943">
                  <c:v>41171.0</c:v>
                </c:pt>
                <c:pt idx="944">
                  <c:v>41170.0</c:v>
                </c:pt>
                <c:pt idx="945">
                  <c:v>41169.0</c:v>
                </c:pt>
                <c:pt idx="946">
                  <c:v>41166.0</c:v>
                </c:pt>
                <c:pt idx="947">
                  <c:v>41165.0</c:v>
                </c:pt>
                <c:pt idx="948">
                  <c:v>41164.0</c:v>
                </c:pt>
                <c:pt idx="949">
                  <c:v>41163.0</c:v>
                </c:pt>
                <c:pt idx="950">
                  <c:v>41162.0</c:v>
                </c:pt>
                <c:pt idx="951">
                  <c:v>41159.0</c:v>
                </c:pt>
                <c:pt idx="952">
                  <c:v>41158.0</c:v>
                </c:pt>
                <c:pt idx="953">
                  <c:v>41157.0</c:v>
                </c:pt>
                <c:pt idx="954">
                  <c:v>41156.0</c:v>
                </c:pt>
                <c:pt idx="955">
                  <c:v>41155.0</c:v>
                </c:pt>
                <c:pt idx="956">
                  <c:v>41152.0</c:v>
                </c:pt>
                <c:pt idx="957">
                  <c:v>41151.0</c:v>
                </c:pt>
                <c:pt idx="958">
                  <c:v>41150.0</c:v>
                </c:pt>
                <c:pt idx="959">
                  <c:v>41149.0</c:v>
                </c:pt>
                <c:pt idx="960">
                  <c:v>41148.0</c:v>
                </c:pt>
                <c:pt idx="961">
                  <c:v>41145.0</c:v>
                </c:pt>
                <c:pt idx="962">
                  <c:v>41144.0</c:v>
                </c:pt>
                <c:pt idx="963">
                  <c:v>41143.0</c:v>
                </c:pt>
                <c:pt idx="964">
                  <c:v>41142.0</c:v>
                </c:pt>
                <c:pt idx="965">
                  <c:v>41141.0</c:v>
                </c:pt>
                <c:pt idx="966">
                  <c:v>41138.0</c:v>
                </c:pt>
                <c:pt idx="967">
                  <c:v>41137.0</c:v>
                </c:pt>
                <c:pt idx="968">
                  <c:v>41136.0</c:v>
                </c:pt>
                <c:pt idx="969">
                  <c:v>41135.0</c:v>
                </c:pt>
                <c:pt idx="970">
                  <c:v>41134.0</c:v>
                </c:pt>
                <c:pt idx="971">
                  <c:v>41131.0</c:v>
                </c:pt>
                <c:pt idx="972">
                  <c:v>41130.0</c:v>
                </c:pt>
                <c:pt idx="973">
                  <c:v>41129.0</c:v>
                </c:pt>
                <c:pt idx="974">
                  <c:v>41128.0</c:v>
                </c:pt>
                <c:pt idx="975">
                  <c:v>41127.0</c:v>
                </c:pt>
                <c:pt idx="976">
                  <c:v>41124.0</c:v>
                </c:pt>
                <c:pt idx="977">
                  <c:v>41123.0</c:v>
                </c:pt>
                <c:pt idx="978">
                  <c:v>41122.0</c:v>
                </c:pt>
                <c:pt idx="979">
                  <c:v>41121.0</c:v>
                </c:pt>
                <c:pt idx="980">
                  <c:v>41120.0</c:v>
                </c:pt>
                <c:pt idx="981">
                  <c:v>41117.0</c:v>
                </c:pt>
                <c:pt idx="982">
                  <c:v>41116.0</c:v>
                </c:pt>
                <c:pt idx="983">
                  <c:v>41115.0</c:v>
                </c:pt>
                <c:pt idx="984">
                  <c:v>41114.0</c:v>
                </c:pt>
                <c:pt idx="985">
                  <c:v>41113.0</c:v>
                </c:pt>
                <c:pt idx="986">
                  <c:v>41110.0</c:v>
                </c:pt>
                <c:pt idx="987">
                  <c:v>41109.0</c:v>
                </c:pt>
                <c:pt idx="988">
                  <c:v>41108.0</c:v>
                </c:pt>
                <c:pt idx="989">
                  <c:v>41107.0</c:v>
                </c:pt>
                <c:pt idx="990">
                  <c:v>41106.0</c:v>
                </c:pt>
                <c:pt idx="991">
                  <c:v>41103.0</c:v>
                </c:pt>
                <c:pt idx="992">
                  <c:v>41102.0</c:v>
                </c:pt>
                <c:pt idx="993">
                  <c:v>41101.0</c:v>
                </c:pt>
                <c:pt idx="994">
                  <c:v>41100.0</c:v>
                </c:pt>
                <c:pt idx="995">
                  <c:v>41099.0</c:v>
                </c:pt>
                <c:pt idx="996">
                  <c:v>41096.0</c:v>
                </c:pt>
                <c:pt idx="997">
                  <c:v>41095.0</c:v>
                </c:pt>
                <c:pt idx="998">
                  <c:v>41094.0</c:v>
                </c:pt>
                <c:pt idx="999">
                  <c:v>41093.0</c:v>
                </c:pt>
                <c:pt idx="1000">
                  <c:v>41092.0</c:v>
                </c:pt>
                <c:pt idx="1001">
                  <c:v>41089.0</c:v>
                </c:pt>
                <c:pt idx="1002">
                  <c:v>41088.0</c:v>
                </c:pt>
                <c:pt idx="1003">
                  <c:v>41087.0</c:v>
                </c:pt>
                <c:pt idx="1004">
                  <c:v>41086.0</c:v>
                </c:pt>
                <c:pt idx="1005">
                  <c:v>41085.0</c:v>
                </c:pt>
                <c:pt idx="1006">
                  <c:v>41082.0</c:v>
                </c:pt>
                <c:pt idx="1007">
                  <c:v>41081.0</c:v>
                </c:pt>
                <c:pt idx="1008">
                  <c:v>41080.0</c:v>
                </c:pt>
                <c:pt idx="1009">
                  <c:v>41079.0</c:v>
                </c:pt>
                <c:pt idx="1010">
                  <c:v>41078.0</c:v>
                </c:pt>
                <c:pt idx="1011">
                  <c:v>41075.0</c:v>
                </c:pt>
                <c:pt idx="1012">
                  <c:v>41074.0</c:v>
                </c:pt>
                <c:pt idx="1013">
                  <c:v>41073.0</c:v>
                </c:pt>
                <c:pt idx="1014">
                  <c:v>41072.0</c:v>
                </c:pt>
                <c:pt idx="1015">
                  <c:v>41071.0</c:v>
                </c:pt>
                <c:pt idx="1016">
                  <c:v>41068.0</c:v>
                </c:pt>
                <c:pt idx="1017">
                  <c:v>41067.0</c:v>
                </c:pt>
                <c:pt idx="1018">
                  <c:v>41066.0</c:v>
                </c:pt>
                <c:pt idx="1019">
                  <c:v>41065.0</c:v>
                </c:pt>
                <c:pt idx="1020">
                  <c:v>41064.0</c:v>
                </c:pt>
                <c:pt idx="1021">
                  <c:v>41061.0</c:v>
                </c:pt>
                <c:pt idx="1022">
                  <c:v>41060.0</c:v>
                </c:pt>
                <c:pt idx="1023">
                  <c:v>41059.0</c:v>
                </c:pt>
                <c:pt idx="1024">
                  <c:v>41058.0</c:v>
                </c:pt>
                <c:pt idx="1025">
                  <c:v>41057.0</c:v>
                </c:pt>
                <c:pt idx="1026">
                  <c:v>41054.0</c:v>
                </c:pt>
                <c:pt idx="1027">
                  <c:v>41053.0</c:v>
                </c:pt>
                <c:pt idx="1028">
                  <c:v>41052.0</c:v>
                </c:pt>
                <c:pt idx="1029">
                  <c:v>41051.0</c:v>
                </c:pt>
                <c:pt idx="1030">
                  <c:v>41050.0</c:v>
                </c:pt>
                <c:pt idx="1031">
                  <c:v>41047.0</c:v>
                </c:pt>
                <c:pt idx="1032">
                  <c:v>41046.0</c:v>
                </c:pt>
                <c:pt idx="1033">
                  <c:v>41045.0</c:v>
                </c:pt>
                <c:pt idx="1034">
                  <c:v>41044.0</c:v>
                </c:pt>
                <c:pt idx="1035">
                  <c:v>41043.0</c:v>
                </c:pt>
                <c:pt idx="1036">
                  <c:v>41040.0</c:v>
                </c:pt>
                <c:pt idx="1037">
                  <c:v>41039.0</c:v>
                </c:pt>
                <c:pt idx="1038">
                  <c:v>41038.0</c:v>
                </c:pt>
                <c:pt idx="1039">
                  <c:v>41037.0</c:v>
                </c:pt>
                <c:pt idx="1040">
                  <c:v>41036.0</c:v>
                </c:pt>
                <c:pt idx="1041">
                  <c:v>41033.0</c:v>
                </c:pt>
                <c:pt idx="1042">
                  <c:v>41032.0</c:v>
                </c:pt>
                <c:pt idx="1043">
                  <c:v>41031.0</c:v>
                </c:pt>
                <c:pt idx="1044">
                  <c:v>41030.0</c:v>
                </c:pt>
                <c:pt idx="1045">
                  <c:v>41029.0</c:v>
                </c:pt>
                <c:pt idx="1046">
                  <c:v>41026.0</c:v>
                </c:pt>
                <c:pt idx="1047">
                  <c:v>41025.0</c:v>
                </c:pt>
                <c:pt idx="1048">
                  <c:v>41024.0</c:v>
                </c:pt>
                <c:pt idx="1049">
                  <c:v>41023.0</c:v>
                </c:pt>
                <c:pt idx="1050">
                  <c:v>41022.0</c:v>
                </c:pt>
                <c:pt idx="1051">
                  <c:v>41019.0</c:v>
                </c:pt>
                <c:pt idx="1052">
                  <c:v>41018.0</c:v>
                </c:pt>
                <c:pt idx="1053">
                  <c:v>41017.0</c:v>
                </c:pt>
                <c:pt idx="1054">
                  <c:v>41016.0</c:v>
                </c:pt>
                <c:pt idx="1055">
                  <c:v>41015.0</c:v>
                </c:pt>
                <c:pt idx="1056">
                  <c:v>41012.0</c:v>
                </c:pt>
                <c:pt idx="1057">
                  <c:v>41011.0</c:v>
                </c:pt>
                <c:pt idx="1058">
                  <c:v>41010.0</c:v>
                </c:pt>
                <c:pt idx="1059">
                  <c:v>41009.0</c:v>
                </c:pt>
                <c:pt idx="1060">
                  <c:v>41008.0</c:v>
                </c:pt>
                <c:pt idx="1061">
                  <c:v>41005.0</c:v>
                </c:pt>
                <c:pt idx="1062">
                  <c:v>41004.0</c:v>
                </c:pt>
                <c:pt idx="1063">
                  <c:v>41003.0</c:v>
                </c:pt>
                <c:pt idx="1064">
                  <c:v>41002.0</c:v>
                </c:pt>
                <c:pt idx="1065">
                  <c:v>41001.0</c:v>
                </c:pt>
                <c:pt idx="1066">
                  <c:v>40998.0</c:v>
                </c:pt>
                <c:pt idx="1067">
                  <c:v>40997.0</c:v>
                </c:pt>
                <c:pt idx="1068">
                  <c:v>40996.0</c:v>
                </c:pt>
                <c:pt idx="1069">
                  <c:v>40995.0</c:v>
                </c:pt>
                <c:pt idx="1070">
                  <c:v>40994.0</c:v>
                </c:pt>
                <c:pt idx="1071">
                  <c:v>40991.0</c:v>
                </c:pt>
                <c:pt idx="1072">
                  <c:v>40990.0</c:v>
                </c:pt>
                <c:pt idx="1073">
                  <c:v>40989.0</c:v>
                </c:pt>
                <c:pt idx="1074">
                  <c:v>40988.0</c:v>
                </c:pt>
                <c:pt idx="1075">
                  <c:v>40987.0</c:v>
                </c:pt>
                <c:pt idx="1076">
                  <c:v>40984.0</c:v>
                </c:pt>
                <c:pt idx="1077">
                  <c:v>40983.0</c:v>
                </c:pt>
                <c:pt idx="1078">
                  <c:v>40982.0</c:v>
                </c:pt>
                <c:pt idx="1079">
                  <c:v>40981.0</c:v>
                </c:pt>
                <c:pt idx="1080">
                  <c:v>40980.0</c:v>
                </c:pt>
                <c:pt idx="1081">
                  <c:v>40977.0</c:v>
                </c:pt>
                <c:pt idx="1082">
                  <c:v>40976.0</c:v>
                </c:pt>
                <c:pt idx="1083">
                  <c:v>40975.0</c:v>
                </c:pt>
                <c:pt idx="1084">
                  <c:v>40974.0</c:v>
                </c:pt>
                <c:pt idx="1085">
                  <c:v>40973.0</c:v>
                </c:pt>
                <c:pt idx="1086">
                  <c:v>40970.0</c:v>
                </c:pt>
                <c:pt idx="1087">
                  <c:v>40969.0</c:v>
                </c:pt>
                <c:pt idx="1088">
                  <c:v>40968.0</c:v>
                </c:pt>
                <c:pt idx="1089">
                  <c:v>40967.0</c:v>
                </c:pt>
                <c:pt idx="1090">
                  <c:v>40966.0</c:v>
                </c:pt>
                <c:pt idx="1091">
                  <c:v>40963.0</c:v>
                </c:pt>
                <c:pt idx="1092">
                  <c:v>40962.0</c:v>
                </c:pt>
                <c:pt idx="1093">
                  <c:v>40961.0</c:v>
                </c:pt>
                <c:pt idx="1094">
                  <c:v>40960.0</c:v>
                </c:pt>
                <c:pt idx="1095">
                  <c:v>40959.0</c:v>
                </c:pt>
                <c:pt idx="1096">
                  <c:v>40956.0</c:v>
                </c:pt>
                <c:pt idx="1097">
                  <c:v>40955.0</c:v>
                </c:pt>
                <c:pt idx="1098">
                  <c:v>40954.0</c:v>
                </c:pt>
                <c:pt idx="1099">
                  <c:v>40953.0</c:v>
                </c:pt>
                <c:pt idx="1100">
                  <c:v>40952.0</c:v>
                </c:pt>
                <c:pt idx="1101">
                  <c:v>40949.0</c:v>
                </c:pt>
                <c:pt idx="1102">
                  <c:v>40948.0</c:v>
                </c:pt>
                <c:pt idx="1103">
                  <c:v>40947.0</c:v>
                </c:pt>
                <c:pt idx="1104">
                  <c:v>40946.0</c:v>
                </c:pt>
                <c:pt idx="1105">
                  <c:v>40945.0</c:v>
                </c:pt>
                <c:pt idx="1106">
                  <c:v>40942.0</c:v>
                </c:pt>
                <c:pt idx="1107">
                  <c:v>40941.0</c:v>
                </c:pt>
                <c:pt idx="1108">
                  <c:v>40940.0</c:v>
                </c:pt>
                <c:pt idx="1109">
                  <c:v>40939.0</c:v>
                </c:pt>
                <c:pt idx="1110">
                  <c:v>40938.0</c:v>
                </c:pt>
                <c:pt idx="1111">
                  <c:v>40935.0</c:v>
                </c:pt>
                <c:pt idx="1112">
                  <c:v>40934.0</c:v>
                </c:pt>
                <c:pt idx="1113">
                  <c:v>40933.0</c:v>
                </c:pt>
                <c:pt idx="1114">
                  <c:v>40932.0</c:v>
                </c:pt>
                <c:pt idx="1115">
                  <c:v>40931.0</c:v>
                </c:pt>
                <c:pt idx="1116">
                  <c:v>40928.0</c:v>
                </c:pt>
                <c:pt idx="1117">
                  <c:v>40927.0</c:v>
                </c:pt>
                <c:pt idx="1118">
                  <c:v>40926.0</c:v>
                </c:pt>
                <c:pt idx="1119">
                  <c:v>40925.0</c:v>
                </c:pt>
                <c:pt idx="1120">
                  <c:v>40924.0</c:v>
                </c:pt>
                <c:pt idx="1121">
                  <c:v>40921.0</c:v>
                </c:pt>
                <c:pt idx="1122">
                  <c:v>40920.0</c:v>
                </c:pt>
                <c:pt idx="1123">
                  <c:v>40919.0</c:v>
                </c:pt>
                <c:pt idx="1124">
                  <c:v>40918.0</c:v>
                </c:pt>
                <c:pt idx="1125">
                  <c:v>40917.0</c:v>
                </c:pt>
                <c:pt idx="1126">
                  <c:v>40914.0</c:v>
                </c:pt>
                <c:pt idx="1127">
                  <c:v>40913.0</c:v>
                </c:pt>
                <c:pt idx="1128">
                  <c:v>40912.0</c:v>
                </c:pt>
                <c:pt idx="1129">
                  <c:v>40911.0</c:v>
                </c:pt>
                <c:pt idx="1130">
                  <c:v>40910.0</c:v>
                </c:pt>
                <c:pt idx="1131">
                  <c:v>40907.0</c:v>
                </c:pt>
                <c:pt idx="1132">
                  <c:v>40906.0</c:v>
                </c:pt>
                <c:pt idx="1133">
                  <c:v>40905.0</c:v>
                </c:pt>
                <c:pt idx="1134">
                  <c:v>40904.0</c:v>
                </c:pt>
                <c:pt idx="1135">
                  <c:v>40903.0</c:v>
                </c:pt>
                <c:pt idx="1136">
                  <c:v>40900.0</c:v>
                </c:pt>
                <c:pt idx="1137">
                  <c:v>40899.0</c:v>
                </c:pt>
                <c:pt idx="1138">
                  <c:v>40898.0</c:v>
                </c:pt>
                <c:pt idx="1139">
                  <c:v>40897.0</c:v>
                </c:pt>
                <c:pt idx="1140">
                  <c:v>40896.0</c:v>
                </c:pt>
                <c:pt idx="1141">
                  <c:v>40893.0</c:v>
                </c:pt>
                <c:pt idx="1142">
                  <c:v>40892.0</c:v>
                </c:pt>
                <c:pt idx="1143">
                  <c:v>40891.0</c:v>
                </c:pt>
                <c:pt idx="1144">
                  <c:v>40890.0</c:v>
                </c:pt>
                <c:pt idx="1145">
                  <c:v>40889.0</c:v>
                </c:pt>
                <c:pt idx="1146">
                  <c:v>40886.0</c:v>
                </c:pt>
                <c:pt idx="1147">
                  <c:v>40885.0</c:v>
                </c:pt>
                <c:pt idx="1148">
                  <c:v>40884.0</c:v>
                </c:pt>
                <c:pt idx="1149">
                  <c:v>40883.0</c:v>
                </c:pt>
                <c:pt idx="1150">
                  <c:v>40882.0</c:v>
                </c:pt>
                <c:pt idx="1151">
                  <c:v>40879.0</c:v>
                </c:pt>
                <c:pt idx="1152">
                  <c:v>40878.0</c:v>
                </c:pt>
                <c:pt idx="1153">
                  <c:v>40877.0</c:v>
                </c:pt>
                <c:pt idx="1154">
                  <c:v>40876.0</c:v>
                </c:pt>
                <c:pt idx="1155">
                  <c:v>40875.0</c:v>
                </c:pt>
                <c:pt idx="1156">
                  <c:v>40872.0</c:v>
                </c:pt>
                <c:pt idx="1157">
                  <c:v>40871.0</c:v>
                </c:pt>
                <c:pt idx="1158">
                  <c:v>40870.0</c:v>
                </c:pt>
                <c:pt idx="1159">
                  <c:v>40869.0</c:v>
                </c:pt>
                <c:pt idx="1160">
                  <c:v>40868.0</c:v>
                </c:pt>
                <c:pt idx="1161">
                  <c:v>40865.0</c:v>
                </c:pt>
                <c:pt idx="1162">
                  <c:v>40864.0</c:v>
                </c:pt>
                <c:pt idx="1163">
                  <c:v>40863.0</c:v>
                </c:pt>
                <c:pt idx="1164">
                  <c:v>40862.0</c:v>
                </c:pt>
                <c:pt idx="1165">
                  <c:v>40861.0</c:v>
                </c:pt>
                <c:pt idx="1166">
                  <c:v>40858.0</c:v>
                </c:pt>
                <c:pt idx="1167">
                  <c:v>40857.0</c:v>
                </c:pt>
                <c:pt idx="1168">
                  <c:v>40856.0</c:v>
                </c:pt>
                <c:pt idx="1169">
                  <c:v>40855.0</c:v>
                </c:pt>
                <c:pt idx="1170">
                  <c:v>40854.0</c:v>
                </c:pt>
                <c:pt idx="1171">
                  <c:v>40851.0</c:v>
                </c:pt>
                <c:pt idx="1172">
                  <c:v>40850.0</c:v>
                </c:pt>
                <c:pt idx="1173">
                  <c:v>40849.0</c:v>
                </c:pt>
                <c:pt idx="1174">
                  <c:v>40848.0</c:v>
                </c:pt>
                <c:pt idx="1175">
                  <c:v>40847.0</c:v>
                </c:pt>
                <c:pt idx="1176">
                  <c:v>40844.0</c:v>
                </c:pt>
                <c:pt idx="1177">
                  <c:v>40843.0</c:v>
                </c:pt>
                <c:pt idx="1178">
                  <c:v>40842.0</c:v>
                </c:pt>
                <c:pt idx="1179">
                  <c:v>40841.0</c:v>
                </c:pt>
                <c:pt idx="1180">
                  <c:v>40840.0</c:v>
                </c:pt>
                <c:pt idx="1181">
                  <c:v>40837.0</c:v>
                </c:pt>
                <c:pt idx="1182">
                  <c:v>40836.0</c:v>
                </c:pt>
                <c:pt idx="1183">
                  <c:v>40835.0</c:v>
                </c:pt>
                <c:pt idx="1184">
                  <c:v>40834.0</c:v>
                </c:pt>
                <c:pt idx="1185">
                  <c:v>40833.0</c:v>
                </c:pt>
                <c:pt idx="1186">
                  <c:v>40830.0</c:v>
                </c:pt>
                <c:pt idx="1187">
                  <c:v>40829.0</c:v>
                </c:pt>
                <c:pt idx="1188">
                  <c:v>40828.0</c:v>
                </c:pt>
                <c:pt idx="1189">
                  <c:v>40827.0</c:v>
                </c:pt>
                <c:pt idx="1190">
                  <c:v>40826.0</c:v>
                </c:pt>
                <c:pt idx="1191">
                  <c:v>40823.0</c:v>
                </c:pt>
                <c:pt idx="1192">
                  <c:v>40822.0</c:v>
                </c:pt>
                <c:pt idx="1193">
                  <c:v>40821.0</c:v>
                </c:pt>
                <c:pt idx="1194">
                  <c:v>40820.0</c:v>
                </c:pt>
                <c:pt idx="1195">
                  <c:v>40819.0</c:v>
                </c:pt>
                <c:pt idx="1196">
                  <c:v>40816.0</c:v>
                </c:pt>
                <c:pt idx="1197">
                  <c:v>40815.0</c:v>
                </c:pt>
                <c:pt idx="1198">
                  <c:v>40814.0</c:v>
                </c:pt>
                <c:pt idx="1199">
                  <c:v>40813.0</c:v>
                </c:pt>
                <c:pt idx="1200">
                  <c:v>40812.0</c:v>
                </c:pt>
                <c:pt idx="1201">
                  <c:v>40809.0</c:v>
                </c:pt>
                <c:pt idx="1202">
                  <c:v>40808.0</c:v>
                </c:pt>
                <c:pt idx="1203">
                  <c:v>40807.0</c:v>
                </c:pt>
                <c:pt idx="1204">
                  <c:v>40806.0</c:v>
                </c:pt>
                <c:pt idx="1205">
                  <c:v>40805.0</c:v>
                </c:pt>
                <c:pt idx="1206">
                  <c:v>40802.0</c:v>
                </c:pt>
                <c:pt idx="1207">
                  <c:v>40801.0</c:v>
                </c:pt>
                <c:pt idx="1208">
                  <c:v>40800.0</c:v>
                </c:pt>
                <c:pt idx="1209">
                  <c:v>40799.0</c:v>
                </c:pt>
                <c:pt idx="1210">
                  <c:v>40798.0</c:v>
                </c:pt>
                <c:pt idx="1211">
                  <c:v>40795.0</c:v>
                </c:pt>
                <c:pt idx="1212">
                  <c:v>40794.0</c:v>
                </c:pt>
                <c:pt idx="1213">
                  <c:v>40793.0</c:v>
                </c:pt>
                <c:pt idx="1214">
                  <c:v>40792.0</c:v>
                </c:pt>
                <c:pt idx="1215">
                  <c:v>40791.0</c:v>
                </c:pt>
                <c:pt idx="1216">
                  <c:v>40788.0</c:v>
                </c:pt>
                <c:pt idx="1217">
                  <c:v>40787.0</c:v>
                </c:pt>
                <c:pt idx="1218">
                  <c:v>40786.0</c:v>
                </c:pt>
                <c:pt idx="1219">
                  <c:v>40785.0</c:v>
                </c:pt>
                <c:pt idx="1220">
                  <c:v>40784.0</c:v>
                </c:pt>
                <c:pt idx="1221">
                  <c:v>40781.0</c:v>
                </c:pt>
                <c:pt idx="1222">
                  <c:v>40780.0</c:v>
                </c:pt>
                <c:pt idx="1223">
                  <c:v>40779.0</c:v>
                </c:pt>
                <c:pt idx="1224">
                  <c:v>40778.0</c:v>
                </c:pt>
                <c:pt idx="1225">
                  <c:v>40777.0</c:v>
                </c:pt>
                <c:pt idx="1226">
                  <c:v>40774.0</c:v>
                </c:pt>
                <c:pt idx="1227">
                  <c:v>40773.0</c:v>
                </c:pt>
                <c:pt idx="1228">
                  <c:v>40772.0</c:v>
                </c:pt>
                <c:pt idx="1229">
                  <c:v>40771.0</c:v>
                </c:pt>
                <c:pt idx="1230">
                  <c:v>40770.0</c:v>
                </c:pt>
                <c:pt idx="1231">
                  <c:v>40767.0</c:v>
                </c:pt>
                <c:pt idx="1232">
                  <c:v>40766.0</c:v>
                </c:pt>
                <c:pt idx="1233">
                  <c:v>40765.0</c:v>
                </c:pt>
                <c:pt idx="1234">
                  <c:v>40764.0</c:v>
                </c:pt>
                <c:pt idx="1235">
                  <c:v>40763.0</c:v>
                </c:pt>
                <c:pt idx="1236">
                  <c:v>40760.0</c:v>
                </c:pt>
                <c:pt idx="1237">
                  <c:v>40759.0</c:v>
                </c:pt>
                <c:pt idx="1238">
                  <c:v>40758.0</c:v>
                </c:pt>
                <c:pt idx="1239">
                  <c:v>40757.0</c:v>
                </c:pt>
                <c:pt idx="1240">
                  <c:v>40756.0</c:v>
                </c:pt>
                <c:pt idx="1241">
                  <c:v>40753.0</c:v>
                </c:pt>
                <c:pt idx="1242">
                  <c:v>40752.0</c:v>
                </c:pt>
                <c:pt idx="1243">
                  <c:v>40751.0</c:v>
                </c:pt>
                <c:pt idx="1244">
                  <c:v>40750.0</c:v>
                </c:pt>
                <c:pt idx="1245">
                  <c:v>40749.0</c:v>
                </c:pt>
                <c:pt idx="1246">
                  <c:v>40746.0</c:v>
                </c:pt>
                <c:pt idx="1247">
                  <c:v>40745.0</c:v>
                </c:pt>
                <c:pt idx="1248">
                  <c:v>40744.0</c:v>
                </c:pt>
                <c:pt idx="1249">
                  <c:v>40743.0</c:v>
                </c:pt>
                <c:pt idx="1250">
                  <c:v>40742.0</c:v>
                </c:pt>
                <c:pt idx="1251">
                  <c:v>40739.0</c:v>
                </c:pt>
                <c:pt idx="1252">
                  <c:v>40738.0</c:v>
                </c:pt>
                <c:pt idx="1253">
                  <c:v>40737.0</c:v>
                </c:pt>
                <c:pt idx="1254">
                  <c:v>40736.0</c:v>
                </c:pt>
                <c:pt idx="1255">
                  <c:v>40735.0</c:v>
                </c:pt>
                <c:pt idx="1256">
                  <c:v>40732.0</c:v>
                </c:pt>
                <c:pt idx="1257">
                  <c:v>40731.0</c:v>
                </c:pt>
                <c:pt idx="1258">
                  <c:v>40730.0</c:v>
                </c:pt>
                <c:pt idx="1259">
                  <c:v>40729.0</c:v>
                </c:pt>
                <c:pt idx="1260">
                  <c:v>40728.0</c:v>
                </c:pt>
                <c:pt idx="1261">
                  <c:v>40725.0</c:v>
                </c:pt>
                <c:pt idx="1262">
                  <c:v>40724.0</c:v>
                </c:pt>
                <c:pt idx="1263">
                  <c:v>40723.0</c:v>
                </c:pt>
                <c:pt idx="1264">
                  <c:v>40722.0</c:v>
                </c:pt>
                <c:pt idx="1265">
                  <c:v>40721.0</c:v>
                </c:pt>
                <c:pt idx="1266">
                  <c:v>40718.0</c:v>
                </c:pt>
                <c:pt idx="1267">
                  <c:v>40717.0</c:v>
                </c:pt>
                <c:pt idx="1268">
                  <c:v>40716.0</c:v>
                </c:pt>
                <c:pt idx="1269">
                  <c:v>40715.0</c:v>
                </c:pt>
                <c:pt idx="1270">
                  <c:v>40714.0</c:v>
                </c:pt>
                <c:pt idx="1271">
                  <c:v>40711.0</c:v>
                </c:pt>
                <c:pt idx="1272">
                  <c:v>40710.0</c:v>
                </c:pt>
                <c:pt idx="1273">
                  <c:v>40709.0</c:v>
                </c:pt>
                <c:pt idx="1274">
                  <c:v>40708.0</c:v>
                </c:pt>
                <c:pt idx="1275">
                  <c:v>40707.0</c:v>
                </c:pt>
                <c:pt idx="1276">
                  <c:v>40704.0</c:v>
                </c:pt>
                <c:pt idx="1277">
                  <c:v>40703.0</c:v>
                </c:pt>
                <c:pt idx="1278">
                  <c:v>40702.0</c:v>
                </c:pt>
                <c:pt idx="1279">
                  <c:v>40701.0</c:v>
                </c:pt>
                <c:pt idx="1280">
                  <c:v>40700.0</c:v>
                </c:pt>
                <c:pt idx="1281">
                  <c:v>40697.0</c:v>
                </c:pt>
                <c:pt idx="1282">
                  <c:v>40696.0</c:v>
                </c:pt>
                <c:pt idx="1283">
                  <c:v>40695.0</c:v>
                </c:pt>
                <c:pt idx="1284">
                  <c:v>40694.0</c:v>
                </c:pt>
                <c:pt idx="1285">
                  <c:v>40693.0</c:v>
                </c:pt>
                <c:pt idx="1286">
                  <c:v>40690.0</c:v>
                </c:pt>
                <c:pt idx="1287">
                  <c:v>40689.0</c:v>
                </c:pt>
                <c:pt idx="1288">
                  <c:v>40688.0</c:v>
                </c:pt>
                <c:pt idx="1289">
                  <c:v>40687.0</c:v>
                </c:pt>
                <c:pt idx="1290">
                  <c:v>40686.0</c:v>
                </c:pt>
                <c:pt idx="1291">
                  <c:v>40683.0</c:v>
                </c:pt>
                <c:pt idx="1292">
                  <c:v>40682.0</c:v>
                </c:pt>
                <c:pt idx="1293">
                  <c:v>40681.0</c:v>
                </c:pt>
                <c:pt idx="1294">
                  <c:v>40680.0</c:v>
                </c:pt>
                <c:pt idx="1295">
                  <c:v>40679.0</c:v>
                </c:pt>
                <c:pt idx="1296">
                  <c:v>40676.0</c:v>
                </c:pt>
                <c:pt idx="1297">
                  <c:v>40675.0</c:v>
                </c:pt>
                <c:pt idx="1298">
                  <c:v>40674.0</c:v>
                </c:pt>
                <c:pt idx="1299">
                  <c:v>40673.0</c:v>
                </c:pt>
                <c:pt idx="1300">
                  <c:v>40672.0</c:v>
                </c:pt>
                <c:pt idx="1301">
                  <c:v>40669.0</c:v>
                </c:pt>
                <c:pt idx="1302">
                  <c:v>40668.0</c:v>
                </c:pt>
                <c:pt idx="1303">
                  <c:v>40667.0</c:v>
                </c:pt>
                <c:pt idx="1304">
                  <c:v>40666.0</c:v>
                </c:pt>
                <c:pt idx="1305">
                  <c:v>40665.0</c:v>
                </c:pt>
                <c:pt idx="1306">
                  <c:v>40662.0</c:v>
                </c:pt>
                <c:pt idx="1307">
                  <c:v>40661.0</c:v>
                </c:pt>
                <c:pt idx="1308">
                  <c:v>40660.0</c:v>
                </c:pt>
                <c:pt idx="1309">
                  <c:v>40659.0</c:v>
                </c:pt>
                <c:pt idx="1310">
                  <c:v>40658.0</c:v>
                </c:pt>
                <c:pt idx="1311">
                  <c:v>40655.0</c:v>
                </c:pt>
                <c:pt idx="1312">
                  <c:v>40654.0</c:v>
                </c:pt>
                <c:pt idx="1313">
                  <c:v>40653.0</c:v>
                </c:pt>
                <c:pt idx="1314">
                  <c:v>40652.0</c:v>
                </c:pt>
                <c:pt idx="1315">
                  <c:v>40651.0</c:v>
                </c:pt>
                <c:pt idx="1316">
                  <c:v>40648.0</c:v>
                </c:pt>
                <c:pt idx="1317">
                  <c:v>40647.0</c:v>
                </c:pt>
                <c:pt idx="1318">
                  <c:v>40646.0</c:v>
                </c:pt>
                <c:pt idx="1319">
                  <c:v>40645.0</c:v>
                </c:pt>
                <c:pt idx="1320">
                  <c:v>40644.0</c:v>
                </c:pt>
                <c:pt idx="1321">
                  <c:v>40641.0</c:v>
                </c:pt>
                <c:pt idx="1322">
                  <c:v>40640.0</c:v>
                </c:pt>
                <c:pt idx="1323">
                  <c:v>40639.0</c:v>
                </c:pt>
                <c:pt idx="1324">
                  <c:v>40638.0</c:v>
                </c:pt>
                <c:pt idx="1325">
                  <c:v>40637.0</c:v>
                </c:pt>
                <c:pt idx="1326">
                  <c:v>40634.0</c:v>
                </c:pt>
                <c:pt idx="1327">
                  <c:v>40633.0</c:v>
                </c:pt>
                <c:pt idx="1328">
                  <c:v>40632.0</c:v>
                </c:pt>
                <c:pt idx="1329">
                  <c:v>40631.0</c:v>
                </c:pt>
                <c:pt idx="1330">
                  <c:v>40630.0</c:v>
                </c:pt>
                <c:pt idx="1331">
                  <c:v>40627.0</c:v>
                </c:pt>
                <c:pt idx="1332">
                  <c:v>40626.0</c:v>
                </c:pt>
                <c:pt idx="1333">
                  <c:v>40625.0</c:v>
                </c:pt>
                <c:pt idx="1334">
                  <c:v>40624.0</c:v>
                </c:pt>
                <c:pt idx="1335">
                  <c:v>40623.0</c:v>
                </c:pt>
                <c:pt idx="1336">
                  <c:v>40620.0</c:v>
                </c:pt>
                <c:pt idx="1337">
                  <c:v>40619.0</c:v>
                </c:pt>
                <c:pt idx="1338">
                  <c:v>40618.0</c:v>
                </c:pt>
                <c:pt idx="1339">
                  <c:v>40617.0</c:v>
                </c:pt>
                <c:pt idx="1340">
                  <c:v>40616.0</c:v>
                </c:pt>
                <c:pt idx="1341">
                  <c:v>40613.0</c:v>
                </c:pt>
                <c:pt idx="1342">
                  <c:v>40612.0</c:v>
                </c:pt>
                <c:pt idx="1343">
                  <c:v>40611.0</c:v>
                </c:pt>
                <c:pt idx="1344">
                  <c:v>40610.0</c:v>
                </c:pt>
                <c:pt idx="1345">
                  <c:v>40609.0</c:v>
                </c:pt>
                <c:pt idx="1346">
                  <c:v>40606.0</c:v>
                </c:pt>
                <c:pt idx="1347">
                  <c:v>40605.0</c:v>
                </c:pt>
                <c:pt idx="1348">
                  <c:v>40604.0</c:v>
                </c:pt>
                <c:pt idx="1349">
                  <c:v>40603.0</c:v>
                </c:pt>
                <c:pt idx="1350">
                  <c:v>40602.0</c:v>
                </c:pt>
                <c:pt idx="1351">
                  <c:v>40599.0</c:v>
                </c:pt>
                <c:pt idx="1352">
                  <c:v>40598.0</c:v>
                </c:pt>
                <c:pt idx="1353">
                  <c:v>40597.0</c:v>
                </c:pt>
                <c:pt idx="1354">
                  <c:v>40596.0</c:v>
                </c:pt>
                <c:pt idx="1355">
                  <c:v>40595.0</c:v>
                </c:pt>
                <c:pt idx="1356">
                  <c:v>40592.0</c:v>
                </c:pt>
                <c:pt idx="1357">
                  <c:v>40591.0</c:v>
                </c:pt>
                <c:pt idx="1358">
                  <c:v>40590.0</c:v>
                </c:pt>
                <c:pt idx="1359">
                  <c:v>40589.0</c:v>
                </c:pt>
                <c:pt idx="1360">
                  <c:v>40588.0</c:v>
                </c:pt>
                <c:pt idx="1361">
                  <c:v>40585.0</c:v>
                </c:pt>
                <c:pt idx="1362">
                  <c:v>40584.0</c:v>
                </c:pt>
                <c:pt idx="1363">
                  <c:v>40583.0</c:v>
                </c:pt>
                <c:pt idx="1364">
                  <c:v>40582.0</c:v>
                </c:pt>
                <c:pt idx="1365">
                  <c:v>40581.0</c:v>
                </c:pt>
                <c:pt idx="1366">
                  <c:v>40578.0</c:v>
                </c:pt>
                <c:pt idx="1367">
                  <c:v>40577.0</c:v>
                </c:pt>
                <c:pt idx="1368">
                  <c:v>40576.0</c:v>
                </c:pt>
                <c:pt idx="1369">
                  <c:v>40575.0</c:v>
                </c:pt>
                <c:pt idx="1370">
                  <c:v>40574.0</c:v>
                </c:pt>
                <c:pt idx="1371">
                  <c:v>40571.0</c:v>
                </c:pt>
                <c:pt idx="1372">
                  <c:v>40570.0</c:v>
                </c:pt>
                <c:pt idx="1373">
                  <c:v>40569.0</c:v>
                </c:pt>
                <c:pt idx="1374">
                  <c:v>40568.0</c:v>
                </c:pt>
                <c:pt idx="1375">
                  <c:v>40567.0</c:v>
                </c:pt>
                <c:pt idx="1376">
                  <c:v>40564.0</c:v>
                </c:pt>
                <c:pt idx="1377">
                  <c:v>40563.0</c:v>
                </c:pt>
                <c:pt idx="1378">
                  <c:v>40562.0</c:v>
                </c:pt>
                <c:pt idx="1379">
                  <c:v>40561.0</c:v>
                </c:pt>
                <c:pt idx="1380">
                  <c:v>40560.0</c:v>
                </c:pt>
                <c:pt idx="1381">
                  <c:v>40557.0</c:v>
                </c:pt>
                <c:pt idx="1382">
                  <c:v>40556.0</c:v>
                </c:pt>
                <c:pt idx="1383">
                  <c:v>40555.0</c:v>
                </c:pt>
                <c:pt idx="1384">
                  <c:v>40554.0</c:v>
                </c:pt>
                <c:pt idx="1385">
                  <c:v>40553.0</c:v>
                </c:pt>
                <c:pt idx="1386">
                  <c:v>40550.0</c:v>
                </c:pt>
                <c:pt idx="1387">
                  <c:v>40549.0</c:v>
                </c:pt>
                <c:pt idx="1388">
                  <c:v>40548.0</c:v>
                </c:pt>
                <c:pt idx="1389">
                  <c:v>40547.0</c:v>
                </c:pt>
                <c:pt idx="1390">
                  <c:v>40546.0</c:v>
                </c:pt>
                <c:pt idx="1391">
                  <c:v>40543.0</c:v>
                </c:pt>
                <c:pt idx="1392">
                  <c:v>40542.0</c:v>
                </c:pt>
                <c:pt idx="1393">
                  <c:v>40541.0</c:v>
                </c:pt>
                <c:pt idx="1394">
                  <c:v>40540.0</c:v>
                </c:pt>
                <c:pt idx="1395">
                  <c:v>40539.0</c:v>
                </c:pt>
                <c:pt idx="1396">
                  <c:v>40536.0</c:v>
                </c:pt>
                <c:pt idx="1397">
                  <c:v>40535.0</c:v>
                </c:pt>
                <c:pt idx="1398">
                  <c:v>40534.0</c:v>
                </c:pt>
                <c:pt idx="1399">
                  <c:v>40533.0</c:v>
                </c:pt>
                <c:pt idx="1400">
                  <c:v>40532.0</c:v>
                </c:pt>
                <c:pt idx="1401">
                  <c:v>40529.0</c:v>
                </c:pt>
                <c:pt idx="1402">
                  <c:v>40528.0</c:v>
                </c:pt>
                <c:pt idx="1403">
                  <c:v>40527.0</c:v>
                </c:pt>
                <c:pt idx="1404">
                  <c:v>40526.0</c:v>
                </c:pt>
                <c:pt idx="1405">
                  <c:v>40525.0</c:v>
                </c:pt>
                <c:pt idx="1406">
                  <c:v>40522.0</c:v>
                </c:pt>
                <c:pt idx="1407">
                  <c:v>40521.0</c:v>
                </c:pt>
                <c:pt idx="1408">
                  <c:v>40520.0</c:v>
                </c:pt>
                <c:pt idx="1409">
                  <c:v>40519.0</c:v>
                </c:pt>
                <c:pt idx="1410">
                  <c:v>40518.0</c:v>
                </c:pt>
                <c:pt idx="1411">
                  <c:v>40515.0</c:v>
                </c:pt>
                <c:pt idx="1412">
                  <c:v>40514.0</c:v>
                </c:pt>
                <c:pt idx="1413">
                  <c:v>40513.0</c:v>
                </c:pt>
                <c:pt idx="1414">
                  <c:v>40512.0</c:v>
                </c:pt>
                <c:pt idx="1415">
                  <c:v>40511.0</c:v>
                </c:pt>
                <c:pt idx="1416">
                  <c:v>40508.0</c:v>
                </c:pt>
                <c:pt idx="1417">
                  <c:v>40507.0</c:v>
                </c:pt>
                <c:pt idx="1418">
                  <c:v>40506.0</c:v>
                </c:pt>
                <c:pt idx="1419">
                  <c:v>40505.0</c:v>
                </c:pt>
                <c:pt idx="1420">
                  <c:v>40504.0</c:v>
                </c:pt>
                <c:pt idx="1421">
                  <c:v>40501.0</c:v>
                </c:pt>
                <c:pt idx="1422">
                  <c:v>40500.0</c:v>
                </c:pt>
                <c:pt idx="1423">
                  <c:v>40499.0</c:v>
                </c:pt>
                <c:pt idx="1424">
                  <c:v>40498.0</c:v>
                </c:pt>
                <c:pt idx="1425">
                  <c:v>40497.0</c:v>
                </c:pt>
                <c:pt idx="1426">
                  <c:v>40494.0</c:v>
                </c:pt>
                <c:pt idx="1427">
                  <c:v>40493.0</c:v>
                </c:pt>
                <c:pt idx="1428">
                  <c:v>40492.0</c:v>
                </c:pt>
                <c:pt idx="1429">
                  <c:v>40491.0</c:v>
                </c:pt>
                <c:pt idx="1430">
                  <c:v>40490.0</c:v>
                </c:pt>
                <c:pt idx="1431">
                  <c:v>40487.0</c:v>
                </c:pt>
                <c:pt idx="1432">
                  <c:v>40486.0</c:v>
                </c:pt>
                <c:pt idx="1433">
                  <c:v>40485.0</c:v>
                </c:pt>
                <c:pt idx="1434">
                  <c:v>40484.0</c:v>
                </c:pt>
                <c:pt idx="1435">
                  <c:v>40483.0</c:v>
                </c:pt>
                <c:pt idx="1436">
                  <c:v>40480.0</c:v>
                </c:pt>
                <c:pt idx="1437">
                  <c:v>40479.0</c:v>
                </c:pt>
                <c:pt idx="1438">
                  <c:v>40478.0</c:v>
                </c:pt>
                <c:pt idx="1439">
                  <c:v>40477.0</c:v>
                </c:pt>
                <c:pt idx="1440">
                  <c:v>40476.0</c:v>
                </c:pt>
                <c:pt idx="1441">
                  <c:v>40473.0</c:v>
                </c:pt>
                <c:pt idx="1442">
                  <c:v>40472.0</c:v>
                </c:pt>
                <c:pt idx="1443">
                  <c:v>40471.0</c:v>
                </c:pt>
                <c:pt idx="1444">
                  <c:v>40470.0</c:v>
                </c:pt>
                <c:pt idx="1445">
                  <c:v>40469.0</c:v>
                </c:pt>
                <c:pt idx="1446">
                  <c:v>40466.0</c:v>
                </c:pt>
                <c:pt idx="1447">
                  <c:v>40465.0</c:v>
                </c:pt>
                <c:pt idx="1448">
                  <c:v>40464.0</c:v>
                </c:pt>
                <c:pt idx="1449">
                  <c:v>40463.0</c:v>
                </c:pt>
                <c:pt idx="1450">
                  <c:v>40462.0</c:v>
                </c:pt>
                <c:pt idx="1451">
                  <c:v>40459.0</c:v>
                </c:pt>
                <c:pt idx="1452">
                  <c:v>40458.0</c:v>
                </c:pt>
                <c:pt idx="1453">
                  <c:v>40457.0</c:v>
                </c:pt>
                <c:pt idx="1454">
                  <c:v>40456.0</c:v>
                </c:pt>
                <c:pt idx="1455">
                  <c:v>40455.0</c:v>
                </c:pt>
                <c:pt idx="1456">
                  <c:v>40452.0</c:v>
                </c:pt>
                <c:pt idx="1457">
                  <c:v>40451.0</c:v>
                </c:pt>
                <c:pt idx="1458">
                  <c:v>40450.0</c:v>
                </c:pt>
                <c:pt idx="1459">
                  <c:v>40449.0</c:v>
                </c:pt>
                <c:pt idx="1460">
                  <c:v>40448.0</c:v>
                </c:pt>
                <c:pt idx="1461">
                  <c:v>40445.0</c:v>
                </c:pt>
                <c:pt idx="1462">
                  <c:v>40444.0</c:v>
                </c:pt>
                <c:pt idx="1463">
                  <c:v>40443.0</c:v>
                </c:pt>
                <c:pt idx="1464">
                  <c:v>40442.0</c:v>
                </c:pt>
                <c:pt idx="1465">
                  <c:v>40441.0</c:v>
                </c:pt>
                <c:pt idx="1466">
                  <c:v>40438.0</c:v>
                </c:pt>
                <c:pt idx="1467">
                  <c:v>40437.0</c:v>
                </c:pt>
                <c:pt idx="1468">
                  <c:v>40436.0</c:v>
                </c:pt>
                <c:pt idx="1469">
                  <c:v>40435.0</c:v>
                </c:pt>
                <c:pt idx="1470">
                  <c:v>40434.0</c:v>
                </c:pt>
                <c:pt idx="1471">
                  <c:v>40431.0</c:v>
                </c:pt>
                <c:pt idx="1472">
                  <c:v>40430.0</c:v>
                </c:pt>
                <c:pt idx="1473">
                  <c:v>40429.0</c:v>
                </c:pt>
                <c:pt idx="1474">
                  <c:v>40428.0</c:v>
                </c:pt>
                <c:pt idx="1475">
                  <c:v>40427.0</c:v>
                </c:pt>
                <c:pt idx="1476">
                  <c:v>40424.0</c:v>
                </c:pt>
                <c:pt idx="1477">
                  <c:v>40423.0</c:v>
                </c:pt>
                <c:pt idx="1478">
                  <c:v>40422.0</c:v>
                </c:pt>
                <c:pt idx="1479">
                  <c:v>40421.0</c:v>
                </c:pt>
                <c:pt idx="1480">
                  <c:v>40420.0</c:v>
                </c:pt>
                <c:pt idx="1481">
                  <c:v>40417.0</c:v>
                </c:pt>
                <c:pt idx="1482">
                  <c:v>40416.0</c:v>
                </c:pt>
                <c:pt idx="1483">
                  <c:v>40415.0</c:v>
                </c:pt>
                <c:pt idx="1484">
                  <c:v>40414.0</c:v>
                </c:pt>
                <c:pt idx="1485">
                  <c:v>40413.0</c:v>
                </c:pt>
                <c:pt idx="1486">
                  <c:v>40410.0</c:v>
                </c:pt>
                <c:pt idx="1487">
                  <c:v>40409.0</c:v>
                </c:pt>
                <c:pt idx="1488">
                  <c:v>40408.0</c:v>
                </c:pt>
                <c:pt idx="1489">
                  <c:v>40407.0</c:v>
                </c:pt>
                <c:pt idx="1490">
                  <c:v>40406.0</c:v>
                </c:pt>
                <c:pt idx="1491">
                  <c:v>40403.0</c:v>
                </c:pt>
                <c:pt idx="1492">
                  <c:v>40402.0</c:v>
                </c:pt>
                <c:pt idx="1493">
                  <c:v>40401.0</c:v>
                </c:pt>
                <c:pt idx="1494">
                  <c:v>40400.0</c:v>
                </c:pt>
                <c:pt idx="1495">
                  <c:v>40399.0</c:v>
                </c:pt>
                <c:pt idx="1496">
                  <c:v>40396.0</c:v>
                </c:pt>
                <c:pt idx="1497">
                  <c:v>40395.0</c:v>
                </c:pt>
                <c:pt idx="1498">
                  <c:v>40394.0</c:v>
                </c:pt>
                <c:pt idx="1499">
                  <c:v>40393.0</c:v>
                </c:pt>
                <c:pt idx="1500">
                  <c:v>40392.0</c:v>
                </c:pt>
                <c:pt idx="1501">
                  <c:v>40389.0</c:v>
                </c:pt>
                <c:pt idx="1502">
                  <c:v>40388.0</c:v>
                </c:pt>
                <c:pt idx="1503">
                  <c:v>40387.0</c:v>
                </c:pt>
                <c:pt idx="1504">
                  <c:v>40386.0</c:v>
                </c:pt>
                <c:pt idx="1505">
                  <c:v>40385.0</c:v>
                </c:pt>
                <c:pt idx="1506">
                  <c:v>40382.0</c:v>
                </c:pt>
                <c:pt idx="1507">
                  <c:v>40381.0</c:v>
                </c:pt>
                <c:pt idx="1508">
                  <c:v>40380.0</c:v>
                </c:pt>
                <c:pt idx="1509">
                  <c:v>40379.0</c:v>
                </c:pt>
                <c:pt idx="1510">
                  <c:v>40378.0</c:v>
                </c:pt>
                <c:pt idx="1511">
                  <c:v>40375.0</c:v>
                </c:pt>
                <c:pt idx="1512">
                  <c:v>40374.0</c:v>
                </c:pt>
                <c:pt idx="1513">
                  <c:v>40373.0</c:v>
                </c:pt>
                <c:pt idx="1514">
                  <c:v>40372.0</c:v>
                </c:pt>
                <c:pt idx="1515">
                  <c:v>40371.0</c:v>
                </c:pt>
                <c:pt idx="1516">
                  <c:v>40368.0</c:v>
                </c:pt>
                <c:pt idx="1517">
                  <c:v>40367.0</c:v>
                </c:pt>
                <c:pt idx="1518">
                  <c:v>40366.0</c:v>
                </c:pt>
                <c:pt idx="1519">
                  <c:v>40365.0</c:v>
                </c:pt>
                <c:pt idx="1520">
                  <c:v>40364.0</c:v>
                </c:pt>
                <c:pt idx="1521">
                  <c:v>40361.0</c:v>
                </c:pt>
                <c:pt idx="1522">
                  <c:v>40360.0</c:v>
                </c:pt>
                <c:pt idx="1523">
                  <c:v>40359.0</c:v>
                </c:pt>
                <c:pt idx="1524">
                  <c:v>40358.0</c:v>
                </c:pt>
                <c:pt idx="1525">
                  <c:v>40357.0</c:v>
                </c:pt>
                <c:pt idx="1526">
                  <c:v>40354.0</c:v>
                </c:pt>
                <c:pt idx="1527">
                  <c:v>40353.0</c:v>
                </c:pt>
                <c:pt idx="1528">
                  <c:v>40352.0</c:v>
                </c:pt>
                <c:pt idx="1529">
                  <c:v>40351.0</c:v>
                </c:pt>
                <c:pt idx="1530">
                  <c:v>40350.0</c:v>
                </c:pt>
                <c:pt idx="1531">
                  <c:v>40347.0</c:v>
                </c:pt>
                <c:pt idx="1532">
                  <c:v>40346.0</c:v>
                </c:pt>
                <c:pt idx="1533">
                  <c:v>40345.0</c:v>
                </c:pt>
                <c:pt idx="1534">
                  <c:v>40344.0</c:v>
                </c:pt>
                <c:pt idx="1535">
                  <c:v>40343.0</c:v>
                </c:pt>
                <c:pt idx="1536">
                  <c:v>40340.0</c:v>
                </c:pt>
                <c:pt idx="1537">
                  <c:v>40339.0</c:v>
                </c:pt>
                <c:pt idx="1538">
                  <c:v>40338.0</c:v>
                </c:pt>
                <c:pt idx="1539">
                  <c:v>40337.0</c:v>
                </c:pt>
                <c:pt idx="1540">
                  <c:v>40336.0</c:v>
                </c:pt>
                <c:pt idx="1541">
                  <c:v>40333.0</c:v>
                </c:pt>
                <c:pt idx="1542">
                  <c:v>40332.0</c:v>
                </c:pt>
                <c:pt idx="1543">
                  <c:v>40331.0</c:v>
                </c:pt>
                <c:pt idx="1544">
                  <c:v>40330.0</c:v>
                </c:pt>
                <c:pt idx="1545">
                  <c:v>40329.0</c:v>
                </c:pt>
                <c:pt idx="1546">
                  <c:v>40326.0</c:v>
                </c:pt>
                <c:pt idx="1547">
                  <c:v>40325.0</c:v>
                </c:pt>
                <c:pt idx="1548">
                  <c:v>40324.0</c:v>
                </c:pt>
                <c:pt idx="1549">
                  <c:v>40323.0</c:v>
                </c:pt>
                <c:pt idx="1550">
                  <c:v>40322.0</c:v>
                </c:pt>
                <c:pt idx="1551">
                  <c:v>40319.0</c:v>
                </c:pt>
                <c:pt idx="1552">
                  <c:v>40318.0</c:v>
                </c:pt>
                <c:pt idx="1553">
                  <c:v>40317.0</c:v>
                </c:pt>
                <c:pt idx="1554">
                  <c:v>40316.0</c:v>
                </c:pt>
                <c:pt idx="1555">
                  <c:v>40315.0</c:v>
                </c:pt>
                <c:pt idx="1556">
                  <c:v>40312.0</c:v>
                </c:pt>
                <c:pt idx="1557">
                  <c:v>40311.0</c:v>
                </c:pt>
                <c:pt idx="1558">
                  <c:v>40310.0</c:v>
                </c:pt>
                <c:pt idx="1559">
                  <c:v>40309.0</c:v>
                </c:pt>
                <c:pt idx="1560">
                  <c:v>40308.0</c:v>
                </c:pt>
                <c:pt idx="1561">
                  <c:v>40305.0</c:v>
                </c:pt>
                <c:pt idx="1562">
                  <c:v>40304.0</c:v>
                </c:pt>
                <c:pt idx="1563">
                  <c:v>40303.0</c:v>
                </c:pt>
                <c:pt idx="1564">
                  <c:v>40302.0</c:v>
                </c:pt>
                <c:pt idx="1565">
                  <c:v>40301.0</c:v>
                </c:pt>
                <c:pt idx="1566">
                  <c:v>40298.0</c:v>
                </c:pt>
                <c:pt idx="1567">
                  <c:v>40297.0</c:v>
                </c:pt>
                <c:pt idx="1568">
                  <c:v>40296.0</c:v>
                </c:pt>
                <c:pt idx="1569">
                  <c:v>40295.0</c:v>
                </c:pt>
                <c:pt idx="1570">
                  <c:v>40294.0</c:v>
                </c:pt>
                <c:pt idx="1571">
                  <c:v>40291.0</c:v>
                </c:pt>
                <c:pt idx="1572">
                  <c:v>40290.0</c:v>
                </c:pt>
                <c:pt idx="1573">
                  <c:v>40289.0</c:v>
                </c:pt>
                <c:pt idx="1574">
                  <c:v>40288.0</c:v>
                </c:pt>
                <c:pt idx="1575">
                  <c:v>40287.0</c:v>
                </c:pt>
                <c:pt idx="1576">
                  <c:v>40284.0</c:v>
                </c:pt>
                <c:pt idx="1577">
                  <c:v>40283.0</c:v>
                </c:pt>
                <c:pt idx="1578">
                  <c:v>40282.0</c:v>
                </c:pt>
                <c:pt idx="1579">
                  <c:v>40281.0</c:v>
                </c:pt>
                <c:pt idx="1580">
                  <c:v>40280.0</c:v>
                </c:pt>
                <c:pt idx="1581">
                  <c:v>40277.0</c:v>
                </c:pt>
                <c:pt idx="1582">
                  <c:v>40276.0</c:v>
                </c:pt>
                <c:pt idx="1583">
                  <c:v>40275.0</c:v>
                </c:pt>
                <c:pt idx="1584">
                  <c:v>40274.0</c:v>
                </c:pt>
                <c:pt idx="1585">
                  <c:v>40273.0</c:v>
                </c:pt>
                <c:pt idx="1586">
                  <c:v>40270.0</c:v>
                </c:pt>
                <c:pt idx="1587">
                  <c:v>40269.0</c:v>
                </c:pt>
                <c:pt idx="1588">
                  <c:v>40268.0</c:v>
                </c:pt>
                <c:pt idx="1589">
                  <c:v>40267.0</c:v>
                </c:pt>
                <c:pt idx="1590">
                  <c:v>40266.0</c:v>
                </c:pt>
                <c:pt idx="1591">
                  <c:v>40263.0</c:v>
                </c:pt>
                <c:pt idx="1592">
                  <c:v>40262.0</c:v>
                </c:pt>
                <c:pt idx="1593">
                  <c:v>40261.0</c:v>
                </c:pt>
                <c:pt idx="1594">
                  <c:v>40260.0</c:v>
                </c:pt>
                <c:pt idx="1595">
                  <c:v>40259.0</c:v>
                </c:pt>
                <c:pt idx="1596">
                  <c:v>40256.0</c:v>
                </c:pt>
                <c:pt idx="1597">
                  <c:v>40255.0</c:v>
                </c:pt>
                <c:pt idx="1598">
                  <c:v>40254.0</c:v>
                </c:pt>
                <c:pt idx="1599">
                  <c:v>40253.0</c:v>
                </c:pt>
                <c:pt idx="1600">
                  <c:v>40252.0</c:v>
                </c:pt>
                <c:pt idx="1601">
                  <c:v>40249.0</c:v>
                </c:pt>
                <c:pt idx="1602">
                  <c:v>40248.0</c:v>
                </c:pt>
                <c:pt idx="1603">
                  <c:v>40247.0</c:v>
                </c:pt>
                <c:pt idx="1604">
                  <c:v>40246.0</c:v>
                </c:pt>
                <c:pt idx="1605">
                  <c:v>40245.0</c:v>
                </c:pt>
                <c:pt idx="1606">
                  <c:v>40242.0</c:v>
                </c:pt>
                <c:pt idx="1607">
                  <c:v>40241.0</c:v>
                </c:pt>
                <c:pt idx="1608">
                  <c:v>40240.0</c:v>
                </c:pt>
                <c:pt idx="1609">
                  <c:v>40239.0</c:v>
                </c:pt>
                <c:pt idx="1610">
                  <c:v>40238.0</c:v>
                </c:pt>
                <c:pt idx="1611">
                  <c:v>40235.0</c:v>
                </c:pt>
                <c:pt idx="1612">
                  <c:v>40234.0</c:v>
                </c:pt>
                <c:pt idx="1613">
                  <c:v>40233.0</c:v>
                </c:pt>
                <c:pt idx="1614">
                  <c:v>40232.0</c:v>
                </c:pt>
                <c:pt idx="1615">
                  <c:v>40231.0</c:v>
                </c:pt>
                <c:pt idx="1616">
                  <c:v>40228.0</c:v>
                </c:pt>
                <c:pt idx="1617">
                  <c:v>40227.0</c:v>
                </c:pt>
                <c:pt idx="1618">
                  <c:v>40226.0</c:v>
                </c:pt>
                <c:pt idx="1619">
                  <c:v>40225.0</c:v>
                </c:pt>
                <c:pt idx="1620">
                  <c:v>40224.0</c:v>
                </c:pt>
                <c:pt idx="1621">
                  <c:v>40221.0</c:v>
                </c:pt>
                <c:pt idx="1622">
                  <c:v>40220.0</c:v>
                </c:pt>
                <c:pt idx="1623">
                  <c:v>40219.0</c:v>
                </c:pt>
                <c:pt idx="1624">
                  <c:v>40218.0</c:v>
                </c:pt>
                <c:pt idx="1625">
                  <c:v>40217.0</c:v>
                </c:pt>
                <c:pt idx="1626">
                  <c:v>40214.0</c:v>
                </c:pt>
                <c:pt idx="1627">
                  <c:v>40213.0</c:v>
                </c:pt>
                <c:pt idx="1628">
                  <c:v>40212.0</c:v>
                </c:pt>
                <c:pt idx="1629">
                  <c:v>40211.0</c:v>
                </c:pt>
                <c:pt idx="1630">
                  <c:v>40210.0</c:v>
                </c:pt>
                <c:pt idx="1631">
                  <c:v>40207.0</c:v>
                </c:pt>
                <c:pt idx="1632">
                  <c:v>40206.0</c:v>
                </c:pt>
                <c:pt idx="1633">
                  <c:v>40205.0</c:v>
                </c:pt>
                <c:pt idx="1634">
                  <c:v>40204.0</c:v>
                </c:pt>
                <c:pt idx="1635">
                  <c:v>40203.0</c:v>
                </c:pt>
                <c:pt idx="1636">
                  <c:v>40200.0</c:v>
                </c:pt>
                <c:pt idx="1637">
                  <c:v>40199.0</c:v>
                </c:pt>
                <c:pt idx="1638">
                  <c:v>40198.0</c:v>
                </c:pt>
                <c:pt idx="1639">
                  <c:v>40197.0</c:v>
                </c:pt>
                <c:pt idx="1640">
                  <c:v>40196.0</c:v>
                </c:pt>
                <c:pt idx="1641">
                  <c:v>40193.0</c:v>
                </c:pt>
                <c:pt idx="1642">
                  <c:v>40192.0</c:v>
                </c:pt>
                <c:pt idx="1643">
                  <c:v>40191.0</c:v>
                </c:pt>
                <c:pt idx="1644">
                  <c:v>40190.0</c:v>
                </c:pt>
                <c:pt idx="1645">
                  <c:v>40189.0</c:v>
                </c:pt>
                <c:pt idx="1646">
                  <c:v>40186.0</c:v>
                </c:pt>
                <c:pt idx="1647">
                  <c:v>40185.0</c:v>
                </c:pt>
                <c:pt idx="1648">
                  <c:v>40184.0</c:v>
                </c:pt>
                <c:pt idx="1649">
                  <c:v>40183.0</c:v>
                </c:pt>
                <c:pt idx="1650">
                  <c:v>40182.0</c:v>
                </c:pt>
                <c:pt idx="1651">
                  <c:v>40179.0</c:v>
                </c:pt>
                <c:pt idx="1652">
                  <c:v>40178.0</c:v>
                </c:pt>
                <c:pt idx="1653">
                  <c:v>40177.0</c:v>
                </c:pt>
                <c:pt idx="1654">
                  <c:v>40176.0</c:v>
                </c:pt>
                <c:pt idx="1655">
                  <c:v>40175.0</c:v>
                </c:pt>
                <c:pt idx="1656">
                  <c:v>40172.0</c:v>
                </c:pt>
                <c:pt idx="1657">
                  <c:v>40171.0</c:v>
                </c:pt>
                <c:pt idx="1658">
                  <c:v>40170.0</c:v>
                </c:pt>
                <c:pt idx="1659">
                  <c:v>40169.0</c:v>
                </c:pt>
                <c:pt idx="1660">
                  <c:v>40168.0</c:v>
                </c:pt>
                <c:pt idx="1661">
                  <c:v>40165.0</c:v>
                </c:pt>
                <c:pt idx="1662">
                  <c:v>40164.0</c:v>
                </c:pt>
                <c:pt idx="1663">
                  <c:v>40163.0</c:v>
                </c:pt>
                <c:pt idx="1664">
                  <c:v>40162.0</c:v>
                </c:pt>
                <c:pt idx="1665">
                  <c:v>40161.0</c:v>
                </c:pt>
                <c:pt idx="1666">
                  <c:v>40158.0</c:v>
                </c:pt>
                <c:pt idx="1667">
                  <c:v>40157.0</c:v>
                </c:pt>
                <c:pt idx="1668">
                  <c:v>40156.0</c:v>
                </c:pt>
                <c:pt idx="1669">
                  <c:v>40155.0</c:v>
                </c:pt>
                <c:pt idx="1670">
                  <c:v>40154.0</c:v>
                </c:pt>
                <c:pt idx="1671">
                  <c:v>40151.0</c:v>
                </c:pt>
                <c:pt idx="1672">
                  <c:v>40150.0</c:v>
                </c:pt>
                <c:pt idx="1673">
                  <c:v>40149.0</c:v>
                </c:pt>
                <c:pt idx="1674">
                  <c:v>40148.0</c:v>
                </c:pt>
                <c:pt idx="1675">
                  <c:v>40147.0</c:v>
                </c:pt>
                <c:pt idx="1676">
                  <c:v>40144.0</c:v>
                </c:pt>
                <c:pt idx="1677">
                  <c:v>40143.0</c:v>
                </c:pt>
                <c:pt idx="1678">
                  <c:v>40142.0</c:v>
                </c:pt>
                <c:pt idx="1679">
                  <c:v>40141.0</c:v>
                </c:pt>
                <c:pt idx="1680">
                  <c:v>40140.0</c:v>
                </c:pt>
                <c:pt idx="1681">
                  <c:v>40137.0</c:v>
                </c:pt>
                <c:pt idx="1682">
                  <c:v>40136.0</c:v>
                </c:pt>
                <c:pt idx="1683">
                  <c:v>40135.0</c:v>
                </c:pt>
                <c:pt idx="1684">
                  <c:v>40134.0</c:v>
                </c:pt>
                <c:pt idx="1685">
                  <c:v>40133.0</c:v>
                </c:pt>
                <c:pt idx="1686">
                  <c:v>40130.0</c:v>
                </c:pt>
                <c:pt idx="1687">
                  <c:v>40129.0</c:v>
                </c:pt>
                <c:pt idx="1688">
                  <c:v>40128.0</c:v>
                </c:pt>
                <c:pt idx="1689">
                  <c:v>40127.0</c:v>
                </c:pt>
                <c:pt idx="1690">
                  <c:v>40126.0</c:v>
                </c:pt>
                <c:pt idx="1691">
                  <c:v>40123.0</c:v>
                </c:pt>
                <c:pt idx="1692">
                  <c:v>40122.0</c:v>
                </c:pt>
                <c:pt idx="1693">
                  <c:v>40121.0</c:v>
                </c:pt>
                <c:pt idx="1694">
                  <c:v>40120.0</c:v>
                </c:pt>
                <c:pt idx="1695">
                  <c:v>40119.0</c:v>
                </c:pt>
                <c:pt idx="1696">
                  <c:v>40116.0</c:v>
                </c:pt>
                <c:pt idx="1697">
                  <c:v>40115.0</c:v>
                </c:pt>
                <c:pt idx="1698">
                  <c:v>40114.0</c:v>
                </c:pt>
                <c:pt idx="1699">
                  <c:v>40113.0</c:v>
                </c:pt>
                <c:pt idx="1700">
                  <c:v>40112.0</c:v>
                </c:pt>
                <c:pt idx="1701">
                  <c:v>40109.0</c:v>
                </c:pt>
                <c:pt idx="1702">
                  <c:v>40108.0</c:v>
                </c:pt>
                <c:pt idx="1703">
                  <c:v>40107.0</c:v>
                </c:pt>
                <c:pt idx="1704">
                  <c:v>40106.0</c:v>
                </c:pt>
                <c:pt idx="1705">
                  <c:v>40105.0</c:v>
                </c:pt>
                <c:pt idx="1706">
                  <c:v>40102.0</c:v>
                </c:pt>
                <c:pt idx="1707">
                  <c:v>40101.0</c:v>
                </c:pt>
                <c:pt idx="1708">
                  <c:v>40100.0</c:v>
                </c:pt>
                <c:pt idx="1709">
                  <c:v>40099.0</c:v>
                </c:pt>
                <c:pt idx="1710">
                  <c:v>40098.0</c:v>
                </c:pt>
                <c:pt idx="1711">
                  <c:v>40095.0</c:v>
                </c:pt>
                <c:pt idx="1712">
                  <c:v>40094.0</c:v>
                </c:pt>
                <c:pt idx="1713">
                  <c:v>40093.0</c:v>
                </c:pt>
                <c:pt idx="1714">
                  <c:v>40092.0</c:v>
                </c:pt>
                <c:pt idx="1715">
                  <c:v>40091.0</c:v>
                </c:pt>
                <c:pt idx="1716">
                  <c:v>40088.0</c:v>
                </c:pt>
                <c:pt idx="1717">
                  <c:v>40087.0</c:v>
                </c:pt>
                <c:pt idx="1718">
                  <c:v>40086.0</c:v>
                </c:pt>
                <c:pt idx="1719">
                  <c:v>40085.0</c:v>
                </c:pt>
                <c:pt idx="1720">
                  <c:v>40084.0</c:v>
                </c:pt>
                <c:pt idx="1721">
                  <c:v>40081.0</c:v>
                </c:pt>
                <c:pt idx="1722">
                  <c:v>40080.0</c:v>
                </c:pt>
                <c:pt idx="1723">
                  <c:v>40079.0</c:v>
                </c:pt>
                <c:pt idx="1724">
                  <c:v>40078.0</c:v>
                </c:pt>
                <c:pt idx="1725">
                  <c:v>40077.0</c:v>
                </c:pt>
                <c:pt idx="1726">
                  <c:v>40074.0</c:v>
                </c:pt>
                <c:pt idx="1727">
                  <c:v>40073.0</c:v>
                </c:pt>
                <c:pt idx="1728">
                  <c:v>40072.0</c:v>
                </c:pt>
                <c:pt idx="1729">
                  <c:v>40071.0</c:v>
                </c:pt>
                <c:pt idx="1730">
                  <c:v>40070.0</c:v>
                </c:pt>
                <c:pt idx="1731">
                  <c:v>40067.0</c:v>
                </c:pt>
                <c:pt idx="1732">
                  <c:v>40066.0</c:v>
                </c:pt>
                <c:pt idx="1733">
                  <c:v>40065.0</c:v>
                </c:pt>
                <c:pt idx="1734">
                  <c:v>40064.0</c:v>
                </c:pt>
                <c:pt idx="1735">
                  <c:v>40063.0</c:v>
                </c:pt>
                <c:pt idx="1736">
                  <c:v>40060.0</c:v>
                </c:pt>
                <c:pt idx="1737">
                  <c:v>40059.0</c:v>
                </c:pt>
                <c:pt idx="1738">
                  <c:v>40058.0</c:v>
                </c:pt>
                <c:pt idx="1739">
                  <c:v>40057.0</c:v>
                </c:pt>
                <c:pt idx="1740">
                  <c:v>40056.0</c:v>
                </c:pt>
                <c:pt idx="1741">
                  <c:v>40053.0</c:v>
                </c:pt>
                <c:pt idx="1742">
                  <c:v>40052.0</c:v>
                </c:pt>
                <c:pt idx="1743">
                  <c:v>40051.0</c:v>
                </c:pt>
                <c:pt idx="1744">
                  <c:v>40050.0</c:v>
                </c:pt>
                <c:pt idx="1745">
                  <c:v>40049.0</c:v>
                </c:pt>
                <c:pt idx="1746">
                  <c:v>40046.0</c:v>
                </c:pt>
                <c:pt idx="1747">
                  <c:v>40045.0</c:v>
                </c:pt>
                <c:pt idx="1748">
                  <c:v>40044.0</c:v>
                </c:pt>
                <c:pt idx="1749">
                  <c:v>40043.0</c:v>
                </c:pt>
                <c:pt idx="1750">
                  <c:v>40042.0</c:v>
                </c:pt>
                <c:pt idx="1751">
                  <c:v>40039.0</c:v>
                </c:pt>
                <c:pt idx="1752">
                  <c:v>40038.0</c:v>
                </c:pt>
                <c:pt idx="1753">
                  <c:v>40037.0</c:v>
                </c:pt>
                <c:pt idx="1754">
                  <c:v>40036.0</c:v>
                </c:pt>
                <c:pt idx="1755">
                  <c:v>40035.0</c:v>
                </c:pt>
                <c:pt idx="1756">
                  <c:v>40032.0</c:v>
                </c:pt>
                <c:pt idx="1757">
                  <c:v>40031.0</c:v>
                </c:pt>
                <c:pt idx="1758">
                  <c:v>40030.0</c:v>
                </c:pt>
                <c:pt idx="1759">
                  <c:v>40029.0</c:v>
                </c:pt>
                <c:pt idx="1760">
                  <c:v>40028.0</c:v>
                </c:pt>
                <c:pt idx="1761">
                  <c:v>40025.0</c:v>
                </c:pt>
                <c:pt idx="1762">
                  <c:v>40024.0</c:v>
                </c:pt>
                <c:pt idx="1763">
                  <c:v>40023.0</c:v>
                </c:pt>
                <c:pt idx="1764">
                  <c:v>40022.0</c:v>
                </c:pt>
                <c:pt idx="1765">
                  <c:v>40021.0</c:v>
                </c:pt>
                <c:pt idx="1766">
                  <c:v>40018.0</c:v>
                </c:pt>
                <c:pt idx="1767">
                  <c:v>40017.0</c:v>
                </c:pt>
                <c:pt idx="1768">
                  <c:v>40016.0</c:v>
                </c:pt>
                <c:pt idx="1769">
                  <c:v>40015.0</c:v>
                </c:pt>
                <c:pt idx="1770">
                  <c:v>40014.0</c:v>
                </c:pt>
                <c:pt idx="1771">
                  <c:v>40011.0</c:v>
                </c:pt>
                <c:pt idx="1772">
                  <c:v>40010.0</c:v>
                </c:pt>
                <c:pt idx="1773">
                  <c:v>40009.0</c:v>
                </c:pt>
                <c:pt idx="1774">
                  <c:v>40008.0</c:v>
                </c:pt>
                <c:pt idx="1775">
                  <c:v>40007.0</c:v>
                </c:pt>
                <c:pt idx="1776">
                  <c:v>40004.0</c:v>
                </c:pt>
                <c:pt idx="1777">
                  <c:v>40003.0</c:v>
                </c:pt>
                <c:pt idx="1778">
                  <c:v>40002.0</c:v>
                </c:pt>
                <c:pt idx="1779">
                  <c:v>40001.0</c:v>
                </c:pt>
                <c:pt idx="1780">
                  <c:v>40000.0</c:v>
                </c:pt>
                <c:pt idx="1781">
                  <c:v>39997.0</c:v>
                </c:pt>
                <c:pt idx="1782">
                  <c:v>39996.0</c:v>
                </c:pt>
                <c:pt idx="1783">
                  <c:v>39995.0</c:v>
                </c:pt>
                <c:pt idx="1784">
                  <c:v>39994.0</c:v>
                </c:pt>
                <c:pt idx="1785">
                  <c:v>39993.0</c:v>
                </c:pt>
                <c:pt idx="1786">
                  <c:v>39990.0</c:v>
                </c:pt>
                <c:pt idx="1787">
                  <c:v>39989.0</c:v>
                </c:pt>
                <c:pt idx="1788">
                  <c:v>39988.0</c:v>
                </c:pt>
                <c:pt idx="1789">
                  <c:v>39987.0</c:v>
                </c:pt>
                <c:pt idx="1790">
                  <c:v>39986.0</c:v>
                </c:pt>
                <c:pt idx="1791">
                  <c:v>39983.0</c:v>
                </c:pt>
                <c:pt idx="1792">
                  <c:v>39982.0</c:v>
                </c:pt>
                <c:pt idx="1793">
                  <c:v>39981.0</c:v>
                </c:pt>
                <c:pt idx="1794">
                  <c:v>39980.0</c:v>
                </c:pt>
                <c:pt idx="1795">
                  <c:v>39979.0</c:v>
                </c:pt>
                <c:pt idx="1796">
                  <c:v>39976.0</c:v>
                </c:pt>
                <c:pt idx="1797">
                  <c:v>39975.0</c:v>
                </c:pt>
                <c:pt idx="1798">
                  <c:v>39974.0</c:v>
                </c:pt>
                <c:pt idx="1799">
                  <c:v>39973.0</c:v>
                </c:pt>
                <c:pt idx="1800">
                  <c:v>39972.0</c:v>
                </c:pt>
                <c:pt idx="1801">
                  <c:v>39969.0</c:v>
                </c:pt>
                <c:pt idx="1802">
                  <c:v>39968.0</c:v>
                </c:pt>
                <c:pt idx="1803">
                  <c:v>39967.0</c:v>
                </c:pt>
                <c:pt idx="1804">
                  <c:v>39966.0</c:v>
                </c:pt>
                <c:pt idx="1805">
                  <c:v>39965.0</c:v>
                </c:pt>
                <c:pt idx="1806">
                  <c:v>39962.0</c:v>
                </c:pt>
                <c:pt idx="1807">
                  <c:v>39961.0</c:v>
                </c:pt>
                <c:pt idx="1808">
                  <c:v>39960.0</c:v>
                </c:pt>
                <c:pt idx="1809">
                  <c:v>39959.0</c:v>
                </c:pt>
                <c:pt idx="1810">
                  <c:v>39958.0</c:v>
                </c:pt>
                <c:pt idx="1811">
                  <c:v>39955.0</c:v>
                </c:pt>
                <c:pt idx="1812">
                  <c:v>39954.0</c:v>
                </c:pt>
                <c:pt idx="1813">
                  <c:v>39953.0</c:v>
                </c:pt>
                <c:pt idx="1814">
                  <c:v>39952.0</c:v>
                </c:pt>
                <c:pt idx="1815">
                  <c:v>39951.0</c:v>
                </c:pt>
                <c:pt idx="1816">
                  <c:v>39948.0</c:v>
                </c:pt>
                <c:pt idx="1817">
                  <c:v>39947.0</c:v>
                </c:pt>
                <c:pt idx="1818">
                  <c:v>39946.0</c:v>
                </c:pt>
                <c:pt idx="1819">
                  <c:v>39945.0</c:v>
                </c:pt>
                <c:pt idx="1820">
                  <c:v>39944.0</c:v>
                </c:pt>
                <c:pt idx="1821">
                  <c:v>39941.0</c:v>
                </c:pt>
                <c:pt idx="1822">
                  <c:v>39940.0</c:v>
                </c:pt>
                <c:pt idx="1823">
                  <c:v>39939.0</c:v>
                </c:pt>
                <c:pt idx="1824">
                  <c:v>39938.0</c:v>
                </c:pt>
                <c:pt idx="1825">
                  <c:v>39937.0</c:v>
                </c:pt>
                <c:pt idx="1826">
                  <c:v>39934.0</c:v>
                </c:pt>
                <c:pt idx="1827">
                  <c:v>39933.0</c:v>
                </c:pt>
                <c:pt idx="1828">
                  <c:v>39932.0</c:v>
                </c:pt>
                <c:pt idx="1829">
                  <c:v>39931.0</c:v>
                </c:pt>
                <c:pt idx="1830">
                  <c:v>39930.0</c:v>
                </c:pt>
                <c:pt idx="1831">
                  <c:v>39927.0</c:v>
                </c:pt>
                <c:pt idx="1832">
                  <c:v>39926.0</c:v>
                </c:pt>
                <c:pt idx="1833">
                  <c:v>39925.0</c:v>
                </c:pt>
                <c:pt idx="1834">
                  <c:v>39924.0</c:v>
                </c:pt>
                <c:pt idx="1835">
                  <c:v>39923.0</c:v>
                </c:pt>
                <c:pt idx="1836">
                  <c:v>39920.0</c:v>
                </c:pt>
                <c:pt idx="1837">
                  <c:v>39919.0</c:v>
                </c:pt>
                <c:pt idx="1838">
                  <c:v>39918.0</c:v>
                </c:pt>
                <c:pt idx="1839">
                  <c:v>39917.0</c:v>
                </c:pt>
                <c:pt idx="1840">
                  <c:v>39916.0</c:v>
                </c:pt>
                <c:pt idx="1841">
                  <c:v>39913.0</c:v>
                </c:pt>
                <c:pt idx="1842">
                  <c:v>39912.0</c:v>
                </c:pt>
                <c:pt idx="1843">
                  <c:v>39911.0</c:v>
                </c:pt>
                <c:pt idx="1844">
                  <c:v>39910.0</c:v>
                </c:pt>
                <c:pt idx="1845">
                  <c:v>39909.0</c:v>
                </c:pt>
                <c:pt idx="1846">
                  <c:v>39906.0</c:v>
                </c:pt>
                <c:pt idx="1847">
                  <c:v>39905.0</c:v>
                </c:pt>
                <c:pt idx="1848">
                  <c:v>39904.0</c:v>
                </c:pt>
                <c:pt idx="1849">
                  <c:v>39903.0</c:v>
                </c:pt>
                <c:pt idx="1850">
                  <c:v>39902.0</c:v>
                </c:pt>
                <c:pt idx="1851">
                  <c:v>39899.0</c:v>
                </c:pt>
                <c:pt idx="1852">
                  <c:v>39898.0</c:v>
                </c:pt>
                <c:pt idx="1853">
                  <c:v>39897.0</c:v>
                </c:pt>
                <c:pt idx="1854">
                  <c:v>39896.0</c:v>
                </c:pt>
                <c:pt idx="1855">
                  <c:v>39895.0</c:v>
                </c:pt>
                <c:pt idx="1856">
                  <c:v>39892.0</c:v>
                </c:pt>
                <c:pt idx="1857">
                  <c:v>39891.0</c:v>
                </c:pt>
                <c:pt idx="1858">
                  <c:v>39890.0</c:v>
                </c:pt>
                <c:pt idx="1859">
                  <c:v>39889.0</c:v>
                </c:pt>
                <c:pt idx="1860">
                  <c:v>39888.0</c:v>
                </c:pt>
                <c:pt idx="1861">
                  <c:v>39885.0</c:v>
                </c:pt>
                <c:pt idx="1862">
                  <c:v>39884.0</c:v>
                </c:pt>
                <c:pt idx="1863">
                  <c:v>39883.0</c:v>
                </c:pt>
                <c:pt idx="1864">
                  <c:v>39882.0</c:v>
                </c:pt>
                <c:pt idx="1865">
                  <c:v>39881.0</c:v>
                </c:pt>
                <c:pt idx="1866">
                  <c:v>39878.0</c:v>
                </c:pt>
                <c:pt idx="1867">
                  <c:v>39877.0</c:v>
                </c:pt>
                <c:pt idx="1868">
                  <c:v>39876.0</c:v>
                </c:pt>
                <c:pt idx="1869">
                  <c:v>39875.0</c:v>
                </c:pt>
                <c:pt idx="1870">
                  <c:v>39874.0</c:v>
                </c:pt>
                <c:pt idx="1871">
                  <c:v>39871.0</c:v>
                </c:pt>
                <c:pt idx="1872">
                  <c:v>39870.0</c:v>
                </c:pt>
                <c:pt idx="1873">
                  <c:v>39869.0</c:v>
                </c:pt>
                <c:pt idx="1874">
                  <c:v>39868.0</c:v>
                </c:pt>
                <c:pt idx="1875">
                  <c:v>39867.0</c:v>
                </c:pt>
                <c:pt idx="1876">
                  <c:v>39864.0</c:v>
                </c:pt>
                <c:pt idx="1877">
                  <c:v>39863.0</c:v>
                </c:pt>
                <c:pt idx="1878">
                  <c:v>39862.0</c:v>
                </c:pt>
                <c:pt idx="1879">
                  <c:v>39861.0</c:v>
                </c:pt>
                <c:pt idx="1880">
                  <c:v>39860.0</c:v>
                </c:pt>
                <c:pt idx="1881">
                  <c:v>39857.0</c:v>
                </c:pt>
                <c:pt idx="1882">
                  <c:v>39856.0</c:v>
                </c:pt>
                <c:pt idx="1883">
                  <c:v>39855.0</c:v>
                </c:pt>
                <c:pt idx="1884">
                  <c:v>39854.0</c:v>
                </c:pt>
                <c:pt idx="1885">
                  <c:v>39853.0</c:v>
                </c:pt>
                <c:pt idx="1886">
                  <c:v>39850.0</c:v>
                </c:pt>
                <c:pt idx="1887">
                  <c:v>39849.0</c:v>
                </c:pt>
                <c:pt idx="1888">
                  <c:v>39848.0</c:v>
                </c:pt>
                <c:pt idx="1889">
                  <c:v>39847.0</c:v>
                </c:pt>
                <c:pt idx="1890">
                  <c:v>39846.0</c:v>
                </c:pt>
                <c:pt idx="1891">
                  <c:v>39843.0</c:v>
                </c:pt>
                <c:pt idx="1892">
                  <c:v>39842.0</c:v>
                </c:pt>
                <c:pt idx="1893">
                  <c:v>39841.0</c:v>
                </c:pt>
                <c:pt idx="1894">
                  <c:v>39840.0</c:v>
                </c:pt>
                <c:pt idx="1895">
                  <c:v>39839.0</c:v>
                </c:pt>
                <c:pt idx="1896">
                  <c:v>39836.0</c:v>
                </c:pt>
                <c:pt idx="1897">
                  <c:v>39835.0</c:v>
                </c:pt>
                <c:pt idx="1898">
                  <c:v>39834.0</c:v>
                </c:pt>
                <c:pt idx="1899">
                  <c:v>39833.0</c:v>
                </c:pt>
                <c:pt idx="1900">
                  <c:v>39832.0</c:v>
                </c:pt>
                <c:pt idx="1901">
                  <c:v>39829.0</c:v>
                </c:pt>
                <c:pt idx="1902">
                  <c:v>39828.0</c:v>
                </c:pt>
                <c:pt idx="1903">
                  <c:v>39827.0</c:v>
                </c:pt>
                <c:pt idx="1904">
                  <c:v>39826.0</c:v>
                </c:pt>
                <c:pt idx="1905">
                  <c:v>39825.0</c:v>
                </c:pt>
                <c:pt idx="1906">
                  <c:v>39822.0</c:v>
                </c:pt>
                <c:pt idx="1907">
                  <c:v>39821.0</c:v>
                </c:pt>
                <c:pt idx="1908">
                  <c:v>39820.0</c:v>
                </c:pt>
                <c:pt idx="1909">
                  <c:v>39819.0</c:v>
                </c:pt>
                <c:pt idx="1910">
                  <c:v>39818.0</c:v>
                </c:pt>
                <c:pt idx="1911">
                  <c:v>39815.0</c:v>
                </c:pt>
                <c:pt idx="1912">
                  <c:v>39814.0</c:v>
                </c:pt>
                <c:pt idx="1913">
                  <c:v>39813.0</c:v>
                </c:pt>
                <c:pt idx="1914">
                  <c:v>39812.0</c:v>
                </c:pt>
                <c:pt idx="1915">
                  <c:v>39811.0</c:v>
                </c:pt>
                <c:pt idx="1916">
                  <c:v>39808.0</c:v>
                </c:pt>
                <c:pt idx="1917">
                  <c:v>39807.0</c:v>
                </c:pt>
                <c:pt idx="1918">
                  <c:v>39806.0</c:v>
                </c:pt>
                <c:pt idx="1919">
                  <c:v>39805.0</c:v>
                </c:pt>
                <c:pt idx="1920">
                  <c:v>39804.0</c:v>
                </c:pt>
                <c:pt idx="1921">
                  <c:v>39801.0</c:v>
                </c:pt>
                <c:pt idx="1922">
                  <c:v>39800.0</c:v>
                </c:pt>
                <c:pt idx="1923">
                  <c:v>39799.0</c:v>
                </c:pt>
                <c:pt idx="1924">
                  <c:v>39798.0</c:v>
                </c:pt>
                <c:pt idx="1925">
                  <c:v>39797.0</c:v>
                </c:pt>
                <c:pt idx="1926">
                  <c:v>39794.0</c:v>
                </c:pt>
                <c:pt idx="1927">
                  <c:v>39793.0</c:v>
                </c:pt>
                <c:pt idx="1928">
                  <c:v>39792.0</c:v>
                </c:pt>
                <c:pt idx="1929">
                  <c:v>39791.0</c:v>
                </c:pt>
                <c:pt idx="1930">
                  <c:v>39790.0</c:v>
                </c:pt>
                <c:pt idx="1931">
                  <c:v>39787.0</c:v>
                </c:pt>
                <c:pt idx="1932">
                  <c:v>39786.0</c:v>
                </c:pt>
                <c:pt idx="1933">
                  <c:v>39785.0</c:v>
                </c:pt>
                <c:pt idx="1934">
                  <c:v>39784.0</c:v>
                </c:pt>
                <c:pt idx="1935">
                  <c:v>39783.0</c:v>
                </c:pt>
                <c:pt idx="1936">
                  <c:v>39780.0</c:v>
                </c:pt>
                <c:pt idx="1937">
                  <c:v>39779.0</c:v>
                </c:pt>
                <c:pt idx="1938">
                  <c:v>39778.0</c:v>
                </c:pt>
                <c:pt idx="1939">
                  <c:v>39777.0</c:v>
                </c:pt>
                <c:pt idx="1940">
                  <c:v>39776.0</c:v>
                </c:pt>
                <c:pt idx="1941">
                  <c:v>39773.0</c:v>
                </c:pt>
                <c:pt idx="1942">
                  <c:v>39772.0</c:v>
                </c:pt>
                <c:pt idx="1943">
                  <c:v>39771.0</c:v>
                </c:pt>
                <c:pt idx="1944">
                  <c:v>39770.0</c:v>
                </c:pt>
                <c:pt idx="1945">
                  <c:v>39769.0</c:v>
                </c:pt>
                <c:pt idx="1946">
                  <c:v>39766.0</c:v>
                </c:pt>
                <c:pt idx="1947">
                  <c:v>39765.0</c:v>
                </c:pt>
                <c:pt idx="1948">
                  <c:v>39764.0</c:v>
                </c:pt>
                <c:pt idx="1949">
                  <c:v>39763.0</c:v>
                </c:pt>
                <c:pt idx="1950">
                  <c:v>39762.0</c:v>
                </c:pt>
                <c:pt idx="1951">
                  <c:v>39759.0</c:v>
                </c:pt>
                <c:pt idx="1952">
                  <c:v>39758.0</c:v>
                </c:pt>
                <c:pt idx="1953">
                  <c:v>39757.0</c:v>
                </c:pt>
                <c:pt idx="1954">
                  <c:v>39756.0</c:v>
                </c:pt>
                <c:pt idx="1955">
                  <c:v>39755.0</c:v>
                </c:pt>
                <c:pt idx="1956">
                  <c:v>39752.0</c:v>
                </c:pt>
                <c:pt idx="1957">
                  <c:v>39751.0</c:v>
                </c:pt>
                <c:pt idx="1958">
                  <c:v>39750.0</c:v>
                </c:pt>
                <c:pt idx="1959">
                  <c:v>39749.0</c:v>
                </c:pt>
                <c:pt idx="1960">
                  <c:v>39748.0</c:v>
                </c:pt>
                <c:pt idx="1961">
                  <c:v>39745.0</c:v>
                </c:pt>
                <c:pt idx="1962">
                  <c:v>39744.0</c:v>
                </c:pt>
                <c:pt idx="1963">
                  <c:v>39743.0</c:v>
                </c:pt>
                <c:pt idx="1964">
                  <c:v>39742.0</c:v>
                </c:pt>
                <c:pt idx="1965">
                  <c:v>39741.0</c:v>
                </c:pt>
                <c:pt idx="1966">
                  <c:v>39738.0</c:v>
                </c:pt>
                <c:pt idx="1967">
                  <c:v>39737.0</c:v>
                </c:pt>
                <c:pt idx="1968">
                  <c:v>39736.0</c:v>
                </c:pt>
                <c:pt idx="1969">
                  <c:v>39735.0</c:v>
                </c:pt>
                <c:pt idx="1970">
                  <c:v>39734.0</c:v>
                </c:pt>
                <c:pt idx="1971">
                  <c:v>39731.0</c:v>
                </c:pt>
                <c:pt idx="1972">
                  <c:v>39730.0</c:v>
                </c:pt>
                <c:pt idx="1973">
                  <c:v>39729.0</c:v>
                </c:pt>
                <c:pt idx="1974">
                  <c:v>39728.0</c:v>
                </c:pt>
                <c:pt idx="1975">
                  <c:v>39727.0</c:v>
                </c:pt>
                <c:pt idx="1976">
                  <c:v>39724.0</c:v>
                </c:pt>
                <c:pt idx="1977">
                  <c:v>39723.0</c:v>
                </c:pt>
                <c:pt idx="1978">
                  <c:v>39722.0</c:v>
                </c:pt>
                <c:pt idx="1979">
                  <c:v>39721.0</c:v>
                </c:pt>
                <c:pt idx="1980">
                  <c:v>39720.0</c:v>
                </c:pt>
                <c:pt idx="1981">
                  <c:v>39717.0</c:v>
                </c:pt>
                <c:pt idx="1982">
                  <c:v>39716.0</c:v>
                </c:pt>
                <c:pt idx="1983">
                  <c:v>39715.0</c:v>
                </c:pt>
                <c:pt idx="1984">
                  <c:v>39714.0</c:v>
                </c:pt>
                <c:pt idx="1985">
                  <c:v>39713.0</c:v>
                </c:pt>
                <c:pt idx="1986">
                  <c:v>39710.0</c:v>
                </c:pt>
                <c:pt idx="1987">
                  <c:v>39709.0</c:v>
                </c:pt>
                <c:pt idx="1988">
                  <c:v>39708.0</c:v>
                </c:pt>
                <c:pt idx="1989">
                  <c:v>39707.0</c:v>
                </c:pt>
                <c:pt idx="1990">
                  <c:v>39706.0</c:v>
                </c:pt>
                <c:pt idx="1991">
                  <c:v>39703.0</c:v>
                </c:pt>
                <c:pt idx="1992">
                  <c:v>39702.0</c:v>
                </c:pt>
                <c:pt idx="1993">
                  <c:v>39701.0</c:v>
                </c:pt>
                <c:pt idx="1994">
                  <c:v>39700.0</c:v>
                </c:pt>
                <c:pt idx="1995">
                  <c:v>39699.0</c:v>
                </c:pt>
                <c:pt idx="1996">
                  <c:v>39696.0</c:v>
                </c:pt>
                <c:pt idx="1997">
                  <c:v>39695.0</c:v>
                </c:pt>
                <c:pt idx="1998">
                  <c:v>39694.0</c:v>
                </c:pt>
                <c:pt idx="1999">
                  <c:v>39693.0</c:v>
                </c:pt>
                <c:pt idx="2000">
                  <c:v>39692.0</c:v>
                </c:pt>
                <c:pt idx="2001">
                  <c:v>39689.0</c:v>
                </c:pt>
                <c:pt idx="2002">
                  <c:v>39688.0</c:v>
                </c:pt>
                <c:pt idx="2003">
                  <c:v>39687.0</c:v>
                </c:pt>
                <c:pt idx="2004">
                  <c:v>39686.0</c:v>
                </c:pt>
                <c:pt idx="2005">
                  <c:v>39685.0</c:v>
                </c:pt>
                <c:pt idx="2006">
                  <c:v>39682.0</c:v>
                </c:pt>
                <c:pt idx="2007">
                  <c:v>39681.0</c:v>
                </c:pt>
                <c:pt idx="2008">
                  <c:v>39680.0</c:v>
                </c:pt>
                <c:pt idx="2009">
                  <c:v>39679.0</c:v>
                </c:pt>
                <c:pt idx="2010">
                  <c:v>39678.0</c:v>
                </c:pt>
                <c:pt idx="2011">
                  <c:v>39675.0</c:v>
                </c:pt>
                <c:pt idx="2012">
                  <c:v>39674.0</c:v>
                </c:pt>
                <c:pt idx="2013">
                  <c:v>39673.0</c:v>
                </c:pt>
                <c:pt idx="2014">
                  <c:v>39672.0</c:v>
                </c:pt>
                <c:pt idx="2015">
                  <c:v>39671.0</c:v>
                </c:pt>
                <c:pt idx="2016">
                  <c:v>39668.0</c:v>
                </c:pt>
                <c:pt idx="2017">
                  <c:v>39667.0</c:v>
                </c:pt>
                <c:pt idx="2018">
                  <c:v>39666.0</c:v>
                </c:pt>
                <c:pt idx="2019">
                  <c:v>39665.0</c:v>
                </c:pt>
                <c:pt idx="2020">
                  <c:v>39664.0</c:v>
                </c:pt>
                <c:pt idx="2021">
                  <c:v>39661.0</c:v>
                </c:pt>
                <c:pt idx="2022">
                  <c:v>39660.0</c:v>
                </c:pt>
                <c:pt idx="2023">
                  <c:v>39659.0</c:v>
                </c:pt>
                <c:pt idx="2024">
                  <c:v>39658.0</c:v>
                </c:pt>
                <c:pt idx="2025">
                  <c:v>39657.0</c:v>
                </c:pt>
                <c:pt idx="2026">
                  <c:v>39654.0</c:v>
                </c:pt>
                <c:pt idx="2027">
                  <c:v>39653.0</c:v>
                </c:pt>
                <c:pt idx="2028">
                  <c:v>39652.0</c:v>
                </c:pt>
                <c:pt idx="2029">
                  <c:v>39651.0</c:v>
                </c:pt>
                <c:pt idx="2030">
                  <c:v>39650.0</c:v>
                </c:pt>
                <c:pt idx="2031">
                  <c:v>39647.0</c:v>
                </c:pt>
                <c:pt idx="2032">
                  <c:v>39646.0</c:v>
                </c:pt>
                <c:pt idx="2033">
                  <c:v>39645.0</c:v>
                </c:pt>
                <c:pt idx="2034">
                  <c:v>39644.0</c:v>
                </c:pt>
                <c:pt idx="2035">
                  <c:v>39643.0</c:v>
                </c:pt>
                <c:pt idx="2036">
                  <c:v>39640.0</c:v>
                </c:pt>
                <c:pt idx="2037">
                  <c:v>39639.0</c:v>
                </c:pt>
                <c:pt idx="2038">
                  <c:v>39638.0</c:v>
                </c:pt>
                <c:pt idx="2039">
                  <c:v>39637.0</c:v>
                </c:pt>
                <c:pt idx="2040">
                  <c:v>39636.0</c:v>
                </c:pt>
                <c:pt idx="2041">
                  <c:v>39633.0</c:v>
                </c:pt>
                <c:pt idx="2042">
                  <c:v>39632.0</c:v>
                </c:pt>
                <c:pt idx="2043">
                  <c:v>39631.0</c:v>
                </c:pt>
                <c:pt idx="2044">
                  <c:v>39630.0</c:v>
                </c:pt>
                <c:pt idx="2045">
                  <c:v>39629.0</c:v>
                </c:pt>
                <c:pt idx="2046">
                  <c:v>39626.0</c:v>
                </c:pt>
                <c:pt idx="2047">
                  <c:v>39625.0</c:v>
                </c:pt>
                <c:pt idx="2048">
                  <c:v>39624.0</c:v>
                </c:pt>
                <c:pt idx="2049">
                  <c:v>39623.0</c:v>
                </c:pt>
                <c:pt idx="2050">
                  <c:v>39622.0</c:v>
                </c:pt>
                <c:pt idx="2051">
                  <c:v>39619.0</c:v>
                </c:pt>
                <c:pt idx="2052">
                  <c:v>39618.0</c:v>
                </c:pt>
                <c:pt idx="2053">
                  <c:v>39617.0</c:v>
                </c:pt>
                <c:pt idx="2054">
                  <c:v>39616.0</c:v>
                </c:pt>
                <c:pt idx="2055">
                  <c:v>39615.0</c:v>
                </c:pt>
                <c:pt idx="2056">
                  <c:v>39612.0</c:v>
                </c:pt>
                <c:pt idx="2057">
                  <c:v>39611.0</c:v>
                </c:pt>
                <c:pt idx="2058">
                  <c:v>39610.0</c:v>
                </c:pt>
                <c:pt idx="2059">
                  <c:v>39609.0</c:v>
                </c:pt>
                <c:pt idx="2060">
                  <c:v>39608.0</c:v>
                </c:pt>
                <c:pt idx="2061">
                  <c:v>39605.0</c:v>
                </c:pt>
                <c:pt idx="2062">
                  <c:v>39604.0</c:v>
                </c:pt>
                <c:pt idx="2063">
                  <c:v>39603.0</c:v>
                </c:pt>
                <c:pt idx="2064">
                  <c:v>39602.0</c:v>
                </c:pt>
                <c:pt idx="2065">
                  <c:v>39601.0</c:v>
                </c:pt>
                <c:pt idx="2066">
                  <c:v>39598.0</c:v>
                </c:pt>
                <c:pt idx="2067">
                  <c:v>39597.0</c:v>
                </c:pt>
                <c:pt idx="2068">
                  <c:v>39596.0</c:v>
                </c:pt>
                <c:pt idx="2069">
                  <c:v>39595.0</c:v>
                </c:pt>
                <c:pt idx="2070">
                  <c:v>39594.0</c:v>
                </c:pt>
                <c:pt idx="2071">
                  <c:v>39591.0</c:v>
                </c:pt>
                <c:pt idx="2072">
                  <c:v>39590.0</c:v>
                </c:pt>
                <c:pt idx="2073">
                  <c:v>39589.0</c:v>
                </c:pt>
                <c:pt idx="2074">
                  <c:v>39588.0</c:v>
                </c:pt>
                <c:pt idx="2075">
                  <c:v>39587.0</c:v>
                </c:pt>
                <c:pt idx="2076">
                  <c:v>39584.0</c:v>
                </c:pt>
                <c:pt idx="2077">
                  <c:v>39583.0</c:v>
                </c:pt>
                <c:pt idx="2078">
                  <c:v>39582.0</c:v>
                </c:pt>
                <c:pt idx="2079">
                  <c:v>39581.0</c:v>
                </c:pt>
                <c:pt idx="2080">
                  <c:v>39580.0</c:v>
                </c:pt>
                <c:pt idx="2081">
                  <c:v>39577.0</c:v>
                </c:pt>
                <c:pt idx="2082">
                  <c:v>39576.0</c:v>
                </c:pt>
                <c:pt idx="2083">
                  <c:v>39575.0</c:v>
                </c:pt>
                <c:pt idx="2084">
                  <c:v>39574.0</c:v>
                </c:pt>
                <c:pt idx="2085">
                  <c:v>39573.0</c:v>
                </c:pt>
                <c:pt idx="2086">
                  <c:v>39570.0</c:v>
                </c:pt>
                <c:pt idx="2087">
                  <c:v>39569.0</c:v>
                </c:pt>
                <c:pt idx="2088">
                  <c:v>39568.0</c:v>
                </c:pt>
                <c:pt idx="2089">
                  <c:v>39567.0</c:v>
                </c:pt>
                <c:pt idx="2090">
                  <c:v>39566.0</c:v>
                </c:pt>
                <c:pt idx="2091">
                  <c:v>39563.0</c:v>
                </c:pt>
                <c:pt idx="2092">
                  <c:v>39562.0</c:v>
                </c:pt>
                <c:pt idx="2093">
                  <c:v>39561.0</c:v>
                </c:pt>
                <c:pt idx="2094">
                  <c:v>39560.0</c:v>
                </c:pt>
                <c:pt idx="2095">
                  <c:v>39559.0</c:v>
                </c:pt>
                <c:pt idx="2096">
                  <c:v>39556.0</c:v>
                </c:pt>
                <c:pt idx="2097">
                  <c:v>39555.0</c:v>
                </c:pt>
                <c:pt idx="2098">
                  <c:v>39554.0</c:v>
                </c:pt>
                <c:pt idx="2099">
                  <c:v>39553.0</c:v>
                </c:pt>
                <c:pt idx="2100">
                  <c:v>39552.0</c:v>
                </c:pt>
                <c:pt idx="2101">
                  <c:v>39549.0</c:v>
                </c:pt>
                <c:pt idx="2102">
                  <c:v>39548.0</c:v>
                </c:pt>
                <c:pt idx="2103">
                  <c:v>39547.0</c:v>
                </c:pt>
                <c:pt idx="2104">
                  <c:v>39546.0</c:v>
                </c:pt>
                <c:pt idx="2105">
                  <c:v>39545.0</c:v>
                </c:pt>
                <c:pt idx="2106">
                  <c:v>39542.0</c:v>
                </c:pt>
                <c:pt idx="2107">
                  <c:v>39541.0</c:v>
                </c:pt>
                <c:pt idx="2108">
                  <c:v>39540.0</c:v>
                </c:pt>
                <c:pt idx="2109">
                  <c:v>39539.0</c:v>
                </c:pt>
                <c:pt idx="2110">
                  <c:v>39538.0</c:v>
                </c:pt>
                <c:pt idx="2111">
                  <c:v>39535.0</c:v>
                </c:pt>
                <c:pt idx="2112">
                  <c:v>39534.0</c:v>
                </c:pt>
                <c:pt idx="2113">
                  <c:v>39533.0</c:v>
                </c:pt>
                <c:pt idx="2114">
                  <c:v>39532.0</c:v>
                </c:pt>
                <c:pt idx="2115">
                  <c:v>39531.0</c:v>
                </c:pt>
                <c:pt idx="2116">
                  <c:v>39528.0</c:v>
                </c:pt>
                <c:pt idx="2117">
                  <c:v>39527.0</c:v>
                </c:pt>
                <c:pt idx="2118">
                  <c:v>39526.0</c:v>
                </c:pt>
                <c:pt idx="2119">
                  <c:v>39525.0</c:v>
                </c:pt>
                <c:pt idx="2120">
                  <c:v>39524.0</c:v>
                </c:pt>
                <c:pt idx="2121">
                  <c:v>39521.0</c:v>
                </c:pt>
                <c:pt idx="2122">
                  <c:v>39520.0</c:v>
                </c:pt>
                <c:pt idx="2123">
                  <c:v>39519.0</c:v>
                </c:pt>
                <c:pt idx="2124">
                  <c:v>39518.0</c:v>
                </c:pt>
                <c:pt idx="2125">
                  <c:v>39517.0</c:v>
                </c:pt>
                <c:pt idx="2126">
                  <c:v>39514.0</c:v>
                </c:pt>
                <c:pt idx="2127">
                  <c:v>39513.0</c:v>
                </c:pt>
                <c:pt idx="2128">
                  <c:v>39512.0</c:v>
                </c:pt>
                <c:pt idx="2129">
                  <c:v>39511.0</c:v>
                </c:pt>
                <c:pt idx="2130">
                  <c:v>39510.0</c:v>
                </c:pt>
                <c:pt idx="2131">
                  <c:v>39507.0</c:v>
                </c:pt>
                <c:pt idx="2132">
                  <c:v>39506.0</c:v>
                </c:pt>
                <c:pt idx="2133">
                  <c:v>39505.0</c:v>
                </c:pt>
                <c:pt idx="2134">
                  <c:v>39504.0</c:v>
                </c:pt>
                <c:pt idx="2135">
                  <c:v>39503.0</c:v>
                </c:pt>
                <c:pt idx="2136">
                  <c:v>39500.0</c:v>
                </c:pt>
                <c:pt idx="2137">
                  <c:v>39499.0</c:v>
                </c:pt>
                <c:pt idx="2138">
                  <c:v>39498.0</c:v>
                </c:pt>
                <c:pt idx="2139">
                  <c:v>39497.0</c:v>
                </c:pt>
                <c:pt idx="2140">
                  <c:v>39496.0</c:v>
                </c:pt>
                <c:pt idx="2141">
                  <c:v>39493.0</c:v>
                </c:pt>
                <c:pt idx="2142">
                  <c:v>39492.0</c:v>
                </c:pt>
                <c:pt idx="2143">
                  <c:v>39491.0</c:v>
                </c:pt>
                <c:pt idx="2144">
                  <c:v>39490.0</c:v>
                </c:pt>
                <c:pt idx="2145">
                  <c:v>39489.0</c:v>
                </c:pt>
                <c:pt idx="2146">
                  <c:v>39486.0</c:v>
                </c:pt>
                <c:pt idx="2147">
                  <c:v>39485.0</c:v>
                </c:pt>
                <c:pt idx="2148">
                  <c:v>39484.0</c:v>
                </c:pt>
                <c:pt idx="2149">
                  <c:v>39483.0</c:v>
                </c:pt>
                <c:pt idx="2150">
                  <c:v>39482.0</c:v>
                </c:pt>
                <c:pt idx="2151">
                  <c:v>39479.0</c:v>
                </c:pt>
                <c:pt idx="2152">
                  <c:v>39478.0</c:v>
                </c:pt>
                <c:pt idx="2153">
                  <c:v>39477.0</c:v>
                </c:pt>
                <c:pt idx="2154">
                  <c:v>39476.0</c:v>
                </c:pt>
                <c:pt idx="2155">
                  <c:v>39475.0</c:v>
                </c:pt>
                <c:pt idx="2156">
                  <c:v>39472.0</c:v>
                </c:pt>
                <c:pt idx="2157">
                  <c:v>39471.0</c:v>
                </c:pt>
                <c:pt idx="2158">
                  <c:v>39470.0</c:v>
                </c:pt>
                <c:pt idx="2159">
                  <c:v>39469.0</c:v>
                </c:pt>
                <c:pt idx="2160">
                  <c:v>39468.0</c:v>
                </c:pt>
                <c:pt idx="2161">
                  <c:v>39465.0</c:v>
                </c:pt>
                <c:pt idx="2162">
                  <c:v>39464.0</c:v>
                </c:pt>
                <c:pt idx="2163">
                  <c:v>39463.0</c:v>
                </c:pt>
                <c:pt idx="2164">
                  <c:v>39462.0</c:v>
                </c:pt>
                <c:pt idx="2165">
                  <c:v>39461.0</c:v>
                </c:pt>
                <c:pt idx="2166">
                  <c:v>39458.0</c:v>
                </c:pt>
                <c:pt idx="2167">
                  <c:v>39457.0</c:v>
                </c:pt>
                <c:pt idx="2168">
                  <c:v>39456.0</c:v>
                </c:pt>
                <c:pt idx="2169">
                  <c:v>39455.0</c:v>
                </c:pt>
                <c:pt idx="2170">
                  <c:v>39454.0</c:v>
                </c:pt>
                <c:pt idx="2171">
                  <c:v>39451.0</c:v>
                </c:pt>
                <c:pt idx="2172">
                  <c:v>39450.0</c:v>
                </c:pt>
                <c:pt idx="2173">
                  <c:v>39449.0</c:v>
                </c:pt>
                <c:pt idx="2174">
                  <c:v>39448.0</c:v>
                </c:pt>
                <c:pt idx="2175">
                  <c:v>39447.0</c:v>
                </c:pt>
                <c:pt idx="2176">
                  <c:v>39444.0</c:v>
                </c:pt>
                <c:pt idx="2177">
                  <c:v>39443.0</c:v>
                </c:pt>
                <c:pt idx="2178">
                  <c:v>39442.0</c:v>
                </c:pt>
                <c:pt idx="2179">
                  <c:v>39441.0</c:v>
                </c:pt>
                <c:pt idx="2180">
                  <c:v>39440.0</c:v>
                </c:pt>
                <c:pt idx="2181">
                  <c:v>39437.0</c:v>
                </c:pt>
                <c:pt idx="2182">
                  <c:v>39436.0</c:v>
                </c:pt>
                <c:pt idx="2183">
                  <c:v>39435.0</c:v>
                </c:pt>
                <c:pt idx="2184">
                  <c:v>39434.0</c:v>
                </c:pt>
                <c:pt idx="2185">
                  <c:v>39433.0</c:v>
                </c:pt>
                <c:pt idx="2186">
                  <c:v>39430.0</c:v>
                </c:pt>
                <c:pt idx="2187">
                  <c:v>39429.0</c:v>
                </c:pt>
                <c:pt idx="2188">
                  <c:v>39428.0</c:v>
                </c:pt>
                <c:pt idx="2189">
                  <c:v>39427.0</c:v>
                </c:pt>
                <c:pt idx="2190">
                  <c:v>39426.0</c:v>
                </c:pt>
                <c:pt idx="2191">
                  <c:v>39423.0</c:v>
                </c:pt>
                <c:pt idx="2192">
                  <c:v>39422.0</c:v>
                </c:pt>
                <c:pt idx="2193">
                  <c:v>39421.0</c:v>
                </c:pt>
                <c:pt idx="2194">
                  <c:v>39420.0</c:v>
                </c:pt>
                <c:pt idx="2195">
                  <c:v>39419.0</c:v>
                </c:pt>
                <c:pt idx="2196">
                  <c:v>39416.0</c:v>
                </c:pt>
                <c:pt idx="2197">
                  <c:v>39415.0</c:v>
                </c:pt>
                <c:pt idx="2198">
                  <c:v>39414.0</c:v>
                </c:pt>
                <c:pt idx="2199">
                  <c:v>39413.0</c:v>
                </c:pt>
                <c:pt idx="2200">
                  <c:v>39412.0</c:v>
                </c:pt>
                <c:pt idx="2201">
                  <c:v>39409.0</c:v>
                </c:pt>
                <c:pt idx="2202">
                  <c:v>39408.0</c:v>
                </c:pt>
                <c:pt idx="2203">
                  <c:v>39407.0</c:v>
                </c:pt>
                <c:pt idx="2204">
                  <c:v>39406.0</c:v>
                </c:pt>
                <c:pt idx="2205">
                  <c:v>39405.0</c:v>
                </c:pt>
                <c:pt idx="2206">
                  <c:v>39402.0</c:v>
                </c:pt>
                <c:pt idx="2207">
                  <c:v>39401.0</c:v>
                </c:pt>
                <c:pt idx="2208">
                  <c:v>39400.0</c:v>
                </c:pt>
                <c:pt idx="2209">
                  <c:v>39399.0</c:v>
                </c:pt>
                <c:pt idx="2210">
                  <c:v>39398.0</c:v>
                </c:pt>
                <c:pt idx="2211">
                  <c:v>39395.0</c:v>
                </c:pt>
                <c:pt idx="2212">
                  <c:v>39394.0</c:v>
                </c:pt>
                <c:pt idx="2213">
                  <c:v>39393.0</c:v>
                </c:pt>
                <c:pt idx="2214">
                  <c:v>39392.0</c:v>
                </c:pt>
                <c:pt idx="2215">
                  <c:v>39391.0</c:v>
                </c:pt>
                <c:pt idx="2216">
                  <c:v>39388.0</c:v>
                </c:pt>
                <c:pt idx="2217">
                  <c:v>39387.0</c:v>
                </c:pt>
                <c:pt idx="2218">
                  <c:v>39386.0</c:v>
                </c:pt>
                <c:pt idx="2219">
                  <c:v>39385.0</c:v>
                </c:pt>
                <c:pt idx="2220">
                  <c:v>39384.0</c:v>
                </c:pt>
                <c:pt idx="2221">
                  <c:v>39381.0</c:v>
                </c:pt>
                <c:pt idx="2222">
                  <c:v>39380.0</c:v>
                </c:pt>
                <c:pt idx="2223">
                  <c:v>39379.0</c:v>
                </c:pt>
                <c:pt idx="2224">
                  <c:v>39378.0</c:v>
                </c:pt>
                <c:pt idx="2225">
                  <c:v>39377.0</c:v>
                </c:pt>
                <c:pt idx="2226">
                  <c:v>39374.0</c:v>
                </c:pt>
                <c:pt idx="2227">
                  <c:v>39373.0</c:v>
                </c:pt>
                <c:pt idx="2228">
                  <c:v>39372.0</c:v>
                </c:pt>
                <c:pt idx="2229">
                  <c:v>39371.0</c:v>
                </c:pt>
                <c:pt idx="2230">
                  <c:v>39370.0</c:v>
                </c:pt>
                <c:pt idx="2231">
                  <c:v>39367.0</c:v>
                </c:pt>
                <c:pt idx="2232">
                  <c:v>39366.0</c:v>
                </c:pt>
                <c:pt idx="2233">
                  <c:v>39365.0</c:v>
                </c:pt>
                <c:pt idx="2234">
                  <c:v>39364.0</c:v>
                </c:pt>
                <c:pt idx="2235">
                  <c:v>39363.0</c:v>
                </c:pt>
                <c:pt idx="2236">
                  <c:v>39360.0</c:v>
                </c:pt>
                <c:pt idx="2237">
                  <c:v>39359.0</c:v>
                </c:pt>
                <c:pt idx="2238">
                  <c:v>39358.0</c:v>
                </c:pt>
                <c:pt idx="2239">
                  <c:v>39357.0</c:v>
                </c:pt>
                <c:pt idx="2240">
                  <c:v>39356.0</c:v>
                </c:pt>
                <c:pt idx="2241">
                  <c:v>39353.0</c:v>
                </c:pt>
                <c:pt idx="2242">
                  <c:v>39352.0</c:v>
                </c:pt>
                <c:pt idx="2243">
                  <c:v>39351.0</c:v>
                </c:pt>
                <c:pt idx="2244">
                  <c:v>39350.0</c:v>
                </c:pt>
                <c:pt idx="2245">
                  <c:v>39349.0</c:v>
                </c:pt>
                <c:pt idx="2246">
                  <c:v>39346.0</c:v>
                </c:pt>
                <c:pt idx="2247">
                  <c:v>39345.0</c:v>
                </c:pt>
                <c:pt idx="2248">
                  <c:v>39344.0</c:v>
                </c:pt>
                <c:pt idx="2249">
                  <c:v>39343.0</c:v>
                </c:pt>
                <c:pt idx="2250">
                  <c:v>39342.0</c:v>
                </c:pt>
                <c:pt idx="2251">
                  <c:v>39339.0</c:v>
                </c:pt>
                <c:pt idx="2252">
                  <c:v>39338.0</c:v>
                </c:pt>
                <c:pt idx="2253">
                  <c:v>39337.0</c:v>
                </c:pt>
                <c:pt idx="2254">
                  <c:v>39336.0</c:v>
                </c:pt>
                <c:pt idx="2255">
                  <c:v>39335.0</c:v>
                </c:pt>
                <c:pt idx="2256">
                  <c:v>39332.0</c:v>
                </c:pt>
                <c:pt idx="2257">
                  <c:v>39331.0</c:v>
                </c:pt>
                <c:pt idx="2258">
                  <c:v>39330.0</c:v>
                </c:pt>
                <c:pt idx="2259">
                  <c:v>39329.0</c:v>
                </c:pt>
                <c:pt idx="2260">
                  <c:v>39328.0</c:v>
                </c:pt>
                <c:pt idx="2261">
                  <c:v>39325.0</c:v>
                </c:pt>
                <c:pt idx="2262">
                  <c:v>39324.0</c:v>
                </c:pt>
                <c:pt idx="2263">
                  <c:v>39323.0</c:v>
                </c:pt>
                <c:pt idx="2264">
                  <c:v>39322.0</c:v>
                </c:pt>
                <c:pt idx="2265">
                  <c:v>39321.0</c:v>
                </c:pt>
                <c:pt idx="2266">
                  <c:v>39318.0</c:v>
                </c:pt>
                <c:pt idx="2267">
                  <c:v>39317.0</c:v>
                </c:pt>
                <c:pt idx="2268">
                  <c:v>39316.0</c:v>
                </c:pt>
                <c:pt idx="2269">
                  <c:v>39315.0</c:v>
                </c:pt>
                <c:pt idx="2270">
                  <c:v>39314.0</c:v>
                </c:pt>
                <c:pt idx="2271">
                  <c:v>39311.0</c:v>
                </c:pt>
                <c:pt idx="2272">
                  <c:v>39310.0</c:v>
                </c:pt>
                <c:pt idx="2273">
                  <c:v>39309.0</c:v>
                </c:pt>
                <c:pt idx="2274">
                  <c:v>39308.0</c:v>
                </c:pt>
                <c:pt idx="2275">
                  <c:v>39307.0</c:v>
                </c:pt>
                <c:pt idx="2276">
                  <c:v>39304.0</c:v>
                </c:pt>
                <c:pt idx="2277">
                  <c:v>39303.0</c:v>
                </c:pt>
                <c:pt idx="2278">
                  <c:v>39302.0</c:v>
                </c:pt>
                <c:pt idx="2279">
                  <c:v>39301.0</c:v>
                </c:pt>
                <c:pt idx="2280">
                  <c:v>39300.0</c:v>
                </c:pt>
                <c:pt idx="2281">
                  <c:v>39297.0</c:v>
                </c:pt>
                <c:pt idx="2282">
                  <c:v>39296.0</c:v>
                </c:pt>
                <c:pt idx="2283">
                  <c:v>39295.0</c:v>
                </c:pt>
                <c:pt idx="2284">
                  <c:v>39294.0</c:v>
                </c:pt>
                <c:pt idx="2285">
                  <c:v>39293.0</c:v>
                </c:pt>
                <c:pt idx="2286">
                  <c:v>39290.0</c:v>
                </c:pt>
                <c:pt idx="2287">
                  <c:v>39289.0</c:v>
                </c:pt>
                <c:pt idx="2288">
                  <c:v>39288.0</c:v>
                </c:pt>
                <c:pt idx="2289">
                  <c:v>39287.0</c:v>
                </c:pt>
                <c:pt idx="2290">
                  <c:v>39286.0</c:v>
                </c:pt>
                <c:pt idx="2291">
                  <c:v>39283.0</c:v>
                </c:pt>
                <c:pt idx="2292">
                  <c:v>39282.0</c:v>
                </c:pt>
                <c:pt idx="2293">
                  <c:v>39281.0</c:v>
                </c:pt>
                <c:pt idx="2294">
                  <c:v>39280.0</c:v>
                </c:pt>
                <c:pt idx="2295">
                  <c:v>39279.0</c:v>
                </c:pt>
                <c:pt idx="2296">
                  <c:v>39276.0</c:v>
                </c:pt>
                <c:pt idx="2297">
                  <c:v>39275.0</c:v>
                </c:pt>
                <c:pt idx="2298">
                  <c:v>39274.0</c:v>
                </c:pt>
                <c:pt idx="2299">
                  <c:v>39273.0</c:v>
                </c:pt>
                <c:pt idx="2300">
                  <c:v>39272.0</c:v>
                </c:pt>
                <c:pt idx="2301">
                  <c:v>39269.0</c:v>
                </c:pt>
                <c:pt idx="2302">
                  <c:v>39268.0</c:v>
                </c:pt>
                <c:pt idx="2303">
                  <c:v>39267.0</c:v>
                </c:pt>
                <c:pt idx="2304">
                  <c:v>39266.0</c:v>
                </c:pt>
                <c:pt idx="2305">
                  <c:v>39265.0</c:v>
                </c:pt>
                <c:pt idx="2306">
                  <c:v>39262.0</c:v>
                </c:pt>
                <c:pt idx="2307">
                  <c:v>39261.0</c:v>
                </c:pt>
                <c:pt idx="2308">
                  <c:v>39260.0</c:v>
                </c:pt>
                <c:pt idx="2309">
                  <c:v>39259.0</c:v>
                </c:pt>
                <c:pt idx="2310">
                  <c:v>39258.0</c:v>
                </c:pt>
                <c:pt idx="2311">
                  <c:v>39255.0</c:v>
                </c:pt>
                <c:pt idx="2312">
                  <c:v>39254.0</c:v>
                </c:pt>
                <c:pt idx="2313">
                  <c:v>39253.0</c:v>
                </c:pt>
                <c:pt idx="2314">
                  <c:v>39252.0</c:v>
                </c:pt>
                <c:pt idx="2315">
                  <c:v>39251.0</c:v>
                </c:pt>
                <c:pt idx="2316">
                  <c:v>39248.0</c:v>
                </c:pt>
                <c:pt idx="2317">
                  <c:v>39247.0</c:v>
                </c:pt>
                <c:pt idx="2318">
                  <c:v>39246.0</c:v>
                </c:pt>
                <c:pt idx="2319">
                  <c:v>39245.0</c:v>
                </c:pt>
                <c:pt idx="2320">
                  <c:v>39244.0</c:v>
                </c:pt>
                <c:pt idx="2321">
                  <c:v>39241.0</c:v>
                </c:pt>
                <c:pt idx="2322">
                  <c:v>39240.0</c:v>
                </c:pt>
                <c:pt idx="2323">
                  <c:v>39239.0</c:v>
                </c:pt>
                <c:pt idx="2324">
                  <c:v>39238.0</c:v>
                </c:pt>
                <c:pt idx="2325">
                  <c:v>39237.0</c:v>
                </c:pt>
                <c:pt idx="2326">
                  <c:v>39234.0</c:v>
                </c:pt>
                <c:pt idx="2327">
                  <c:v>39233.0</c:v>
                </c:pt>
                <c:pt idx="2328">
                  <c:v>39232.0</c:v>
                </c:pt>
                <c:pt idx="2329">
                  <c:v>39231.0</c:v>
                </c:pt>
                <c:pt idx="2330">
                  <c:v>39230.0</c:v>
                </c:pt>
                <c:pt idx="2331">
                  <c:v>39227.0</c:v>
                </c:pt>
                <c:pt idx="2332">
                  <c:v>39226.0</c:v>
                </c:pt>
                <c:pt idx="2333">
                  <c:v>39225.0</c:v>
                </c:pt>
                <c:pt idx="2334">
                  <c:v>39224.0</c:v>
                </c:pt>
                <c:pt idx="2335">
                  <c:v>39223.0</c:v>
                </c:pt>
                <c:pt idx="2336">
                  <c:v>39220.0</c:v>
                </c:pt>
                <c:pt idx="2337">
                  <c:v>39219.0</c:v>
                </c:pt>
                <c:pt idx="2338">
                  <c:v>39218.0</c:v>
                </c:pt>
                <c:pt idx="2339">
                  <c:v>39217.0</c:v>
                </c:pt>
                <c:pt idx="2340">
                  <c:v>39216.0</c:v>
                </c:pt>
                <c:pt idx="2341">
                  <c:v>39213.0</c:v>
                </c:pt>
                <c:pt idx="2342">
                  <c:v>39212.0</c:v>
                </c:pt>
                <c:pt idx="2343">
                  <c:v>39211.0</c:v>
                </c:pt>
                <c:pt idx="2344">
                  <c:v>39210.0</c:v>
                </c:pt>
                <c:pt idx="2345">
                  <c:v>39209.0</c:v>
                </c:pt>
                <c:pt idx="2346">
                  <c:v>39206.0</c:v>
                </c:pt>
                <c:pt idx="2347">
                  <c:v>39205.0</c:v>
                </c:pt>
                <c:pt idx="2348">
                  <c:v>39204.0</c:v>
                </c:pt>
                <c:pt idx="2349">
                  <c:v>39203.0</c:v>
                </c:pt>
                <c:pt idx="2350">
                  <c:v>39202.0</c:v>
                </c:pt>
                <c:pt idx="2351">
                  <c:v>39199.0</c:v>
                </c:pt>
                <c:pt idx="2352">
                  <c:v>39198.0</c:v>
                </c:pt>
                <c:pt idx="2353">
                  <c:v>39197.0</c:v>
                </c:pt>
                <c:pt idx="2354">
                  <c:v>39196.0</c:v>
                </c:pt>
                <c:pt idx="2355">
                  <c:v>39195.0</c:v>
                </c:pt>
                <c:pt idx="2356">
                  <c:v>39192.0</c:v>
                </c:pt>
                <c:pt idx="2357">
                  <c:v>39191.0</c:v>
                </c:pt>
                <c:pt idx="2358">
                  <c:v>39190.0</c:v>
                </c:pt>
                <c:pt idx="2359">
                  <c:v>39189.0</c:v>
                </c:pt>
                <c:pt idx="2360">
                  <c:v>39188.0</c:v>
                </c:pt>
                <c:pt idx="2361">
                  <c:v>39185.0</c:v>
                </c:pt>
                <c:pt idx="2362">
                  <c:v>39184.0</c:v>
                </c:pt>
                <c:pt idx="2363">
                  <c:v>39183.0</c:v>
                </c:pt>
                <c:pt idx="2364">
                  <c:v>39182.0</c:v>
                </c:pt>
                <c:pt idx="2365">
                  <c:v>39181.0</c:v>
                </c:pt>
                <c:pt idx="2366">
                  <c:v>39178.0</c:v>
                </c:pt>
                <c:pt idx="2367">
                  <c:v>39177.0</c:v>
                </c:pt>
                <c:pt idx="2368">
                  <c:v>39176.0</c:v>
                </c:pt>
                <c:pt idx="2369">
                  <c:v>39175.0</c:v>
                </c:pt>
                <c:pt idx="2370">
                  <c:v>39174.0</c:v>
                </c:pt>
                <c:pt idx="2371">
                  <c:v>39171.0</c:v>
                </c:pt>
                <c:pt idx="2372">
                  <c:v>39170.0</c:v>
                </c:pt>
                <c:pt idx="2373">
                  <c:v>39169.0</c:v>
                </c:pt>
                <c:pt idx="2374">
                  <c:v>39168.0</c:v>
                </c:pt>
                <c:pt idx="2375">
                  <c:v>39167.0</c:v>
                </c:pt>
                <c:pt idx="2376">
                  <c:v>39164.0</c:v>
                </c:pt>
                <c:pt idx="2377">
                  <c:v>39163.0</c:v>
                </c:pt>
                <c:pt idx="2378">
                  <c:v>39162.0</c:v>
                </c:pt>
                <c:pt idx="2379">
                  <c:v>39161.0</c:v>
                </c:pt>
                <c:pt idx="2380">
                  <c:v>39160.0</c:v>
                </c:pt>
                <c:pt idx="2381">
                  <c:v>39157.0</c:v>
                </c:pt>
                <c:pt idx="2382">
                  <c:v>39156.0</c:v>
                </c:pt>
                <c:pt idx="2383">
                  <c:v>39155.0</c:v>
                </c:pt>
                <c:pt idx="2384">
                  <c:v>39154.0</c:v>
                </c:pt>
                <c:pt idx="2385">
                  <c:v>39153.0</c:v>
                </c:pt>
                <c:pt idx="2386">
                  <c:v>39150.0</c:v>
                </c:pt>
                <c:pt idx="2387">
                  <c:v>39149.0</c:v>
                </c:pt>
                <c:pt idx="2388">
                  <c:v>39148.0</c:v>
                </c:pt>
                <c:pt idx="2389">
                  <c:v>39147.0</c:v>
                </c:pt>
                <c:pt idx="2390">
                  <c:v>39146.0</c:v>
                </c:pt>
                <c:pt idx="2391">
                  <c:v>39143.0</c:v>
                </c:pt>
                <c:pt idx="2392">
                  <c:v>39142.0</c:v>
                </c:pt>
                <c:pt idx="2393">
                  <c:v>39141.0</c:v>
                </c:pt>
                <c:pt idx="2394">
                  <c:v>39140.0</c:v>
                </c:pt>
                <c:pt idx="2395">
                  <c:v>39139.0</c:v>
                </c:pt>
                <c:pt idx="2396">
                  <c:v>39136.0</c:v>
                </c:pt>
                <c:pt idx="2397">
                  <c:v>39135.0</c:v>
                </c:pt>
                <c:pt idx="2398">
                  <c:v>39134.0</c:v>
                </c:pt>
                <c:pt idx="2399">
                  <c:v>39133.0</c:v>
                </c:pt>
                <c:pt idx="2400">
                  <c:v>39132.0</c:v>
                </c:pt>
                <c:pt idx="2401">
                  <c:v>39129.0</c:v>
                </c:pt>
                <c:pt idx="2402">
                  <c:v>39128.0</c:v>
                </c:pt>
                <c:pt idx="2403">
                  <c:v>39127.0</c:v>
                </c:pt>
                <c:pt idx="2404">
                  <c:v>39126.0</c:v>
                </c:pt>
                <c:pt idx="2405">
                  <c:v>39125.0</c:v>
                </c:pt>
                <c:pt idx="2406">
                  <c:v>39122.0</c:v>
                </c:pt>
                <c:pt idx="2407">
                  <c:v>39121.0</c:v>
                </c:pt>
                <c:pt idx="2408">
                  <c:v>39120.0</c:v>
                </c:pt>
                <c:pt idx="2409">
                  <c:v>39119.0</c:v>
                </c:pt>
                <c:pt idx="2410">
                  <c:v>39118.0</c:v>
                </c:pt>
                <c:pt idx="2411">
                  <c:v>39115.0</c:v>
                </c:pt>
                <c:pt idx="2412">
                  <c:v>39114.0</c:v>
                </c:pt>
                <c:pt idx="2413">
                  <c:v>39113.0</c:v>
                </c:pt>
                <c:pt idx="2414">
                  <c:v>39112.0</c:v>
                </c:pt>
                <c:pt idx="2415">
                  <c:v>39111.0</c:v>
                </c:pt>
                <c:pt idx="2416">
                  <c:v>39108.0</c:v>
                </c:pt>
                <c:pt idx="2417">
                  <c:v>39107.0</c:v>
                </c:pt>
                <c:pt idx="2418">
                  <c:v>39106.0</c:v>
                </c:pt>
                <c:pt idx="2419">
                  <c:v>39105.0</c:v>
                </c:pt>
                <c:pt idx="2420">
                  <c:v>39104.0</c:v>
                </c:pt>
                <c:pt idx="2421">
                  <c:v>39101.0</c:v>
                </c:pt>
                <c:pt idx="2422">
                  <c:v>39100.0</c:v>
                </c:pt>
                <c:pt idx="2423">
                  <c:v>39099.0</c:v>
                </c:pt>
                <c:pt idx="2424">
                  <c:v>39098.0</c:v>
                </c:pt>
                <c:pt idx="2425">
                  <c:v>39097.0</c:v>
                </c:pt>
                <c:pt idx="2426">
                  <c:v>39094.0</c:v>
                </c:pt>
                <c:pt idx="2427">
                  <c:v>39093.0</c:v>
                </c:pt>
                <c:pt idx="2428">
                  <c:v>39092.0</c:v>
                </c:pt>
                <c:pt idx="2429">
                  <c:v>39091.0</c:v>
                </c:pt>
                <c:pt idx="2430">
                  <c:v>39090.0</c:v>
                </c:pt>
                <c:pt idx="2431">
                  <c:v>39087.0</c:v>
                </c:pt>
                <c:pt idx="2432">
                  <c:v>39086.0</c:v>
                </c:pt>
                <c:pt idx="2433">
                  <c:v>39085.0</c:v>
                </c:pt>
                <c:pt idx="2434">
                  <c:v>39084.0</c:v>
                </c:pt>
                <c:pt idx="2435">
                  <c:v>39083.0</c:v>
                </c:pt>
                <c:pt idx="2436">
                  <c:v>39080.0</c:v>
                </c:pt>
                <c:pt idx="2437">
                  <c:v>39079.0</c:v>
                </c:pt>
                <c:pt idx="2438">
                  <c:v>39078.0</c:v>
                </c:pt>
                <c:pt idx="2439">
                  <c:v>39077.0</c:v>
                </c:pt>
                <c:pt idx="2440">
                  <c:v>39076.0</c:v>
                </c:pt>
                <c:pt idx="2441">
                  <c:v>39073.0</c:v>
                </c:pt>
                <c:pt idx="2442">
                  <c:v>39072.0</c:v>
                </c:pt>
                <c:pt idx="2443">
                  <c:v>39071.0</c:v>
                </c:pt>
                <c:pt idx="2444">
                  <c:v>39070.0</c:v>
                </c:pt>
                <c:pt idx="2445">
                  <c:v>39069.0</c:v>
                </c:pt>
                <c:pt idx="2446">
                  <c:v>39066.0</c:v>
                </c:pt>
                <c:pt idx="2447">
                  <c:v>39065.0</c:v>
                </c:pt>
                <c:pt idx="2448">
                  <c:v>39064.0</c:v>
                </c:pt>
                <c:pt idx="2449">
                  <c:v>39063.0</c:v>
                </c:pt>
                <c:pt idx="2450">
                  <c:v>39062.0</c:v>
                </c:pt>
                <c:pt idx="2451">
                  <c:v>39059.0</c:v>
                </c:pt>
                <c:pt idx="2452">
                  <c:v>39058.0</c:v>
                </c:pt>
                <c:pt idx="2453">
                  <c:v>39057.0</c:v>
                </c:pt>
                <c:pt idx="2454">
                  <c:v>39056.0</c:v>
                </c:pt>
                <c:pt idx="2455">
                  <c:v>39055.0</c:v>
                </c:pt>
                <c:pt idx="2456">
                  <c:v>39052.0</c:v>
                </c:pt>
                <c:pt idx="2457">
                  <c:v>39051.0</c:v>
                </c:pt>
                <c:pt idx="2458">
                  <c:v>39050.0</c:v>
                </c:pt>
                <c:pt idx="2459">
                  <c:v>39049.0</c:v>
                </c:pt>
                <c:pt idx="2460">
                  <c:v>39048.0</c:v>
                </c:pt>
                <c:pt idx="2461">
                  <c:v>39045.0</c:v>
                </c:pt>
                <c:pt idx="2462">
                  <c:v>39044.0</c:v>
                </c:pt>
                <c:pt idx="2463">
                  <c:v>39043.0</c:v>
                </c:pt>
                <c:pt idx="2464">
                  <c:v>39042.0</c:v>
                </c:pt>
                <c:pt idx="2465">
                  <c:v>39041.0</c:v>
                </c:pt>
                <c:pt idx="2466">
                  <c:v>39038.0</c:v>
                </c:pt>
                <c:pt idx="2467">
                  <c:v>39037.0</c:v>
                </c:pt>
                <c:pt idx="2468">
                  <c:v>39036.0</c:v>
                </c:pt>
                <c:pt idx="2469">
                  <c:v>39035.0</c:v>
                </c:pt>
                <c:pt idx="2470">
                  <c:v>39034.0</c:v>
                </c:pt>
                <c:pt idx="2471">
                  <c:v>39031.0</c:v>
                </c:pt>
                <c:pt idx="2472">
                  <c:v>39030.0</c:v>
                </c:pt>
                <c:pt idx="2473">
                  <c:v>39029.0</c:v>
                </c:pt>
                <c:pt idx="2474">
                  <c:v>39028.0</c:v>
                </c:pt>
                <c:pt idx="2475">
                  <c:v>39027.0</c:v>
                </c:pt>
                <c:pt idx="2476">
                  <c:v>39024.0</c:v>
                </c:pt>
                <c:pt idx="2477">
                  <c:v>39023.0</c:v>
                </c:pt>
                <c:pt idx="2478">
                  <c:v>39022.0</c:v>
                </c:pt>
                <c:pt idx="2479">
                  <c:v>39021.0</c:v>
                </c:pt>
                <c:pt idx="2480">
                  <c:v>39020.0</c:v>
                </c:pt>
                <c:pt idx="2481">
                  <c:v>39017.0</c:v>
                </c:pt>
                <c:pt idx="2482">
                  <c:v>39016.0</c:v>
                </c:pt>
                <c:pt idx="2483">
                  <c:v>39015.0</c:v>
                </c:pt>
                <c:pt idx="2484">
                  <c:v>39014.0</c:v>
                </c:pt>
                <c:pt idx="2485">
                  <c:v>39013.0</c:v>
                </c:pt>
                <c:pt idx="2486">
                  <c:v>39010.0</c:v>
                </c:pt>
                <c:pt idx="2487">
                  <c:v>39009.0</c:v>
                </c:pt>
                <c:pt idx="2488">
                  <c:v>39008.0</c:v>
                </c:pt>
                <c:pt idx="2489">
                  <c:v>39007.0</c:v>
                </c:pt>
                <c:pt idx="2490">
                  <c:v>39006.0</c:v>
                </c:pt>
                <c:pt idx="2491">
                  <c:v>39003.0</c:v>
                </c:pt>
                <c:pt idx="2492">
                  <c:v>39002.0</c:v>
                </c:pt>
                <c:pt idx="2493">
                  <c:v>39001.0</c:v>
                </c:pt>
                <c:pt idx="2494">
                  <c:v>39000.0</c:v>
                </c:pt>
                <c:pt idx="2495">
                  <c:v>38999.0</c:v>
                </c:pt>
                <c:pt idx="2496">
                  <c:v>38996.0</c:v>
                </c:pt>
                <c:pt idx="2497">
                  <c:v>38995.0</c:v>
                </c:pt>
                <c:pt idx="2498">
                  <c:v>38994.0</c:v>
                </c:pt>
                <c:pt idx="2499">
                  <c:v>38993.0</c:v>
                </c:pt>
                <c:pt idx="2500">
                  <c:v>38992.0</c:v>
                </c:pt>
                <c:pt idx="2501">
                  <c:v>38989.0</c:v>
                </c:pt>
                <c:pt idx="2502">
                  <c:v>38988.0</c:v>
                </c:pt>
                <c:pt idx="2503">
                  <c:v>38987.0</c:v>
                </c:pt>
                <c:pt idx="2504">
                  <c:v>38986.0</c:v>
                </c:pt>
                <c:pt idx="2505">
                  <c:v>38985.0</c:v>
                </c:pt>
                <c:pt idx="2506">
                  <c:v>38982.0</c:v>
                </c:pt>
                <c:pt idx="2507">
                  <c:v>38981.0</c:v>
                </c:pt>
                <c:pt idx="2508">
                  <c:v>38980.0</c:v>
                </c:pt>
                <c:pt idx="2509">
                  <c:v>38979.0</c:v>
                </c:pt>
                <c:pt idx="2510">
                  <c:v>38978.0</c:v>
                </c:pt>
                <c:pt idx="2511">
                  <c:v>38975.0</c:v>
                </c:pt>
                <c:pt idx="2512">
                  <c:v>38974.0</c:v>
                </c:pt>
                <c:pt idx="2513">
                  <c:v>38973.0</c:v>
                </c:pt>
                <c:pt idx="2514">
                  <c:v>38972.0</c:v>
                </c:pt>
                <c:pt idx="2515">
                  <c:v>38971.0</c:v>
                </c:pt>
                <c:pt idx="2516">
                  <c:v>38968.0</c:v>
                </c:pt>
                <c:pt idx="2517">
                  <c:v>38967.0</c:v>
                </c:pt>
                <c:pt idx="2518">
                  <c:v>38966.0</c:v>
                </c:pt>
                <c:pt idx="2519">
                  <c:v>38965.0</c:v>
                </c:pt>
                <c:pt idx="2520">
                  <c:v>38964.0</c:v>
                </c:pt>
                <c:pt idx="2521">
                  <c:v>38961.0</c:v>
                </c:pt>
                <c:pt idx="2522">
                  <c:v>38960.0</c:v>
                </c:pt>
                <c:pt idx="2523">
                  <c:v>38959.0</c:v>
                </c:pt>
                <c:pt idx="2524">
                  <c:v>38958.0</c:v>
                </c:pt>
                <c:pt idx="2525">
                  <c:v>38957.0</c:v>
                </c:pt>
                <c:pt idx="2526">
                  <c:v>38954.0</c:v>
                </c:pt>
                <c:pt idx="2527">
                  <c:v>38953.0</c:v>
                </c:pt>
                <c:pt idx="2528">
                  <c:v>38952.0</c:v>
                </c:pt>
                <c:pt idx="2529">
                  <c:v>38951.0</c:v>
                </c:pt>
                <c:pt idx="2530">
                  <c:v>38950.0</c:v>
                </c:pt>
                <c:pt idx="2531">
                  <c:v>38947.0</c:v>
                </c:pt>
                <c:pt idx="2532">
                  <c:v>38946.0</c:v>
                </c:pt>
                <c:pt idx="2533">
                  <c:v>38945.0</c:v>
                </c:pt>
                <c:pt idx="2534">
                  <c:v>38944.0</c:v>
                </c:pt>
                <c:pt idx="2535">
                  <c:v>38943.0</c:v>
                </c:pt>
                <c:pt idx="2536">
                  <c:v>38940.0</c:v>
                </c:pt>
                <c:pt idx="2537">
                  <c:v>38939.0</c:v>
                </c:pt>
                <c:pt idx="2538">
                  <c:v>38938.0</c:v>
                </c:pt>
                <c:pt idx="2539">
                  <c:v>38937.0</c:v>
                </c:pt>
                <c:pt idx="2540">
                  <c:v>38936.0</c:v>
                </c:pt>
                <c:pt idx="2541">
                  <c:v>38933.0</c:v>
                </c:pt>
                <c:pt idx="2542">
                  <c:v>38932.0</c:v>
                </c:pt>
                <c:pt idx="2543">
                  <c:v>38931.0</c:v>
                </c:pt>
                <c:pt idx="2544">
                  <c:v>38930.0</c:v>
                </c:pt>
                <c:pt idx="2545">
                  <c:v>38929.0</c:v>
                </c:pt>
                <c:pt idx="2546">
                  <c:v>38926.0</c:v>
                </c:pt>
                <c:pt idx="2547">
                  <c:v>38925.0</c:v>
                </c:pt>
                <c:pt idx="2548">
                  <c:v>38924.0</c:v>
                </c:pt>
                <c:pt idx="2549">
                  <c:v>38923.0</c:v>
                </c:pt>
                <c:pt idx="2550">
                  <c:v>38922.0</c:v>
                </c:pt>
                <c:pt idx="2551">
                  <c:v>38919.0</c:v>
                </c:pt>
                <c:pt idx="2552">
                  <c:v>38918.0</c:v>
                </c:pt>
                <c:pt idx="2553">
                  <c:v>38917.0</c:v>
                </c:pt>
                <c:pt idx="2554">
                  <c:v>38916.0</c:v>
                </c:pt>
                <c:pt idx="2555">
                  <c:v>38915.0</c:v>
                </c:pt>
                <c:pt idx="2556">
                  <c:v>38912.0</c:v>
                </c:pt>
                <c:pt idx="2557">
                  <c:v>38911.0</c:v>
                </c:pt>
                <c:pt idx="2558">
                  <c:v>38910.0</c:v>
                </c:pt>
                <c:pt idx="2559">
                  <c:v>38909.0</c:v>
                </c:pt>
                <c:pt idx="2560">
                  <c:v>38908.0</c:v>
                </c:pt>
                <c:pt idx="2561">
                  <c:v>38905.0</c:v>
                </c:pt>
                <c:pt idx="2562">
                  <c:v>38904.0</c:v>
                </c:pt>
                <c:pt idx="2563">
                  <c:v>38903.0</c:v>
                </c:pt>
                <c:pt idx="2564">
                  <c:v>38902.0</c:v>
                </c:pt>
                <c:pt idx="2565">
                  <c:v>38901.0</c:v>
                </c:pt>
                <c:pt idx="2566">
                  <c:v>38898.0</c:v>
                </c:pt>
                <c:pt idx="2567">
                  <c:v>38897.0</c:v>
                </c:pt>
                <c:pt idx="2568">
                  <c:v>38896.0</c:v>
                </c:pt>
                <c:pt idx="2569">
                  <c:v>38895.0</c:v>
                </c:pt>
                <c:pt idx="2570">
                  <c:v>38894.0</c:v>
                </c:pt>
                <c:pt idx="2571">
                  <c:v>38891.0</c:v>
                </c:pt>
                <c:pt idx="2572">
                  <c:v>38890.0</c:v>
                </c:pt>
                <c:pt idx="2573">
                  <c:v>38889.0</c:v>
                </c:pt>
                <c:pt idx="2574">
                  <c:v>38888.0</c:v>
                </c:pt>
                <c:pt idx="2575">
                  <c:v>38887.0</c:v>
                </c:pt>
                <c:pt idx="2576">
                  <c:v>38884.0</c:v>
                </c:pt>
                <c:pt idx="2577">
                  <c:v>38883.0</c:v>
                </c:pt>
                <c:pt idx="2578">
                  <c:v>38882.0</c:v>
                </c:pt>
                <c:pt idx="2579">
                  <c:v>38881.0</c:v>
                </c:pt>
                <c:pt idx="2580">
                  <c:v>38880.0</c:v>
                </c:pt>
                <c:pt idx="2581">
                  <c:v>38877.0</c:v>
                </c:pt>
                <c:pt idx="2582">
                  <c:v>38876.0</c:v>
                </c:pt>
                <c:pt idx="2583">
                  <c:v>38875.0</c:v>
                </c:pt>
                <c:pt idx="2584">
                  <c:v>38874.0</c:v>
                </c:pt>
                <c:pt idx="2585">
                  <c:v>38873.0</c:v>
                </c:pt>
                <c:pt idx="2586">
                  <c:v>38870.0</c:v>
                </c:pt>
                <c:pt idx="2587">
                  <c:v>38869.0</c:v>
                </c:pt>
                <c:pt idx="2588">
                  <c:v>38868.0</c:v>
                </c:pt>
                <c:pt idx="2589">
                  <c:v>38867.0</c:v>
                </c:pt>
                <c:pt idx="2590">
                  <c:v>38866.0</c:v>
                </c:pt>
                <c:pt idx="2591">
                  <c:v>38863.0</c:v>
                </c:pt>
                <c:pt idx="2592">
                  <c:v>38862.0</c:v>
                </c:pt>
                <c:pt idx="2593">
                  <c:v>38861.0</c:v>
                </c:pt>
                <c:pt idx="2594">
                  <c:v>38860.0</c:v>
                </c:pt>
                <c:pt idx="2595">
                  <c:v>38859.0</c:v>
                </c:pt>
                <c:pt idx="2596">
                  <c:v>38856.0</c:v>
                </c:pt>
                <c:pt idx="2597">
                  <c:v>38855.0</c:v>
                </c:pt>
                <c:pt idx="2598">
                  <c:v>38854.0</c:v>
                </c:pt>
                <c:pt idx="2599">
                  <c:v>38853.0</c:v>
                </c:pt>
                <c:pt idx="2600">
                  <c:v>38852.0</c:v>
                </c:pt>
                <c:pt idx="2601">
                  <c:v>38849.0</c:v>
                </c:pt>
                <c:pt idx="2602">
                  <c:v>38848.0</c:v>
                </c:pt>
                <c:pt idx="2603">
                  <c:v>38847.0</c:v>
                </c:pt>
                <c:pt idx="2604">
                  <c:v>38846.0</c:v>
                </c:pt>
                <c:pt idx="2605">
                  <c:v>38845.0</c:v>
                </c:pt>
                <c:pt idx="2606">
                  <c:v>38842.0</c:v>
                </c:pt>
              </c:numCache>
            </c:numRef>
          </c:cat>
          <c:val>
            <c:numRef>
              <c:f>'3f. Exchange Rate USDZAR'!$B$10:$B$2616</c:f>
              <c:numCache>
                <c:formatCode>0.00</c:formatCode>
                <c:ptCount val="2607"/>
                <c:pt idx="0">
                  <c:v>14.9047</c:v>
                </c:pt>
                <c:pt idx="1">
                  <c:v>14.5958</c:v>
                </c:pt>
                <c:pt idx="2">
                  <c:v>14.3226</c:v>
                </c:pt>
                <c:pt idx="3">
                  <c:v>14.2506</c:v>
                </c:pt>
                <c:pt idx="4">
                  <c:v>14.2742</c:v>
                </c:pt>
                <c:pt idx="5">
                  <c:v>14.5218</c:v>
                </c:pt>
                <c:pt idx="6">
                  <c:v>14.4132</c:v>
                </c:pt>
                <c:pt idx="7">
                  <c:v>14.4981</c:v>
                </c:pt>
                <c:pt idx="8">
                  <c:v>14.427</c:v>
                </c:pt>
                <c:pt idx="9">
                  <c:v>14.2876</c:v>
                </c:pt>
                <c:pt idx="10">
                  <c:v>14.2185</c:v>
                </c:pt>
                <c:pt idx="11">
                  <c:v>14.3138</c:v>
                </c:pt>
                <c:pt idx="12">
                  <c:v>14.4606</c:v>
                </c:pt>
                <c:pt idx="13">
                  <c:v>14.5674</c:v>
                </c:pt>
                <c:pt idx="14">
                  <c:v>14.5563</c:v>
                </c:pt>
                <c:pt idx="15">
                  <c:v>14.5776</c:v>
                </c:pt>
                <c:pt idx="16">
                  <c:v>14.7463</c:v>
                </c:pt>
                <c:pt idx="17">
                  <c:v>14.7045</c:v>
                </c:pt>
                <c:pt idx="18">
                  <c:v>14.9888</c:v>
                </c:pt>
                <c:pt idx="19">
                  <c:v>15.2295</c:v>
                </c:pt>
                <c:pt idx="20">
                  <c:v>15.2064</c:v>
                </c:pt>
                <c:pt idx="21">
                  <c:v>15.1367</c:v>
                </c:pt>
                <c:pt idx="22">
                  <c:v>14.7136</c:v>
                </c:pt>
                <c:pt idx="23">
                  <c:v>14.6378</c:v>
                </c:pt>
                <c:pt idx="24">
                  <c:v>14.6915</c:v>
                </c:pt>
                <c:pt idx="25">
                  <c:v>14.9482</c:v>
                </c:pt>
                <c:pt idx="26">
                  <c:v>15.2443</c:v>
                </c:pt>
                <c:pt idx="27">
                  <c:v>15.5498</c:v>
                </c:pt>
                <c:pt idx="28">
                  <c:v>15.4642</c:v>
                </c:pt>
                <c:pt idx="29">
                  <c:v>15.5344</c:v>
                </c:pt>
                <c:pt idx="30">
                  <c:v>15.3721</c:v>
                </c:pt>
                <c:pt idx="31">
                  <c:v>15.2115</c:v>
                </c:pt>
                <c:pt idx="32">
                  <c:v>15.2183</c:v>
                </c:pt>
                <c:pt idx="33">
                  <c:v>15.2684</c:v>
                </c:pt>
                <c:pt idx="34">
                  <c:v>15.1658</c:v>
                </c:pt>
                <c:pt idx="35">
                  <c:v>15.9532</c:v>
                </c:pt>
                <c:pt idx="36">
                  <c:v>15.9192</c:v>
                </c:pt>
                <c:pt idx="37">
                  <c:v>15.5431</c:v>
                </c:pt>
                <c:pt idx="38">
                  <c:v>15.2697</c:v>
                </c:pt>
                <c:pt idx="39">
                  <c:v>15.4536</c:v>
                </c:pt>
                <c:pt idx="40">
                  <c:v>15.2074</c:v>
                </c:pt>
                <c:pt idx="41">
                  <c:v>15.4142</c:v>
                </c:pt>
                <c:pt idx="42">
                  <c:v>15.2394</c:v>
                </c:pt>
                <c:pt idx="43">
                  <c:v>15.2973</c:v>
                </c:pt>
                <c:pt idx="44">
                  <c:v>15.5856</c:v>
                </c:pt>
                <c:pt idx="45">
                  <c:v>15.6195</c:v>
                </c:pt>
                <c:pt idx="46">
                  <c:v>15.5902</c:v>
                </c:pt>
                <c:pt idx="47">
                  <c:v>15.8158</c:v>
                </c:pt>
                <c:pt idx="48">
                  <c:v>16.2368</c:v>
                </c:pt>
                <c:pt idx="49">
                  <c:v>15.6523</c:v>
                </c:pt>
                <c:pt idx="50">
                  <c:v>15.6261</c:v>
                </c:pt>
                <c:pt idx="51">
                  <c:v>15.198</c:v>
                </c:pt>
                <c:pt idx="52">
                  <c:v>15.175</c:v>
                </c:pt>
                <c:pt idx="53">
                  <c:v>15.4124</c:v>
                </c:pt>
                <c:pt idx="54">
                  <c:v>15.4205</c:v>
                </c:pt>
                <c:pt idx="55">
                  <c:v>15.4771</c:v>
                </c:pt>
                <c:pt idx="56">
                  <c:v>15.7462</c:v>
                </c:pt>
                <c:pt idx="57">
                  <c:v>15.749</c:v>
                </c:pt>
                <c:pt idx="58">
                  <c:v>15.8356</c:v>
                </c:pt>
                <c:pt idx="59">
                  <c:v>15.8134</c:v>
                </c:pt>
                <c:pt idx="60">
                  <c:v>15.8493</c:v>
                </c:pt>
                <c:pt idx="61">
                  <c:v>16.0581</c:v>
                </c:pt>
                <c:pt idx="62">
                  <c:v>16.1469</c:v>
                </c:pt>
                <c:pt idx="63">
                  <c:v>15.9771</c:v>
                </c:pt>
                <c:pt idx="64">
                  <c:v>15.8752</c:v>
                </c:pt>
                <c:pt idx="65">
                  <c:v>16.1204</c:v>
                </c:pt>
                <c:pt idx="66">
                  <c:v>16.1749</c:v>
                </c:pt>
                <c:pt idx="67">
                  <c:v>15.9623</c:v>
                </c:pt>
                <c:pt idx="68">
                  <c:v>15.9083</c:v>
                </c:pt>
                <c:pt idx="69">
                  <c:v>16.168</c:v>
                </c:pt>
                <c:pt idx="70">
                  <c:v>16.3971</c:v>
                </c:pt>
                <c:pt idx="71">
                  <c:v>16.372</c:v>
                </c:pt>
                <c:pt idx="72">
                  <c:v>16.5157</c:v>
                </c:pt>
                <c:pt idx="73">
                  <c:v>16.483</c:v>
                </c:pt>
                <c:pt idx="74">
                  <c:v>16.5119</c:v>
                </c:pt>
                <c:pt idx="75">
                  <c:v>16.8787</c:v>
                </c:pt>
                <c:pt idx="76">
                  <c:v>16.7264</c:v>
                </c:pt>
                <c:pt idx="77">
                  <c:v>16.8156</c:v>
                </c:pt>
                <c:pt idx="78">
                  <c:v>16.7977</c:v>
                </c:pt>
                <c:pt idx="79">
                  <c:v>16.4593</c:v>
                </c:pt>
                <c:pt idx="80">
                  <c:v>16.4638</c:v>
                </c:pt>
                <c:pt idx="81">
                  <c:v>16.7682</c:v>
                </c:pt>
                <c:pt idx="82">
                  <c:v>16.9238</c:v>
                </c:pt>
                <c:pt idx="83">
                  <c:v>16.1761</c:v>
                </c:pt>
                <c:pt idx="84">
                  <c:v>15.9492</c:v>
                </c:pt>
                <c:pt idx="85">
                  <c:v>15.8279</c:v>
                </c:pt>
                <c:pt idx="86">
                  <c:v>15.6188</c:v>
                </c:pt>
                <c:pt idx="87">
                  <c:v>15.6028</c:v>
                </c:pt>
                <c:pt idx="88">
                  <c:v>15.4754</c:v>
                </c:pt>
                <c:pt idx="89">
                  <c:v>15.4868</c:v>
                </c:pt>
                <c:pt idx="90">
                  <c:v>15.5613</c:v>
                </c:pt>
                <c:pt idx="91">
                  <c:v>15.3056</c:v>
                </c:pt>
                <c:pt idx="92">
                  <c:v>15.3138</c:v>
                </c:pt>
                <c:pt idx="93">
                  <c:v>15.2299</c:v>
                </c:pt>
                <c:pt idx="94">
                  <c:v>15.294</c:v>
                </c:pt>
                <c:pt idx="95">
                  <c:v>15.2186</c:v>
                </c:pt>
                <c:pt idx="96">
                  <c:v>15.1922</c:v>
                </c:pt>
                <c:pt idx="97">
                  <c:v>15.1031</c:v>
                </c:pt>
                <c:pt idx="98">
                  <c:v>15.0964</c:v>
                </c:pt>
                <c:pt idx="99">
                  <c:v>15.163</c:v>
                </c:pt>
                <c:pt idx="100">
                  <c:v>15.0322</c:v>
                </c:pt>
                <c:pt idx="101">
                  <c:v>14.9421</c:v>
                </c:pt>
                <c:pt idx="102">
                  <c:v>15.1248</c:v>
                </c:pt>
                <c:pt idx="103">
                  <c:v>15.7558</c:v>
                </c:pt>
                <c:pt idx="104">
                  <c:v>15.2698</c:v>
                </c:pt>
                <c:pt idx="105">
                  <c:v>14.5936</c:v>
                </c:pt>
                <c:pt idx="106">
                  <c:v>14.5663</c:v>
                </c:pt>
                <c:pt idx="107">
                  <c:v>14.5236</c:v>
                </c:pt>
                <c:pt idx="108">
                  <c:v>14.3451</c:v>
                </c:pt>
                <c:pt idx="109">
                  <c:v>14.345</c:v>
                </c:pt>
                <c:pt idx="110">
                  <c:v>14.3688</c:v>
                </c:pt>
                <c:pt idx="111">
                  <c:v>14.4374</c:v>
                </c:pt>
                <c:pt idx="112">
                  <c:v>14.4916</c:v>
                </c:pt>
                <c:pt idx="113">
                  <c:v>14.4018</c:v>
                </c:pt>
                <c:pt idx="114">
                  <c:v>14.1374</c:v>
                </c:pt>
                <c:pt idx="115">
                  <c:v>14.0148</c:v>
                </c:pt>
                <c:pt idx="116">
                  <c:v>14.0931</c:v>
                </c:pt>
                <c:pt idx="117">
                  <c:v>13.963</c:v>
                </c:pt>
                <c:pt idx="118">
                  <c:v>14.0416</c:v>
                </c:pt>
                <c:pt idx="119">
                  <c:v>14.1936</c:v>
                </c:pt>
                <c:pt idx="120">
                  <c:v>14.2769</c:v>
                </c:pt>
                <c:pt idx="121">
                  <c:v>14.3766</c:v>
                </c:pt>
                <c:pt idx="122">
                  <c:v>14.3949</c:v>
                </c:pt>
                <c:pt idx="123">
                  <c:v>14.1917</c:v>
                </c:pt>
                <c:pt idx="124">
                  <c:v>14.2536</c:v>
                </c:pt>
                <c:pt idx="125">
                  <c:v>14.3122</c:v>
                </c:pt>
                <c:pt idx="126">
                  <c:v>14.1879</c:v>
                </c:pt>
                <c:pt idx="127">
                  <c:v>13.9071</c:v>
                </c:pt>
                <c:pt idx="128">
                  <c:v>13.9773</c:v>
                </c:pt>
                <c:pt idx="129">
                  <c:v>13.7733</c:v>
                </c:pt>
                <c:pt idx="130">
                  <c:v>13.7805</c:v>
                </c:pt>
                <c:pt idx="131">
                  <c:v>13.8246</c:v>
                </c:pt>
                <c:pt idx="132">
                  <c:v>13.8577</c:v>
                </c:pt>
                <c:pt idx="133">
                  <c:v>13.5882</c:v>
                </c:pt>
                <c:pt idx="134">
                  <c:v>13.6729</c:v>
                </c:pt>
                <c:pt idx="135">
                  <c:v>13.641</c:v>
                </c:pt>
                <c:pt idx="136">
                  <c:v>13.6513</c:v>
                </c:pt>
                <c:pt idx="137">
                  <c:v>13.4123</c:v>
                </c:pt>
                <c:pt idx="138">
                  <c:v>13.4958</c:v>
                </c:pt>
                <c:pt idx="139">
                  <c:v>13.28</c:v>
                </c:pt>
                <c:pt idx="140">
                  <c:v>13.2623</c:v>
                </c:pt>
                <c:pt idx="141">
                  <c:v>13.0833</c:v>
                </c:pt>
                <c:pt idx="142">
                  <c:v>13.0578</c:v>
                </c:pt>
                <c:pt idx="143">
                  <c:v>13.3</c:v>
                </c:pt>
                <c:pt idx="144">
                  <c:v>13.4594</c:v>
                </c:pt>
                <c:pt idx="145">
                  <c:v>13.2682</c:v>
                </c:pt>
                <c:pt idx="146">
                  <c:v>13.3446</c:v>
                </c:pt>
                <c:pt idx="147">
                  <c:v>13.3901</c:v>
                </c:pt>
                <c:pt idx="148">
                  <c:v>13.4093</c:v>
                </c:pt>
                <c:pt idx="149">
                  <c:v>13.5483</c:v>
                </c:pt>
                <c:pt idx="150">
                  <c:v>13.6125</c:v>
                </c:pt>
                <c:pt idx="151">
                  <c:v>13.7817</c:v>
                </c:pt>
                <c:pt idx="152">
                  <c:v>13.9111</c:v>
                </c:pt>
                <c:pt idx="153">
                  <c:v>13.8633</c:v>
                </c:pt>
                <c:pt idx="154">
                  <c:v>13.9855</c:v>
                </c:pt>
                <c:pt idx="155">
                  <c:v>14.0685</c:v>
                </c:pt>
                <c:pt idx="156">
                  <c:v>13.8682</c:v>
                </c:pt>
                <c:pt idx="157">
                  <c:v>13.8897</c:v>
                </c:pt>
                <c:pt idx="158">
                  <c:v>13.8526</c:v>
                </c:pt>
                <c:pt idx="159">
                  <c:v>13.6981</c:v>
                </c:pt>
                <c:pt idx="160">
                  <c:v>13.4764</c:v>
                </c:pt>
                <c:pt idx="161">
                  <c:v>13.2746</c:v>
                </c:pt>
                <c:pt idx="162">
                  <c:v>13.3635</c:v>
                </c:pt>
                <c:pt idx="163">
                  <c:v>13.2863</c:v>
                </c:pt>
                <c:pt idx="164">
                  <c:v>13.4607</c:v>
                </c:pt>
                <c:pt idx="165">
                  <c:v>13.519</c:v>
                </c:pt>
                <c:pt idx="166">
                  <c:v>13.554</c:v>
                </c:pt>
                <c:pt idx="167">
                  <c:v>13.6301</c:v>
                </c:pt>
                <c:pt idx="168">
                  <c:v>13.7109</c:v>
                </c:pt>
                <c:pt idx="169">
                  <c:v>13.7295</c:v>
                </c:pt>
                <c:pt idx="170">
                  <c:v>13.9551</c:v>
                </c:pt>
                <c:pt idx="171">
                  <c:v>13.862</c:v>
                </c:pt>
                <c:pt idx="172">
                  <c:v>13.5401</c:v>
                </c:pt>
                <c:pt idx="173">
                  <c:v>13.4429</c:v>
                </c:pt>
                <c:pt idx="174">
                  <c:v>13.4135</c:v>
                </c:pt>
                <c:pt idx="175">
                  <c:v>13.2624</c:v>
                </c:pt>
                <c:pt idx="176">
                  <c:v>13.3088</c:v>
                </c:pt>
                <c:pt idx="177">
                  <c:v>13.1312</c:v>
                </c:pt>
                <c:pt idx="178">
                  <c:v>13.1519</c:v>
                </c:pt>
                <c:pt idx="179">
                  <c:v>13.0738</c:v>
                </c:pt>
                <c:pt idx="180">
                  <c:v>13.1458</c:v>
                </c:pt>
                <c:pt idx="181">
                  <c:v>12.9387</c:v>
                </c:pt>
                <c:pt idx="182">
                  <c:v>12.8552</c:v>
                </c:pt>
                <c:pt idx="183">
                  <c:v>12.9414</c:v>
                </c:pt>
                <c:pt idx="184">
                  <c:v>12.9166</c:v>
                </c:pt>
                <c:pt idx="185">
                  <c:v>12.8939</c:v>
                </c:pt>
                <c:pt idx="186">
                  <c:v>12.7935</c:v>
                </c:pt>
                <c:pt idx="187">
                  <c:v>12.814</c:v>
                </c:pt>
                <c:pt idx="188">
                  <c:v>12.7648</c:v>
                </c:pt>
                <c:pt idx="189">
                  <c:v>12.8042</c:v>
                </c:pt>
                <c:pt idx="190">
                  <c:v>12.6523</c:v>
                </c:pt>
                <c:pt idx="191">
                  <c:v>12.629</c:v>
                </c:pt>
                <c:pt idx="192">
                  <c:v>12.7411</c:v>
                </c:pt>
                <c:pt idx="193">
                  <c:v>12.806</c:v>
                </c:pt>
                <c:pt idx="194">
                  <c:v>12.6536</c:v>
                </c:pt>
                <c:pt idx="195">
                  <c:v>12.6987</c:v>
                </c:pt>
                <c:pt idx="196">
                  <c:v>12.672</c:v>
                </c:pt>
                <c:pt idx="197">
                  <c:v>12.7298</c:v>
                </c:pt>
                <c:pt idx="198">
                  <c:v>12.503</c:v>
                </c:pt>
                <c:pt idx="199">
                  <c:v>12.5654</c:v>
                </c:pt>
                <c:pt idx="200">
                  <c:v>12.6241</c:v>
                </c:pt>
                <c:pt idx="201">
                  <c:v>12.6481</c:v>
                </c:pt>
                <c:pt idx="202">
                  <c:v>12.4456</c:v>
                </c:pt>
                <c:pt idx="203">
                  <c:v>12.4249</c:v>
                </c:pt>
                <c:pt idx="204">
                  <c:v>12.3317</c:v>
                </c:pt>
                <c:pt idx="205">
                  <c:v>12.4368</c:v>
                </c:pt>
                <c:pt idx="206">
                  <c:v>12.3405</c:v>
                </c:pt>
                <c:pt idx="207">
                  <c:v>12.3873</c:v>
                </c:pt>
                <c:pt idx="208">
                  <c:v>12.4231</c:v>
                </c:pt>
                <c:pt idx="209">
                  <c:v>12.3364</c:v>
                </c:pt>
                <c:pt idx="210">
                  <c:v>12.4409</c:v>
                </c:pt>
                <c:pt idx="211">
                  <c:v>12.4909</c:v>
                </c:pt>
                <c:pt idx="212">
                  <c:v>12.5237</c:v>
                </c:pt>
                <c:pt idx="213">
                  <c:v>12.5278</c:v>
                </c:pt>
                <c:pt idx="214">
                  <c:v>12.5232</c:v>
                </c:pt>
                <c:pt idx="215">
                  <c:v>12.3737</c:v>
                </c:pt>
                <c:pt idx="216">
                  <c:v>12.3128</c:v>
                </c:pt>
                <c:pt idx="217">
                  <c:v>12.2661</c:v>
                </c:pt>
                <c:pt idx="218">
                  <c:v>12.2471</c:v>
                </c:pt>
                <c:pt idx="219">
                  <c:v>12.1514</c:v>
                </c:pt>
                <c:pt idx="220">
                  <c:v>12.2748</c:v>
                </c:pt>
                <c:pt idx="221">
                  <c:v>12.197</c:v>
                </c:pt>
                <c:pt idx="222">
                  <c:v>12.0997</c:v>
                </c:pt>
                <c:pt idx="223">
                  <c:v>12.1255</c:v>
                </c:pt>
                <c:pt idx="224">
                  <c:v>12.2084</c:v>
                </c:pt>
                <c:pt idx="225">
                  <c:v>12.1131</c:v>
                </c:pt>
                <c:pt idx="226">
                  <c:v>12.1526</c:v>
                </c:pt>
                <c:pt idx="227">
                  <c:v>12.2068</c:v>
                </c:pt>
                <c:pt idx="228">
                  <c:v>12.3959</c:v>
                </c:pt>
                <c:pt idx="229">
                  <c:v>12.3843</c:v>
                </c:pt>
                <c:pt idx="230">
                  <c:v>12.3963</c:v>
                </c:pt>
                <c:pt idx="231">
                  <c:v>12.3843</c:v>
                </c:pt>
                <c:pt idx="232">
                  <c:v>12.3608</c:v>
                </c:pt>
                <c:pt idx="233">
                  <c:v>12.301</c:v>
                </c:pt>
                <c:pt idx="234">
                  <c:v>12.4401</c:v>
                </c:pt>
                <c:pt idx="235">
                  <c:v>12.5455</c:v>
                </c:pt>
                <c:pt idx="236">
                  <c:v>12.5794</c:v>
                </c:pt>
                <c:pt idx="237">
                  <c:v>12.3549</c:v>
                </c:pt>
                <c:pt idx="238">
                  <c:v>12.294</c:v>
                </c:pt>
                <c:pt idx="239">
                  <c:v>12.1946</c:v>
                </c:pt>
                <c:pt idx="240">
                  <c:v>12.2635</c:v>
                </c:pt>
                <c:pt idx="241">
                  <c:v>12.1556</c:v>
                </c:pt>
                <c:pt idx="242">
                  <c:v>12.1535</c:v>
                </c:pt>
                <c:pt idx="243">
                  <c:v>12.0667</c:v>
                </c:pt>
                <c:pt idx="244">
                  <c:v>12.0793</c:v>
                </c:pt>
                <c:pt idx="245">
                  <c:v>11.9438</c:v>
                </c:pt>
                <c:pt idx="246">
                  <c:v>11.8774</c:v>
                </c:pt>
                <c:pt idx="247">
                  <c:v>11.8321</c:v>
                </c:pt>
                <c:pt idx="248">
                  <c:v>11.8858</c:v>
                </c:pt>
                <c:pt idx="249">
                  <c:v>11.9201</c:v>
                </c:pt>
                <c:pt idx="250">
                  <c:v>11.8497</c:v>
                </c:pt>
                <c:pt idx="251">
                  <c:v>11.7669</c:v>
                </c:pt>
                <c:pt idx="252">
                  <c:v>11.8065</c:v>
                </c:pt>
                <c:pt idx="253">
                  <c:v>11.8794</c:v>
                </c:pt>
                <c:pt idx="254">
                  <c:v>12.0412</c:v>
                </c:pt>
                <c:pt idx="255">
                  <c:v>12.0657</c:v>
                </c:pt>
                <c:pt idx="256">
                  <c:v>11.9199</c:v>
                </c:pt>
                <c:pt idx="257">
                  <c:v>12.0204</c:v>
                </c:pt>
                <c:pt idx="258">
                  <c:v>12.0181</c:v>
                </c:pt>
                <c:pt idx="259">
                  <c:v>11.9874</c:v>
                </c:pt>
                <c:pt idx="260">
                  <c:v>12.0599</c:v>
                </c:pt>
                <c:pt idx="261">
                  <c:v>12.0724</c:v>
                </c:pt>
                <c:pt idx="262">
                  <c:v>11.9146</c:v>
                </c:pt>
                <c:pt idx="263">
                  <c:v>11.7451</c:v>
                </c:pt>
                <c:pt idx="264">
                  <c:v>11.8401</c:v>
                </c:pt>
                <c:pt idx="265">
                  <c:v>11.9732</c:v>
                </c:pt>
                <c:pt idx="266">
                  <c:v>12.1442</c:v>
                </c:pt>
                <c:pt idx="267">
                  <c:v>12.1554</c:v>
                </c:pt>
                <c:pt idx="268">
                  <c:v>12.209</c:v>
                </c:pt>
                <c:pt idx="269">
                  <c:v>12.1211</c:v>
                </c:pt>
                <c:pt idx="270">
                  <c:v>12.1001</c:v>
                </c:pt>
                <c:pt idx="271">
                  <c:v>12.0667</c:v>
                </c:pt>
                <c:pt idx="272">
                  <c:v>11.9848</c:v>
                </c:pt>
                <c:pt idx="273">
                  <c:v>12.1479</c:v>
                </c:pt>
                <c:pt idx="274">
                  <c:v>12.0091</c:v>
                </c:pt>
                <c:pt idx="275">
                  <c:v>12.1125</c:v>
                </c:pt>
                <c:pt idx="276">
                  <c:v>11.9922</c:v>
                </c:pt>
                <c:pt idx="277">
                  <c:v>11.9197</c:v>
                </c:pt>
                <c:pt idx="278">
                  <c:v>11.8042</c:v>
                </c:pt>
                <c:pt idx="279">
                  <c:v>11.8487</c:v>
                </c:pt>
                <c:pt idx="280">
                  <c:v>11.7566</c:v>
                </c:pt>
                <c:pt idx="281">
                  <c:v>11.7857</c:v>
                </c:pt>
                <c:pt idx="282">
                  <c:v>11.9581</c:v>
                </c:pt>
                <c:pt idx="283">
                  <c:v>11.9725</c:v>
                </c:pt>
                <c:pt idx="284">
                  <c:v>12.1422</c:v>
                </c:pt>
                <c:pt idx="285">
                  <c:v>12.139</c:v>
                </c:pt>
                <c:pt idx="286">
                  <c:v>12.025</c:v>
                </c:pt>
                <c:pt idx="287">
                  <c:v>11.9829</c:v>
                </c:pt>
                <c:pt idx="288">
                  <c:v>11.8533</c:v>
                </c:pt>
                <c:pt idx="289">
                  <c:v>11.7992</c:v>
                </c:pt>
                <c:pt idx="290">
                  <c:v>11.9141</c:v>
                </c:pt>
                <c:pt idx="291">
                  <c:v>12.0173</c:v>
                </c:pt>
                <c:pt idx="292">
                  <c:v>12.3306</c:v>
                </c:pt>
                <c:pt idx="293">
                  <c:v>12.3568</c:v>
                </c:pt>
                <c:pt idx="294">
                  <c:v>12.3727</c:v>
                </c:pt>
                <c:pt idx="295">
                  <c:v>12.3844</c:v>
                </c:pt>
                <c:pt idx="296">
                  <c:v>12.4609</c:v>
                </c:pt>
                <c:pt idx="297">
                  <c:v>12.2743</c:v>
                </c:pt>
                <c:pt idx="298">
                  <c:v>12.2661</c:v>
                </c:pt>
                <c:pt idx="299">
                  <c:v>12.3129</c:v>
                </c:pt>
                <c:pt idx="300">
                  <c:v>12.0835</c:v>
                </c:pt>
                <c:pt idx="301">
                  <c:v>12.053</c:v>
                </c:pt>
                <c:pt idx="302">
                  <c:v>11.8606</c:v>
                </c:pt>
                <c:pt idx="303">
                  <c:v>11.8109</c:v>
                </c:pt>
                <c:pt idx="304">
                  <c:v>11.7472</c:v>
                </c:pt>
                <c:pt idx="305">
                  <c:v>11.7708</c:v>
                </c:pt>
                <c:pt idx="306">
                  <c:v>11.6865</c:v>
                </c:pt>
                <c:pt idx="307">
                  <c:v>11.5024</c:v>
                </c:pt>
                <c:pt idx="308">
                  <c:v>11.4445</c:v>
                </c:pt>
                <c:pt idx="309">
                  <c:v>11.4878</c:v>
                </c:pt>
                <c:pt idx="310">
                  <c:v>11.6394</c:v>
                </c:pt>
                <c:pt idx="311">
                  <c:v>11.6233</c:v>
                </c:pt>
                <c:pt idx="312">
                  <c:v>11.6747</c:v>
                </c:pt>
                <c:pt idx="313">
                  <c:v>11.7092</c:v>
                </c:pt>
                <c:pt idx="314">
                  <c:v>11.6184</c:v>
                </c:pt>
                <c:pt idx="315">
                  <c:v>11.6632</c:v>
                </c:pt>
                <c:pt idx="316">
                  <c:v>11.6308</c:v>
                </c:pt>
                <c:pt idx="317">
                  <c:v>11.7197</c:v>
                </c:pt>
                <c:pt idx="318">
                  <c:v>11.8743</c:v>
                </c:pt>
                <c:pt idx="319">
                  <c:v>11.6979</c:v>
                </c:pt>
                <c:pt idx="320">
                  <c:v>11.5923</c:v>
                </c:pt>
                <c:pt idx="321">
                  <c:v>11.5265</c:v>
                </c:pt>
                <c:pt idx="322">
                  <c:v>11.2815</c:v>
                </c:pt>
                <c:pt idx="323">
                  <c:v>11.4631</c:v>
                </c:pt>
                <c:pt idx="324">
                  <c:v>11.3881</c:v>
                </c:pt>
                <c:pt idx="325">
                  <c:v>11.5229</c:v>
                </c:pt>
                <c:pt idx="326">
                  <c:v>11.6562</c:v>
                </c:pt>
                <c:pt idx="327">
                  <c:v>11.571</c:v>
                </c:pt>
                <c:pt idx="328">
                  <c:v>11.5355</c:v>
                </c:pt>
                <c:pt idx="329">
                  <c:v>11.5655</c:v>
                </c:pt>
                <c:pt idx="330">
                  <c:v>11.4386</c:v>
                </c:pt>
                <c:pt idx="331">
                  <c:v>11.4096</c:v>
                </c:pt>
                <c:pt idx="332">
                  <c:v>11.3826</c:v>
                </c:pt>
                <c:pt idx="333">
                  <c:v>11.5432</c:v>
                </c:pt>
                <c:pt idx="334">
                  <c:v>11.6035</c:v>
                </c:pt>
                <c:pt idx="335">
                  <c:v>11.6271</c:v>
                </c:pt>
                <c:pt idx="336">
                  <c:v>11.5694</c:v>
                </c:pt>
                <c:pt idx="337">
                  <c:v>11.5428</c:v>
                </c:pt>
                <c:pt idx="338">
                  <c:v>11.4359</c:v>
                </c:pt>
                <c:pt idx="339">
                  <c:v>11.5049</c:v>
                </c:pt>
                <c:pt idx="340">
                  <c:v>11.5124</c:v>
                </c:pt>
                <c:pt idx="341">
                  <c:v>11.4741</c:v>
                </c:pt>
                <c:pt idx="342">
                  <c:v>11.5597</c:v>
                </c:pt>
                <c:pt idx="343">
                  <c:v>11.716</c:v>
                </c:pt>
                <c:pt idx="344">
                  <c:v>11.702</c:v>
                </c:pt>
                <c:pt idx="345">
                  <c:v>11.719</c:v>
                </c:pt>
                <c:pt idx="346">
                  <c:v>11.6986</c:v>
                </c:pt>
                <c:pt idx="347">
                  <c:v>11.528</c:v>
                </c:pt>
                <c:pt idx="348">
                  <c:v>11.551</c:v>
                </c:pt>
                <c:pt idx="349">
                  <c:v>11.5724</c:v>
                </c:pt>
                <c:pt idx="350">
                  <c:v>11.6649</c:v>
                </c:pt>
                <c:pt idx="351">
                  <c:v>11.5988</c:v>
                </c:pt>
                <c:pt idx="352">
                  <c:v>11.6419</c:v>
                </c:pt>
                <c:pt idx="353">
                  <c:v>11.6505</c:v>
                </c:pt>
                <c:pt idx="354">
                  <c:v>11.6496</c:v>
                </c:pt>
                <c:pt idx="355">
                  <c:v>11.5531</c:v>
                </c:pt>
                <c:pt idx="356">
                  <c:v>11.6121</c:v>
                </c:pt>
                <c:pt idx="357">
                  <c:v>11.5849</c:v>
                </c:pt>
                <c:pt idx="358">
                  <c:v>11.6015</c:v>
                </c:pt>
                <c:pt idx="359">
                  <c:v>11.6643</c:v>
                </c:pt>
                <c:pt idx="360">
                  <c:v>11.76</c:v>
                </c:pt>
                <c:pt idx="361">
                  <c:v>11.6015</c:v>
                </c:pt>
                <c:pt idx="362">
                  <c:v>11.6309</c:v>
                </c:pt>
                <c:pt idx="363">
                  <c:v>11.5529</c:v>
                </c:pt>
                <c:pt idx="364">
                  <c:v>11.4511</c:v>
                </c:pt>
                <c:pt idx="365">
                  <c:v>11.5554</c:v>
                </c:pt>
                <c:pt idx="366">
                  <c:v>11.3409</c:v>
                </c:pt>
                <c:pt idx="367">
                  <c:v>11.183</c:v>
                </c:pt>
                <c:pt idx="368">
                  <c:v>11.2219</c:v>
                </c:pt>
                <c:pt idx="369">
                  <c:v>11.1378</c:v>
                </c:pt>
                <c:pt idx="370">
                  <c:v>10.9764</c:v>
                </c:pt>
                <c:pt idx="371">
                  <c:v>11.0751</c:v>
                </c:pt>
                <c:pt idx="372">
                  <c:v>10.9828</c:v>
                </c:pt>
                <c:pt idx="373">
                  <c:v>10.9627</c:v>
                </c:pt>
                <c:pt idx="374">
                  <c:v>10.9472</c:v>
                </c:pt>
                <c:pt idx="375">
                  <c:v>11.0401</c:v>
                </c:pt>
                <c:pt idx="376">
                  <c:v>10.9609</c:v>
                </c:pt>
                <c:pt idx="377">
                  <c:v>10.9573</c:v>
                </c:pt>
                <c:pt idx="378">
                  <c:v>11.0543</c:v>
                </c:pt>
                <c:pt idx="379">
                  <c:v>11.035</c:v>
                </c:pt>
                <c:pt idx="380">
                  <c:v>11.1258</c:v>
                </c:pt>
                <c:pt idx="381">
                  <c:v>11.1113</c:v>
                </c:pt>
                <c:pt idx="382">
                  <c:v>11.2179</c:v>
                </c:pt>
                <c:pt idx="383">
                  <c:v>11.1881</c:v>
                </c:pt>
                <c:pt idx="384">
                  <c:v>11.2285</c:v>
                </c:pt>
                <c:pt idx="385">
                  <c:v>11.2655</c:v>
                </c:pt>
                <c:pt idx="386">
                  <c:v>11.2705</c:v>
                </c:pt>
                <c:pt idx="387">
                  <c:v>11.268</c:v>
                </c:pt>
                <c:pt idx="388">
                  <c:v>11.1477</c:v>
                </c:pt>
                <c:pt idx="389">
                  <c:v>11.0453</c:v>
                </c:pt>
                <c:pt idx="390">
                  <c:v>11.0767</c:v>
                </c:pt>
                <c:pt idx="391">
                  <c:v>11.0319</c:v>
                </c:pt>
                <c:pt idx="392">
                  <c:v>10.8649</c:v>
                </c:pt>
                <c:pt idx="393">
                  <c:v>10.8507</c:v>
                </c:pt>
                <c:pt idx="394">
                  <c:v>10.8628</c:v>
                </c:pt>
                <c:pt idx="395">
                  <c:v>10.9428</c:v>
                </c:pt>
                <c:pt idx="396">
                  <c:v>10.9369</c:v>
                </c:pt>
                <c:pt idx="397">
                  <c:v>10.9664</c:v>
                </c:pt>
                <c:pt idx="398">
                  <c:v>10.9983</c:v>
                </c:pt>
                <c:pt idx="399">
                  <c:v>11.0252</c:v>
                </c:pt>
                <c:pt idx="400">
                  <c:v>11.0204</c:v>
                </c:pt>
                <c:pt idx="401">
                  <c:v>11.0882</c:v>
                </c:pt>
                <c:pt idx="402">
                  <c:v>11.0815</c:v>
                </c:pt>
                <c:pt idx="403">
                  <c:v>11.1005</c:v>
                </c:pt>
                <c:pt idx="404">
                  <c:v>11.0535</c:v>
                </c:pt>
                <c:pt idx="405">
                  <c:v>11.0363</c:v>
                </c:pt>
                <c:pt idx="406">
                  <c:v>11.0668</c:v>
                </c:pt>
                <c:pt idx="407">
                  <c:v>11.07</c:v>
                </c:pt>
                <c:pt idx="408">
                  <c:v>11.1743</c:v>
                </c:pt>
                <c:pt idx="409">
                  <c:v>11.1793</c:v>
                </c:pt>
                <c:pt idx="410">
                  <c:v>11.24</c:v>
                </c:pt>
                <c:pt idx="411">
                  <c:v>11.3465</c:v>
                </c:pt>
                <c:pt idx="412">
                  <c:v>11.1962</c:v>
                </c:pt>
                <c:pt idx="413">
                  <c:v>11.2686</c:v>
                </c:pt>
                <c:pt idx="414">
                  <c:v>11.297</c:v>
                </c:pt>
                <c:pt idx="415">
                  <c:v>11.273</c:v>
                </c:pt>
                <c:pt idx="416">
                  <c:v>11.2342</c:v>
                </c:pt>
                <c:pt idx="417">
                  <c:v>11.1986</c:v>
                </c:pt>
                <c:pt idx="418">
                  <c:v>11.1477</c:v>
                </c:pt>
                <c:pt idx="419">
                  <c:v>11.1392</c:v>
                </c:pt>
                <c:pt idx="420">
                  <c:v>11.1702</c:v>
                </c:pt>
                <c:pt idx="421">
                  <c:v>11.0826</c:v>
                </c:pt>
                <c:pt idx="422">
                  <c:v>11.0531</c:v>
                </c:pt>
                <c:pt idx="423">
                  <c:v>10.9556</c:v>
                </c:pt>
                <c:pt idx="424">
                  <c:v>10.898</c:v>
                </c:pt>
                <c:pt idx="425">
                  <c:v>10.9957</c:v>
                </c:pt>
                <c:pt idx="426">
                  <c:v>10.991</c:v>
                </c:pt>
                <c:pt idx="427">
                  <c:v>10.9723</c:v>
                </c:pt>
                <c:pt idx="428">
                  <c:v>10.9396</c:v>
                </c:pt>
                <c:pt idx="429">
                  <c:v>10.9269</c:v>
                </c:pt>
                <c:pt idx="430">
                  <c:v>10.7954</c:v>
                </c:pt>
                <c:pt idx="431">
                  <c:v>10.6979</c:v>
                </c:pt>
                <c:pt idx="432">
                  <c:v>10.7191</c:v>
                </c:pt>
                <c:pt idx="433">
                  <c:v>10.673</c:v>
                </c:pt>
                <c:pt idx="434">
                  <c:v>10.7431</c:v>
                </c:pt>
                <c:pt idx="435">
                  <c:v>10.6799</c:v>
                </c:pt>
                <c:pt idx="436">
                  <c:v>10.6493</c:v>
                </c:pt>
                <c:pt idx="437">
                  <c:v>10.6391</c:v>
                </c:pt>
                <c:pt idx="438">
                  <c:v>10.6122</c:v>
                </c:pt>
                <c:pt idx="439">
                  <c:v>10.6829</c:v>
                </c:pt>
                <c:pt idx="440">
                  <c:v>10.7157</c:v>
                </c:pt>
                <c:pt idx="441">
                  <c:v>10.6885</c:v>
                </c:pt>
                <c:pt idx="442">
                  <c:v>10.7016</c:v>
                </c:pt>
                <c:pt idx="443">
                  <c:v>10.698</c:v>
                </c:pt>
                <c:pt idx="444">
                  <c:v>10.6488</c:v>
                </c:pt>
                <c:pt idx="445">
                  <c:v>10.6098</c:v>
                </c:pt>
                <c:pt idx="446">
                  <c:v>10.6037</c:v>
                </c:pt>
                <c:pt idx="447">
                  <c:v>10.5479</c:v>
                </c:pt>
                <c:pt idx="448">
                  <c:v>10.5779</c:v>
                </c:pt>
                <c:pt idx="449">
                  <c:v>10.6449</c:v>
                </c:pt>
                <c:pt idx="450">
                  <c:v>10.6298</c:v>
                </c:pt>
                <c:pt idx="451">
                  <c:v>10.6833</c:v>
                </c:pt>
                <c:pt idx="452">
                  <c:v>10.7594</c:v>
                </c:pt>
                <c:pt idx="453">
                  <c:v>10.7184</c:v>
                </c:pt>
                <c:pt idx="454">
                  <c:v>10.7476</c:v>
                </c:pt>
                <c:pt idx="455">
                  <c:v>10.6888</c:v>
                </c:pt>
                <c:pt idx="456">
                  <c:v>10.7151</c:v>
                </c:pt>
                <c:pt idx="457">
                  <c:v>10.7029</c:v>
                </c:pt>
                <c:pt idx="458">
                  <c:v>10.7065</c:v>
                </c:pt>
                <c:pt idx="459">
                  <c:v>10.5913</c:v>
                </c:pt>
                <c:pt idx="460">
                  <c:v>10.5787</c:v>
                </c:pt>
                <c:pt idx="461">
                  <c:v>10.5136</c:v>
                </c:pt>
                <c:pt idx="462">
                  <c:v>10.5257</c:v>
                </c:pt>
                <c:pt idx="463">
                  <c:v>10.4955</c:v>
                </c:pt>
                <c:pt idx="464">
                  <c:v>10.5761</c:v>
                </c:pt>
                <c:pt idx="465">
                  <c:v>10.6033</c:v>
                </c:pt>
                <c:pt idx="466">
                  <c:v>10.6512</c:v>
                </c:pt>
                <c:pt idx="467">
                  <c:v>10.69</c:v>
                </c:pt>
                <c:pt idx="468">
                  <c:v>10.6689</c:v>
                </c:pt>
                <c:pt idx="469">
                  <c:v>10.6999</c:v>
                </c:pt>
                <c:pt idx="470">
                  <c:v>10.6821</c:v>
                </c:pt>
                <c:pt idx="471">
                  <c:v>10.7188</c:v>
                </c:pt>
                <c:pt idx="472">
                  <c:v>10.701</c:v>
                </c:pt>
                <c:pt idx="473">
                  <c:v>10.6978</c:v>
                </c:pt>
                <c:pt idx="474">
                  <c:v>10.692</c:v>
                </c:pt>
                <c:pt idx="475">
                  <c:v>10.7654</c:v>
                </c:pt>
                <c:pt idx="476">
                  <c:v>10.7508</c:v>
                </c:pt>
                <c:pt idx="477">
                  <c:v>10.7411</c:v>
                </c:pt>
                <c:pt idx="478">
                  <c:v>10.7669</c:v>
                </c:pt>
                <c:pt idx="479">
                  <c:v>10.6681</c:v>
                </c:pt>
                <c:pt idx="480">
                  <c:v>10.6277</c:v>
                </c:pt>
                <c:pt idx="481">
                  <c:v>10.617</c:v>
                </c:pt>
                <c:pt idx="482">
                  <c:v>10.6449</c:v>
                </c:pt>
                <c:pt idx="483">
                  <c:v>10.6164</c:v>
                </c:pt>
                <c:pt idx="484">
                  <c:v>10.6124</c:v>
                </c:pt>
                <c:pt idx="485">
                  <c:v>10.5772</c:v>
                </c:pt>
                <c:pt idx="486">
                  <c:v>10.6941</c:v>
                </c:pt>
                <c:pt idx="487">
                  <c:v>10.7204</c:v>
                </c:pt>
                <c:pt idx="488">
                  <c:v>10.7373</c:v>
                </c:pt>
                <c:pt idx="489">
                  <c:v>10.8407</c:v>
                </c:pt>
                <c:pt idx="490">
                  <c:v>10.7424</c:v>
                </c:pt>
                <c:pt idx="491">
                  <c:v>10.6772</c:v>
                </c:pt>
                <c:pt idx="492">
                  <c:v>10.6883</c:v>
                </c:pt>
                <c:pt idx="493">
                  <c:v>10.7335</c:v>
                </c:pt>
                <c:pt idx="494">
                  <c:v>10.7136</c:v>
                </c:pt>
                <c:pt idx="495">
                  <c:v>10.6465</c:v>
                </c:pt>
                <c:pt idx="496">
                  <c:v>10.5765</c:v>
                </c:pt>
                <c:pt idx="497">
                  <c:v>10.6996</c:v>
                </c:pt>
                <c:pt idx="498">
                  <c:v>10.7533</c:v>
                </c:pt>
                <c:pt idx="499">
                  <c:v>10.7394</c:v>
                </c:pt>
                <c:pt idx="500">
                  <c:v>10.6701</c:v>
                </c:pt>
                <c:pt idx="501">
                  <c:v>10.5731</c:v>
                </c:pt>
                <c:pt idx="502">
                  <c:v>10.4092</c:v>
                </c:pt>
                <c:pt idx="503">
                  <c:v>10.4697</c:v>
                </c:pt>
                <c:pt idx="504">
                  <c:v>10.4623</c:v>
                </c:pt>
                <c:pt idx="505">
                  <c:v>10.3594</c:v>
                </c:pt>
                <c:pt idx="506">
                  <c:v>10.3158</c:v>
                </c:pt>
                <c:pt idx="507">
                  <c:v>10.3292</c:v>
                </c:pt>
                <c:pt idx="508">
                  <c:v>10.4134</c:v>
                </c:pt>
                <c:pt idx="509">
                  <c:v>10.4523</c:v>
                </c:pt>
                <c:pt idx="510">
                  <c:v>10.3478</c:v>
                </c:pt>
                <c:pt idx="511">
                  <c:v>10.3463</c:v>
                </c:pt>
                <c:pt idx="512">
                  <c:v>10.4129</c:v>
                </c:pt>
                <c:pt idx="513">
                  <c:v>10.3008</c:v>
                </c:pt>
                <c:pt idx="514">
                  <c:v>10.3144</c:v>
                </c:pt>
                <c:pt idx="515">
                  <c:v>10.3628</c:v>
                </c:pt>
                <c:pt idx="516">
                  <c:v>10.3776</c:v>
                </c:pt>
                <c:pt idx="517">
                  <c:v>10.3309</c:v>
                </c:pt>
                <c:pt idx="518">
                  <c:v>10.4701</c:v>
                </c:pt>
                <c:pt idx="519">
                  <c:v>10.4783</c:v>
                </c:pt>
                <c:pt idx="520">
                  <c:v>10.5336</c:v>
                </c:pt>
                <c:pt idx="521">
                  <c:v>10.4612</c:v>
                </c:pt>
                <c:pt idx="522">
                  <c:v>10.4845</c:v>
                </c:pt>
                <c:pt idx="523">
                  <c:v>10.5277</c:v>
                </c:pt>
                <c:pt idx="524">
                  <c:v>10.5575</c:v>
                </c:pt>
                <c:pt idx="525">
                  <c:v>10.6211</c:v>
                </c:pt>
                <c:pt idx="526">
                  <c:v>10.6416</c:v>
                </c:pt>
                <c:pt idx="527">
                  <c:v>10.626</c:v>
                </c:pt>
                <c:pt idx="528">
                  <c:v>10.5957</c:v>
                </c:pt>
                <c:pt idx="529">
                  <c:v>10.5465</c:v>
                </c:pt>
                <c:pt idx="530">
                  <c:v>10.5035</c:v>
                </c:pt>
                <c:pt idx="531">
                  <c:v>10.4885</c:v>
                </c:pt>
                <c:pt idx="532">
                  <c:v>10.4948</c:v>
                </c:pt>
                <c:pt idx="533">
                  <c:v>10.555</c:v>
                </c:pt>
                <c:pt idx="534">
                  <c:v>10.587</c:v>
                </c:pt>
                <c:pt idx="535">
                  <c:v>10.5002</c:v>
                </c:pt>
                <c:pt idx="536">
                  <c:v>10.4792</c:v>
                </c:pt>
                <c:pt idx="537">
                  <c:v>10.4152</c:v>
                </c:pt>
                <c:pt idx="538">
                  <c:v>10.4614</c:v>
                </c:pt>
                <c:pt idx="539">
                  <c:v>10.4344</c:v>
                </c:pt>
                <c:pt idx="540">
                  <c:v>10.5224</c:v>
                </c:pt>
                <c:pt idx="541">
                  <c:v>10.538</c:v>
                </c:pt>
                <c:pt idx="542">
                  <c:v>10.6403</c:v>
                </c:pt>
                <c:pt idx="543">
                  <c:v>10.605</c:v>
                </c:pt>
                <c:pt idx="544">
                  <c:v>10.5669</c:v>
                </c:pt>
                <c:pt idx="545">
                  <c:v>10.5192</c:v>
                </c:pt>
                <c:pt idx="546">
                  <c:v>10.5866</c:v>
                </c:pt>
                <c:pt idx="547">
                  <c:v>10.5977</c:v>
                </c:pt>
                <c:pt idx="548">
                  <c:v>10.6777</c:v>
                </c:pt>
                <c:pt idx="549">
                  <c:v>10.7432</c:v>
                </c:pt>
                <c:pt idx="550">
                  <c:v>10.819</c:v>
                </c:pt>
                <c:pt idx="551">
                  <c:v>10.8868</c:v>
                </c:pt>
                <c:pt idx="552">
                  <c:v>10.8835</c:v>
                </c:pt>
                <c:pt idx="553">
                  <c:v>10.7666</c:v>
                </c:pt>
                <c:pt idx="554">
                  <c:v>10.7443</c:v>
                </c:pt>
                <c:pt idx="555">
                  <c:v>10.7245</c:v>
                </c:pt>
                <c:pt idx="556">
                  <c:v>10.6943</c:v>
                </c:pt>
                <c:pt idx="557">
                  <c:v>10.791</c:v>
                </c:pt>
                <c:pt idx="558">
                  <c:v>10.8271</c:v>
                </c:pt>
                <c:pt idx="559">
                  <c:v>10.8503</c:v>
                </c:pt>
                <c:pt idx="560">
                  <c:v>10.7592</c:v>
                </c:pt>
                <c:pt idx="561">
                  <c:v>10.717</c:v>
                </c:pt>
                <c:pt idx="562">
                  <c:v>10.6067</c:v>
                </c:pt>
                <c:pt idx="563">
                  <c:v>10.6747</c:v>
                </c:pt>
                <c:pt idx="564">
                  <c:v>10.788</c:v>
                </c:pt>
                <c:pt idx="565">
                  <c:v>10.8819</c:v>
                </c:pt>
                <c:pt idx="566">
                  <c:v>10.7188</c:v>
                </c:pt>
                <c:pt idx="567">
                  <c:v>10.7323</c:v>
                </c:pt>
                <c:pt idx="568">
                  <c:v>10.8394</c:v>
                </c:pt>
                <c:pt idx="569">
                  <c:v>10.7184</c:v>
                </c:pt>
                <c:pt idx="570">
                  <c:v>10.7979</c:v>
                </c:pt>
                <c:pt idx="571">
                  <c:v>10.9316</c:v>
                </c:pt>
                <c:pt idx="572">
                  <c:v>11.01</c:v>
                </c:pt>
                <c:pt idx="573">
                  <c:v>11.012</c:v>
                </c:pt>
                <c:pt idx="574">
                  <c:v>10.862</c:v>
                </c:pt>
                <c:pt idx="575">
                  <c:v>10.8287</c:v>
                </c:pt>
                <c:pt idx="576">
                  <c:v>10.8633</c:v>
                </c:pt>
                <c:pt idx="577">
                  <c:v>10.9969</c:v>
                </c:pt>
                <c:pt idx="578">
                  <c:v>11.029</c:v>
                </c:pt>
                <c:pt idx="579">
                  <c:v>10.9884</c:v>
                </c:pt>
                <c:pt idx="580">
                  <c:v>11.1383</c:v>
                </c:pt>
                <c:pt idx="581">
                  <c:v>11.0535</c:v>
                </c:pt>
                <c:pt idx="582">
                  <c:v>11.0241</c:v>
                </c:pt>
                <c:pt idx="583">
                  <c:v>11.1556</c:v>
                </c:pt>
                <c:pt idx="584">
                  <c:v>11.0776</c:v>
                </c:pt>
                <c:pt idx="585">
                  <c:v>11.2245</c:v>
                </c:pt>
                <c:pt idx="586">
                  <c:v>11.124</c:v>
                </c:pt>
                <c:pt idx="587">
                  <c:v>11.2035</c:v>
                </c:pt>
                <c:pt idx="588">
                  <c:v>11.2311</c:v>
                </c:pt>
                <c:pt idx="589">
                  <c:v>11.0735</c:v>
                </c:pt>
                <c:pt idx="590">
                  <c:v>11.1606</c:v>
                </c:pt>
                <c:pt idx="591">
                  <c:v>11.093</c:v>
                </c:pt>
                <c:pt idx="592">
                  <c:v>11.0346</c:v>
                </c:pt>
                <c:pt idx="593">
                  <c:v>10.8736</c:v>
                </c:pt>
                <c:pt idx="594">
                  <c:v>10.8566</c:v>
                </c:pt>
                <c:pt idx="595">
                  <c:v>10.8585</c:v>
                </c:pt>
                <c:pt idx="596">
                  <c:v>10.837</c:v>
                </c:pt>
                <c:pt idx="597">
                  <c:v>10.92</c:v>
                </c:pt>
                <c:pt idx="598">
                  <c:v>10.8588</c:v>
                </c:pt>
                <c:pt idx="599">
                  <c:v>10.8058</c:v>
                </c:pt>
                <c:pt idx="600">
                  <c:v>10.8168</c:v>
                </c:pt>
                <c:pt idx="601">
                  <c:v>10.6687</c:v>
                </c:pt>
                <c:pt idx="602">
                  <c:v>10.7948</c:v>
                </c:pt>
                <c:pt idx="603">
                  <c:v>10.7641</c:v>
                </c:pt>
                <c:pt idx="604">
                  <c:v>10.6348</c:v>
                </c:pt>
                <c:pt idx="605">
                  <c:v>10.6402</c:v>
                </c:pt>
                <c:pt idx="606">
                  <c:v>10.6501</c:v>
                </c:pt>
                <c:pt idx="607">
                  <c:v>10.6884</c:v>
                </c:pt>
                <c:pt idx="608">
                  <c:v>10.44</c:v>
                </c:pt>
                <c:pt idx="609">
                  <c:v>10.5206</c:v>
                </c:pt>
                <c:pt idx="610">
                  <c:v>10.4323</c:v>
                </c:pt>
                <c:pt idx="611">
                  <c:v>10.5404</c:v>
                </c:pt>
                <c:pt idx="612">
                  <c:v>10.3534</c:v>
                </c:pt>
                <c:pt idx="613">
                  <c:v>10.3325</c:v>
                </c:pt>
                <c:pt idx="614">
                  <c:v>10.3441</c:v>
                </c:pt>
                <c:pt idx="615">
                  <c:v>10.3256</c:v>
                </c:pt>
                <c:pt idx="616">
                  <c:v>10.3375</c:v>
                </c:pt>
                <c:pt idx="617">
                  <c:v>10.3776</c:v>
                </c:pt>
                <c:pt idx="618">
                  <c:v>10.3529</c:v>
                </c:pt>
                <c:pt idx="619">
                  <c:v>10.3459</c:v>
                </c:pt>
                <c:pt idx="620">
                  <c:v>10.2812</c:v>
                </c:pt>
                <c:pt idx="621">
                  <c:v>10.3329</c:v>
                </c:pt>
                <c:pt idx="622">
                  <c:v>10.429</c:v>
                </c:pt>
                <c:pt idx="623">
                  <c:v>10.381</c:v>
                </c:pt>
                <c:pt idx="624">
                  <c:v>10.3457</c:v>
                </c:pt>
                <c:pt idx="625">
                  <c:v>10.3876</c:v>
                </c:pt>
                <c:pt idx="626">
                  <c:v>10.3309</c:v>
                </c:pt>
                <c:pt idx="627">
                  <c:v>10.4519</c:v>
                </c:pt>
                <c:pt idx="628">
                  <c:v>10.4554</c:v>
                </c:pt>
                <c:pt idx="629">
                  <c:v>10.3632</c:v>
                </c:pt>
                <c:pt idx="630">
                  <c:v>10.2644</c:v>
                </c:pt>
                <c:pt idx="631">
                  <c:v>10.1891</c:v>
                </c:pt>
                <c:pt idx="632">
                  <c:v>10.1984</c:v>
                </c:pt>
                <c:pt idx="633">
                  <c:v>10.2265</c:v>
                </c:pt>
                <c:pt idx="634">
                  <c:v>10.1337</c:v>
                </c:pt>
                <c:pt idx="635">
                  <c:v>10.0808</c:v>
                </c:pt>
                <c:pt idx="636">
                  <c:v>10.0812</c:v>
                </c:pt>
                <c:pt idx="637">
                  <c:v>10.1546</c:v>
                </c:pt>
                <c:pt idx="638">
                  <c:v>10.1207</c:v>
                </c:pt>
                <c:pt idx="639">
                  <c:v>10.1871</c:v>
                </c:pt>
                <c:pt idx="640">
                  <c:v>10.127</c:v>
                </c:pt>
                <c:pt idx="641">
                  <c:v>10.1744</c:v>
                </c:pt>
                <c:pt idx="642">
                  <c:v>10.2127</c:v>
                </c:pt>
                <c:pt idx="643">
                  <c:v>10.3258</c:v>
                </c:pt>
                <c:pt idx="644">
                  <c:v>10.3887</c:v>
                </c:pt>
                <c:pt idx="645">
                  <c:v>10.3773</c:v>
                </c:pt>
                <c:pt idx="646">
                  <c:v>10.333</c:v>
                </c:pt>
                <c:pt idx="647">
                  <c:v>10.2916</c:v>
                </c:pt>
                <c:pt idx="648">
                  <c:v>10.2536</c:v>
                </c:pt>
                <c:pt idx="649">
                  <c:v>10.215</c:v>
                </c:pt>
                <c:pt idx="650">
                  <c:v>10.1277</c:v>
                </c:pt>
                <c:pt idx="651">
                  <c:v>10.1946</c:v>
                </c:pt>
                <c:pt idx="652">
                  <c:v>10.0313</c:v>
                </c:pt>
                <c:pt idx="653">
                  <c:v>9.8688</c:v>
                </c:pt>
                <c:pt idx="654">
                  <c:v>9.8882</c:v>
                </c:pt>
                <c:pt idx="655">
                  <c:v>9.84</c:v>
                </c:pt>
                <c:pt idx="656">
                  <c:v>9.8014</c:v>
                </c:pt>
                <c:pt idx="657">
                  <c:v>9.7579</c:v>
                </c:pt>
                <c:pt idx="658">
                  <c:v>9.7698</c:v>
                </c:pt>
                <c:pt idx="659">
                  <c:v>9.7216</c:v>
                </c:pt>
                <c:pt idx="660">
                  <c:v>9.847300000000001</c:v>
                </c:pt>
                <c:pt idx="661">
                  <c:v>9.763</c:v>
                </c:pt>
                <c:pt idx="662">
                  <c:v>9.8011</c:v>
                </c:pt>
                <c:pt idx="663">
                  <c:v>9.8907</c:v>
                </c:pt>
                <c:pt idx="664">
                  <c:v>9.9266</c:v>
                </c:pt>
                <c:pt idx="665">
                  <c:v>9.9399</c:v>
                </c:pt>
                <c:pt idx="666">
                  <c:v>9.9034</c:v>
                </c:pt>
                <c:pt idx="667">
                  <c:v>9.9119</c:v>
                </c:pt>
                <c:pt idx="668">
                  <c:v>10.017</c:v>
                </c:pt>
                <c:pt idx="669">
                  <c:v>9.998100000000001</c:v>
                </c:pt>
                <c:pt idx="670">
                  <c:v>9.9825</c:v>
                </c:pt>
                <c:pt idx="671">
                  <c:v>9.9828</c:v>
                </c:pt>
                <c:pt idx="672">
                  <c:v>10.0429</c:v>
                </c:pt>
                <c:pt idx="673">
                  <c:v>10.0514</c:v>
                </c:pt>
                <c:pt idx="674">
                  <c:v>10.1133</c:v>
                </c:pt>
                <c:pt idx="675">
                  <c:v>10.0458</c:v>
                </c:pt>
                <c:pt idx="676">
                  <c:v>10.0752</c:v>
                </c:pt>
                <c:pt idx="677">
                  <c:v>10.0018</c:v>
                </c:pt>
                <c:pt idx="678">
                  <c:v>9.9633</c:v>
                </c:pt>
                <c:pt idx="679">
                  <c:v>9.8416</c:v>
                </c:pt>
                <c:pt idx="680">
                  <c:v>9.8331</c:v>
                </c:pt>
                <c:pt idx="681">
                  <c:v>9.8734</c:v>
                </c:pt>
                <c:pt idx="682">
                  <c:v>9.6943</c:v>
                </c:pt>
                <c:pt idx="683">
                  <c:v>9.8096</c:v>
                </c:pt>
                <c:pt idx="684">
                  <c:v>9.805</c:v>
                </c:pt>
                <c:pt idx="685">
                  <c:v>9.8121</c:v>
                </c:pt>
                <c:pt idx="686">
                  <c:v>9.9434</c:v>
                </c:pt>
                <c:pt idx="687">
                  <c:v>9.9505</c:v>
                </c:pt>
                <c:pt idx="688">
                  <c:v>9.8898</c:v>
                </c:pt>
                <c:pt idx="689">
                  <c:v>10.0097</c:v>
                </c:pt>
                <c:pt idx="690">
                  <c:v>9.9739</c:v>
                </c:pt>
                <c:pt idx="691">
                  <c:v>10.0105</c:v>
                </c:pt>
                <c:pt idx="692">
                  <c:v>10.2519</c:v>
                </c:pt>
                <c:pt idx="693">
                  <c:v>10.2206</c:v>
                </c:pt>
                <c:pt idx="694">
                  <c:v>10.3342</c:v>
                </c:pt>
                <c:pt idx="695">
                  <c:v>10.246</c:v>
                </c:pt>
                <c:pt idx="696">
                  <c:v>10.2631</c:v>
                </c:pt>
                <c:pt idx="697">
                  <c:v>10.3393</c:v>
                </c:pt>
                <c:pt idx="698">
                  <c:v>10.3285</c:v>
                </c:pt>
                <c:pt idx="699">
                  <c:v>10.4121</c:v>
                </c:pt>
                <c:pt idx="700">
                  <c:v>10.3255</c:v>
                </c:pt>
                <c:pt idx="701">
                  <c:v>10.2195</c:v>
                </c:pt>
                <c:pt idx="702">
                  <c:v>10.2615</c:v>
                </c:pt>
                <c:pt idx="703">
                  <c:v>10.2358</c:v>
                </c:pt>
                <c:pt idx="704">
                  <c:v>10.1509</c:v>
                </c:pt>
                <c:pt idx="705">
                  <c:v>10.2059</c:v>
                </c:pt>
                <c:pt idx="706">
                  <c:v>10.0633</c:v>
                </c:pt>
                <c:pt idx="707">
                  <c:v>9.9972</c:v>
                </c:pt>
                <c:pt idx="708">
                  <c:v>9.929</c:v>
                </c:pt>
                <c:pt idx="709">
                  <c:v>9.9653</c:v>
                </c:pt>
                <c:pt idx="710">
                  <c:v>9.8485</c:v>
                </c:pt>
                <c:pt idx="711">
                  <c:v>9.7805</c:v>
                </c:pt>
                <c:pt idx="712">
                  <c:v>9.8112</c:v>
                </c:pt>
                <c:pt idx="713">
                  <c:v>9.9065</c:v>
                </c:pt>
                <c:pt idx="714">
                  <c:v>9.9261</c:v>
                </c:pt>
                <c:pt idx="715">
                  <c:v>9.854</c:v>
                </c:pt>
                <c:pt idx="716">
                  <c:v>9.8452</c:v>
                </c:pt>
                <c:pt idx="717">
                  <c:v>9.9676</c:v>
                </c:pt>
                <c:pt idx="718">
                  <c:v>9.9127</c:v>
                </c:pt>
                <c:pt idx="719">
                  <c:v>9.804</c:v>
                </c:pt>
                <c:pt idx="720">
                  <c:v>9.7773</c:v>
                </c:pt>
                <c:pt idx="721">
                  <c:v>9.7895</c:v>
                </c:pt>
                <c:pt idx="722">
                  <c:v>9.8226</c:v>
                </c:pt>
                <c:pt idx="723">
                  <c:v>9.7734</c:v>
                </c:pt>
                <c:pt idx="724">
                  <c:v>9.7023</c:v>
                </c:pt>
                <c:pt idx="725">
                  <c:v>9.8048</c:v>
                </c:pt>
                <c:pt idx="726">
                  <c:v>9.8574</c:v>
                </c:pt>
                <c:pt idx="727">
                  <c:v>9.9428</c:v>
                </c:pt>
                <c:pt idx="728">
                  <c:v>9.8161</c:v>
                </c:pt>
                <c:pt idx="729">
                  <c:v>9.8718</c:v>
                </c:pt>
                <c:pt idx="730">
                  <c:v>9.8934</c:v>
                </c:pt>
                <c:pt idx="731">
                  <c:v>9.9888</c:v>
                </c:pt>
                <c:pt idx="732">
                  <c:v>10.0582</c:v>
                </c:pt>
                <c:pt idx="733">
                  <c:v>10.0336</c:v>
                </c:pt>
                <c:pt idx="734">
                  <c:v>10.0382</c:v>
                </c:pt>
                <c:pt idx="735">
                  <c:v>10.1885</c:v>
                </c:pt>
                <c:pt idx="736">
                  <c:v>10.1789</c:v>
                </c:pt>
                <c:pt idx="737">
                  <c:v>10.0362</c:v>
                </c:pt>
                <c:pt idx="738">
                  <c:v>10.1178</c:v>
                </c:pt>
                <c:pt idx="739">
                  <c:v>9.9274</c:v>
                </c:pt>
                <c:pt idx="740">
                  <c:v>9.905</c:v>
                </c:pt>
                <c:pt idx="741">
                  <c:v>9.9326</c:v>
                </c:pt>
                <c:pt idx="742">
                  <c:v>9.9647</c:v>
                </c:pt>
                <c:pt idx="743">
                  <c:v>10.1189</c:v>
                </c:pt>
                <c:pt idx="744">
                  <c:v>10.0731</c:v>
                </c:pt>
                <c:pt idx="745">
                  <c:v>10.0963</c:v>
                </c:pt>
                <c:pt idx="746">
                  <c:v>10.175</c:v>
                </c:pt>
                <c:pt idx="747">
                  <c:v>10.2034</c:v>
                </c:pt>
                <c:pt idx="748">
                  <c:v>9.9602</c:v>
                </c:pt>
                <c:pt idx="749">
                  <c:v>9.9851</c:v>
                </c:pt>
                <c:pt idx="750">
                  <c:v>9.9174</c:v>
                </c:pt>
                <c:pt idx="751">
                  <c:v>9.9804</c:v>
                </c:pt>
                <c:pt idx="752">
                  <c:v>9.8729</c:v>
                </c:pt>
                <c:pt idx="753">
                  <c:v>10.0178</c:v>
                </c:pt>
                <c:pt idx="754">
                  <c:v>10.0618</c:v>
                </c:pt>
                <c:pt idx="755">
                  <c:v>10.1512</c:v>
                </c:pt>
                <c:pt idx="756">
                  <c:v>10.0063</c:v>
                </c:pt>
                <c:pt idx="757">
                  <c:v>9.8978</c:v>
                </c:pt>
                <c:pt idx="758">
                  <c:v>10.0271</c:v>
                </c:pt>
                <c:pt idx="759">
                  <c:v>9.8346</c:v>
                </c:pt>
                <c:pt idx="760">
                  <c:v>9.8333</c:v>
                </c:pt>
                <c:pt idx="761">
                  <c:v>10.087</c:v>
                </c:pt>
                <c:pt idx="762">
                  <c:v>10.0298</c:v>
                </c:pt>
                <c:pt idx="763">
                  <c:v>9.8331</c:v>
                </c:pt>
                <c:pt idx="764">
                  <c:v>9.7738</c:v>
                </c:pt>
                <c:pt idx="765">
                  <c:v>9.6111</c:v>
                </c:pt>
                <c:pt idx="766">
                  <c:v>9.594</c:v>
                </c:pt>
                <c:pt idx="767">
                  <c:v>9.5442</c:v>
                </c:pt>
                <c:pt idx="768">
                  <c:v>9.5527</c:v>
                </c:pt>
                <c:pt idx="769">
                  <c:v>9.5182</c:v>
                </c:pt>
                <c:pt idx="770">
                  <c:v>9.4419</c:v>
                </c:pt>
                <c:pt idx="771">
                  <c:v>9.4086</c:v>
                </c:pt>
                <c:pt idx="772">
                  <c:v>9.3128</c:v>
                </c:pt>
                <c:pt idx="773">
                  <c:v>9.2843</c:v>
                </c:pt>
                <c:pt idx="774">
                  <c:v>9.2249</c:v>
                </c:pt>
                <c:pt idx="775">
                  <c:v>9.1554</c:v>
                </c:pt>
                <c:pt idx="776">
                  <c:v>9.104200000000001</c:v>
                </c:pt>
                <c:pt idx="777">
                  <c:v>8.9802</c:v>
                </c:pt>
                <c:pt idx="778">
                  <c:v>9.0033</c:v>
                </c:pt>
                <c:pt idx="779">
                  <c:v>9.0121</c:v>
                </c:pt>
                <c:pt idx="780">
                  <c:v>8.9924</c:v>
                </c:pt>
                <c:pt idx="781">
                  <c:v>8.9159</c:v>
                </c:pt>
                <c:pt idx="782">
                  <c:v>8.9767</c:v>
                </c:pt>
                <c:pt idx="783">
                  <c:v>9.0308</c:v>
                </c:pt>
                <c:pt idx="784">
                  <c:v>8.9963</c:v>
                </c:pt>
                <c:pt idx="785">
                  <c:v>8.998200000000001</c:v>
                </c:pt>
                <c:pt idx="786">
                  <c:v>9.1135</c:v>
                </c:pt>
                <c:pt idx="787">
                  <c:v>9.0598</c:v>
                </c:pt>
                <c:pt idx="788">
                  <c:v>9.178100000000001</c:v>
                </c:pt>
                <c:pt idx="789">
                  <c:v>9.2256</c:v>
                </c:pt>
                <c:pt idx="790">
                  <c:v>9.2461</c:v>
                </c:pt>
                <c:pt idx="791">
                  <c:v>9.2503</c:v>
                </c:pt>
                <c:pt idx="792">
                  <c:v>9.185</c:v>
                </c:pt>
                <c:pt idx="793">
                  <c:v>9.1935</c:v>
                </c:pt>
                <c:pt idx="794">
                  <c:v>9.128500000000001</c:v>
                </c:pt>
                <c:pt idx="795">
                  <c:v>9.1616</c:v>
                </c:pt>
                <c:pt idx="796">
                  <c:v>8.946300000000001</c:v>
                </c:pt>
                <c:pt idx="797">
                  <c:v>8.8972</c:v>
                </c:pt>
                <c:pt idx="798">
                  <c:v>8.8851</c:v>
                </c:pt>
                <c:pt idx="799">
                  <c:v>8.919</c:v>
                </c:pt>
                <c:pt idx="800">
                  <c:v>9.0097</c:v>
                </c:pt>
                <c:pt idx="801">
                  <c:v>9.0958</c:v>
                </c:pt>
                <c:pt idx="802">
                  <c:v>9.1634</c:v>
                </c:pt>
                <c:pt idx="803">
                  <c:v>9.2179</c:v>
                </c:pt>
                <c:pt idx="804">
                  <c:v>9.214600000000001</c:v>
                </c:pt>
                <c:pt idx="805">
                  <c:v>9.1835</c:v>
                </c:pt>
                <c:pt idx="806">
                  <c:v>9.2415</c:v>
                </c:pt>
                <c:pt idx="807">
                  <c:v>9.2252</c:v>
                </c:pt>
                <c:pt idx="808">
                  <c:v>9.2668</c:v>
                </c:pt>
                <c:pt idx="809">
                  <c:v>9.2553</c:v>
                </c:pt>
                <c:pt idx="810">
                  <c:v>9.2868</c:v>
                </c:pt>
                <c:pt idx="811">
                  <c:v>9.3101</c:v>
                </c:pt>
                <c:pt idx="812">
                  <c:v>9.3155</c:v>
                </c:pt>
                <c:pt idx="813">
                  <c:v>9.2988</c:v>
                </c:pt>
                <c:pt idx="814">
                  <c:v>9.269</c:v>
                </c:pt>
                <c:pt idx="815">
                  <c:v>9.1802</c:v>
                </c:pt>
                <c:pt idx="816">
                  <c:v>9.1921</c:v>
                </c:pt>
                <c:pt idx="817">
                  <c:v>9.1758</c:v>
                </c:pt>
                <c:pt idx="818">
                  <c:v>9.248900000000001</c:v>
                </c:pt>
                <c:pt idx="819">
                  <c:v>9.1805</c:v>
                </c:pt>
                <c:pt idx="820">
                  <c:v>9.1219</c:v>
                </c:pt>
                <c:pt idx="821">
                  <c:v>9.1166</c:v>
                </c:pt>
                <c:pt idx="822">
                  <c:v>9.149100000000001</c:v>
                </c:pt>
                <c:pt idx="823">
                  <c:v>9.1381</c:v>
                </c:pt>
                <c:pt idx="824">
                  <c:v>9.0452</c:v>
                </c:pt>
                <c:pt idx="825">
                  <c:v>9.1242</c:v>
                </c:pt>
                <c:pt idx="826">
                  <c:v>9.0704</c:v>
                </c:pt>
                <c:pt idx="827">
                  <c:v>9.0068</c:v>
                </c:pt>
                <c:pt idx="828">
                  <c:v>8.8629</c:v>
                </c:pt>
                <c:pt idx="829">
                  <c:v>8.8456</c:v>
                </c:pt>
                <c:pt idx="830">
                  <c:v>8.8268</c:v>
                </c:pt>
                <c:pt idx="831">
                  <c:v>8.8647</c:v>
                </c:pt>
                <c:pt idx="832">
                  <c:v>8.8986</c:v>
                </c:pt>
                <c:pt idx="833">
                  <c:v>8.8899</c:v>
                </c:pt>
                <c:pt idx="834">
                  <c:v>8.8562</c:v>
                </c:pt>
                <c:pt idx="835">
                  <c:v>8.9012</c:v>
                </c:pt>
                <c:pt idx="836">
                  <c:v>8.8365</c:v>
                </c:pt>
                <c:pt idx="837">
                  <c:v>8.8105</c:v>
                </c:pt>
                <c:pt idx="838">
                  <c:v>8.8727</c:v>
                </c:pt>
                <c:pt idx="839">
                  <c:v>8.8884</c:v>
                </c:pt>
                <c:pt idx="840">
                  <c:v>8.911200000000001</c:v>
                </c:pt>
                <c:pt idx="841">
                  <c:v>8.8971</c:v>
                </c:pt>
                <c:pt idx="842">
                  <c:v>8.9215</c:v>
                </c:pt>
                <c:pt idx="843">
                  <c:v>8.919</c:v>
                </c:pt>
                <c:pt idx="844">
                  <c:v>8.8509</c:v>
                </c:pt>
                <c:pt idx="845">
                  <c:v>8.9151</c:v>
                </c:pt>
                <c:pt idx="846">
                  <c:v>8.8399</c:v>
                </c:pt>
                <c:pt idx="847">
                  <c:v>8.9369</c:v>
                </c:pt>
                <c:pt idx="848">
                  <c:v>9.043100000000001</c:v>
                </c:pt>
                <c:pt idx="849">
                  <c:v>9.0368</c:v>
                </c:pt>
                <c:pt idx="850">
                  <c:v>9.1126</c:v>
                </c:pt>
                <c:pt idx="851">
                  <c:v>8.9643</c:v>
                </c:pt>
                <c:pt idx="852">
                  <c:v>9.0575</c:v>
                </c:pt>
                <c:pt idx="853">
                  <c:v>9.0285</c:v>
                </c:pt>
                <c:pt idx="854">
                  <c:v>8.8632</c:v>
                </c:pt>
                <c:pt idx="855">
                  <c:v>8.8705</c:v>
                </c:pt>
                <c:pt idx="856">
                  <c:v>8.8875</c:v>
                </c:pt>
                <c:pt idx="857">
                  <c:v>8.8041</c:v>
                </c:pt>
                <c:pt idx="858">
                  <c:v>8.8023</c:v>
                </c:pt>
                <c:pt idx="859">
                  <c:v>8.8235</c:v>
                </c:pt>
                <c:pt idx="860">
                  <c:v>8.7129</c:v>
                </c:pt>
                <c:pt idx="861">
                  <c:v>8.7147</c:v>
                </c:pt>
                <c:pt idx="862">
                  <c:v>8.648</c:v>
                </c:pt>
                <c:pt idx="863">
                  <c:v>8.5871</c:v>
                </c:pt>
                <c:pt idx="864">
                  <c:v>8.5918</c:v>
                </c:pt>
                <c:pt idx="865">
                  <c:v>8.5741</c:v>
                </c:pt>
                <c:pt idx="866">
                  <c:v>8.5694</c:v>
                </c:pt>
                <c:pt idx="867">
                  <c:v>8.542300000000001</c:v>
                </c:pt>
                <c:pt idx="868">
                  <c:v>8.5278</c:v>
                </c:pt>
                <c:pt idx="869">
                  <c:v>8.4575</c:v>
                </c:pt>
                <c:pt idx="870">
                  <c:v>8.4778</c:v>
                </c:pt>
                <c:pt idx="871">
                  <c:v>8.4714</c:v>
                </c:pt>
                <c:pt idx="872">
                  <c:v>8.511</c:v>
                </c:pt>
                <c:pt idx="873">
                  <c:v>8.5663</c:v>
                </c:pt>
                <c:pt idx="874">
                  <c:v>8.5949</c:v>
                </c:pt>
                <c:pt idx="875">
                  <c:v>8.5865</c:v>
                </c:pt>
                <c:pt idx="876">
                  <c:v>8.5773</c:v>
                </c:pt>
                <c:pt idx="877">
                  <c:v>8.501</c:v>
                </c:pt>
                <c:pt idx="878">
                  <c:v>8.4746</c:v>
                </c:pt>
                <c:pt idx="879">
                  <c:v>8.4594</c:v>
                </c:pt>
                <c:pt idx="880">
                  <c:v>8.5504</c:v>
                </c:pt>
                <c:pt idx="881">
                  <c:v>8.622</c:v>
                </c:pt>
                <c:pt idx="882">
                  <c:v>8.6675</c:v>
                </c:pt>
                <c:pt idx="883">
                  <c:v>8.6266</c:v>
                </c:pt>
                <c:pt idx="884">
                  <c:v>8.6464</c:v>
                </c:pt>
                <c:pt idx="885">
                  <c:v>8.6715</c:v>
                </c:pt>
                <c:pt idx="886">
                  <c:v>8.663</c:v>
                </c:pt>
                <c:pt idx="887">
                  <c:v>8.688700000000001</c:v>
                </c:pt>
                <c:pt idx="888">
                  <c:v>8.7612</c:v>
                </c:pt>
                <c:pt idx="889">
                  <c:v>8.803</c:v>
                </c:pt>
                <c:pt idx="890">
                  <c:v>8.8595</c:v>
                </c:pt>
                <c:pt idx="891">
                  <c:v>8.8907</c:v>
                </c:pt>
                <c:pt idx="892">
                  <c:v>8.789</c:v>
                </c:pt>
                <c:pt idx="893">
                  <c:v>8.8157</c:v>
                </c:pt>
                <c:pt idx="894">
                  <c:v>8.8258</c:v>
                </c:pt>
                <c:pt idx="895">
                  <c:v>8.8761</c:v>
                </c:pt>
                <c:pt idx="896">
                  <c:v>8.8851</c:v>
                </c:pt>
                <c:pt idx="897">
                  <c:v>8.9405</c:v>
                </c:pt>
                <c:pt idx="898">
                  <c:v>8.9608</c:v>
                </c:pt>
                <c:pt idx="899">
                  <c:v>8.8608</c:v>
                </c:pt>
                <c:pt idx="900">
                  <c:v>8.8382</c:v>
                </c:pt>
                <c:pt idx="901">
                  <c:v>8.8716</c:v>
                </c:pt>
                <c:pt idx="902">
                  <c:v>8.94</c:v>
                </c:pt>
                <c:pt idx="903">
                  <c:v>8.9087</c:v>
                </c:pt>
                <c:pt idx="904">
                  <c:v>8.774800000000001</c:v>
                </c:pt>
                <c:pt idx="905">
                  <c:v>8.7486</c:v>
                </c:pt>
                <c:pt idx="906">
                  <c:v>8.7102</c:v>
                </c:pt>
                <c:pt idx="907">
                  <c:v>8.7104</c:v>
                </c:pt>
                <c:pt idx="908">
                  <c:v>8.6504</c:v>
                </c:pt>
                <c:pt idx="909">
                  <c:v>8.6257</c:v>
                </c:pt>
                <c:pt idx="910">
                  <c:v>8.7452</c:v>
                </c:pt>
                <c:pt idx="911">
                  <c:v>8.7714</c:v>
                </c:pt>
                <c:pt idx="912">
                  <c:v>8.649100000000001</c:v>
                </c:pt>
                <c:pt idx="913">
                  <c:v>8.6573</c:v>
                </c:pt>
                <c:pt idx="914">
                  <c:v>8.6435</c:v>
                </c:pt>
                <c:pt idx="915">
                  <c:v>8.6865</c:v>
                </c:pt>
                <c:pt idx="916">
                  <c:v>8.6467</c:v>
                </c:pt>
                <c:pt idx="917">
                  <c:v>8.719200000000001</c:v>
                </c:pt>
                <c:pt idx="918">
                  <c:v>8.7732</c:v>
                </c:pt>
                <c:pt idx="919">
                  <c:v>8.768800000000001</c:v>
                </c:pt>
                <c:pt idx="920">
                  <c:v>8.639200000000001</c:v>
                </c:pt>
                <c:pt idx="921">
                  <c:v>8.633800000000001</c:v>
                </c:pt>
                <c:pt idx="922">
                  <c:v>8.6294</c:v>
                </c:pt>
                <c:pt idx="923">
                  <c:v>8.5887</c:v>
                </c:pt>
                <c:pt idx="924">
                  <c:v>8.7442</c:v>
                </c:pt>
                <c:pt idx="925">
                  <c:v>8.8114</c:v>
                </c:pt>
                <c:pt idx="926">
                  <c:v>8.7447</c:v>
                </c:pt>
                <c:pt idx="927">
                  <c:v>8.6759</c:v>
                </c:pt>
                <c:pt idx="928">
                  <c:v>8.7068</c:v>
                </c:pt>
                <c:pt idx="929">
                  <c:v>8.7647</c:v>
                </c:pt>
                <c:pt idx="930">
                  <c:v>8.8525</c:v>
                </c:pt>
                <c:pt idx="931">
                  <c:v>8.7318</c:v>
                </c:pt>
                <c:pt idx="932">
                  <c:v>8.5247</c:v>
                </c:pt>
                <c:pt idx="933">
                  <c:v>8.43</c:v>
                </c:pt>
                <c:pt idx="934">
                  <c:v>8.3714</c:v>
                </c:pt>
                <c:pt idx="935">
                  <c:v>8.3675</c:v>
                </c:pt>
                <c:pt idx="936">
                  <c:v>8.2903</c:v>
                </c:pt>
                <c:pt idx="937">
                  <c:v>8.2257</c:v>
                </c:pt>
                <c:pt idx="938">
                  <c:v>8.2264</c:v>
                </c:pt>
                <c:pt idx="939">
                  <c:v>8.1808</c:v>
                </c:pt>
                <c:pt idx="940">
                  <c:v>8.2561</c:v>
                </c:pt>
                <c:pt idx="941">
                  <c:v>8.233700000000001</c:v>
                </c:pt>
                <c:pt idx="942">
                  <c:v>8.3307</c:v>
                </c:pt>
                <c:pt idx="943">
                  <c:v>8.2502</c:v>
                </c:pt>
                <c:pt idx="944">
                  <c:v>8.2021</c:v>
                </c:pt>
                <c:pt idx="945">
                  <c:v>8.2403</c:v>
                </c:pt>
                <c:pt idx="946">
                  <c:v>8.214</c:v>
                </c:pt>
                <c:pt idx="947">
                  <c:v>8.3235</c:v>
                </c:pt>
                <c:pt idx="948">
                  <c:v>8.3378</c:v>
                </c:pt>
                <c:pt idx="949">
                  <c:v>8.1539</c:v>
                </c:pt>
                <c:pt idx="950">
                  <c:v>8.1463</c:v>
                </c:pt>
                <c:pt idx="951">
                  <c:v>8.1714</c:v>
                </c:pt>
                <c:pt idx="952">
                  <c:v>8.2858</c:v>
                </c:pt>
                <c:pt idx="953">
                  <c:v>8.3943</c:v>
                </c:pt>
                <c:pt idx="954">
                  <c:v>8.411300000000001</c:v>
                </c:pt>
                <c:pt idx="955">
                  <c:v>8.4011</c:v>
                </c:pt>
                <c:pt idx="956">
                  <c:v>8.3947</c:v>
                </c:pt>
                <c:pt idx="957">
                  <c:v>8.4816</c:v>
                </c:pt>
                <c:pt idx="958">
                  <c:v>8.41</c:v>
                </c:pt>
                <c:pt idx="959">
                  <c:v>8.3854</c:v>
                </c:pt>
                <c:pt idx="960">
                  <c:v>8.4146</c:v>
                </c:pt>
                <c:pt idx="961">
                  <c:v>8.384</c:v>
                </c:pt>
                <c:pt idx="962">
                  <c:v>8.294</c:v>
                </c:pt>
                <c:pt idx="963">
                  <c:v>8.307</c:v>
                </c:pt>
                <c:pt idx="964">
                  <c:v>8.236000000000001</c:v>
                </c:pt>
                <c:pt idx="965">
                  <c:v>8.3057</c:v>
                </c:pt>
                <c:pt idx="966">
                  <c:v>8.3147</c:v>
                </c:pt>
                <c:pt idx="967">
                  <c:v>8.2202</c:v>
                </c:pt>
                <c:pt idx="968">
                  <c:v>8.222</c:v>
                </c:pt>
                <c:pt idx="969">
                  <c:v>8.1685</c:v>
                </c:pt>
                <c:pt idx="970">
                  <c:v>8.1557</c:v>
                </c:pt>
                <c:pt idx="971">
                  <c:v>8.0859</c:v>
                </c:pt>
                <c:pt idx="972">
                  <c:v>8.1062</c:v>
                </c:pt>
                <c:pt idx="973">
                  <c:v>8.103</c:v>
                </c:pt>
                <c:pt idx="974">
                  <c:v>8.1322</c:v>
                </c:pt>
                <c:pt idx="975">
                  <c:v>8.1448</c:v>
                </c:pt>
                <c:pt idx="976">
                  <c:v>8.1333</c:v>
                </c:pt>
                <c:pt idx="977">
                  <c:v>8.374</c:v>
                </c:pt>
                <c:pt idx="978">
                  <c:v>8.26</c:v>
                </c:pt>
                <c:pt idx="979">
                  <c:v>8.2623</c:v>
                </c:pt>
                <c:pt idx="980">
                  <c:v>8.210100000000001</c:v>
                </c:pt>
                <c:pt idx="981">
                  <c:v>8.1938</c:v>
                </c:pt>
                <c:pt idx="982">
                  <c:v>8.2657</c:v>
                </c:pt>
                <c:pt idx="983">
                  <c:v>8.45</c:v>
                </c:pt>
                <c:pt idx="984">
                  <c:v>8.539</c:v>
                </c:pt>
                <c:pt idx="985">
                  <c:v>8.4457</c:v>
                </c:pt>
                <c:pt idx="986">
                  <c:v>8.2851</c:v>
                </c:pt>
                <c:pt idx="987">
                  <c:v>8.1683</c:v>
                </c:pt>
                <c:pt idx="988">
                  <c:v>8.1546</c:v>
                </c:pt>
                <c:pt idx="989">
                  <c:v>8.200100000000001</c:v>
                </c:pt>
                <c:pt idx="990">
                  <c:v>8.2228</c:v>
                </c:pt>
                <c:pt idx="991">
                  <c:v>8.268000000000001</c:v>
                </c:pt>
                <c:pt idx="992">
                  <c:v>8.3414</c:v>
                </c:pt>
                <c:pt idx="993">
                  <c:v>8.2458</c:v>
                </c:pt>
                <c:pt idx="994">
                  <c:v>8.1896</c:v>
                </c:pt>
                <c:pt idx="995">
                  <c:v>8.2536</c:v>
                </c:pt>
                <c:pt idx="996">
                  <c:v>8.2574</c:v>
                </c:pt>
                <c:pt idx="997">
                  <c:v>8.1264</c:v>
                </c:pt>
                <c:pt idx="998">
                  <c:v>8.138</c:v>
                </c:pt>
                <c:pt idx="999">
                  <c:v>8.0865</c:v>
                </c:pt>
                <c:pt idx="1000">
                  <c:v>8.1714</c:v>
                </c:pt>
                <c:pt idx="1001">
                  <c:v>8.1878</c:v>
                </c:pt>
                <c:pt idx="1002">
                  <c:v>8.4359</c:v>
                </c:pt>
                <c:pt idx="1003">
                  <c:v>8.4074</c:v>
                </c:pt>
                <c:pt idx="1004">
                  <c:v>8.4498</c:v>
                </c:pt>
                <c:pt idx="1005">
                  <c:v>8.4972</c:v>
                </c:pt>
                <c:pt idx="1006">
                  <c:v>8.4087</c:v>
                </c:pt>
                <c:pt idx="1007">
                  <c:v>8.3413</c:v>
                </c:pt>
                <c:pt idx="1008">
                  <c:v>8.202</c:v>
                </c:pt>
                <c:pt idx="1009">
                  <c:v>8.2</c:v>
                </c:pt>
                <c:pt idx="1010">
                  <c:v>8.3291</c:v>
                </c:pt>
                <c:pt idx="1011">
                  <c:v>8.3548</c:v>
                </c:pt>
                <c:pt idx="1012">
                  <c:v>8.408</c:v>
                </c:pt>
                <c:pt idx="1013">
                  <c:v>8.3605</c:v>
                </c:pt>
                <c:pt idx="1014">
                  <c:v>8.4371</c:v>
                </c:pt>
                <c:pt idx="1015">
                  <c:v>8.448600000000001</c:v>
                </c:pt>
                <c:pt idx="1016">
                  <c:v>8.4215</c:v>
                </c:pt>
                <c:pt idx="1017">
                  <c:v>8.3305</c:v>
                </c:pt>
                <c:pt idx="1018">
                  <c:v>8.3139</c:v>
                </c:pt>
                <c:pt idx="1019">
                  <c:v>8.4553</c:v>
                </c:pt>
                <c:pt idx="1020">
                  <c:v>8.5085</c:v>
                </c:pt>
                <c:pt idx="1021">
                  <c:v>8.6057</c:v>
                </c:pt>
                <c:pt idx="1022">
                  <c:v>8.5033</c:v>
                </c:pt>
                <c:pt idx="1023">
                  <c:v>8.5</c:v>
                </c:pt>
                <c:pt idx="1024">
                  <c:v>8.349</c:v>
                </c:pt>
                <c:pt idx="1025">
                  <c:v>8.3493</c:v>
                </c:pt>
                <c:pt idx="1026">
                  <c:v>8.3799</c:v>
                </c:pt>
                <c:pt idx="1027">
                  <c:v>8.3741</c:v>
                </c:pt>
                <c:pt idx="1028">
                  <c:v>8.4358</c:v>
                </c:pt>
                <c:pt idx="1029">
                  <c:v>8.274000000000001</c:v>
                </c:pt>
                <c:pt idx="1030">
                  <c:v>8.2701</c:v>
                </c:pt>
                <c:pt idx="1031">
                  <c:v>8.334300000000001</c:v>
                </c:pt>
                <c:pt idx="1032">
                  <c:v>8.3215</c:v>
                </c:pt>
                <c:pt idx="1033">
                  <c:v>8.2816</c:v>
                </c:pt>
                <c:pt idx="1034">
                  <c:v>8.2776</c:v>
                </c:pt>
                <c:pt idx="1035">
                  <c:v>8.1661</c:v>
                </c:pt>
                <c:pt idx="1036">
                  <c:v>8.0886</c:v>
                </c:pt>
                <c:pt idx="1037">
                  <c:v>8.004200000000001</c:v>
                </c:pt>
                <c:pt idx="1038">
                  <c:v>8.0026</c:v>
                </c:pt>
                <c:pt idx="1039">
                  <c:v>7.9151</c:v>
                </c:pt>
                <c:pt idx="1040">
                  <c:v>7.8131</c:v>
                </c:pt>
                <c:pt idx="1041">
                  <c:v>7.8199</c:v>
                </c:pt>
                <c:pt idx="1042">
                  <c:v>7.7219</c:v>
                </c:pt>
                <c:pt idx="1043">
                  <c:v>7.7442</c:v>
                </c:pt>
                <c:pt idx="1044">
                  <c:v>7.7251</c:v>
                </c:pt>
                <c:pt idx="1045">
                  <c:v>7.7861</c:v>
                </c:pt>
                <c:pt idx="1046">
                  <c:v>7.7565</c:v>
                </c:pt>
                <c:pt idx="1047">
                  <c:v>7.7841</c:v>
                </c:pt>
                <c:pt idx="1048">
                  <c:v>7.7611</c:v>
                </c:pt>
                <c:pt idx="1049">
                  <c:v>7.8119</c:v>
                </c:pt>
                <c:pt idx="1050">
                  <c:v>7.8647</c:v>
                </c:pt>
                <c:pt idx="1051">
                  <c:v>7.802799999999999</c:v>
                </c:pt>
                <c:pt idx="1052">
                  <c:v>7.8602</c:v>
                </c:pt>
                <c:pt idx="1053">
                  <c:v>7.8189</c:v>
                </c:pt>
                <c:pt idx="1054">
                  <c:v>7.7946</c:v>
                </c:pt>
                <c:pt idx="1055">
                  <c:v>7.9518</c:v>
                </c:pt>
                <c:pt idx="1056">
                  <c:v>7.9392</c:v>
                </c:pt>
                <c:pt idx="1057">
                  <c:v>7.8968</c:v>
                </c:pt>
                <c:pt idx="1058">
                  <c:v>7.9793</c:v>
                </c:pt>
                <c:pt idx="1059">
                  <c:v>8.0085</c:v>
                </c:pt>
                <c:pt idx="1060">
                  <c:v>7.8745</c:v>
                </c:pt>
                <c:pt idx="1061">
                  <c:v>7.885</c:v>
                </c:pt>
                <c:pt idx="1062">
                  <c:v>7.8383</c:v>
                </c:pt>
                <c:pt idx="1063">
                  <c:v>7.8221</c:v>
                </c:pt>
                <c:pt idx="1064">
                  <c:v>7.7025</c:v>
                </c:pt>
                <c:pt idx="1065">
                  <c:v>7.6339</c:v>
                </c:pt>
                <c:pt idx="1066">
                  <c:v>7.6456</c:v>
                </c:pt>
                <c:pt idx="1067">
                  <c:v>7.7458</c:v>
                </c:pt>
                <c:pt idx="1068">
                  <c:v>7.688</c:v>
                </c:pt>
                <c:pt idx="1069">
                  <c:v>7.594</c:v>
                </c:pt>
                <c:pt idx="1070">
                  <c:v>7.5898</c:v>
                </c:pt>
                <c:pt idx="1071">
                  <c:v>7.6827</c:v>
                </c:pt>
                <c:pt idx="1072">
                  <c:v>7.7128</c:v>
                </c:pt>
                <c:pt idx="1073">
                  <c:v>7.6571</c:v>
                </c:pt>
                <c:pt idx="1074">
                  <c:v>7.6101</c:v>
                </c:pt>
                <c:pt idx="1075">
                  <c:v>7.5239</c:v>
                </c:pt>
                <c:pt idx="1076">
                  <c:v>7.5753</c:v>
                </c:pt>
                <c:pt idx="1077">
                  <c:v>7.6171</c:v>
                </c:pt>
                <c:pt idx="1078">
                  <c:v>7.7297</c:v>
                </c:pt>
                <c:pt idx="1079">
                  <c:v>7.5399</c:v>
                </c:pt>
                <c:pt idx="1080">
                  <c:v>7.5544</c:v>
                </c:pt>
                <c:pt idx="1081">
                  <c:v>7.5344</c:v>
                </c:pt>
                <c:pt idx="1082">
                  <c:v>7.5191</c:v>
                </c:pt>
                <c:pt idx="1083">
                  <c:v>7.6181</c:v>
                </c:pt>
                <c:pt idx="1084">
                  <c:v>7.6603</c:v>
                </c:pt>
                <c:pt idx="1085">
                  <c:v>7.555</c:v>
                </c:pt>
                <c:pt idx="1086">
                  <c:v>7.5169</c:v>
                </c:pt>
                <c:pt idx="1087">
                  <c:v>7.4578</c:v>
                </c:pt>
                <c:pt idx="1088">
                  <c:v>7.4531</c:v>
                </c:pt>
                <c:pt idx="1089">
                  <c:v>7.534</c:v>
                </c:pt>
                <c:pt idx="1090">
                  <c:v>7.538</c:v>
                </c:pt>
                <c:pt idx="1091">
                  <c:v>7.591</c:v>
                </c:pt>
                <c:pt idx="1092">
                  <c:v>7.6809</c:v>
                </c:pt>
                <c:pt idx="1093">
                  <c:v>7.7356</c:v>
                </c:pt>
                <c:pt idx="1094">
                  <c:v>7.7226</c:v>
                </c:pt>
                <c:pt idx="1095">
                  <c:v>7.6652</c:v>
                </c:pt>
                <c:pt idx="1096">
                  <c:v>7.7487</c:v>
                </c:pt>
                <c:pt idx="1097">
                  <c:v>7.7824</c:v>
                </c:pt>
                <c:pt idx="1098">
                  <c:v>7.7326</c:v>
                </c:pt>
                <c:pt idx="1099">
                  <c:v>7.7455</c:v>
                </c:pt>
                <c:pt idx="1100">
                  <c:v>7.6967</c:v>
                </c:pt>
                <c:pt idx="1101">
                  <c:v>7.7465</c:v>
                </c:pt>
                <c:pt idx="1102">
                  <c:v>7.6036</c:v>
                </c:pt>
                <c:pt idx="1103">
                  <c:v>7.5803</c:v>
                </c:pt>
                <c:pt idx="1104">
                  <c:v>7.5607</c:v>
                </c:pt>
                <c:pt idx="1105">
                  <c:v>7.5574</c:v>
                </c:pt>
                <c:pt idx="1106">
                  <c:v>7.5563</c:v>
                </c:pt>
                <c:pt idx="1107">
                  <c:v>7.64</c:v>
                </c:pt>
                <c:pt idx="1108">
                  <c:v>7.6735</c:v>
                </c:pt>
                <c:pt idx="1109">
                  <c:v>7.812</c:v>
                </c:pt>
                <c:pt idx="1110">
                  <c:v>7.8543</c:v>
                </c:pt>
                <c:pt idx="1111">
                  <c:v>7.7723</c:v>
                </c:pt>
                <c:pt idx="1112">
                  <c:v>7.7895</c:v>
                </c:pt>
                <c:pt idx="1113">
                  <c:v>7.9731</c:v>
                </c:pt>
                <c:pt idx="1114">
                  <c:v>7.9367</c:v>
                </c:pt>
                <c:pt idx="1115">
                  <c:v>7.9331</c:v>
                </c:pt>
                <c:pt idx="1116">
                  <c:v>7.9434</c:v>
                </c:pt>
                <c:pt idx="1117">
                  <c:v>7.9044</c:v>
                </c:pt>
                <c:pt idx="1118">
                  <c:v>7.9926</c:v>
                </c:pt>
                <c:pt idx="1119">
                  <c:v>8.0494</c:v>
                </c:pt>
                <c:pt idx="1120">
                  <c:v>8.1082</c:v>
                </c:pt>
                <c:pt idx="1121">
                  <c:v>8.1451</c:v>
                </c:pt>
                <c:pt idx="1122">
                  <c:v>8.0468</c:v>
                </c:pt>
                <c:pt idx="1123">
                  <c:v>8.1158</c:v>
                </c:pt>
                <c:pt idx="1124">
                  <c:v>8.1076</c:v>
                </c:pt>
                <c:pt idx="1125">
                  <c:v>8.1828</c:v>
                </c:pt>
                <c:pt idx="1126">
                  <c:v>8.1609</c:v>
                </c:pt>
                <c:pt idx="1127">
                  <c:v>8.1724</c:v>
                </c:pt>
                <c:pt idx="1128">
                  <c:v>8.1312</c:v>
                </c:pt>
                <c:pt idx="1129">
                  <c:v>8.0307</c:v>
                </c:pt>
                <c:pt idx="1130">
                  <c:v>8.0766</c:v>
                </c:pt>
                <c:pt idx="1131">
                  <c:v>8.0751</c:v>
                </c:pt>
                <c:pt idx="1132">
                  <c:v>8.185</c:v>
                </c:pt>
                <c:pt idx="1133">
                  <c:v>8.1932</c:v>
                </c:pt>
                <c:pt idx="1134">
                  <c:v>8.1409</c:v>
                </c:pt>
                <c:pt idx="1135">
                  <c:v>8.161</c:v>
                </c:pt>
                <c:pt idx="1136">
                  <c:v>8.1368</c:v>
                </c:pt>
                <c:pt idx="1137">
                  <c:v>8.1695</c:v>
                </c:pt>
                <c:pt idx="1138">
                  <c:v>8.263</c:v>
                </c:pt>
                <c:pt idx="1139">
                  <c:v>8.210000000000001</c:v>
                </c:pt>
                <c:pt idx="1140">
                  <c:v>8.3923</c:v>
                </c:pt>
                <c:pt idx="1141">
                  <c:v>8.3827</c:v>
                </c:pt>
                <c:pt idx="1142">
                  <c:v>8.4046</c:v>
                </c:pt>
                <c:pt idx="1143">
                  <c:v>8.434900000000001</c:v>
                </c:pt>
                <c:pt idx="1144">
                  <c:v>8.292</c:v>
                </c:pt>
                <c:pt idx="1145">
                  <c:v>8.2647</c:v>
                </c:pt>
                <c:pt idx="1146">
                  <c:v>8.116</c:v>
                </c:pt>
                <c:pt idx="1147">
                  <c:v>8.2675</c:v>
                </c:pt>
                <c:pt idx="1148">
                  <c:v>8.0225</c:v>
                </c:pt>
                <c:pt idx="1149">
                  <c:v>8.029</c:v>
                </c:pt>
                <c:pt idx="1150">
                  <c:v>8.006</c:v>
                </c:pt>
                <c:pt idx="1151">
                  <c:v>8.0569</c:v>
                </c:pt>
                <c:pt idx="1152">
                  <c:v>8.0928</c:v>
                </c:pt>
                <c:pt idx="1153">
                  <c:v>8.132</c:v>
                </c:pt>
                <c:pt idx="1154">
                  <c:v>8.3535</c:v>
                </c:pt>
                <c:pt idx="1155">
                  <c:v>8.3929</c:v>
                </c:pt>
                <c:pt idx="1156">
                  <c:v>8.5412</c:v>
                </c:pt>
                <c:pt idx="1157">
                  <c:v>8.4825</c:v>
                </c:pt>
                <c:pt idx="1158">
                  <c:v>8.5295</c:v>
                </c:pt>
                <c:pt idx="1159">
                  <c:v>8.3775</c:v>
                </c:pt>
                <c:pt idx="1160">
                  <c:v>8.328</c:v>
                </c:pt>
                <c:pt idx="1161">
                  <c:v>8.219</c:v>
                </c:pt>
                <c:pt idx="1162">
                  <c:v>8.2278</c:v>
                </c:pt>
                <c:pt idx="1163">
                  <c:v>8.1519</c:v>
                </c:pt>
                <c:pt idx="1164">
                  <c:v>8.1749</c:v>
                </c:pt>
                <c:pt idx="1165">
                  <c:v>8.0214</c:v>
                </c:pt>
                <c:pt idx="1166">
                  <c:v>7.9015</c:v>
                </c:pt>
                <c:pt idx="1167">
                  <c:v>7.9727</c:v>
                </c:pt>
                <c:pt idx="1168">
                  <c:v>7.9923</c:v>
                </c:pt>
                <c:pt idx="1169">
                  <c:v>7.8638</c:v>
                </c:pt>
                <c:pt idx="1170">
                  <c:v>7.967</c:v>
                </c:pt>
                <c:pt idx="1171">
                  <c:v>7.8945</c:v>
                </c:pt>
                <c:pt idx="1172">
                  <c:v>7.85</c:v>
                </c:pt>
                <c:pt idx="1173">
                  <c:v>7.9965</c:v>
                </c:pt>
                <c:pt idx="1174">
                  <c:v>8.0548</c:v>
                </c:pt>
                <c:pt idx="1175">
                  <c:v>7.8791</c:v>
                </c:pt>
                <c:pt idx="1176">
                  <c:v>7.7355</c:v>
                </c:pt>
                <c:pt idx="1177">
                  <c:v>7.7147</c:v>
                </c:pt>
                <c:pt idx="1178">
                  <c:v>8.0024</c:v>
                </c:pt>
                <c:pt idx="1179">
                  <c:v>7.9061</c:v>
                </c:pt>
                <c:pt idx="1180">
                  <c:v>7.8716</c:v>
                </c:pt>
                <c:pt idx="1181">
                  <c:v>8.0404</c:v>
                </c:pt>
                <c:pt idx="1182">
                  <c:v>8.2107</c:v>
                </c:pt>
                <c:pt idx="1183">
                  <c:v>8.016</c:v>
                </c:pt>
                <c:pt idx="1184">
                  <c:v>7.9965</c:v>
                </c:pt>
                <c:pt idx="1185">
                  <c:v>7.9616</c:v>
                </c:pt>
                <c:pt idx="1186">
                  <c:v>7.8545</c:v>
                </c:pt>
                <c:pt idx="1187">
                  <c:v>7.8965</c:v>
                </c:pt>
                <c:pt idx="1188">
                  <c:v>7.7943</c:v>
                </c:pt>
                <c:pt idx="1189">
                  <c:v>7.9157</c:v>
                </c:pt>
                <c:pt idx="1190">
                  <c:v>7.8399</c:v>
                </c:pt>
                <c:pt idx="1191">
                  <c:v>7.9722</c:v>
                </c:pt>
                <c:pt idx="1192">
                  <c:v>7.9763</c:v>
                </c:pt>
                <c:pt idx="1193">
                  <c:v>8.0205</c:v>
                </c:pt>
                <c:pt idx="1194">
                  <c:v>8.2318</c:v>
                </c:pt>
                <c:pt idx="1195">
                  <c:v>8.229900000000001</c:v>
                </c:pt>
                <c:pt idx="1196">
                  <c:v>8.0395</c:v>
                </c:pt>
                <c:pt idx="1197">
                  <c:v>7.9575</c:v>
                </c:pt>
                <c:pt idx="1198">
                  <c:v>7.81</c:v>
                </c:pt>
                <c:pt idx="1199">
                  <c:v>7.8571</c:v>
                </c:pt>
                <c:pt idx="1200">
                  <c:v>8.0996</c:v>
                </c:pt>
                <c:pt idx="1201">
                  <c:v>8.2549</c:v>
                </c:pt>
                <c:pt idx="1202">
                  <c:v>8.2515</c:v>
                </c:pt>
                <c:pt idx="1203">
                  <c:v>7.9117</c:v>
                </c:pt>
                <c:pt idx="1204">
                  <c:v>7.709</c:v>
                </c:pt>
                <c:pt idx="1205">
                  <c:v>7.7177</c:v>
                </c:pt>
                <c:pt idx="1206">
                  <c:v>7.44</c:v>
                </c:pt>
                <c:pt idx="1207">
                  <c:v>7.3768</c:v>
                </c:pt>
                <c:pt idx="1208">
                  <c:v>7.4105</c:v>
                </c:pt>
                <c:pt idx="1209">
                  <c:v>7.3038</c:v>
                </c:pt>
                <c:pt idx="1210">
                  <c:v>7.4576</c:v>
                </c:pt>
                <c:pt idx="1211">
                  <c:v>7.2737</c:v>
                </c:pt>
                <c:pt idx="1212">
                  <c:v>7.167</c:v>
                </c:pt>
                <c:pt idx="1213">
                  <c:v>7.1394</c:v>
                </c:pt>
                <c:pt idx="1214">
                  <c:v>7.1899</c:v>
                </c:pt>
                <c:pt idx="1215">
                  <c:v>7.1326</c:v>
                </c:pt>
                <c:pt idx="1216">
                  <c:v>7.0674</c:v>
                </c:pt>
                <c:pt idx="1217">
                  <c:v>6.9932</c:v>
                </c:pt>
                <c:pt idx="1218">
                  <c:v>6.9782</c:v>
                </c:pt>
                <c:pt idx="1219">
                  <c:v>7.0871</c:v>
                </c:pt>
                <c:pt idx="1220">
                  <c:v>7.0525</c:v>
                </c:pt>
                <c:pt idx="1221">
                  <c:v>7.1304</c:v>
                </c:pt>
                <c:pt idx="1222">
                  <c:v>7.226</c:v>
                </c:pt>
                <c:pt idx="1223">
                  <c:v>7.2444</c:v>
                </c:pt>
                <c:pt idx="1224">
                  <c:v>7.1755</c:v>
                </c:pt>
                <c:pt idx="1225">
                  <c:v>7.2209</c:v>
                </c:pt>
                <c:pt idx="1226">
                  <c:v>7.178</c:v>
                </c:pt>
                <c:pt idx="1227">
                  <c:v>7.2147</c:v>
                </c:pt>
                <c:pt idx="1228">
                  <c:v>7.0914</c:v>
                </c:pt>
                <c:pt idx="1229">
                  <c:v>7.1367</c:v>
                </c:pt>
                <c:pt idx="1230">
                  <c:v>7.1426</c:v>
                </c:pt>
                <c:pt idx="1231">
                  <c:v>7.168</c:v>
                </c:pt>
                <c:pt idx="1232">
                  <c:v>7.2317</c:v>
                </c:pt>
                <c:pt idx="1233">
                  <c:v>7.2722</c:v>
                </c:pt>
                <c:pt idx="1234">
                  <c:v>7.4029</c:v>
                </c:pt>
                <c:pt idx="1235">
                  <c:v>7.1166</c:v>
                </c:pt>
                <c:pt idx="1236">
                  <c:v>6.8898</c:v>
                </c:pt>
                <c:pt idx="1237">
                  <c:v>6.9225</c:v>
                </c:pt>
                <c:pt idx="1238">
                  <c:v>6.7429</c:v>
                </c:pt>
                <c:pt idx="1239">
                  <c:v>6.7673</c:v>
                </c:pt>
                <c:pt idx="1240">
                  <c:v>6.7346</c:v>
                </c:pt>
                <c:pt idx="1241">
                  <c:v>6.6988</c:v>
                </c:pt>
                <c:pt idx="1242">
                  <c:v>6.7095</c:v>
                </c:pt>
                <c:pt idx="1243">
                  <c:v>6.6703</c:v>
                </c:pt>
                <c:pt idx="1244">
                  <c:v>6.6747</c:v>
                </c:pt>
                <c:pt idx="1245">
                  <c:v>6.7643</c:v>
                </c:pt>
                <c:pt idx="1246">
                  <c:v>6.7716</c:v>
                </c:pt>
                <c:pt idx="1247">
                  <c:v>6.7785</c:v>
                </c:pt>
                <c:pt idx="1248">
                  <c:v>6.8861</c:v>
                </c:pt>
                <c:pt idx="1249">
                  <c:v>6.9444</c:v>
                </c:pt>
                <c:pt idx="1250">
                  <c:v>6.9893</c:v>
                </c:pt>
                <c:pt idx="1251">
                  <c:v>6.9026</c:v>
                </c:pt>
                <c:pt idx="1252">
                  <c:v>6.8572</c:v>
                </c:pt>
                <c:pt idx="1253">
                  <c:v>6.8223</c:v>
                </c:pt>
                <c:pt idx="1254">
                  <c:v>6.8764</c:v>
                </c:pt>
                <c:pt idx="1255">
                  <c:v>6.8335</c:v>
                </c:pt>
                <c:pt idx="1256">
                  <c:v>6.714</c:v>
                </c:pt>
                <c:pt idx="1257">
                  <c:v>6.6777</c:v>
                </c:pt>
                <c:pt idx="1258">
                  <c:v>6.736</c:v>
                </c:pt>
                <c:pt idx="1259">
                  <c:v>6.7303</c:v>
                </c:pt>
                <c:pt idx="1260">
                  <c:v>6.7191</c:v>
                </c:pt>
                <c:pt idx="1261">
                  <c:v>6.7237</c:v>
                </c:pt>
                <c:pt idx="1262">
                  <c:v>6.7602</c:v>
                </c:pt>
                <c:pt idx="1263">
                  <c:v>6.8265</c:v>
                </c:pt>
                <c:pt idx="1264">
                  <c:v>6.8415</c:v>
                </c:pt>
                <c:pt idx="1265">
                  <c:v>6.8737</c:v>
                </c:pt>
                <c:pt idx="1266">
                  <c:v>6.8993</c:v>
                </c:pt>
                <c:pt idx="1267">
                  <c:v>6.8614</c:v>
                </c:pt>
                <c:pt idx="1268">
                  <c:v>6.7586</c:v>
                </c:pt>
                <c:pt idx="1269">
                  <c:v>6.7275</c:v>
                </c:pt>
                <c:pt idx="1270">
                  <c:v>6.7798</c:v>
                </c:pt>
                <c:pt idx="1271">
                  <c:v>6.778</c:v>
                </c:pt>
                <c:pt idx="1272">
                  <c:v>6.8414</c:v>
                </c:pt>
                <c:pt idx="1273">
                  <c:v>6.843199999999999</c:v>
                </c:pt>
                <c:pt idx="1274">
                  <c:v>6.7612</c:v>
                </c:pt>
                <c:pt idx="1275">
                  <c:v>6.8022</c:v>
                </c:pt>
                <c:pt idx="1276">
                  <c:v>6.802799999999999</c:v>
                </c:pt>
                <c:pt idx="1277">
                  <c:v>6.7351</c:v>
                </c:pt>
                <c:pt idx="1278">
                  <c:v>6.7179</c:v>
                </c:pt>
                <c:pt idx="1279">
                  <c:v>6.7129</c:v>
                </c:pt>
                <c:pt idx="1280">
                  <c:v>6.7637</c:v>
                </c:pt>
                <c:pt idx="1281">
                  <c:v>6.6931</c:v>
                </c:pt>
                <c:pt idx="1282">
                  <c:v>6.7573</c:v>
                </c:pt>
                <c:pt idx="1283">
                  <c:v>6.8069</c:v>
                </c:pt>
                <c:pt idx="1284">
                  <c:v>6.8158</c:v>
                </c:pt>
                <c:pt idx="1285">
                  <c:v>6.9457</c:v>
                </c:pt>
                <c:pt idx="1286">
                  <c:v>6.9223</c:v>
                </c:pt>
                <c:pt idx="1287">
                  <c:v>6.9783</c:v>
                </c:pt>
                <c:pt idx="1288">
                  <c:v>7.0256</c:v>
                </c:pt>
                <c:pt idx="1289">
                  <c:v>6.9904</c:v>
                </c:pt>
                <c:pt idx="1290">
                  <c:v>7.0146</c:v>
                </c:pt>
                <c:pt idx="1291">
                  <c:v>6.9069</c:v>
                </c:pt>
                <c:pt idx="1292">
                  <c:v>6.8778</c:v>
                </c:pt>
                <c:pt idx="1293">
                  <c:v>6.9198</c:v>
                </c:pt>
                <c:pt idx="1294">
                  <c:v>6.983</c:v>
                </c:pt>
                <c:pt idx="1295">
                  <c:v>6.982</c:v>
                </c:pt>
                <c:pt idx="1296">
                  <c:v>7.0472</c:v>
                </c:pt>
                <c:pt idx="1297">
                  <c:v>6.9061</c:v>
                </c:pt>
                <c:pt idx="1298">
                  <c:v>6.8923</c:v>
                </c:pt>
                <c:pt idx="1299">
                  <c:v>6.771</c:v>
                </c:pt>
                <c:pt idx="1300">
                  <c:v>6.7543</c:v>
                </c:pt>
                <c:pt idx="1301">
                  <c:v>6.687</c:v>
                </c:pt>
                <c:pt idx="1302">
                  <c:v>6.7369</c:v>
                </c:pt>
                <c:pt idx="1303">
                  <c:v>6.6658</c:v>
                </c:pt>
                <c:pt idx="1304">
                  <c:v>6.6264</c:v>
                </c:pt>
                <c:pt idx="1305">
                  <c:v>6.5802</c:v>
                </c:pt>
                <c:pt idx="1306">
                  <c:v>6.5791</c:v>
                </c:pt>
                <c:pt idx="1307">
                  <c:v>6.625</c:v>
                </c:pt>
                <c:pt idx="1308">
                  <c:v>6.649599999999999</c:v>
                </c:pt>
                <c:pt idx="1309">
                  <c:v>6.6802</c:v>
                </c:pt>
                <c:pt idx="1310">
                  <c:v>6.733</c:v>
                </c:pt>
                <c:pt idx="1311">
                  <c:v>6.7076</c:v>
                </c:pt>
                <c:pt idx="1312">
                  <c:v>6.7047</c:v>
                </c:pt>
                <c:pt idx="1313">
                  <c:v>6.7996</c:v>
                </c:pt>
                <c:pt idx="1314">
                  <c:v>6.8245</c:v>
                </c:pt>
                <c:pt idx="1315">
                  <c:v>6.8648</c:v>
                </c:pt>
                <c:pt idx="1316">
                  <c:v>6.8142</c:v>
                </c:pt>
                <c:pt idx="1317">
                  <c:v>6.8495</c:v>
                </c:pt>
                <c:pt idx="1318">
                  <c:v>6.7937</c:v>
                </c:pt>
                <c:pt idx="1319">
                  <c:v>6.734199999999999</c:v>
                </c:pt>
                <c:pt idx="1320">
                  <c:v>6.6627</c:v>
                </c:pt>
                <c:pt idx="1321">
                  <c:v>6.6563</c:v>
                </c:pt>
                <c:pt idx="1322">
                  <c:v>6.6748</c:v>
                </c:pt>
                <c:pt idx="1323">
                  <c:v>6.6848</c:v>
                </c:pt>
                <c:pt idx="1324">
                  <c:v>6.721999999999999</c:v>
                </c:pt>
                <c:pt idx="1325">
                  <c:v>6.7113</c:v>
                </c:pt>
                <c:pt idx="1326">
                  <c:v>6.6948</c:v>
                </c:pt>
                <c:pt idx="1327">
                  <c:v>6.7694</c:v>
                </c:pt>
                <c:pt idx="1328">
                  <c:v>6.8029</c:v>
                </c:pt>
                <c:pt idx="1329">
                  <c:v>6.8695</c:v>
                </c:pt>
                <c:pt idx="1330">
                  <c:v>6.8636</c:v>
                </c:pt>
                <c:pt idx="1331">
                  <c:v>6.8655</c:v>
                </c:pt>
                <c:pt idx="1332">
                  <c:v>6.8629</c:v>
                </c:pt>
                <c:pt idx="1333">
                  <c:v>6.9171</c:v>
                </c:pt>
                <c:pt idx="1334">
                  <c:v>6.8951</c:v>
                </c:pt>
                <c:pt idx="1335">
                  <c:v>6.9555</c:v>
                </c:pt>
                <c:pt idx="1336">
                  <c:v>7.0022</c:v>
                </c:pt>
                <c:pt idx="1337">
                  <c:v>7.102</c:v>
                </c:pt>
                <c:pt idx="1338">
                  <c:v>7.0761</c:v>
                </c:pt>
                <c:pt idx="1339">
                  <c:v>6.987</c:v>
                </c:pt>
                <c:pt idx="1340">
                  <c:v>6.838</c:v>
                </c:pt>
                <c:pt idx="1341">
                  <c:v>6.8779</c:v>
                </c:pt>
                <c:pt idx="1342">
                  <c:v>6.9057</c:v>
                </c:pt>
                <c:pt idx="1343">
                  <c:v>6.8714</c:v>
                </c:pt>
                <c:pt idx="1344">
                  <c:v>6.8815</c:v>
                </c:pt>
                <c:pt idx="1345">
                  <c:v>6.8836</c:v>
                </c:pt>
                <c:pt idx="1346">
                  <c:v>6.8985</c:v>
                </c:pt>
                <c:pt idx="1347">
                  <c:v>6.9084</c:v>
                </c:pt>
                <c:pt idx="1348">
                  <c:v>6.8784</c:v>
                </c:pt>
                <c:pt idx="1349">
                  <c:v>6.9714</c:v>
                </c:pt>
                <c:pt idx="1350">
                  <c:v>6.9594</c:v>
                </c:pt>
                <c:pt idx="1351">
                  <c:v>7.0028</c:v>
                </c:pt>
                <c:pt idx="1352">
                  <c:v>7.065</c:v>
                </c:pt>
                <c:pt idx="1353">
                  <c:v>7.1262</c:v>
                </c:pt>
                <c:pt idx="1354">
                  <c:v>7.1587</c:v>
                </c:pt>
                <c:pt idx="1355">
                  <c:v>7.1589</c:v>
                </c:pt>
                <c:pt idx="1356">
                  <c:v>7.1325</c:v>
                </c:pt>
                <c:pt idx="1357">
                  <c:v>7.1987</c:v>
                </c:pt>
                <c:pt idx="1358">
                  <c:v>7.2478</c:v>
                </c:pt>
                <c:pt idx="1359">
                  <c:v>7.311</c:v>
                </c:pt>
                <c:pt idx="1360">
                  <c:v>7.306599999999999</c:v>
                </c:pt>
                <c:pt idx="1361">
                  <c:v>7.2956</c:v>
                </c:pt>
                <c:pt idx="1362">
                  <c:v>7.2613</c:v>
                </c:pt>
                <c:pt idx="1363">
                  <c:v>7.2235</c:v>
                </c:pt>
                <c:pt idx="1364">
                  <c:v>7.1738</c:v>
                </c:pt>
                <c:pt idx="1365">
                  <c:v>7.2614</c:v>
                </c:pt>
                <c:pt idx="1366">
                  <c:v>7.2541</c:v>
                </c:pt>
                <c:pt idx="1367">
                  <c:v>7.2753</c:v>
                </c:pt>
                <c:pt idx="1368">
                  <c:v>7.1665</c:v>
                </c:pt>
                <c:pt idx="1369">
                  <c:v>7.1249</c:v>
                </c:pt>
                <c:pt idx="1370">
                  <c:v>7.1788</c:v>
                </c:pt>
                <c:pt idx="1371">
                  <c:v>7.1642</c:v>
                </c:pt>
                <c:pt idx="1372">
                  <c:v>7.0418</c:v>
                </c:pt>
                <c:pt idx="1373">
                  <c:v>7.093</c:v>
                </c:pt>
                <c:pt idx="1374">
                  <c:v>7.0759</c:v>
                </c:pt>
                <c:pt idx="1375">
                  <c:v>7.0055</c:v>
                </c:pt>
                <c:pt idx="1376">
                  <c:v>7.0819</c:v>
                </c:pt>
                <c:pt idx="1377">
                  <c:v>7.0699</c:v>
                </c:pt>
                <c:pt idx="1378">
                  <c:v>6.9898</c:v>
                </c:pt>
                <c:pt idx="1379">
                  <c:v>6.9133</c:v>
                </c:pt>
                <c:pt idx="1380">
                  <c:v>6.8963</c:v>
                </c:pt>
                <c:pt idx="1381">
                  <c:v>6.9444</c:v>
                </c:pt>
                <c:pt idx="1382">
                  <c:v>6.8149</c:v>
                </c:pt>
                <c:pt idx="1383">
                  <c:v>6.8325</c:v>
                </c:pt>
                <c:pt idx="1384">
                  <c:v>6.8714</c:v>
                </c:pt>
                <c:pt idx="1385">
                  <c:v>6.8307</c:v>
                </c:pt>
                <c:pt idx="1386">
                  <c:v>6.8172</c:v>
                </c:pt>
                <c:pt idx="1387">
                  <c:v>6.7815</c:v>
                </c:pt>
                <c:pt idx="1388">
                  <c:v>6.705</c:v>
                </c:pt>
                <c:pt idx="1389">
                  <c:v>6.6998</c:v>
                </c:pt>
                <c:pt idx="1390">
                  <c:v>6.608</c:v>
                </c:pt>
                <c:pt idx="1391">
                  <c:v>6.5869</c:v>
                </c:pt>
                <c:pt idx="1392">
                  <c:v>6.6649</c:v>
                </c:pt>
                <c:pt idx="1393">
                  <c:v>6.660999999999999</c:v>
                </c:pt>
                <c:pt idx="1394">
                  <c:v>6.6603</c:v>
                </c:pt>
                <c:pt idx="1395">
                  <c:v>6.7434</c:v>
                </c:pt>
                <c:pt idx="1396">
                  <c:v>6.733</c:v>
                </c:pt>
                <c:pt idx="1397">
                  <c:v>6.7448</c:v>
                </c:pt>
                <c:pt idx="1398">
                  <c:v>6.796</c:v>
                </c:pt>
                <c:pt idx="1399">
                  <c:v>6.8152</c:v>
                </c:pt>
                <c:pt idx="1400">
                  <c:v>6.8465</c:v>
                </c:pt>
                <c:pt idx="1401">
                  <c:v>6.8655</c:v>
                </c:pt>
                <c:pt idx="1402">
                  <c:v>6.835</c:v>
                </c:pt>
                <c:pt idx="1403">
                  <c:v>6.8252</c:v>
                </c:pt>
                <c:pt idx="1404">
                  <c:v>6.8225</c:v>
                </c:pt>
                <c:pt idx="1405">
                  <c:v>6.846</c:v>
                </c:pt>
                <c:pt idx="1406">
                  <c:v>6.8634</c:v>
                </c:pt>
                <c:pt idx="1407">
                  <c:v>6.8766</c:v>
                </c:pt>
                <c:pt idx="1408">
                  <c:v>6.9275</c:v>
                </c:pt>
                <c:pt idx="1409">
                  <c:v>6.8938</c:v>
                </c:pt>
                <c:pt idx="1410">
                  <c:v>6.8958</c:v>
                </c:pt>
                <c:pt idx="1411">
                  <c:v>6.8582</c:v>
                </c:pt>
                <c:pt idx="1412">
                  <c:v>6.887</c:v>
                </c:pt>
                <c:pt idx="1413">
                  <c:v>7.0061</c:v>
                </c:pt>
                <c:pt idx="1414">
                  <c:v>7.0918</c:v>
                </c:pt>
                <c:pt idx="1415">
                  <c:v>7.1587</c:v>
                </c:pt>
                <c:pt idx="1416">
                  <c:v>7.1385</c:v>
                </c:pt>
                <c:pt idx="1417">
                  <c:v>7.0512</c:v>
                </c:pt>
                <c:pt idx="1418">
                  <c:v>7.0662</c:v>
                </c:pt>
                <c:pt idx="1419">
                  <c:v>7.1078</c:v>
                </c:pt>
                <c:pt idx="1420">
                  <c:v>7.0285</c:v>
                </c:pt>
                <c:pt idx="1421">
                  <c:v>7.0184</c:v>
                </c:pt>
                <c:pt idx="1422">
                  <c:v>6.9887</c:v>
                </c:pt>
                <c:pt idx="1423">
                  <c:v>7.0135</c:v>
                </c:pt>
                <c:pt idx="1424">
                  <c:v>7.0676</c:v>
                </c:pt>
                <c:pt idx="1425">
                  <c:v>6.9485</c:v>
                </c:pt>
                <c:pt idx="1426">
                  <c:v>6.965</c:v>
                </c:pt>
                <c:pt idx="1427">
                  <c:v>6.9448</c:v>
                </c:pt>
                <c:pt idx="1428">
                  <c:v>6.9095</c:v>
                </c:pt>
                <c:pt idx="1429">
                  <c:v>6.8451</c:v>
                </c:pt>
                <c:pt idx="1430">
                  <c:v>6.837099999999999</c:v>
                </c:pt>
                <c:pt idx="1431">
                  <c:v>6.788</c:v>
                </c:pt>
                <c:pt idx="1432">
                  <c:v>6.81</c:v>
                </c:pt>
                <c:pt idx="1433">
                  <c:v>6.9126</c:v>
                </c:pt>
                <c:pt idx="1434">
                  <c:v>6.886</c:v>
                </c:pt>
                <c:pt idx="1435">
                  <c:v>6.979</c:v>
                </c:pt>
                <c:pt idx="1436">
                  <c:v>6.9757</c:v>
                </c:pt>
                <c:pt idx="1437">
                  <c:v>6.994</c:v>
                </c:pt>
                <c:pt idx="1438">
                  <c:v>7.0679</c:v>
                </c:pt>
                <c:pt idx="1439">
                  <c:v>6.9437</c:v>
                </c:pt>
                <c:pt idx="1440">
                  <c:v>6.921</c:v>
                </c:pt>
                <c:pt idx="1441">
                  <c:v>6.9641</c:v>
                </c:pt>
                <c:pt idx="1442">
                  <c:v>6.9475</c:v>
                </c:pt>
                <c:pt idx="1443">
                  <c:v>6.9149</c:v>
                </c:pt>
                <c:pt idx="1444">
                  <c:v>6.9584</c:v>
                </c:pt>
                <c:pt idx="1445">
                  <c:v>6.8713</c:v>
                </c:pt>
                <c:pt idx="1446">
                  <c:v>6.8266</c:v>
                </c:pt>
                <c:pt idx="1447">
                  <c:v>6.8018</c:v>
                </c:pt>
                <c:pt idx="1448">
                  <c:v>6.81</c:v>
                </c:pt>
                <c:pt idx="1449">
                  <c:v>6.8894</c:v>
                </c:pt>
                <c:pt idx="1450">
                  <c:v>6.8567</c:v>
                </c:pt>
                <c:pt idx="1451">
                  <c:v>6.8545</c:v>
                </c:pt>
                <c:pt idx="1452">
                  <c:v>6.9059</c:v>
                </c:pt>
                <c:pt idx="1453">
                  <c:v>6.8576</c:v>
                </c:pt>
                <c:pt idx="1454">
                  <c:v>6.9037</c:v>
                </c:pt>
                <c:pt idx="1455">
                  <c:v>7.0171</c:v>
                </c:pt>
                <c:pt idx="1456">
                  <c:v>6.9402</c:v>
                </c:pt>
                <c:pt idx="1457">
                  <c:v>6.9821</c:v>
                </c:pt>
                <c:pt idx="1458">
                  <c:v>6.9729</c:v>
                </c:pt>
                <c:pt idx="1459">
                  <c:v>6.9748</c:v>
                </c:pt>
                <c:pt idx="1460">
                  <c:v>6.9954</c:v>
                </c:pt>
                <c:pt idx="1461">
                  <c:v>7.0063</c:v>
                </c:pt>
                <c:pt idx="1462">
                  <c:v>7.0361</c:v>
                </c:pt>
                <c:pt idx="1463">
                  <c:v>7.0248</c:v>
                </c:pt>
                <c:pt idx="1464">
                  <c:v>7.1319</c:v>
                </c:pt>
                <c:pt idx="1465">
                  <c:v>7.1294</c:v>
                </c:pt>
                <c:pt idx="1466">
                  <c:v>7.1263</c:v>
                </c:pt>
                <c:pt idx="1467">
                  <c:v>7.1612</c:v>
                </c:pt>
                <c:pt idx="1468">
                  <c:v>7.0931</c:v>
                </c:pt>
                <c:pt idx="1469">
                  <c:v>7.0662</c:v>
                </c:pt>
                <c:pt idx="1470">
                  <c:v>7.1408</c:v>
                </c:pt>
                <c:pt idx="1471">
                  <c:v>7.1884</c:v>
                </c:pt>
                <c:pt idx="1472">
                  <c:v>7.2024</c:v>
                </c:pt>
                <c:pt idx="1473">
                  <c:v>7.2405</c:v>
                </c:pt>
                <c:pt idx="1474">
                  <c:v>7.2631</c:v>
                </c:pt>
                <c:pt idx="1475">
                  <c:v>7.2213</c:v>
                </c:pt>
                <c:pt idx="1476">
                  <c:v>7.1818</c:v>
                </c:pt>
                <c:pt idx="1477">
                  <c:v>7.2352</c:v>
                </c:pt>
                <c:pt idx="1478">
                  <c:v>7.2911</c:v>
                </c:pt>
                <c:pt idx="1479">
                  <c:v>7.3835</c:v>
                </c:pt>
                <c:pt idx="1480">
                  <c:v>7.3413</c:v>
                </c:pt>
                <c:pt idx="1481">
                  <c:v>7.3076</c:v>
                </c:pt>
                <c:pt idx="1482">
                  <c:v>7.3161</c:v>
                </c:pt>
                <c:pt idx="1483">
                  <c:v>7.3651</c:v>
                </c:pt>
                <c:pt idx="1484">
                  <c:v>7.3568</c:v>
                </c:pt>
                <c:pt idx="1485">
                  <c:v>7.3441</c:v>
                </c:pt>
                <c:pt idx="1486">
                  <c:v>7.3288</c:v>
                </c:pt>
                <c:pt idx="1487">
                  <c:v>7.292</c:v>
                </c:pt>
                <c:pt idx="1488">
                  <c:v>7.2563</c:v>
                </c:pt>
                <c:pt idx="1489">
                  <c:v>7.2602</c:v>
                </c:pt>
                <c:pt idx="1490">
                  <c:v>7.2522</c:v>
                </c:pt>
                <c:pt idx="1491">
                  <c:v>7.3058</c:v>
                </c:pt>
                <c:pt idx="1492">
                  <c:v>7.29</c:v>
                </c:pt>
                <c:pt idx="1493">
                  <c:v>7.2804</c:v>
                </c:pt>
                <c:pt idx="1494">
                  <c:v>7.233</c:v>
                </c:pt>
                <c:pt idx="1495">
                  <c:v>7.1908</c:v>
                </c:pt>
                <c:pt idx="1496">
                  <c:v>7.2452</c:v>
                </c:pt>
                <c:pt idx="1497">
                  <c:v>7.2488</c:v>
                </c:pt>
                <c:pt idx="1498">
                  <c:v>7.2553</c:v>
                </c:pt>
                <c:pt idx="1499">
                  <c:v>7.2839</c:v>
                </c:pt>
                <c:pt idx="1500">
                  <c:v>7.2744</c:v>
                </c:pt>
                <c:pt idx="1501">
                  <c:v>7.2988</c:v>
                </c:pt>
                <c:pt idx="1502">
                  <c:v>7.3467</c:v>
                </c:pt>
                <c:pt idx="1503">
                  <c:v>7.3372</c:v>
                </c:pt>
                <c:pt idx="1504">
                  <c:v>7.3263</c:v>
                </c:pt>
                <c:pt idx="1505">
                  <c:v>7.3553</c:v>
                </c:pt>
                <c:pt idx="1506">
                  <c:v>7.4516</c:v>
                </c:pt>
                <c:pt idx="1507">
                  <c:v>7.4408</c:v>
                </c:pt>
                <c:pt idx="1508">
                  <c:v>7.522</c:v>
                </c:pt>
                <c:pt idx="1509">
                  <c:v>7.5815</c:v>
                </c:pt>
                <c:pt idx="1510">
                  <c:v>7.6513</c:v>
                </c:pt>
                <c:pt idx="1511">
                  <c:v>7.5964</c:v>
                </c:pt>
                <c:pt idx="1512">
                  <c:v>7.5852</c:v>
                </c:pt>
                <c:pt idx="1513">
                  <c:v>7.5336</c:v>
                </c:pt>
                <c:pt idx="1514">
                  <c:v>7.5286</c:v>
                </c:pt>
                <c:pt idx="1515">
                  <c:v>7.6171</c:v>
                </c:pt>
                <c:pt idx="1516">
                  <c:v>7.5836</c:v>
                </c:pt>
                <c:pt idx="1517">
                  <c:v>7.5913</c:v>
                </c:pt>
                <c:pt idx="1518">
                  <c:v>7.6249</c:v>
                </c:pt>
                <c:pt idx="1519">
                  <c:v>7.6476</c:v>
                </c:pt>
                <c:pt idx="1520">
                  <c:v>7.7465</c:v>
                </c:pt>
                <c:pt idx="1521">
                  <c:v>7.7254</c:v>
                </c:pt>
                <c:pt idx="1522">
                  <c:v>7.7379</c:v>
                </c:pt>
                <c:pt idx="1523">
                  <c:v>7.6543</c:v>
                </c:pt>
                <c:pt idx="1524">
                  <c:v>7.6662</c:v>
                </c:pt>
                <c:pt idx="1525">
                  <c:v>7.5626</c:v>
                </c:pt>
                <c:pt idx="1526">
                  <c:v>7.62</c:v>
                </c:pt>
                <c:pt idx="1527">
                  <c:v>7.5744</c:v>
                </c:pt>
                <c:pt idx="1528">
                  <c:v>7.55</c:v>
                </c:pt>
                <c:pt idx="1529">
                  <c:v>7.5386</c:v>
                </c:pt>
                <c:pt idx="1530">
                  <c:v>7.4918</c:v>
                </c:pt>
                <c:pt idx="1531">
                  <c:v>7.5174</c:v>
                </c:pt>
                <c:pt idx="1532">
                  <c:v>7.5901</c:v>
                </c:pt>
                <c:pt idx="1533">
                  <c:v>7.5806</c:v>
                </c:pt>
                <c:pt idx="1534">
                  <c:v>7.5958</c:v>
                </c:pt>
                <c:pt idx="1535">
                  <c:v>7.6631</c:v>
                </c:pt>
                <c:pt idx="1536">
                  <c:v>7.7097</c:v>
                </c:pt>
                <c:pt idx="1537">
                  <c:v>7.7151</c:v>
                </c:pt>
                <c:pt idx="1538">
                  <c:v>7.7503</c:v>
                </c:pt>
                <c:pt idx="1539">
                  <c:v>7.7469</c:v>
                </c:pt>
                <c:pt idx="1540">
                  <c:v>7.7996</c:v>
                </c:pt>
                <c:pt idx="1541">
                  <c:v>7.7655</c:v>
                </c:pt>
                <c:pt idx="1542">
                  <c:v>7.7055</c:v>
                </c:pt>
                <c:pt idx="1543">
                  <c:v>7.6761</c:v>
                </c:pt>
                <c:pt idx="1544">
                  <c:v>7.6763</c:v>
                </c:pt>
                <c:pt idx="1545">
                  <c:v>7.6604</c:v>
                </c:pt>
                <c:pt idx="1546">
                  <c:v>7.6085</c:v>
                </c:pt>
                <c:pt idx="1547">
                  <c:v>7.574</c:v>
                </c:pt>
                <c:pt idx="1548">
                  <c:v>7.7188</c:v>
                </c:pt>
                <c:pt idx="1549">
                  <c:v>7.9433</c:v>
                </c:pt>
                <c:pt idx="1550">
                  <c:v>7.8258</c:v>
                </c:pt>
                <c:pt idx="1551">
                  <c:v>7.9275</c:v>
                </c:pt>
                <c:pt idx="1552">
                  <c:v>8.0154</c:v>
                </c:pt>
                <c:pt idx="1553">
                  <c:v>7.8471</c:v>
                </c:pt>
                <c:pt idx="1554">
                  <c:v>7.605</c:v>
                </c:pt>
                <c:pt idx="1555">
                  <c:v>7.6042</c:v>
                </c:pt>
                <c:pt idx="1556">
                  <c:v>7.5416</c:v>
                </c:pt>
                <c:pt idx="1557">
                  <c:v>7.4533</c:v>
                </c:pt>
                <c:pt idx="1558">
                  <c:v>7.4752</c:v>
                </c:pt>
                <c:pt idx="1559">
                  <c:v>7.4872</c:v>
                </c:pt>
                <c:pt idx="1560">
                  <c:v>7.5016</c:v>
                </c:pt>
                <c:pt idx="1561">
                  <c:v>7.6524</c:v>
                </c:pt>
                <c:pt idx="1562">
                  <c:v>7.7398</c:v>
                </c:pt>
                <c:pt idx="1563">
                  <c:v>7.6146</c:v>
                </c:pt>
                <c:pt idx="1564">
                  <c:v>7.5529</c:v>
                </c:pt>
                <c:pt idx="1565">
                  <c:v>7.4099</c:v>
                </c:pt>
                <c:pt idx="1566">
                  <c:v>7.3885</c:v>
                </c:pt>
                <c:pt idx="1567">
                  <c:v>7.3527</c:v>
                </c:pt>
                <c:pt idx="1568">
                  <c:v>7.4861</c:v>
                </c:pt>
                <c:pt idx="1569">
                  <c:v>7.4467</c:v>
                </c:pt>
                <c:pt idx="1570">
                  <c:v>7.3288</c:v>
                </c:pt>
                <c:pt idx="1571">
                  <c:v>7.4395</c:v>
                </c:pt>
                <c:pt idx="1572">
                  <c:v>7.4963</c:v>
                </c:pt>
                <c:pt idx="1573">
                  <c:v>7.4035</c:v>
                </c:pt>
                <c:pt idx="1574">
                  <c:v>7.3875</c:v>
                </c:pt>
                <c:pt idx="1575">
                  <c:v>7.4809</c:v>
                </c:pt>
                <c:pt idx="1576">
                  <c:v>7.4037</c:v>
                </c:pt>
                <c:pt idx="1577">
                  <c:v>7.3138</c:v>
                </c:pt>
                <c:pt idx="1578">
                  <c:v>7.3004</c:v>
                </c:pt>
                <c:pt idx="1579">
                  <c:v>7.3025</c:v>
                </c:pt>
                <c:pt idx="1580">
                  <c:v>7.2684</c:v>
                </c:pt>
                <c:pt idx="1581">
                  <c:v>7.2442</c:v>
                </c:pt>
                <c:pt idx="1582">
                  <c:v>7.269</c:v>
                </c:pt>
                <c:pt idx="1583">
                  <c:v>7.2759</c:v>
                </c:pt>
                <c:pt idx="1584">
                  <c:v>7.264</c:v>
                </c:pt>
                <c:pt idx="1585">
                  <c:v>7.2351</c:v>
                </c:pt>
                <c:pt idx="1586">
                  <c:v>7.2463</c:v>
                </c:pt>
                <c:pt idx="1587">
                  <c:v>7.248</c:v>
                </c:pt>
                <c:pt idx="1588">
                  <c:v>7.2647</c:v>
                </c:pt>
                <c:pt idx="1589">
                  <c:v>7.3825</c:v>
                </c:pt>
                <c:pt idx="1590">
                  <c:v>7.4207</c:v>
                </c:pt>
                <c:pt idx="1591">
                  <c:v>7.4538</c:v>
                </c:pt>
                <c:pt idx="1592">
                  <c:v>7.4675</c:v>
                </c:pt>
                <c:pt idx="1593">
                  <c:v>7.3805</c:v>
                </c:pt>
                <c:pt idx="1594">
                  <c:v>7.3244</c:v>
                </c:pt>
                <c:pt idx="1595">
                  <c:v>7.3274</c:v>
                </c:pt>
                <c:pt idx="1596">
                  <c:v>7.3297</c:v>
                </c:pt>
                <c:pt idx="1597">
                  <c:v>7.291</c:v>
                </c:pt>
                <c:pt idx="1598">
                  <c:v>7.2823</c:v>
                </c:pt>
                <c:pt idx="1599">
                  <c:v>7.3665</c:v>
                </c:pt>
                <c:pt idx="1600">
                  <c:v>7.4194</c:v>
                </c:pt>
                <c:pt idx="1601">
                  <c:v>7.3966</c:v>
                </c:pt>
                <c:pt idx="1602">
                  <c:v>7.4313</c:v>
                </c:pt>
                <c:pt idx="1603">
                  <c:v>7.417</c:v>
                </c:pt>
                <c:pt idx="1604">
                  <c:v>7.387</c:v>
                </c:pt>
                <c:pt idx="1605">
                  <c:v>7.3888</c:v>
                </c:pt>
                <c:pt idx="1606">
                  <c:v>7.4213</c:v>
                </c:pt>
                <c:pt idx="1607">
                  <c:v>7.4769</c:v>
                </c:pt>
                <c:pt idx="1608">
                  <c:v>7.511</c:v>
                </c:pt>
                <c:pt idx="1609">
                  <c:v>7.5933</c:v>
                </c:pt>
                <c:pt idx="1610">
                  <c:v>7.6062</c:v>
                </c:pt>
                <c:pt idx="1611">
                  <c:v>7.6706</c:v>
                </c:pt>
                <c:pt idx="1612">
                  <c:v>7.8388</c:v>
                </c:pt>
                <c:pt idx="1613">
                  <c:v>7.7575</c:v>
                </c:pt>
                <c:pt idx="1614">
                  <c:v>7.7815</c:v>
                </c:pt>
                <c:pt idx="1615">
                  <c:v>7.7265</c:v>
                </c:pt>
                <c:pt idx="1616">
                  <c:v>7.658</c:v>
                </c:pt>
                <c:pt idx="1617">
                  <c:v>7.6127</c:v>
                </c:pt>
                <c:pt idx="1618">
                  <c:v>7.6088</c:v>
                </c:pt>
                <c:pt idx="1619">
                  <c:v>7.6718</c:v>
                </c:pt>
                <c:pt idx="1620">
                  <c:v>7.7328</c:v>
                </c:pt>
                <c:pt idx="1621">
                  <c:v>7.697599999999999</c:v>
                </c:pt>
                <c:pt idx="1622">
                  <c:v>7.6407</c:v>
                </c:pt>
                <c:pt idx="1623">
                  <c:v>7.743</c:v>
                </c:pt>
                <c:pt idx="1624">
                  <c:v>7.697</c:v>
                </c:pt>
                <c:pt idx="1625">
                  <c:v>7.7248</c:v>
                </c:pt>
                <c:pt idx="1626">
                  <c:v>7.7858</c:v>
                </c:pt>
                <c:pt idx="1627">
                  <c:v>7.6895</c:v>
                </c:pt>
                <c:pt idx="1628">
                  <c:v>7.5071</c:v>
                </c:pt>
                <c:pt idx="1629">
                  <c:v>7.4921</c:v>
                </c:pt>
                <c:pt idx="1630">
                  <c:v>7.5075</c:v>
                </c:pt>
                <c:pt idx="1631">
                  <c:v>7.5662</c:v>
                </c:pt>
                <c:pt idx="1632">
                  <c:v>7.6268</c:v>
                </c:pt>
                <c:pt idx="1633">
                  <c:v>7.6218</c:v>
                </c:pt>
                <c:pt idx="1634">
                  <c:v>7.5594</c:v>
                </c:pt>
                <c:pt idx="1635">
                  <c:v>7.6</c:v>
                </c:pt>
                <c:pt idx="1636">
                  <c:v>7.5984</c:v>
                </c:pt>
                <c:pt idx="1637">
                  <c:v>7.5725</c:v>
                </c:pt>
                <c:pt idx="1638">
                  <c:v>7.53</c:v>
                </c:pt>
                <c:pt idx="1639">
                  <c:v>7.4011</c:v>
                </c:pt>
                <c:pt idx="1640">
                  <c:v>7.3962</c:v>
                </c:pt>
                <c:pt idx="1641">
                  <c:v>7.4141</c:v>
                </c:pt>
                <c:pt idx="1642">
                  <c:v>7.4022</c:v>
                </c:pt>
                <c:pt idx="1643">
                  <c:v>7.4053</c:v>
                </c:pt>
                <c:pt idx="1644">
                  <c:v>7.4427</c:v>
                </c:pt>
                <c:pt idx="1645">
                  <c:v>7.369099999999999</c:v>
                </c:pt>
                <c:pt idx="1646">
                  <c:v>7.326</c:v>
                </c:pt>
                <c:pt idx="1647">
                  <c:v>7.4347</c:v>
                </c:pt>
                <c:pt idx="1648">
                  <c:v>7.3048</c:v>
                </c:pt>
                <c:pt idx="1649">
                  <c:v>7.3143</c:v>
                </c:pt>
                <c:pt idx="1650">
                  <c:v>7.2883</c:v>
                </c:pt>
                <c:pt idx="1651">
                  <c:v>7.389</c:v>
                </c:pt>
                <c:pt idx="1652">
                  <c:v>7.38</c:v>
                </c:pt>
                <c:pt idx="1653">
                  <c:v>7.3872</c:v>
                </c:pt>
                <c:pt idx="1654">
                  <c:v>7.391</c:v>
                </c:pt>
                <c:pt idx="1655">
                  <c:v>7.4874</c:v>
                </c:pt>
                <c:pt idx="1656">
                  <c:v>7.5315</c:v>
                </c:pt>
                <c:pt idx="1657">
                  <c:v>7.543</c:v>
                </c:pt>
                <c:pt idx="1658">
                  <c:v>7.6111</c:v>
                </c:pt>
                <c:pt idx="1659">
                  <c:v>7.7085</c:v>
                </c:pt>
                <c:pt idx="1660">
                  <c:v>7.7435</c:v>
                </c:pt>
                <c:pt idx="1661">
                  <c:v>7.577</c:v>
                </c:pt>
                <c:pt idx="1662">
                  <c:v>7.555</c:v>
                </c:pt>
                <c:pt idx="1663">
                  <c:v>7.4138</c:v>
                </c:pt>
                <c:pt idx="1664">
                  <c:v>7.4649</c:v>
                </c:pt>
                <c:pt idx="1665">
                  <c:v>7.3913</c:v>
                </c:pt>
                <c:pt idx="1666">
                  <c:v>7.5323</c:v>
                </c:pt>
                <c:pt idx="1667">
                  <c:v>7.5642</c:v>
                </c:pt>
                <c:pt idx="1668">
                  <c:v>7.594</c:v>
                </c:pt>
                <c:pt idx="1669">
                  <c:v>7.5475</c:v>
                </c:pt>
                <c:pt idx="1670">
                  <c:v>7.4185</c:v>
                </c:pt>
                <c:pt idx="1671">
                  <c:v>7.4221</c:v>
                </c:pt>
                <c:pt idx="1672">
                  <c:v>7.3425</c:v>
                </c:pt>
                <c:pt idx="1673">
                  <c:v>7.325</c:v>
                </c:pt>
                <c:pt idx="1674">
                  <c:v>7.3</c:v>
                </c:pt>
                <c:pt idx="1675">
                  <c:v>7.4215</c:v>
                </c:pt>
                <c:pt idx="1676">
                  <c:v>7.409</c:v>
                </c:pt>
                <c:pt idx="1677">
                  <c:v>7.4916</c:v>
                </c:pt>
                <c:pt idx="1678">
                  <c:v>7.332</c:v>
                </c:pt>
                <c:pt idx="1679">
                  <c:v>7.4555</c:v>
                </c:pt>
                <c:pt idx="1680">
                  <c:v>7.4767</c:v>
                </c:pt>
                <c:pt idx="1681">
                  <c:v>7.611</c:v>
                </c:pt>
                <c:pt idx="1682">
                  <c:v>7.5265</c:v>
                </c:pt>
                <c:pt idx="1683">
                  <c:v>7.4735</c:v>
                </c:pt>
                <c:pt idx="1684">
                  <c:v>7.4741</c:v>
                </c:pt>
                <c:pt idx="1685">
                  <c:v>7.3866</c:v>
                </c:pt>
                <c:pt idx="1686">
                  <c:v>7.4081</c:v>
                </c:pt>
                <c:pt idx="1687">
                  <c:v>7.4425</c:v>
                </c:pt>
                <c:pt idx="1688">
                  <c:v>7.3921</c:v>
                </c:pt>
                <c:pt idx="1689">
                  <c:v>7.3967</c:v>
                </c:pt>
                <c:pt idx="1690">
                  <c:v>7.4078</c:v>
                </c:pt>
                <c:pt idx="1691">
                  <c:v>7.5274</c:v>
                </c:pt>
                <c:pt idx="1692">
                  <c:v>7.6121</c:v>
                </c:pt>
                <c:pt idx="1693">
                  <c:v>7.6438</c:v>
                </c:pt>
                <c:pt idx="1694">
                  <c:v>7.8457</c:v>
                </c:pt>
                <c:pt idx="1695">
                  <c:v>7.895</c:v>
                </c:pt>
                <c:pt idx="1696">
                  <c:v>7.854</c:v>
                </c:pt>
                <c:pt idx="1697">
                  <c:v>7.7085</c:v>
                </c:pt>
                <c:pt idx="1698">
                  <c:v>7.8225</c:v>
                </c:pt>
                <c:pt idx="1699">
                  <c:v>7.683</c:v>
                </c:pt>
                <c:pt idx="1700">
                  <c:v>7.5519</c:v>
                </c:pt>
                <c:pt idx="1701">
                  <c:v>7.4477</c:v>
                </c:pt>
                <c:pt idx="1702">
                  <c:v>7.4288</c:v>
                </c:pt>
                <c:pt idx="1703">
                  <c:v>7.3561</c:v>
                </c:pt>
                <c:pt idx="1704">
                  <c:v>7.3913</c:v>
                </c:pt>
                <c:pt idx="1705">
                  <c:v>7.3107</c:v>
                </c:pt>
                <c:pt idx="1706">
                  <c:v>7.3557</c:v>
                </c:pt>
                <c:pt idx="1707">
                  <c:v>7.2745</c:v>
                </c:pt>
                <c:pt idx="1708">
                  <c:v>7.2622</c:v>
                </c:pt>
                <c:pt idx="1709">
                  <c:v>7.3521</c:v>
                </c:pt>
                <c:pt idx="1710">
                  <c:v>7.3346</c:v>
                </c:pt>
                <c:pt idx="1711">
                  <c:v>7.3929</c:v>
                </c:pt>
                <c:pt idx="1712">
                  <c:v>7.3233</c:v>
                </c:pt>
                <c:pt idx="1713">
                  <c:v>7.4531</c:v>
                </c:pt>
                <c:pt idx="1714">
                  <c:v>7.3817</c:v>
                </c:pt>
                <c:pt idx="1715">
                  <c:v>7.5583</c:v>
                </c:pt>
                <c:pt idx="1716">
                  <c:v>7.662</c:v>
                </c:pt>
                <c:pt idx="1717">
                  <c:v>7.684</c:v>
                </c:pt>
                <c:pt idx="1718">
                  <c:v>7.5093</c:v>
                </c:pt>
                <c:pt idx="1719">
                  <c:v>7.4051</c:v>
                </c:pt>
                <c:pt idx="1720">
                  <c:v>7.3982</c:v>
                </c:pt>
                <c:pt idx="1721">
                  <c:v>7.4161</c:v>
                </c:pt>
                <c:pt idx="1722">
                  <c:v>7.4805</c:v>
                </c:pt>
                <c:pt idx="1723">
                  <c:v>7.4273</c:v>
                </c:pt>
                <c:pt idx="1724">
                  <c:v>7.385</c:v>
                </c:pt>
                <c:pt idx="1725">
                  <c:v>7.4945</c:v>
                </c:pt>
                <c:pt idx="1726">
                  <c:v>7.4349</c:v>
                </c:pt>
                <c:pt idx="1727">
                  <c:v>7.4145</c:v>
                </c:pt>
                <c:pt idx="1728">
                  <c:v>7.3225</c:v>
                </c:pt>
                <c:pt idx="1729">
                  <c:v>7.3741</c:v>
                </c:pt>
                <c:pt idx="1730">
                  <c:v>7.4535</c:v>
                </c:pt>
                <c:pt idx="1731">
                  <c:v>7.443</c:v>
                </c:pt>
                <c:pt idx="1732">
                  <c:v>7.5553</c:v>
                </c:pt>
                <c:pt idx="1733">
                  <c:v>7.4983</c:v>
                </c:pt>
                <c:pt idx="1734">
                  <c:v>7.5187</c:v>
                </c:pt>
                <c:pt idx="1735">
                  <c:v>7.581</c:v>
                </c:pt>
                <c:pt idx="1736">
                  <c:v>7.5995</c:v>
                </c:pt>
                <c:pt idx="1737">
                  <c:v>7.6683</c:v>
                </c:pt>
                <c:pt idx="1738">
                  <c:v>7.8159</c:v>
                </c:pt>
                <c:pt idx="1739">
                  <c:v>7.8859</c:v>
                </c:pt>
                <c:pt idx="1740">
                  <c:v>7.7838</c:v>
                </c:pt>
                <c:pt idx="1741">
                  <c:v>7.7613</c:v>
                </c:pt>
                <c:pt idx="1742">
                  <c:v>7.8541</c:v>
                </c:pt>
                <c:pt idx="1743">
                  <c:v>7.861</c:v>
                </c:pt>
                <c:pt idx="1744">
                  <c:v>7.8186</c:v>
                </c:pt>
                <c:pt idx="1745">
                  <c:v>7.8038</c:v>
                </c:pt>
                <c:pt idx="1746">
                  <c:v>7.7873</c:v>
                </c:pt>
                <c:pt idx="1747">
                  <c:v>7.9055</c:v>
                </c:pt>
                <c:pt idx="1748">
                  <c:v>8.0025</c:v>
                </c:pt>
                <c:pt idx="1749">
                  <c:v>8.0367</c:v>
                </c:pt>
                <c:pt idx="1750">
                  <c:v>8.1565</c:v>
                </c:pt>
                <c:pt idx="1751">
                  <c:v>8.0808</c:v>
                </c:pt>
                <c:pt idx="1752">
                  <c:v>8.0245</c:v>
                </c:pt>
                <c:pt idx="1753">
                  <c:v>8.0663</c:v>
                </c:pt>
                <c:pt idx="1754">
                  <c:v>8.136100000000001</c:v>
                </c:pt>
                <c:pt idx="1755">
                  <c:v>8.1188</c:v>
                </c:pt>
                <c:pt idx="1756">
                  <c:v>7.9913</c:v>
                </c:pt>
                <c:pt idx="1757">
                  <c:v>8.0719</c:v>
                </c:pt>
                <c:pt idx="1758">
                  <c:v>7.924</c:v>
                </c:pt>
                <c:pt idx="1759">
                  <c:v>7.8376</c:v>
                </c:pt>
                <c:pt idx="1760">
                  <c:v>7.7493</c:v>
                </c:pt>
                <c:pt idx="1761">
                  <c:v>7.7828</c:v>
                </c:pt>
                <c:pt idx="1762">
                  <c:v>7.8013</c:v>
                </c:pt>
                <c:pt idx="1763">
                  <c:v>7.8761</c:v>
                </c:pt>
                <c:pt idx="1764">
                  <c:v>7.8907</c:v>
                </c:pt>
                <c:pt idx="1765">
                  <c:v>7.7625</c:v>
                </c:pt>
                <c:pt idx="1766">
                  <c:v>7.7309</c:v>
                </c:pt>
                <c:pt idx="1767">
                  <c:v>7.6463</c:v>
                </c:pt>
                <c:pt idx="1768">
                  <c:v>7.6964</c:v>
                </c:pt>
                <c:pt idx="1769">
                  <c:v>7.8335</c:v>
                </c:pt>
                <c:pt idx="1770">
                  <c:v>7.8525</c:v>
                </c:pt>
                <c:pt idx="1771">
                  <c:v>8.0389</c:v>
                </c:pt>
                <c:pt idx="1772">
                  <c:v>8.1185</c:v>
                </c:pt>
                <c:pt idx="1773">
                  <c:v>8.1283</c:v>
                </c:pt>
                <c:pt idx="1774">
                  <c:v>8.2865</c:v>
                </c:pt>
                <c:pt idx="1775">
                  <c:v>8.2655</c:v>
                </c:pt>
                <c:pt idx="1776">
                  <c:v>8.2663</c:v>
                </c:pt>
                <c:pt idx="1777">
                  <c:v>8.1099</c:v>
                </c:pt>
                <c:pt idx="1778">
                  <c:v>8.2354</c:v>
                </c:pt>
                <c:pt idx="1779">
                  <c:v>8.0503</c:v>
                </c:pt>
                <c:pt idx="1780">
                  <c:v>7.9913</c:v>
                </c:pt>
                <c:pt idx="1781">
                  <c:v>7.9375</c:v>
                </c:pt>
                <c:pt idx="1782">
                  <c:v>7.8463</c:v>
                </c:pt>
                <c:pt idx="1783">
                  <c:v>7.7463</c:v>
                </c:pt>
                <c:pt idx="1784">
                  <c:v>7.745</c:v>
                </c:pt>
                <c:pt idx="1785">
                  <c:v>7.8165</c:v>
                </c:pt>
                <c:pt idx="1786">
                  <c:v>7.8821</c:v>
                </c:pt>
                <c:pt idx="1787">
                  <c:v>8.0245</c:v>
                </c:pt>
                <c:pt idx="1788">
                  <c:v>8.0476</c:v>
                </c:pt>
                <c:pt idx="1789">
                  <c:v>8.1654</c:v>
                </c:pt>
                <c:pt idx="1790">
                  <c:v>8.1955</c:v>
                </c:pt>
                <c:pt idx="1791">
                  <c:v>8.0987</c:v>
                </c:pt>
                <c:pt idx="1792">
                  <c:v>8.1174</c:v>
                </c:pt>
                <c:pt idx="1793">
                  <c:v>8.0953</c:v>
                </c:pt>
                <c:pt idx="1794">
                  <c:v>8.0391</c:v>
                </c:pt>
                <c:pt idx="1795">
                  <c:v>8.097300000000001</c:v>
                </c:pt>
                <c:pt idx="1796">
                  <c:v>8.035</c:v>
                </c:pt>
                <c:pt idx="1797">
                  <c:v>7.9475</c:v>
                </c:pt>
                <c:pt idx="1798">
                  <c:v>8.0878</c:v>
                </c:pt>
                <c:pt idx="1799">
                  <c:v>8.1035</c:v>
                </c:pt>
                <c:pt idx="1800">
                  <c:v>8.17</c:v>
                </c:pt>
                <c:pt idx="1801">
                  <c:v>8.039</c:v>
                </c:pt>
                <c:pt idx="1802">
                  <c:v>8.042</c:v>
                </c:pt>
                <c:pt idx="1803">
                  <c:v>8.1121</c:v>
                </c:pt>
                <c:pt idx="1804">
                  <c:v>8.0145</c:v>
                </c:pt>
                <c:pt idx="1805">
                  <c:v>7.9684</c:v>
                </c:pt>
                <c:pt idx="1806">
                  <c:v>7.9845</c:v>
                </c:pt>
                <c:pt idx="1807">
                  <c:v>8.0976</c:v>
                </c:pt>
                <c:pt idx="1808">
                  <c:v>8.0854</c:v>
                </c:pt>
                <c:pt idx="1809">
                  <c:v>8.283300000000001</c:v>
                </c:pt>
                <c:pt idx="1810">
                  <c:v>8.213</c:v>
                </c:pt>
                <c:pt idx="1811">
                  <c:v>8.2739</c:v>
                </c:pt>
                <c:pt idx="1812">
                  <c:v>8.359</c:v>
                </c:pt>
                <c:pt idx="1813">
                  <c:v>8.3557</c:v>
                </c:pt>
                <c:pt idx="1814">
                  <c:v>8.4455</c:v>
                </c:pt>
                <c:pt idx="1815">
                  <c:v>8.5659</c:v>
                </c:pt>
                <c:pt idx="1816">
                  <c:v>8.7472</c:v>
                </c:pt>
                <c:pt idx="1817">
                  <c:v>8.5594</c:v>
                </c:pt>
                <c:pt idx="1818">
                  <c:v>8.5219</c:v>
                </c:pt>
                <c:pt idx="1819">
                  <c:v>8.4935</c:v>
                </c:pt>
                <c:pt idx="1820">
                  <c:v>8.4236</c:v>
                </c:pt>
                <c:pt idx="1821">
                  <c:v>8.3055</c:v>
                </c:pt>
                <c:pt idx="1822">
                  <c:v>8.3754</c:v>
                </c:pt>
                <c:pt idx="1823">
                  <c:v>8.375</c:v>
                </c:pt>
                <c:pt idx="1824">
                  <c:v>8.4317</c:v>
                </c:pt>
                <c:pt idx="1825">
                  <c:v>8.3725</c:v>
                </c:pt>
                <c:pt idx="1826">
                  <c:v>8.437</c:v>
                </c:pt>
                <c:pt idx="1827">
                  <c:v>8.4816</c:v>
                </c:pt>
                <c:pt idx="1828">
                  <c:v>8.4987</c:v>
                </c:pt>
                <c:pt idx="1829">
                  <c:v>8.7191</c:v>
                </c:pt>
                <c:pt idx="1830">
                  <c:v>8.7675</c:v>
                </c:pt>
                <c:pt idx="1831">
                  <c:v>8.741300000000001</c:v>
                </c:pt>
                <c:pt idx="1832">
                  <c:v>8.9795</c:v>
                </c:pt>
                <c:pt idx="1833">
                  <c:v>8.9001</c:v>
                </c:pt>
                <c:pt idx="1834">
                  <c:v>8.9338</c:v>
                </c:pt>
                <c:pt idx="1835">
                  <c:v>9.0825</c:v>
                </c:pt>
                <c:pt idx="1836">
                  <c:v>8.9666</c:v>
                </c:pt>
                <c:pt idx="1837">
                  <c:v>8.9514</c:v>
                </c:pt>
                <c:pt idx="1838">
                  <c:v>9.1258</c:v>
                </c:pt>
                <c:pt idx="1839">
                  <c:v>9.0758</c:v>
                </c:pt>
                <c:pt idx="1840">
                  <c:v>9.0223</c:v>
                </c:pt>
                <c:pt idx="1841">
                  <c:v>9.0589</c:v>
                </c:pt>
                <c:pt idx="1842">
                  <c:v>9.0963</c:v>
                </c:pt>
                <c:pt idx="1843">
                  <c:v>9.1108</c:v>
                </c:pt>
                <c:pt idx="1844">
                  <c:v>9.1257</c:v>
                </c:pt>
                <c:pt idx="1845">
                  <c:v>9.106</c:v>
                </c:pt>
                <c:pt idx="1846">
                  <c:v>9.077</c:v>
                </c:pt>
                <c:pt idx="1847">
                  <c:v>9.0521</c:v>
                </c:pt>
                <c:pt idx="1848">
                  <c:v>9.3794</c:v>
                </c:pt>
                <c:pt idx="1849">
                  <c:v>9.5175</c:v>
                </c:pt>
                <c:pt idx="1850">
                  <c:v>9.717</c:v>
                </c:pt>
                <c:pt idx="1851">
                  <c:v>9.6344</c:v>
                </c:pt>
                <c:pt idx="1852">
                  <c:v>9.3603</c:v>
                </c:pt>
                <c:pt idx="1853">
                  <c:v>9.4477</c:v>
                </c:pt>
                <c:pt idx="1854">
                  <c:v>9.4787</c:v>
                </c:pt>
                <c:pt idx="1855">
                  <c:v>9.4874</c:v>
                </c:pt>
                <c:pt idx="1856">
                  <c:v>9.6075</c:v>
                </c:pt>
                <c:pt idx="1857">
                  <c:v>9.6431</c:v>
                </c:pt>
                <c:pt idx="1858">
                  <c:v>9.8893</c:v>
                </c:pt>
                <c:pt idx="1859">
                  <c:v>9.9031</c:v>
                </c:pt>
                <c:pt idx="1860">
                  <c:v>9.865</c:v>
                </c:pt>
                <c:pt idx="1861">
                  <c:v>9.9565</c:v>
                </c:pt>
                <c:pt idx="1862">
                  <c:v>9.9759</c:v>
                </c:pt>
                <c:pt idx="1863">
                  <c:v>10.1178</c:v>
                </c:pt>
                <c:pt idx="1864">
                  <c:v>10.3325</c:v>
                </c:pt>
                <c:pt idx="1865">
                  <c:v>10.59</c:v>
                </c:pt>
                <c:pt idx="1866">
                  <c:v>10.474</c:v>
                </c:pt>
                <c:pt idx="1867">
                  <c:v>10.6078</c:v>
                </c:pt>
                <c:pt idx="1868">
                  <c:v>10.3687</c:v>
                </c:pt>
                <c:pt idx="1869">
                  <c:v>10.5</c:v>
                </c:pt>
                <c:pt idx="1870">
                  <c:v>10.5133</c:v>
                </c:pt>
                <c:pt idx="1871">
                  <c:v>10.0895</c:v>
                </c:pt>
                <c:pt idx="1872">
                  <c:v>9.8755</c:v>
                </c:pt>
                <c:pt idx="1873">
                  <c:v>9.965</c:v>
                </c:pt>
                <c:pt idx="1874">
                  <c:v>9.946</c:v>
                </c:pt>
                <c:pt idx="1875">
                  <c:v>10.0695</c:v>
                </c:pt>
                <c:pt idx="1876">
                  <c:v>10.1225</c:v>
                </c:pt>
                <c:pt idx="1877">
                  <c:v>10.0332</c:v>
                </c:pt>
                <c:pt idx="1878">
                  <c:v>10.1749</c:v>
                </c:pt>
                <c:pt idx="1879">
                  <c:v>10.2775</c:v>
                </c:pt>
                <c:pt idx="1880">
                  <c:v>10.0368</c:v>
                </c:pt>
                <c:pt idx="1881">
                  <c:v>9.9597</c:v>
                </c:pt>
                <c:pt idx="1882">
                  <c:v>10.085</c:v>
                </c:pt>
                <c:pt idx="1883">
                  <c:v>9.91</c:v>
                </c:pt>
                <c:pt idx="1884">
                  <c:v>9.78</c:v>
                </c:pt>
                <c:pt idx="1885">
                  <c:v>9.5925</c:v>
                </c:pt>
                <c:pt idx="1886">
                  <c:v>9.6493</c:v>
                </c:pt>
                <c:pt idx="1887">
                  <c:v>9.8146</c:v>
                </c:pt>
                <c:pt idx="1888">
                  <c:v>9.96</c:v>
                </c:pt>
                <c:pt idx="1889">
                  <c:v>10.1425</c:v>
                </c:pt>
                <c:pt idx="1890">
                  <c:v>10.1443</c:v>
                </c:pt>
                <c:pt idx="1891">
                  <c:v>10.2021</c:v>
                </c:pt>
                <c:pt idx="1892">
                  <c:v>10.0415</c:v>
                </c:pt>
                <c:pt idx="1893">
                  <c:v>9.8896</c:v>
                </c:pt>
                <c:pt idx="1894">
                  <c:v>9.9775</c:v>
                </c:pt>
                <c:pt idx="1895">
                  <c:v>10.12</c:v>
                </c:pt>
                <c:pt idx="1896">
                  <c:v>10.225</c:v>
                </c:pt>
                <c:pt idx="1897">
                  <c:v>10.0755</c:v>
                </c:pt>
                <c:pt idx="1898">
                  <c:v>10.159</c:v>
                </c:pt>
                <c:pt idx="1899">
                  <c:v>10.2045</c:v>
                </c:pt>
                <c:pt idx="1900">
                  <c:v>10.1295</c:v>
                </c:pt>
                <c:pt idx="1901">
                  <c:v>10.0715</c:v>
                </c:pt>
                <c:pt idx="1902">
                  <c:v>10.1825</c:v>
                </c:pt>
                <c:pt idx="1903">
                  <c:v>10.1673</c:v>
                </c:pt>
                <c:pt idx="1904">
                  <c:v>10.0147</c:v>
                </c:pt>
                <c:pt idx="1905">
                  <c:v>10.1095</c:v>
                </c:pt>
                <c:pt idx="1906">
                  <c:v>9.778700000000001</c:v>
                </c:pt>
                <c:pt idx="1907">
                  <c:v>9.66</c:v>
                </c:pt>
                <c:pt idx="1908">
                  <c:v>9.4846</c:v>
                </c:pt>
                <c:pt idx="1909">
                  <c:v>9.2954</c:v>
                </c:pt>
                <c:pt idx="1910">
                  <c:v>9.3237</c:v>
                </c:pt>
                <c:pt idx="1911">
                  <c:v>9.288</c:v>
                </c:pt>
                <c:pt idx="1912">
                  <c:v>9.454</c:v>
                </c:pt>
                <c:pt idx="1913">
                  <c:v>9.413</c:v>
                </c:pt>
                <c:pt idx="1914">
                  <c:v>9.3624</c:v>
                </c:pt>
                <c:pt idx="1915">
                  <c:v>9.4473</c:v>
                </c:pt>
                <c:pt idx="1916">
                  <c:v>9.7228</c:v>
                </c:pt>
                <c:pt idx="1917">
                  <c:v>9.73</c:v>
                </c:pt>
                <c:pt idx="1918">
                  <c:v>9.741300000000001</c:v>
                </c:pt>
                <c:pt idx="1919">
                  <c:v>9.6413</c:v>
                </c:pt>
                <c:pt idx="1920">
                  <c:v>9.7256</c:v>
                </c:pt>
                <c:pt idx="1921">
                  <c:v>9.6726</c:v>
                </c:pt>
                <c:pt idx="1922">
                  <c:v>9.5152</c:v>
                </c:pt>
                <c:pt idx="1923">
                  <c:v>9.8163</c:v>
                </c:pt>
                <c:pt idx="1924">
                  <c:v>10.2375</c:v>
                </c:pt>
                <c:pt idx="1925">
                  <c:v>10.125</c:v>
                </c:pt>
                <c:pt idx="1926">
                  <c:v>10.1495</c:v>
                </c:pt>
                <c:pt idx="1927">
                  <c:v>9.955</c:v>
                </c:pt>
                <c:pt idx="1928">
                  <c:v>10.1345</c:v>
                </c:pt>
                <c:pt idx="1929">
                  <c:v>10.085</c:v>
                </c:pt>
                <c:pt idx="1930">
                  <c:v>10.113</c:v>
                </c:pt>
                <c:pt idx="1931">
                  <c:v>10.485</c:v>
                </c:pt>
                <c:pt idx="1932">
                  <c:v>10.2695</c:v>
                </c:pt>
                <c:pt idx="1933">
                  <c:v>10.18</c:v>
                </c:pt>
                <c:pt idx="1934">
                  <c:v>10.3855</c:v>
                </c:pt>
                <c:pt idx="1935">
                  <c:v>10.4795</c:v>
                </c:pt>
                <c:pt idx="1936">
                  <c:v>10.0856</c:v>
                </c:pt>
                <c:pt idx="1937">
                  <c:v>9.91</c:v>
                </c:pt>
                <c:pt idx="1938">
                  <c:v>9.879</c:v>
                </c:pt>
                <c:pt idx="1939">
                  <c:v>9.8974</c:v>
                </c:pt>
                <c:pt idx="1940">
                  <c:v>10.1375</c:v>
                </c:pt>
                <c:pt idx="1941">
                  <c:v>10.4925</c:v>
                </c:pt>
                <c:pt idx="1942">
                  <c:v>10.5587</c:v>
                </c:pt>
                <c:pt idx="1943">
                  <c:v>10.46</c:v>
                </c:pt>
                <c:pt idx="1944">
                  <c:v>10.2239</c:v>
                </c:pt>
                <c:pt idx="1945">
                  <c:v>10.1395</c:v>
                </c:pt>
                <c:pt idx="1946">
                  <c:v>10.0163</c:v>
                </c:pt>
                <c:pt idx="1947">
                  <c:v>10.6477</c:v>
                </c:pt>
                <c:pt idx="1948">
                  <c:v>10.3375</c:v>
                </c:pt>
                <c:pt idx="1949">
                  <c:v>10.3445</c:v>
                </c:pt>
                <c:pt idx="1950">
                  <c:v>9.98</c:v>
                </c:pt>
                <c:pt idx="1951">
                  <c:v>10.175</c:v>
                </c:pt>
                <c:pt idx="1952">
                  <c:v>10.0821</c:v>
                </c:pt>
                <c:pt idx="1953">
                  <c:v>9.713900000000001</c:v>
                </c:pt>
                <c:pt idx="1954">
                  <c:v>9.6463</c:v>
                </c:pt>
                <c:pt idx="1955">
                  <c:v>9.9555</c:v>
                </c:pt>
                <c:pt idx="1956">
                  <c:v>9.7551</c:v>
                </c:pt>
                <c:pt idx="1957">
                  <c:v>10.0499</c:v>
                </c:pt>
                <c:pt idx="1958">
                  <c:v>9.87</c:v>
                </c:pt>
                <c:pt idx="1959">
                  <c:v>10.5798</c:v>
                </c:pt>
                <c:pt idx="1960">
                  <c:v>10.8245</c:v>
                </c:pt>
                <c:pt idx="1961">
                  <c:v>11.0955</c:v>
                </c:pt>
                <c:pt idx="1962">
                  <c:v>11.2091</c:v>
                </c:pt>
                <c:pt idx="1963">
                  <c:v>11.3755</c:v>
                </c:pt>
                <c:pt idx="1964">
                  <c:v>10.6547</c:v>
                </c:pt>
                <c:pt idx="1965">
                  <c:v>10.2191</c:v>
                </c:pt>
                <c:pt idx="1966">
                  <c:v>9.98</c:v>
                </c:pt>
                <c:pt idx="1967">
                  <c:v>10.4933</c:v>
                </c:pt>
                <c:pt idx="1968">
                  <c:v>9.5688</c:v>
                </c:pt>
                <c:pt idx="1969">
                  <c:v>9.02</c:v>
                </c:pt>
                <c:pt idx="1970">
                  <c:v>9.226900000000001</c:v>
                </c:pt>
                <c:pt idx="1971">
                  <c:v>9.353</c:v>
                </c:pt>
                <c:pt idx="1972">
                  <c:v>9.1147</c:v>
                </c:pt>
                <c:pt idx="1973">
                  <c:v>9.2567</c:v>
                </c:pt>
                <c:pt idx="1974">
                  <c:v>8.8955</c:v>
                </c:pt>
                <c:pt idx="1975">
                  <c:v>8.8805</c:v>
                </c:pt>
                <c:pt idx="1976">
                  <c:v>8.4446</c:v>
                </c:pt>
                <c:pt idx="1977">
                  <c:v>8.4737</c:v>
                </c:pt>
                <c:pt idx="1978">
                  <c:v>8.2648</c:v>
                </c:pt>
                <c:pt idx="1979">
                  <c:v>8.3324</c:v>
                </c:pt>
                <c:pt idx="1980">
                  <c:v>8.234500000000001</c:v>
                </c:pt>
                <c:pt idx="1981">
                  <c:v>8.116</c:v>
                </c:pt>
                <c:pt idx="1982">
                  <c:v>8.1313</c:v>
                </c:pt>
                <c:pt idx="1983">
                  <c:v>8.148400000000001</c:v>
                </c:pt>
                <c:pt idx="1984">
                  <c:v>8.1563</c:v>
                </c:pt>
                <c:pt idx="1985">
                  <c:v>7.9848</c:v>
                </c:pt>
                <c:pt idx="1986">
                  <c:v>7.9377</c:v>
                </c:pt>
                <c:pt idx="1987">
                  <c:v>8.3113</c:v>
                </c:pt>
                <c:pt idx="1988">
                  <c:v>8.2456</c:v>
                </c:pt>
                <c:pt idx="1989">
                  <c:v>8.19</c:v>
                </c:pt>
                <c:pt idx="1990">
                  <c:v>8.057</c:v>
                </c:pt>
                <c:pt idx="1991">
                  <c:v>8.0481</c:v>
                </c:pt>
                <c:pt idx="1992">
                  <c:v>8.2576</c:v>
                </c:pt>
                <c:pt idx="1993">
                  <c:v>8.1559</c:v>
                </c:pt>
                <c:pt idx="1994">
                  <c:v>7.9295</c:v>
                </c:pt>
                <c:pt idx="1995">
                  <c:v>7.9386</c:v>
                </c:pt>
                <c:pt idx="1996">
                  <c:v>7.9905</c:v>
                </c:pt>
                <c:pt idx="1997">
                  <c:v>7.9454</c:v>
                </c:pt>
                <c:pt idx="1998">
                  <c:v>7.8841</c:v>
                </c:pt>
                <c:pt idx="1999">
                  <c:v>7.7751</c:v>
                </c:pt>
                <c:pt idx="2000">
                  <c:v>7.7652</c:v>
                </c:pt>
                <c:pt idx="2001">
                  <c:v>7.701</c:v>
                </c:pt>
                <c:pt idx="2002">
                  <c:v>7.7175</c:v>
                </c:pt>
                <c:pt idx="2003">
                  <c:v>7.7745</c:v>
                </c:pt>
                <c:pt idx="2004">
                  <c:v>7.8115</c:v>
                </c:pt>
                <c:pt idx="2005">
                  <c:v>7.749</c:v>
                </c:pt>
                <c:pt idx="2006">
                  <c:v>7.665</c:v>
                </c:pt>
                <c:pt idx="2007">
                  <c:v>7.6635</c:v>
                </c:pt>
                <c:pt idx="2008">
                  <c:v>7.7611</c:v>
                </c:pt>
                <c:pt idx="2009">
                  <c:v>7.7783</c:v>
                </c:pt>
                <c:pt idx="2010">
                  <c:v>7.7055</c:v>
                </c:pt>
                <c:pt idx="2011">
                  <c:v>7.875</c:v>
                </c:pt>
                <c:pt idx="2012">
                  <c:v>7.8619</c:v>
                </c:pt>
                <c:pt idx="2013">
                  <c:v>7.877</c:v>
                </c:pt>
                <c:pt idx="2014">
                  <c:v>7.8437</c:v>
                </c:pt>
                <c:pt idx="2015">
                  <c:v>7.7633</c:v>
                </c:pt>
                <c:pt idx="2016">
                  <c:v>7.7105</c:v>
                </c:pt>
                <c:pt idx="2017">
                  <c:v>7.4855</c:v>
                </c:pt>
                <c:pt idx="2018">
                  <c:v>7.4288</c:v>
                </c:pt>
                <c:pt idx="2019">
                  <c:v>7.3859</c:v>
                </c:pt>
                <c:pt idx="2020">
                  <c:v>7.2463</c:v>
                </c:pt>
                <c:pt idx="2021">
                  <c:v>7.2563</c:v>
                </c:pt>
                <c:pt idx="2022">
                  <c:v>7.3441</c:v>
                </c:pt>
                <c:pt idx="2023">
                  <c:v>7.391199999999999</c:v>
                </c:pt>
                <c:pt idx="2024">
                  <c:v>7.3834</c:v>
                </c:pt>
                <c:pt idx="2025">
                  <c:v>7.5175</c:v>
                </c:pt>
                <c:pt idx="2026">
                  <c:v>7.5722</c:v>
                </c:pt>
                <c:pt idx="2027">
                  <c:v>7.6718</c:v>
                </c:pt>
                <c:pt idx="2028">
                  <c:v>7.5525</c:v>
                </c:pt>
                <c:pt idx="2029">
                  <c:v>7.5075</c:v>
                </c:pt>
                <c:pt idx="2030">
                  <c:v>7.5766</c:v>
                </c:pt>
                <c:pt idx="2031">
                  <c:v>7.6322</c:v>
                </c:pt>
                <c:pt idx="2032">
                  <c:v>7.54</c:v>
                </c:pt>
                <c:pt idx="2033">
                  <c:v>7.6239</c:v>
                </c:pt>
                <c:pt idx="2034">
                  <c:v>7.6533</c:v>
                </c:pt>
                <c:pt idx="2035">
                  <c:v>7.6479</c:v>
                </c:pt>
                <c:pt idx="2036">
                  <c:v>7.6962</c:v>
                </c:pt>
                <c:pt idx="2037">
                  <c:v>7.716</c:v>
                </c:pt>
                <c:pt idx="2038">
                  <c:v>7.687</c:v>
                </c:pt>
                <c:pt idx="2039">
                  <c:v>7.7589</c:v>
                </c:pt>
                <c:pt idx="2040">
                  <c:v>7.7505</c:v>
                </c:pt>
                <c:pt idx="2041">
                  <c:v>7.7427</c:v>
                </c:pt>
                <c:pt idx="2042">
                  <c:v>7.7555</c:v>
                </c:pt>
                <c:pt idx="2043">
                  <c:v>7.8366</c:v>
                </c:pt>
                <c:pt idx="2044">
                  <c:v>7.9105</c:v>
                </c:pt>
                <c:pt idx="2045">
                  <c:v>7.8196</c:v>
                </c:pt>
                <c:pt idx="2046">
                  <c:v>7.9055</c:v>
                </c:pt>
                <c:pt idx="2047">
                  <c:v>7.9246</c:v>
                </c:pt>
                <c:pt idx="2048">
                  <c:v>7.9035</c:v>
                </c:pt>
                <c:pt idx="2049">
                  <c:v>7.9999</c:v>
                </c:pt>
                <c:pt idx="2050">
                  <c:v>8.0727</c:v>
                </c:pt>
                <c:pt idx="2051">
                  <c:v>7.9969</c:v>
                </c:pt>
                <c:pt idx="2052">
                  <c:v>7.9677</c:v>
                </c:pt>
                <c:pt idx="2053">
                  <c:v>8.025</c:v>
                </c:pt>
                <c:pt idx="2054">
                  <c:v>8.0134</c:v>
                </c:pt>
                <c:pt idx="2055">
                  <c:v>8.1013</c:v>
                </c:pt>
                <c:pt idx="2056">
                  <c:v>8.1142</c:v>
                </c:pt>
                <c:pt idx="2057">
                  <c:v>8.1155</c:v>
                </c:pt>
                <c:pt idx="2058">
                  <c:v>8.0086</c:v>
                </c:pt>
                <c:pt idx="2059">
                  <c:v>7.948</c:v>
                </c:pt>
                <c:pt idx="2060">
                  <c:v>7.8749</c:v>
                </c:pt>
                <c:pt idx="2061">
                  <c:v>7.8514</c:v>
                </c:pt>
                <c:pt idx="2062">
                  <c:v>7.8548</c:v>
                </c:pt>
                <c:pt idx="2063">
                  <c:v>7.774599999999999</c:v>
                </c:pt>
                <c:pt idx="2064">
                  <c:v>7.7061</c:v>
                </c:pt>
                <c:pt idx="2065">
                  <c:v>7.7412</c:v>
                </c:pt>
                <c:pt idx="2066">
                  <c:v>7.5992</c:v>
                </c:pt>
                <c:pt idx="2067">
                  <c:v>7.5673</c:v>
                </c:pt>
                <c:pt idx="2068">
                  <c:v>7.685</c:v>
                </c:pt>
                <c:pt idx="2069">
                  <c:v>7.7595</c:v>
                </c:pt>
                <c:pt idx="2070">
                  <c:v>7.6994</c:v>
                </c:pt>
                <c:pt idx="2071">
                  <c:v>7.6529</c:v>
                </c:pt>
                <c:pt idx="2072">
                  <c:v>7.6711</c:v>
                </c:pt>
                <c:pt idx="2073">
                  <c:v>7.6443</c:v>
                </c:pt>
                <c:pt idx="2074">
                  <c:v>7.6355</c:v>
                </c:pt>
                <c:pt idx="2075">
                  <c:v>7.4879</c:v>
                </c:pt>
                <c:pt idx="2076">
                  <c:v>7.4697</c:v>
                </c:pt>
                <c:pt idx="2077">
                  <c:v>7.5695</c:v>
                </c:pt>
                <c:pt idx="2078">
                  <c:v>7.6484</c:v>
                </c:pt>
                <c:pt idx="2079">
                  <c:v>7.5804</c:v>
                </c:pt>
                <c:pt idx="2080">
                  <c:v>7.6163</c:v>
                </c:pt>
                <c:pt idx="2081">
                  <c:v>7.7189</c:v>
                </c:pt>
                <c:pt idx="2082">
                  <c:v>7.5865</c:v>
                </c:pt>
                <c:pt idx="2083">
                  <c:v>7.505</c:v>
                </c:pt>
                <c:pt idx="2084">
                  <c:v>7.5294</c:v>
                </c:pt>
                <c:pt idx="2085">
                  <c:v>7.5713</c:v>
                </c:pt>
                <c:pt idx="2086">
                  <c:v>7.5679</c:v>
                </c:pt>
                <c:pt idx="2087">
                  <c:v>7.6375</c:v>
                </c:pt>
                <c:pt idx="2088">
                  <c:v>7.5648</c:v>
                </c:pt>
                <c:pt idx="2089">
                  <c:v>7.5908</c:v>
                </c:pt>
                <c:pt idx="2090">
                  <c:v>7.5325</c:v>
                </c:pt>
                <c:pt idx="2091">
                  <c:v>7.6056</c:v>
                </c:pt>
                <c:pt idx="2092">
                  <c:v>7.6894</c:v>
                </c:pt>
                <c:pt idx="2093">
                  <c:v>7.6737</c:v>
                </c:pt>
                <c:pt idx="2094">
                  <c:v>7.6525</c:v>
                </c:pt>
                <c:pt idx="2095">
                  <c:v>7.7558</c:v>
                </c:pt>
                <c:pt idx="2096">
                  <c:v>7.7551</c:v>
                </c:pt>
                <c:pt idx="2097">
                  <c:v>7.8087</c:v>
                </c:pt>
                <c:pt idx="2098">
                  <c:v>7.901</c:v>
                </c:pt>
                <c:pt idx="2099">
                  <c:v>7.9428</c:v>
                </c:pt>
                <c:pt idx="2100">
                  <c:v>7.8675</c:v>
                </c:pt>
                <c:pt idx="2101">
                  <c:v>7.81</c:v>
                </c:pt>
                <c:pt idx="2102">
                  <c:v>7.806</c:v>
                </c:pt>
                <c:pt idx="2103">
                  <c:v>7.8525</c:v>
                </c:pt>
                <c:pt idx="2104">
                  <c:v>7.7783</c:v>
                </c:pt>
                <c:pt idx="2105">
                  <c:v>7.7449</c:v>
                </c:pt>
                <c:pt idx="2106">
                  <c:v>7.8146</c:v>
                </c:pt>
                <c:pt idx="2107">
                  <c:v>7.7463</c:v>
                </c:pt>
                <c:pt idx="2108">
                  <c:v>7.8191</c:v>
                </c:pt>
                <c:pt idx="2109">
                  <c:v>8.028700000000001</c:v>
                </c:pt>
                <c:pt idx="2110">
                  <c:v>8.130100000000001</c:v>
                </c:pt>
                <c:pt idx="2111">
                  <c:v>8.1211</c:v>
                </c:pt>
                <c:pt idx="2112">
                  <c:v>7.975</c:v>
                </c:pt>
                <c:pt idx="2113">
                  <c:v>8.065</c:v>
                </c:pt>
                <c:pt idx="2114">
                  <c:v>8.0253</c:v>
                </c:pt>
                <c:pt idx="2115">
                  <c:v>8.116300000000001</c:v>
                </c:pt>
                <c:pt idx="2116">
                  <c:v>8.1587</c:v>
                </c:pt>
                <c:pt idx="2117">
                  <c:v>8.1888</c:v>
                </c:pt>
                <c:pt idx="2118">
                  <c:v>8.076</c:v>
                </c:pt>
                <c:pt idx="2119">
                  <c:v>8.0095</c:v>
                </c:pt>
                <c:pt idx="2120">
                  <c:v>8.1563</c:v>
                </c:pt>
                <c:pt idx="2121">
                  <c:v>7.942</c:v>
                </c:pt>
                <c:pt idx="2122">
                  <c:v>7.8994</c:v>
                </c:pt>
                <c:pt idx="2123">
                  <c:v>7.8663</c:v>
                </c:pt>
                <c:pt idx="2124">
                  <c:v>7.8476</c:v>
                </c:pt>
                <c:pt idx="2125">
                  <c:v>8.0325</c:v>
                </c:pt>
                <c:pt idx="2126">
                  <c:v>7.9825</c:v>
                </c:pt>
                <c:pt idx="2127">
                  <c:v>7.95</c:v>
                </c:pt>
                <c:pt idx="2128">
                  <c:v>7.7667</c:v>
                </c:pt>
                <c:pt idx="2129">
                  <c:v>7.9263</c:v>
                </c:pt>
                <c:pt idx="2130">
                  <c:v>7.766</c:v>
                </c:pt>
                <c:pt idx="2131">
                  <c:v>7.7569</c:v>
                </c:pt>
                <c:pt idx="2132">
                  <c:v>7.5575</c:v>
                </c:pt>
                <c:pt idx="2133">
                  <c:v>7.4556</c:v>
                </c:pt>
                <c:pt idx="2134">
                  <c:v>7.5433</c:v>
                </c:pt>
                <c:pt idx="2135">
                  <c:v>7.6943</c:v>
                </c:pt>
                <c:pt idx="2136">
                  <c:v>7.7545</c:v>
                </c:pt>
                <c:pt idx="2137">
                  <c:v>7.7834</c:v>
                </c:pt>
                <c:pt idx="2138">
                  <c:v>7.8875</c:v>
                </c:pt>
                <c:pt idx="2139">
                  <c:v>7.6827</c:v>
                </c:pt>
                <c:pt idx="2140">
                  <c:v>7.605</c:v>
                </c:pt>
                <c:pt idx="2141">
                  <c:v>7.6735</c:v>
                </c:pt>
                <c:pt idx="2142">
                  <c:v>7.6926</c:v>
                </c:pt>
                <c:pt idx="2143">
                  <c:v>7.724</c:v>
                </c:pt>
                <c:pt idx="2144">
                  <c:v>7.704</c:v>
                </c:pt>
                <c:pt idx="2145">
                  <c:v>7.749</c:v>
                </c:pt>
                <c:pt idx="2146">
                  <c:v>7.802</c:v>
                </c:pt>
                <c:pt idx="2147">
                  <c:v>7.682</c:v>
                </c:pt>
                <c:pt idx="2148">
                  <c:v>7.6658</c:v>
                </c:pt>
                <c:pt idx="2149">
                  <c:v>7.665</c:v>
                </c:pt>
                <c:pt idx="2150">
                  <c:v>7.4376</c:v>
                </c:pt>
                <c:pt idx="2151">
                  <c:v>7.4175</c:v>
                </c:pt>
                <c:pt idx="2152">
                  <c:v>7.477</c:v>
                </c:pt>
                <c:pt idx="2153">
                  <c:v>7.318</c:v>
                </c:pt>
                <c:pt idx="2154">
                  <c:v>7.2073</c:v>
                </c:pt>
                <c:pt idx="2155">
                  <c:v>7.2035</c:v>
                </c:pt>
                <c:pt idx="2156">
                  <c:v>7.1425</c:v>
                </c:pt>
                <c:pt idx="2157">
                  <c:v>7.03</c:v>
                </c:pt>
                <c:pt idx="2158">
                  <c:v>7.1709</c:v>
                </c:pt>
                <c:pt idx="2159">
                  <c:v>7.1008</c:v>
                </c:pt>
                <c:pt idx="2160">
                  <c:v>7.2161</c:v>
                </c:pt>
                <c:pt idx="2161">
                  <c:v>7.0726</c:v>
                </c:pt>
                <c:pt idx="2162">
                  <c:v>7.0255</c:v>
                </c:pt>
                <c:pt idx="2163">
                  <c:v>6.955</c:v>
                </c:pt>
                <c:pt idx="2164">
                  <c:v>6.830999999999999</c:v>
                </c:pt>
                <c:pt idx="2165">
                  <c:v>6.7505</c:v>
                </c:pt>
                <c:pt idx="2166">
                  <c:v>6.7635</c:v>
                </c:pt>
                <c:pt idx="2167">
                  <c:v>6.8332</c:v>
                </c:pt>
                <c:pt idx="2168">
                  <c:v>6.8876</c:v>
                </c:pt>
                <c:pt idx="2169">
                  <c:v>6.8742</c:v>
                </c:pt>
                <c:pt idx="2170">
                  <c:v>6.9128</c:v>
                </c:pt>
                <c:pt idx="2171">
                  <c:v>6.8726</c:v>
                </c:pt>
                <c:pt idx="2172">
                  <c:v>6.8443</c:v>
                </c:pt>
                <c:pt idx="2173">
                  <c:v>6.8375</c:v>
                </c:pt>
                <c:pt idx="2174">
                  <c:v>6.845</c:v>
                </c:pt>
                <c:pt idx="2175">
                  <c:v>6.8615</c:v>
                </c:pt>
                <c:pt idx="2176">
                  <c:v>6.8273</c:v>
                </c:pt>
                <c:pt idx="2177">
                  <c:v>6.8533</c:v>
                </c:pt>
                <c:pt idx="2178">
                  <c:v>6.9835</c:v>
                </c:pt>
                <c:pt idx="2179">
                  <c:v>6.9745</c:v>
                </c:pt>
                <c:pt idx="2180">
                  <c:v>6.9788</c:v>
                </c:pt>
                <c:pt idx="2181">
                  <c:v>7.0224</c:v>
                </c:pt>
                <c:pt idx="2182">
                  <c:v>7.0439</c:v>
                </c:pt>
                <c:pt idx="2183">
                  <c:v>6.9395</c:v>
                </c:pt>
                <c:pt idx="2184">
                  <c:v>6.9213</c:v>
                </c:pt>
                <c:pt idx="2185">
                  <c:v>6.9135</c:v>
                </c:pt>
                <c:pt idx="2186">
                  <c:v>6.875</c:v>
                </c:pt>
                <c:pt idx="2187">
                  <c:v>6.7599</c:v>
                </c:pt>
                <c:pt idx="2188">
                  <c:v>6.7268</c:v>
                </c:pt>
                <c:pt idx="2189">
                  <c:v>6.7048</c:v>
                </c:pt>
                <c:pt idx="2190">
                  <c:v>6.6735</c:v>
                </c:pt>
                <c:pt idx="2191">
                  <c:v>6.7225</c:v>
                </c:pt>
                <c:pt idx="2192">
                  <c:v>6.7433</c:v>
                </c:pt>
                <c:pt idx="2193">
                  <c:v>6.765</c:v>
                </c:pt>
                <c:pt idx="2194">
                  <c:v>6.8033</c:v>
                </c:pt>
                <c:pt idx="2195">
                  <c:v>6.806599999999999</c:v>
                </c:pt>
                <c:pt idx="2196">
                  <c:v>6.805</c:v>
                </c:pt>
                <c:pt idx="2197">
                  <c:v>6.8351</c:v>
                </c:pt>
                <c:pt idx="2198">
                  <c:v>6.8788</c:v>
                </c:pt>
                <c:pt idx="2199">
                  <c:v>7.0088</c:v>
                </c:pt>
                <c:pt idx="2200">
                  <c:v>6.9363</c:v>
                </c:pt>
                <c:pt idx="2201">
                  <c:v>6.8185</c:v>
                </c:pt>
                <c:pt idx="2202">
                  <c:v>6.7893</c:v>
                </c:pt>
                <c:pt idx="2203">
                  <c:v>6.8108</c:v>
                </c:pt>
                <c:pt idx="2204">
                  <c:v>6.7117</c:v>
                </c:pt>
                <c:pt idx="2205">
                  <c:v>6.7613</c:v>
                </c:pt>
                <c:pt idx="2206">
                  <c:v>6.6814</c:v>
                </c:pt>
                <c:pt idx="2207">
                  <c:v>6.7128</c:v>
                </c:pt>
                <c:pt idx="2208">
                  <c:v>6.569</c:v>
                </c:pt>
                <c:pt idx="2209">
                  <c:v>6.7208</c:v>
                </c:pt>
                <c:pt idx="2210">
                  <c:v>6.7925</c:v>
                </c:pt>
                <c:pt idx="2211">
                  <c:v>6.6437</c:v>
                </c:pt>
                <c:pt idx="2212">
                  <c:v>6.5284</c:v>
                </c:pt>
                <c:pt idx="2213">
                  <c:v>6.476</c:v>
                </c:pt>
                <c:pt idx="2214">
                  <c:v>6.5285</c:v>
                </c:pt>
                <c:pt idx="2215">
                  <c:v>6.5737</c:v>
                </c:pt>
                <c:pt idx="2216">
                  <c:v>6.5635</c:v>
                </c:pt>
                <c:pt idx="2217">
                  <c:v>6.5849</c:v>
                </c:pt>
                <c:pt idx="2218">
                  <c:v>6.5353</c:v>
                </c:pt>
                <c:pt idx="2219">
                  <c:v>6.5465</c:v>
                </c:pt>
                <c:pt idx="2220">
                  <c:v>6.5438</c:v>
                </c:pt>
                <c:pt idx="2221">
                  <c:v>6.5044</c:v>
                </c:pt>
                <c:pt idx="2222">
                  <c:v>6.571</c:v>
                </c:pt>
                <c:pt idx="2223">
                  <c:v>6.6689</c:v>
                </c:pt>
                <c:pt idx="2224">
                  <c:v>6.7128</c:v>
                </c:pt>
                <c:pt idx="2225">
                  <c:v>6.8675</c:v>
                </c:pt>
                <c:pt idx="2226">
                  <c:v>6.7932</c:v>
                </c:pt>
                <c:pt idx="2227">
                  <c:v>6.8037</c:v>
                </c:pt>
                <c:pt idx="2228">
                  <c:v>6.838</c:v>
                </c:pt>
                <c:pt idx="2229">
                  <c:v>6.8617</c:v>
                </c:pt>
                <c:pt idx="2230">
                  <c:v>6.848</c:v>
                </c:pt>
                <c:pt idx="2231">
                  <c:v>6.75</c:v>
                </c:pt>
                <c:pt idx="2232">
                  <c:v>6.6914</c:v>
                </c:pt>
                <c:pt idx="2233">
                  <c:v>6.8648</c:v>
                </c:pt>
                <c:pt idx="2234">
                  <c:v>6.8566</c:v>
                </c:pt>
                <c:pt idx="2235">
                  <c:v>6.8575</c:v>
                </c:pt>
                <c:pt idx="2236">
                  <c:v>6.8173</c:v>
                </c:pt>
                <c:pt idx="2237">
                  <c:v>6.905</c:v>
                </c:pt>
                <c:pt idx="2238">
                  <c:v>6.9081</c:v>
                </c:pt>
                <c:pt idx="2239">
                  <c:v>6.9285</c:v>
                </c:pt>
                <c:pt idx="2240">
                  <c:v>6.867</c:v>
                </c:pt>
                <c:pt idx="2241">
                  <c:v>6.8776</c:v>
                </c:pt>
                <c:pt idx="2242">
                  <c:v>6.8833</c:v>
                </c:pt>
                <c:pt idx="2243">
                  <c:v>6.9378</c:v>
                </c:pt>
                <c:pt idx="2244">
                  <c:v>6.9795</c:v>
                </c:pt>
                <c:pt idx="2245">
                  <c:v>6.9713</c:v>
                </c:pt>
                <c:pt idx="2246">
                  <c:v>6.995</c:v>
                </c:pt>
                <c:pt idx="2247">
                  <c:v>7.041</c:v>
                </c:pt>
                <c:pt idx="2248">
                  <c:v>7.0715</c:v>
                </c:pt>
                <c:pt idx="2249">
                  <c:v>7.1763</c:v>
                </c:pt>
                <c:pt idx="2250">
                  <c:v>7.1962</c:v>
                </c:pt>
                <c:pt idx="2251">
                  <c:v>7.1667</c:v>
                </c:pt>
                <c:pt idx="2252">
                  <c:v>7.126</c:v>
                </c:pt>
                <c:pt idx="2253">
                  <c:v>7.135</c:v>
                </c:pt>
                <c:pt idx="2254">
                  <c:v>7.1821</c:v>
                </c:pt>
                <c:pt idx="2255">
                  <c:v>7.2425</c:v>
                </c:pt>
                <c:pt idx="2256">
                  <c:v>7.2358</c:v>
                </c:pt>
                <c:pt idx="2257">
                  <c:v>7.208</c:v>
                </c:pt>
                <c:pt idx="2258">
                  <c:v>7.2505</c:v>
                </c:pt>
                <c:pt idx="2259">
                  <c:v>7.2091</c:v>
                </c:pt>
                <c:pt idx="2260">
                  <c:v>7.2118</c:v>
                </c:pt>
                <c:pt idx="2261">
                  <c:v>7.1601</c:v>
                </c:pt>
                <c:pt idx="2262">
                  <c:v>7.128</c:v>
                </c:pt>
                <c:pt idx="2263">
                  <c:v>7.2265</c:v>
                </c:pt>
                <c:pt idx="2264">
                  <c:v>7.2551</c:v>
                </c:pt>
                <c:pt idx="2265">
                  <c:v>7.2198</c:v>
                </c:pt>
                <c:pt idx="2266">
                  <c:v>7.2004</c:v>
                </c:pt>
                <c:pt idx="2267">
                  <c:v>7.2843</c:v>
                </c:pt>
                <c:pt idx="2268">
                  <c:v>7.2678</c:v>
                </c:pt>
                <c:pt idx="2269">
                  <c:v>7.3827</c:v>
                </c:pt>
                <c:pt idx="2270">
                  <c:v>7.4177</c:v>
                </c:pt>
                <c:pt idx="2271">
                  <c:v>7.4025</c:v>
                </c:pt>
                <c:pt idx="2272">
                  <c:v>7.5851</c:v>
                </c:pt>
                <c:pt idx="2273">
                  <c:v>7.379</c:v>
                </c:pt>
                <c:pt idx="2274">
                  <c:v>7.3102</c:v>
                </c:pt>
                <c:pt idx="2275">
                  <c:v>7.1888</c:v>
                </c:pt>
                <c:pt idx="2276">
                  <c:v>7.1932</c:v>
                </c:pt>
                <c:pt idx="2277">
                  <c:v>7.1425</c:v>
                </c:pt>
                <c:pt idx="2278">
                  <c:v>7.0288</c:v>
                </c:pt>
                <c:pt idx="2279">
                  <c:v>7.0795</c:v>
                </c:pt>
                <c:pt idx="2280">
                  <c:v>7.0724</c:v>
                </c:pt>
                <c:pt idx="2281">
                  <c:v>7.0915</c:v>
                </c:pt>
                <c:pt idx="2282">
                  <c:v>7.0875</c:v>
                </c:pt>
                <c:pt idx="2283">
                  <c:v>7.1415</c:v>
                </c:pt>
                <c:pt idx="2284">
                  <c:v>7.078</c:v>
                </c:pt>
                <c:pt idx="2285">
                  <c:v>7.1293</c:v>
                </c:pt>
                <c:pt idx="2286">
                  <c:v>7.0988</c:v>
                </c:pt>
                <c:pt idx="2287">
                  <c:v>7.036</c:v>
                </c:pt>
                <c:pt idx="2288">
                  <c:v>6.8993</c:v>
                </c:pt>
                <c:pt idx="2289">
                  <c:v>6.8283</c:v>
                </c:pt>
                <c:pt idx="2290">
                  <c:v>6.8085</c:v>
                </c:pt>
                <c:pt idx="2291">
                  <c:v>6.8933</c:v>
                </c:pt>
                <c:pt idx="2292">
                  <c:v>6.8715</c:v>
                </c:pt>
                <c:pt idx="2293">
                  <c:v>6.9689</c:v>
                </c:pt>
                <c:pt idx="2294">
                  <c:v>6.9699</c:v>
                </c:pt>
                <c:pt idx="2295">
                  <c:v>6.9635</c:v>
                </c:pt>
                <c:pt idx="2296">
                  <c:v>6.978</c:v>
                </c:pt>
                <c:pt idx="2297">
                  <c:v>6.9673</c:v>
                </c:pt>
                <c:pt idx="2298">
                  <c:v>7.038</c:v>
                </c:pt>
                <c:pt idx="2299">
                  <c:v>6.9948</c:v>
                </c:pt>
                <c:pt idx="2300">
                  <c:v>6.9612</c:v>
                </c:pt>
                <c:pt idx="2301">
                  <c:v>6.995</c:v>
                </c:pt>
                <c:pt idx="2302">
                  <c:v>7.013</c:v>
                </c:pt>
                <c:pt idx="2303">
                  <c:v>6.9598</c:v>
                </c:pt>
                <c:pt idx="2304">
                  <c:v>6.9865</c:v>
                </c:pt>
                <c:pt idx="2305">
                  <c:v>6.965</c:v>
                </c:pt>
                <c:pt idx="2306">
                  <c:v>7.0588</c:v>
                </c:pt>
                <c:pt idx="2307">
                  <c:v>7.076</c:v>
                </c:pt>
                <c:pt idx="2308">
                  <c:v>7.1765</c:v>
                </c:pt>
                <c:pt idx="2309">
                  <c:v>7.1733</c:v>
                </c:pt>
                <c:pt idx="2310">
                  <c:v>7.153</c:v>
                </c:pt>
                <c:pt idx="2311">
                  <c:v>7.1538</c:v>
                </c:pt>
                <c:pt idx="2312">
                  <c:v>7.1428</c:v>
                </c:pt>
                <c:pt idx="2313">
                  <c:v>7.1118</c:v>
                </c:pt>
                <c:pt idx="2314">
                  <c:v>7.069</c:v>
                </c:pt>
                <c:pt idx="2315">
                  <c:v>7.0845</c:v>
                </c:pt>
                <c:pt idx="2316">
                  <c:v>7.1346</c:v>
                </c:pt>
                <c:pt idx="2317">
                  <c:v>7.195</c:v>
                </c:pt>
                <c:pt idx="2318">
                  <c:v>7.2432</c:v>
                </c:pt>
                <c:pt idx="2319">
                  <c:v>7.229</c:v>
                </c:pt>
                <c:pt idx="2320">
                  <c:v>7.2214</c:v>
                </c:pt>
                <c:pt idx="2321">
                  <c:v>7.2944</c:v>
                </c:pt>
                <c:pt idx="2322">
                  <c:v>7.2231</c:v>
                </c:pt>
                <c:pt idx="2323">
                  <c:v>7.2094</c:v>
                </c:pt>
                <c:pt idx="2324">
                  <c:v>7.1713</c:v>
                </c:pt>
                <c:pt idx="2325">
                  <c:v>7.1215</c:v>
                </c:pt>
                <c:pt idx="2326">
                  <c:v>7.0958</c:v>
                </c:pt>
                <c:pt idx="2327">
                  <c:v>7.1252</c:v>
                </c:pt>
                <c:pt idx="2328">
                  <c:v>7.1698</c:v>
                </c:pt>
                <c:pt idx="2329">
                  <c:v>7.1463</c:v>
                </c:pt>
                <c:pt idx="2330">
                  <c:v>7.1</c:v>
                </c:pt>
                <c:pt idx="2331">
                  <c:v>7.1027</c:v>
                </c:pt>
                <c:pt idx="2332">
                  <c:v>7.147</c:v>
                </c:pt>
                <c:pt idx="2333">
                  <c:v>7.0596</c:v>
                </c:pt>
                <c:pt idx="2334">
                  <c:v>7.0575</c:v>
                </c:pt>
                <c:pt idx="2335">
                  <c:v>7.017</c:v>
                </c:pt>
                <c:pt idx="2336">
                  <c:v>7.0173</c:v>
                </c:pt>
                <c:pt idx="2337">
                  <c:v>7.0402</c:v>
                </c:pt>
                <c:pt idx="2338">
                  <c:v>6.9755</c:v>
                </c:pt>
                <c:pt idx="2339">
                  <c:v>6.8995</c:v>
                </c:pt>
                <c:pt idx="2340">
                  <c:v>6.93</c:v>
                </c:pt>
                <c:pt idx="2341">
                  <c:v>6.981</c:v>
                </c:pt>
                <c:pt idx="2342">
                  <c:v>7.0345</c:v>
                </c:pt>
                <c:pt idx="2343">
                  <c:v>6.893</c:v>
                </c:pt>
                <c:pt idx="2344">
                  <c:v>6.9104</c:v>
                </c:pt>
                <c:pt idx="2345">
                  <c:v>6.8805</c:v>
                </c:pt>
                <c:pt idx="2346">
                  <c:v>6.9415</c:v>
                </c:pt>
                <c:pt idx="2347">
                  <c:v>6.975</c:v>
                </c:pt>
                <c:pt idx="2348">
                  <c:v>7.0283</c:v>
                </c:pt>
                <c:pt idx="2349">
                  <c:v>7.0366</c:v>
                </c:pt>
                <c:pt idx="2350">
                  <c:v>7.0163</c:v>
                </c:pt>
                <c:pt idx="2351">
                  <c:v>7.0595</c:v>
                </c:pt>
                <c:pt idx="2352">
                  <c:v>6.9962</c:v>
                </c:pt>
                <c:pt idx="2353">
                  <c:v>6.981</c:v>
                </c:pt>
                <c:pt idx="2354">
                  <c:v>7.0498</c:v>
                </c:pt>
                <c:pt idx="2355">
                  <c:v>7.077</c:v>
                </c:pt>
                <c:pt idx="2356">
                  <c:v>7.0343</c:v>
                </c:pt>
                <c:pt idx="2357">
                  <c:v>7.0445</c:v>
                </c:pt>
                <c:pt idx="2358">
                  <c:v>7.06</c:v>
                </c:pt>
                <c:pt idx="2359">
                  <c:v>7.0647</c:v>
                </c:pt>
                <c:pt idx="2360">
                  <c:v>7.1064</c:v>
                </c:pt>
                <c:pt idx="2361">
                  <c:v>7.1981</c:v>
                </c:pt>
                <c:pt idx="2362">
                  <c:v>7.1718</c:v>
                </c:pt>
                <c:pt idx="2363">
                  <c:v>7.1335</c:v>
                </c:pt>
                <c:pt idx="2364">
                  <c:v>7.1329</c:v>
                </c:pt>
                <c:pt idx="2365">
                  <c:v>7.1208</c:v>
                </c:pt>
                <c:pt idx="2366">
                  <c:v>7.1335</c:v>
                </c:pt>
                <c:pt idx="2367">
                  <c:v>7.1343</c:v>
                </c:pt>
                <c:pt idx="2368">
                  <c:v>7.1697</c:v>
                </c:pt>
                <c:pt idx="2369">
                  <c:v>7.1722</c:v>
                </c:pt>
                <c:pt idx="2370">
                  <c:v>7.26</c:v>
                </c:pt>
                <c:pt idx="2371">
                  <c:v>7.2973</c:v>
                </c:pt>
                <c:pt idx="2372">
                  <c:v>7.2841</c:v>
                </c:pt>
                <c:pt idx="2373">
                  <c:v>7.3423</c:v>
                </c:pt>
                <c:pt idx="2374">
                  <c:v>7.2478</c:v>
                </c:pt>
                <c:pt idx="2375">
                  <c:v>7.2216</c:v>
                </c:pt>
                <c:pt idx="2376">
                  <c:v>7.2187</c:v>
                </c:pt>
                <c:pt idx="2377">
                  <c:v>7.1858</c:v>
                </c:pt>
                <c:pt idx="2378">
                  <c:v>7.3461</c:v>
                </c:pt>
                <c:pt idx="2379">
                  <c:v>7.3915</c:v>
                </c:pt>
                <c:pt idx="2380">
                  <c:v>7.4263</c:v>
                </c:pt>
                <c:pt idx="2381">
                  <c:v>7.4854</c:v>
                </c:pt>
                <c:pt idx="2382">
                  <c:v>7.4101</c:v>
                </c:pt>
                <c:pt idx="2383">
                  <c:v>7.4613</c:v>
                </c:pt>
                <c:pt idx="2384">
                  <c:v>7.4715</c:v>
                </c:pt>
                <c:pt idx="2385">
                  <c:v>7.3305</c:v>
                </c:pt>
                <c:pt idx="2386">
                  <c:v>7.3242</c:v>
                </c:pt>
                <c:pt idx="2387">
                  <c:v>7.38</c:v>
                </c:pt>
                <c:pt idx="2388">
                  <c:v>7.4295</c:v>
                </c:pt>
                <c:pt idx="2389">
                  <c:v>7.4166</c:v>
                </c:pt>
                <c:pt idx="2390">
                  <c:v>7.4651</c:v>
                </c:pt>
                <c:pt idx="2391">
                  <c:v>7.3928</c:v>
                </c:pt>
                <c:pt idx="2392">
                  <c:v>7.2985</c:v>
                </c:pt>
                <c:pt idx="2393">
                  <c:v>7.2515</c:v>
                </c:pt>
                <c:pt idx="2394">
                  <c:v>7.2137</c:v>
                </c:pt>
                <c:pt idx="2395">
                  <c:v>7.0817</c:v>
                </c:pt>
                <c:pt idx="2396">
                  <c:v>7.0651</c:v>
                </c:pt>
                <c:pt idx="2397">
                  <c:v>7.0703</c:v>
                </c:pt>
                <c:pt idx="2398">
                  <c:v>7.108</c:v>
                </c:pt>
                <c:pt idx="2399">
                  <c:v>7.1239</c:v>
                </c:pt>
                <c:pt idx="2400">
                  <c:v>7.107</c:v>
                </c:pt>
                <c:pt idx="2401">
                  <c:v>7.17</c:v>
                </c:pt>
                <c:pt idx="2402">
                  <c:v>7.2118</c:v>
                </c:pt>
                <c:pt idx="2403">
                  <c:v>7.1935</c:v>
                </c:pt>
                <c:pt idx="2404">
                  <c:v>7.2438</c:v>
                </c:pt>
                <c:pt idx="2405">
                  <c:v>7.2678</c:v>
                </c:pt>
                <c:pt idx="2406">
                  <c:v>7.1605</c:v>
                </c:pt>
                <c:pt idx="2407">
                  <c:v>7.1511</c:v>
                </c:pt>
                <c:pt idx="2408">
                  <c:v>7.1688</c:v>
                </c:pt>
                <c:pt idx="2409">
                  <c:v>7.1968</c:v>
                </c:pt>
                <c:pt idx="2410">
                  <c:v>7.207</c:v>
                </c:pt>
                <c:pt idx="2411">
                  <c:v>7.1951</c:v>
                </c:pt>
                <c:pt idx="2412">
                  <c:v>7.1868</c:v>
                </c:pt>
                <c:pt idx="2413">
                  <c:v>7.2255</c:v>
                </c:pt>
                <c:pt idx="2414">
                  <c:v>7.2964</c:v>
                </c:pt>
                <c:pt idx="2415">
                  <c:v>7.3163</c:v>
                </c:pt>
                <c:pt idx="2416">
                  <c:v>7.2833</c:v>
                </c:pt>
                <c:pt idx="2417">
                  <c:v>7.2408</c:v>
                </c:pt>
                <c:pt idx="2418">
                  <c:v>7.155</c:v>
                </c:pt>
                <c:pt idx="2419">
                  <c:v>7.1226</c:v>
                </c:pt>
                <c:pt idx="2420">
                  <c:v>7.138</c:v>
                </c:pt>
                <c:pt idx="2421">
                  <c:v>7.1471</c:v>
                </c:pt>
                <c:pt idx="2422">
                  <c:v>7.1412</c:v>
                </c:pt>
                <c:pt idx="2423">
                  <c:v>7.1588</c:v>
                </c:pt>
                <c:pt idx="2424">
                  <c:v>7.2315</c:v>
                </c:pt>
                <c:pt idx="2425">
                  <c:v>7.2149</c:v>
                </c:pt>
                <c:pt idx="2426">
                  <c:v>7.2267</c:v>
                </c:pt>
                <c:pt idx="2427">
                  <c:v>7.2633</c:v>
                </c:pt>
                <c:pt idx="2428">
                  <c:v>7.3225</c:v>
                </c:pt>
                <c:pt idx="2429">
                  <c:v>7.3223</c:v>
                </c:pt>
                <c:pt idx="2430">
                  <c:v>7.2418</c:v>
                </c:pt>
                <c:pt idx="2431">
                  <c:v>7.2127</c:v>
                </c:pt>
                <c:pt idx="2432">
                  <c:v>7.0906</c:v>
                </c:pt>
                <c:pt idx="2433">
                  <c:v>6.9448</c:v>
                </c:pt>
                <c:pt idx="2434">
                  <c:v>6.9</c:v>
                </c:pt>
                <c:pt idx="2435">
                  <c:v>7.0061</c:v>
                </c:pt>
                <c:pt idx="2436">
                  <c:v>6.9879</c:v>
                </c:pt>
                <c:pt idx="2437">
                  <c:v>7.0108</c:v>
                </c:pt>
                <c:pt idx="2438">
                  <c:v>7.0888</c:v>
                </c:pt>
                <c:pt idx="2439">
                  <c:v>7.0627</c:v>
                </c:pt>
                <c:pt idx="2440">
                  <c:v>7.039</c:v>
                </c:pt>
                <c:pt idx="2441">
                  <c:v>7.035</c:v>
                </c:pt>
                <c:pt idx="2442">
                  <c:v>7.02</c:v>
                </c:pt>
                <c:pt idx="2443">
                  <c:v>6.9205</c:v>
                </c:pt>
                <c:pt idx="2444">
                  <c:v>7.0208</c:v>
                </c:pt>
                <c:pt idx="2445">
                  <c:v>7.0338</c:v>
                </c:pt>
                <c:pt idx="2446">
                  <c:v>7.0065</c:v>
                </c:pt>
                <c:pt idx="2447">
                  <c:v>6.97</c:v>
                </c:pt>
                <c:pt idx="2448">
                  <c:v>6.9888</c:v>
                </c:pt>
                <c:pt idx="2449">
                  <c:v>7.0068</c:v>
                </c:pt>
                <c:pt idx="2450">
                  <c:v>7.0278</c:v>
                </c:pt>
                <c:pt idx="2451">
                  <c:v>7.0597</c:v>
                </c:pt>
                <c:pt idx="2452">
                  <c:v>7.0244</c:v>
                </c:pt>
                <c:pt idx="2453">
                  <c:v>7.0868</c:v>
                </c:pt>
                <c:pt idx="2454">
                  <c:v>7.1063</c:v>
                </c:pt>
                <c:pt idx="2455">
                  <c:v>7.164</c:v>
                </c:pt>
                <c:pt idx="2456">
                  <c:v>7.1588</c:v>
                </c:pt>
                <c:pt idx="2457">
                  <c:v>7.1513</c:v>
                </c:pt>
                <c:pt idx="2458">
                  <c:v>7.1395</c:v>
                </c:pt>
                <c:pt idx="2459">
                  <c:v>7.165</c:v>
                </c:pt>
                <c:pt idx="2460">
                  <c:v>7.1298</c:v>
                </c:pt>
                <c:pt idx="2461">
                  <c:v>7.1635</c:v>
                </c:pt>
                <c:pt idx="2462">
                  <c:v>7.205</c:v>
                </c:pt>
                <c:pt idx="2463">
                  <c:v>7.1538</c:v>
                </c:pt>
                <c:pt idx="2464">
                  <c:v>7.2065</c:v>
                </c:pt>
                <c:pt idx="2465">
                  <c:v>7.233</c:v>
                </c:pt>
                <c:pt idx="2466">
                  <c:v>7.2826</c:v>
                </c:pt>
                <c:pt idx="2467">
                  <c:v>7.2235</c:v>
                </c:pt>
                <c:pt idx="2468">
                  <c:v>7.2555</c:v>
                </c:pt>
                <c:pt idx="2469">
                  <c:v>7.2688</c:v>
                </c:pt>
                <c:pt idx="2470">
                  <c:v>7.26</c:v>
                </c:pt>
                <c:pt idx="2471">
                  <c:v>7.2159</c:v>
                </c:pt>
                <c:pt idx="2472">
                  <c:v>7.2318</c:v>
                </c:pt>
                <c:pt idx="2473">
                  <c:v>7.3155</c:v>
                </c:pt>
                <c:pt idx="2474">
                  <c:v>7.3063</c:v>
                </c:pt>
                <c:pt idx="2475">
                  <c:v>7.381</c:v>
                </c:pt>
                <c:pt idx="2476">
                  <c:v>7.3768</c:v>
                </c:pt>
                <c:pt idx="2477">
                  <c:v>7.4324</c:v>
                </c:pt>
                <c:pt idx="2478">
                  <c:v>7.3963</c:v>
                </c:pt>
                <c:pt idx="2479">
                  <c:v>7.3865</c:v>
                </c:pt>
                <c:pt idx="2480">
                  <c:v>7.5065</c:v>
                </c:pt>
                <c:pt idx="2481">
                  <c:v>7.43</c:v>
                </c:pt>
                <c:pt idx="2482">
                  <c:v>7.5006</c:v>
                </c:pt>
                <c:pt idx="2483">
                  <c:v>7.5915</c:v>
                </c:pt>
                <c:pt idx="2484">
                  <c:v>7.7095</c:v>
                </c:pt>
                <c:pt idx="2485">
                  <c:v>7.6763</c:v>
                </c:pt>
                <c:pt idx="2486">
                  <c:v>7.5378</c:v>
                </c:pt>
                <c:pt idx="2487">
                  <c:v>7.52</c:v>
                </c:pt>
                <c:pt idx="2488">
                  <c:v>7.5959</c:v>
                </c:pt>
                <c:pt idx="2489">
                  <c:v>7.6099</c:v>
                </c:pt>
                <c:pt idx="2490">
                  <c:v>7.5175</c:v>
                </c:pt>
                <c:pt idx="2491">
                  <c:v>7.4713</c:v>
                </c:pt>
                <c:pt idx="2492">
                  <c:v>7.526</c:v>
                </c:pt>
                <c:pt idx="2493">
                  <c:v>7.669</c:v>
                </c:pt>
                <c:pt idx="2494">
                  <c:v>7.7665</c:v>
                </c:pt>
                <c:pt idx="2495">
                  <c:v>7.8338</c:v>
                </c:pt>
                <c:pt idx="2496">
                  <c:v>7.817</c:v>
                </c:pt>
                <c:pt idx="2497">
                  <c:v>7.806</c:v>
                </c:pt>
                <c:pt idx="2498">
                  <c:v>7.9125</c:v>
                </c:pt>
                <c:pt idx="2499">
                  <c:v>7.884</c:v>
                </c:pt>
                <c:pt idx="2500">
                  <c:v>7.7235</c:v>
                </c:pt>
                <c:pt idx="2501">
                  <c:v>7.7613</c:v>
                </c:pt>
                <c:pt idx="2502">
                  <c:v>7.678</c:v>
                </c:pt>
                <c:pt idx="2503">
                  <c:v>7.6268</c:v>
                </c:pt>
                <c:pt idx="2504">
                  <c:v>7.6563</c:v>
                </c:pt>
                <c:pt idx="2505">
                  <c:v>7.7005</c:v>
                </c:pt>
                <c:pt idx="2506">
                  <c:v>7.6225</c:v>
                </c:pt>
                <c:pt idx="2507">
                  <c:v>7.5835</c:v>
                </c:pt>
                <c:pt idx="2508">
                  <c:v>7.3865</c:v>
                </c:pt>
                <c:pt idx="2509">
                  <c:v>7.367</c:v>
                </c:pt>
                <c:pt idx="2510">
                  <c:v>7.283</c:v>
                </c:pt>
                <c:pt idx="2511">
                  <c:v>7.397</c:v>
                </c:pt>
                <c:pt idx="2512">
                  <c:v>7.4047</c:v>
                </c:pt>
                <c:pt idx="2513">
                  <c:v>7.318</c:v>
                </c:pt>
                <c:pt idx="2514">
                  <c:v>7.3453</c:v>
                </c:pt>
                <c:pt idx="2515">
                  <c:v>7.4085</c:v>
                </c:pt>
                <c:pt idx="2516">
                  <c:v>7.373</c:v>
                </c:pt>
                <c:pt idx="2517">
                  <c:v>7.3475</c:v>
                </c:pt>
                <c:pt idx="2518">
                  <c:v>7.313</c:v>
                </c:pt>
                <c:pt idx="2519">
                  <c:v>7.1887</c:v>
                </c:pt>
                <c:pt idx="2520">
                  <c:v>7.161</c:v>
                </c:pt>
                <c:pt idx="2521">
                  <c:v>7.2088</c:v>
                </c:pt>
                <c:pt idx="2522">
                  <c:v>7.209</c:v>
                </c:pt>
                <c:pt idx="2523">
                  <c:v>7.102</c:v>
                </c:pt>
                <c:pt idx="2524">
                  <c:v>7.1448</c:v>
                </c:pt>
                <c:pt idx="2525">
                  <c:v>7.1833</c:v>
                </c:pt>
                <c:pt idx="2526">
                  <c:v>7.1436</c:v>
                </c:pt>
                <c:pt idx="2527">
                  <c:v>7.1675</c:v>
                </c:pt>
                <c:pt idx="2528">
                  <c:v>7.1398</c:v>
                </c:pt>
                <c:pt idx="2529">
                  <c:v>7.1185</c:v>
                </c:pt>
                <c:pt idx="2530">
                  <c:v>7.0315</c:v>
                </c:pt>
                <c:pt idx="2531">
                  <c:v>6.989</c:v>
                </c:pt>
                <c:pt idx="2532">
                  <c:v>6.7925</c:v>
                </c:pt>
                <c:pt idx="2533">
                  <c:v>6.7445</c:v>
                </c:pt>
                <c:pt idx="2534">
                  <c:v>6.8715</c:v>
                </c:pt>
                <c:pt idx="2535">
                  <c:v>6.8535</c:v>
                </c:pt>
                <c:pt idx="2536">
                  <c:v>6.7925</c:v>
                </c:pt>
                <c:pt idx="2537">
                  <c:v>6.8038</c:v>
                </c:pt>
                <c:pt idx="2538">
                  <c:v>6.7315</c:v>
                </c:pt>
                <c:pt idx="2539">
                  <c:v>6.832</c:v>
                </c:pt>
                <c:pt idx="2540">
                  <c:v>6.7914</c:v>
                </c:pt>
                <c:pt idx="2541">
                  <c:v>6.8168</c:v>
                </c:pt>
                <c:pt idx="2542">
                  <c:v>6.853</c:v>
                </c:pt>
                <c:pt idx="2543">
                  <c:v>6.8925</c:v>
                </c:pt>
                <c:pt idx="2544">
                  <c:v>6.9689</c:v>
                </c:pt>
                <c:pt idx="2545">
                  <c:v>6.9245</c:v>
                </c:pt>
                <c:pt idx="2546">
                  <c:v>6.877</c:v>
                </c:pt>
                <c:pt idx="2547">
                  <c:v>6.82</c:v>
                </c:pt>
                <c:pt idx="2548">
                  <c:v>6.9738</c:v>
                </c:pt>
                <c:pt idx="2549">
                  <c:v>7.013</c:v>
                </c:pt>
                <c:pt idx="2550">
                  <c:v>7.0181</c:v>
                </c:pt>
                <c:pt idx="2551">
                  <c:v>7.0392</c:v>
                </c:pt>
                <c:pt idx="2552">
                  <c:v>6.9693</c:v>
                </c:pt>
                <c:pt idx="2553">
                  <c:v>7.0547</c:v>
                </c:pt>
                <c:pt idx="2554">
                  <c:v>7.1876</c:v>
                </c:pt>
                <c:pt idx="2555">
                  <c:v>7.2225</c:v>
                </c:pt>
                <c:pt idx="2556">
                  <c:v>7.2087</c:v>
                </c:pt>
                <c:pt idx="2557">
                  <c:v>7.1642</c:v>
                </c:pt>
                <c:pt idx="2558">
                  <c:v>7.143</c:v>
                </c:pt>
                <c:pt idx="2559">
                  <c:v>7.1129</c:v>
                </c:pt>
                <c:pt idx="2560">
                  <c:v>7.1214</c:v>
                </c:pt>
                <c:pt idx="2561">
                  <c:v>7.1005</c:v>
                </c:pt>
                <c:pt idx="2562">
                  <c:v>7.1633</c:v>
                </c:pt>
                <c:pt idx="2563">
                  <c:v>7.2288</c:v>
                </c:pt>
                <c:pt idx="2564">
                  <c:v>7.0385</c:v>
                </c:pt>
                <c:pt idx="2565">
                  <c:v>7.0563</c:v>
                </c:pt>
                <c:pt idx="2566">
                  <c:v>7.164</c:v>
                </c:pt>
                <c:pt idx="2567">
                  <c:v>7.2925</c:v>
                </c:pt>
                <c:pt idx="2568">
                  <c:v>7.2423</c:v>
                </c:pt>
                <c:pt idx="2569">
                  <c:v>7.3025</c:v>
                </c:pt>
                <c:pt idx="2570">
                  <c:v>7.3775</c:v>
                </c:pt>
                <c:pt idx="2571">
                  <c:v>7.4463</c:v>
                </c:pt>
                <c:pt idx="2572">
                  <c:v>7.314</c:v>
                </c:pt>
                <c:pt idx="2573">
                  <c:v>7.147</c:v>
                </c:pt>
                <c:pt idx="2574">
                  <c:v>7.0903</c:v>
                </c:pt>
                <c:pt idx="2575">
                  <c:v>6.982</c:v>
                </c:pt>
                <c:pt idx="2576">
                  <c:v>6.893</c:v>
                </c:pt>
                <c:pt idx="2577">
                  <c:v>6.9335</c:v>
                </c:pt>
                <c:pt idx="2578">
                  <c:v>6.846</c:v>
                </c:pt>
                <c:pt idx="2579">
                  <c:v>6.844</c:v>
                </c:pt>
                <c:pt idx="2580">
                  <c:v>6.7723</c:v>
                </c:pt>
                <c:pt idx="2581">
                  <c:v>6.7213</c:v>
                </c:pt>
                <c:pt idx="2582">
                  <c:v>6.7875</c:v>
                </c:pt>
                <c:pt idx="2583">
                  <c:v>6.7125</c:v>
                </c:pt>
                <c:pt idx="2584">
                  <c:v>6.7778</c:v>
                </c:pt>
                <c:pt idx="2585">
                  <c:v>6.6395</c:v>
                </c:pt>
                <c:pt idx="2586">
                  <c:v>6.6515</c:v>
                </c:pt>
                <c:pt idx="2587">
                  <c:v>6.6787</c:v>
                </c:pt>
                <c:pt idx="2588">
                  <c:v>6.7085</c:v>
                </c:pt>
                <c:pt idx="2589">
                  <c:v>6.5843</c:v>
                </c:pt>
                <c:pt idx="2590">
                  <c:v>6.513</c:v>
                </c:pt>
                <c:pt idx="2591">
                  <c:v>6.5385</c:v>
                </c:pt>
                <c:pt idx="2592">
                  <c:v>6.564999999999999</c:v>
                </c:pt>
                <c:pt idx="2593">
                  <c:v>6.6789</c:v>
                </c:pt>
                <c:pt idx="2594">
                  <c:v>6.507</c:v>
                </c:pt>
                <c:pt idx="2595">
                  <c:v>6.59</c:v>
                </c:pt>
                <c:pt idx="2596">
                  <c:v>6.5258</c:v>
                </c:pt>
                <c:pt idx="2597">
                  <c:v>6.4858</c:v>
                </c:pt>
                <c:pt idx="2598">
                  <c:v>6.4</c:v>
                </c:pt>
                <c:pt idx="2599">
                  <c:v>6.3698</c:v>
                </c:pt>
                <c:pt idx="2600">
                  <c:v>6.4143</c:v>
                </c:pt>
                <c:pt idx="2601">
                  <c:v>6.2385</c:v>
                </c:pt>
                <c:pt idx="2602">
                  <c:v>6.063</c:v>
                </c:pt>
                <c:pt idx="2603">
                  <c:v>6.0703</c:v>
                </c:pt>
                <c:pt idx="2604">
                  <c:v>6.0498</c:v>
                </c:pt>
                <c:pt idx="2605">
                  <c:v>6.0585</c:v>
                </c:pt>
                <c:pt idx="2606">
                  <c:v>6.0595</c:v>
                </c:pt>
              </c:numCache>
            </c:numRef>
          </c:val>
          <c:smooth val="0"/>
        </c:ser>
        <c:dLbls>
          <c:showLegendKey val="0"/>
          <c:showVal val="0"/>
          <c:showCatName val="0"/>
          <c:showSerName val="0"/>
          <c:showPercent val="0"/>
          <c:showBubbleSize val="0"/>
        </c:dLbls>
        <c:marker val="1"/>
        <c:smooth val="0"/>
        <c:axId val="-2107918280"/>
        <c:axId val="-2125162120"/>
      </c:lineChart>
      <c:dateAx>
        <c:axId val="-2107918280"/>
        <c:scaling>
          <c:orientation val="minMax"/>
        </c:scaling>
        <c:delete val="0"/>
        <c:axPos val="b"/>
        <c:numFmt formatCode="m/d/yy" sourceLinked="1"/>
        <c:majorTickMark val="out"/>
        <c:minorTickMark val="none"/>
        <c:tickLblPos val="nextTo"/>
        <c:crossAx val="-2125162120"/>
        <c:crosses val="autoZero"/>
        <c:auto val="1"/>
        <c:lblOffset val="100"/>
        <c:baseTimeUnit val="days"/>
      </c:dateAx>
      <c:valAx>
        <c:axId val="-2125162120"/>
        <c:scaling>
          <c:orientation val="minMax"/>
        </c:scaling>
        <c:delete val="0"/>
        <c:axPos val="l"/>
        <c:majorGridlines/>
        <c:numFmt formatCode="0.00" sourceLinked="1"/>
        <c:majorTickMark val="out"/>
        <c:minorTickMark val="none"/>
        <c:tickLblPos val="nextTo"/>
        <c:crossAx val="-2107918280"/>
        <c:crosses val="autoZero"/>
        <c:crossBetween val="between"/>
      </c:valAx>
    </c:plotArea>
    <c:legend>
      <c:legendPos val="r"/>
      <c:overlay val="0"/>
    </c:legend>
    <c:plotVisOnly val="1"/>
    <c:dispBlanksAs val="gap"/>
    <c:showDLblsOverMax val="0"/>
  </c:chart>
  <c:printSettings>
    <c:headerFooter/>
    <c:pageMargins b="1.0" l="0.75" r="0.75" t="1.0"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c:spPr>
          <c:marker>
            <c:symbol val="none"/>
          </c:marker>
          <c:cat>
            <c:numRef>
              <c:f>'3f. Exchange Rate USDZAR'!$A$10:$A$2616</c:f>
              <c:numCache>
                <c:formatCode>m/d/yy</c:formatCode>
                <c:ptCount val="2607"/>
                <c:pt idx="0">
                  <c:v>42494.0</c:v>
                </c:pt>
                <c:pt idx="1">
                  <c:v>42493.0</c:v>
                </c:pt>
                <c:pt idx="2">
                  <c:v>42492.0</c:v>
                </c:pt>
                <c:pt idx="3">
                  <c:v>42489.0</c:v>
                </c:pt>
                <c:pt idx="4">
                  <c:v>42488.0</c:v>
                </c:pt>
                <c:pt idx="5">
                  <c:v>42487.0</c:v>
                </c:pt>
                <c:pt idx="6">
                  <c:v>42486.0</c:v>
                </c:pt>
                <c:pt idx="7">
                  <c:v>42485.0</c:v>
                </c:pt>
                <c:pt idx="8">
                  <c:v>42482.0</c:v>
                </c:pt>
                <c:pt idx="9">
                  <c:v>42481.0</c:v>
                </c:pt>
                <c:pt idx="10">
                  <c:v>42480.0</c:v>
                </c:pt>
                <c:pt idx="11">
                  <c:v>42479.0</c:v>
                </c:pt>
                <c:pt idx="12">
                  <c:v>42478.0</c:v>
                </c:pt>
                <c:pt idx="13">
                  <c:v>42475.0</c:v>
                </c:pt>
                <c:pt idx="14">
                  <c:v>42474.0</c:v>
                </c:pt>
                <c:pt idx="15">
                  <c:v>42473.0</c:v>
                </c:pt>
                <c:pt idx="16">
                  <c:v>42472.0</c:v>
                </c:pt>
                <c:pt idx="17">
                  <c:v>42471.0</c:v>
                </c:pt>
                <c:pt idx="18">
                  <c:v>42468.0</c:v>
                </c:pt>
                <c:pt idx="19">
                  <c:v>42467.0</c:v>
                </c:pt>
                <c:pt idx="20">
                  <c:v>42466.0</c:v>
                </c:pt>
                <c:pt idx="21">
                  <c:v>42465.0</c:v>
                </c:pt>
                <c:pt idx="22">
                  <c:v>42464.0</c:v>
                </c:pt>
                <c:pt idx="23">
                  <c:v>42461.0</c:v>
                </c:pt>
                <c:pt idx="24">
                  <c:v>42460.0</c:v>
                </c:pt>
                <c:pt idx="25">
                  <c:v>42459.0</c:v>
                </c:pt>
                <c:pt idx="26">
                  <c:v>42458.0</c:v>
                </c:pt>
                <c:pt idx="27">
                  <c:v>42457.0</c:v>
                </c:pt>
                <c:pt idx="28">
                  <c:v>42454.0</c:v>
                </c:pt>
                <c:pt idx="29">
                  <c:v>42453.0</c:v>
                </c:pt>
                <c:pt idx="30">
                  <c:v>42452.0</c:v>
                </c:pt>
                <c:pt idx="31">
                  <c:v>42451.0</c:v>
                </c:pt>
                <c:pt idx="32">
                  <c:v>42450.0</c:v>
                </c:pt>
                <c:pt idx="33">
                  <c:v>42447.0</c:v>
                </c:pt>
                <c:pt idx="34">
                  <c:v>42446.0</c:v>
                </c:pt>
                <c:pt idx="35">
                  <c:v>42445.0</c:v>
                </c:pt>
                <c:pt idx="36">
                  <c:v>42444.0</c:v>
                </c:pt>
                <c:pt idx="37">
                  <c:v>42443.0</c:v>
                </c:pt>
                <c:pt idx="38">
                  <c:v>42440.0</c:v>
                </c:pt>
                <c:pt idx="39">
                  <c:v>42439.0</c:v>
                </c:pt>
                <c:pt idx="40">
                  <c:v>42438.0</c:v>
                </c:pt>
                <c:pt idx="41">
                  <c:v>42437.0</c:v>
                </c:pt>
                <c:pt idx="42">
                  <c:v>42436.0</c:v>
                </c:pt>
                <c:pt idx="43">
                  <c:v>42433.0</c:v>
                </c:pt>
                <c:pt idx="44">
                  <c:v>42432.0</c:v>
                </c:pt>
                <c:pt idx="45">
                  <c:v>42431.0</c:v>
                </c:pt>
                <c:pt idx="46">
                  <c:v>42430.0</c:v>
                </c:pt>
                <c:pt idx="47">
                  <c:v>42429.0</c:v>
                </c:pt>
                <c:pt idx="48">
                  <c:v>42426.0</c:v>
                </c:pt>
                <c:pt idx="49">
                  <c:v>42425.0</c:v>
                </c:pt>
                <c:pt idx="50">
                  <c:v>42424.0</c:v>
                </c:pt>
                <c:pt idx="51">
                  <c:v>42423.0</c:v>
                </c:pt>
                <c:pt idx="52">
                  <c:v>42422.0</c:v>
                </c:pt>
                <c:pt idx="53">
                  <c:v>42419.0</c:v>
                </c:pt>
                <c:pt idx="54">
                  <c:v>42418.0</c:v>
                </c:pt>
                <c:pt idx="55">
                  <c:v>42417.0</c:v>
                </c:pt>
                <c:pt idx="56">
                  <c:v>42416.0</c:v>
                </c:pt>
                <c:pt idx="57">
                  <c:v>42415.0</c:v>
                </c:pt>
                <c:pt idx="58">
                  <c:v>42412.0</c:v>
                </c:pt>
                <c:pt idx="59">
                  <c:v>42411.0</c:v>
                </c:pt>
                <c:pt idx="60">
                  <c:v>42410.0</c:v>
                </c:pt>
                <c:pt idx="61">
                  <c:v>42409.0</c:v>
                </c:pt>
                <c:pt idx="62">
                  <c:v>42408.0</c:v>
                </c:pt>
                <c:pt idx="63">
                  <c:v>42405.0</c:v>
                </c:pt>
                <c:pt idx="64">
                  <c:v>42404.0</c:v>
                </c:pt>
                <c:pt idx="65">
                  <c:v>42403.0</c:v>
                </c:pt>
                <c:pt idx="66">
                  <c:v>42402.0</c:v>
                </c:pt>
                <c:pt idx="67">
                  <c:v>42401.0</c:v>
                </c:pt>
                <c:pt idx="68">
                  <c:v>42398.0</c:v>
                </c:pt>
                <c:pt idx="69">
                  <c:v>42397.0</c:v>
                </c:pt>
                <c:pt idx="70">
                  <c:v>42396.0</c:v>
                </c:pt>
                <c:pt idx="71">
                  <c:v>42395.0</c:v>
                </c:pt>
                <c:pt idx="72">
                  <c:v>42394.0</c:v>
                </c:pt>
                <c:pt idx="73">
                  <c:v>42391.0</c:v>
                </c:pt>
                <c:pt idx="74">
                  <c:v>42390.0</c:v>
                </c:pt>
                <c:pt idx="75">
                  <c:v>42389.0</c:v>
                </c:pt>
                <c:pt idx="76">
                  <c:v>42388.0</c:v>
                </c:pt>
                <c:pt idx="77">
                  <c:v>42387.0</c:v>
                </c:pt>
                <c:pt idx="78">
                  <c:v>42384.0</c:v>
                </c:pt>
                <c:pt idx="79">
                  <c:v>42383.0</c:v>
                </c:pt>
                <c:pt idx="80">
                  <c:v>42382.0</c:v>
                </c:pt>
                <c:pt idx="81">
                  <c:v>42381.0</c:v>
                </c:pt>
                <c:pt idx="82">
                  <c:v>42380.0</c:v>
                </c:pt>
                <c:pt idx="83">
                  <c:v>42377.0</c:v>
                </c:pt>
                <c:pt idx="84">
                  <c:v>42376.0</c:v>
                </c:pt>
                <c:pt idx="85">
                  <c:v>42375.0</c:v>
                </c:pt>
                <c:pt idx="86">
                  <c:v>42374.0</c:v>
                </c:pt>
                <c:pt idx="87">
                  <c:v>42373.0</c:v>
                </c:pt>
                <c:pt idx="88">
                  <c:v>42370.0</c:v>
                </c:pt>
                <c:pt idx="89">
                  <c:v>42369.0</c:v>
                </c:pt>
                <c:pt idx="90">
                  <c:v>42368.0</c:v>
                </c:pt>
                <c:pt idx="91">
                  <c:v>42367.0</c:v>
                </c:pt>
                <c:pt idx="92">
                  <c:v>42366.0</c:v>
                </c:pt>
                <c:pt idx="93">
                  <c:v>42363.0</c:v>
                </c:pt>
                <c:pt idx="94">
                  <c:v>42362.0</c:v>
                </c:pt>
                <c:pt idx="95">
                  <c:v>42361.0</c:v>
                </c:pt>
                <c:pt idx="96">
                  <c:v>42360.0</c:v>
                </c:pt>
                <c:pt idx="97">
                  <c:v>42359.0</c:v>
                </c:pt>
                <c:pt idx="98">
                  <c:v>42356.0</c:v>
                </c:pt>
                <c:pt idx="99">
                  <c:v>42355.0</c:v>
                </c:pt>
                <c:pt idx="100">
                  <c:v>42354.0</c:v>
                </c:pt>
                <c:pt idx="101">
                  <c:v>42353.0</c:v>
                </c:pt>
                <c:pt idx="102">
                  <c:v>42352.0</c:v>
                </c:pt>
                <c:pt idx="103">
                  <c:v>42349.0</c:v>
                </c:pt>
                <c:pt idx="104">
                  <c:v>42348.0</c:v>
                </c:pt>
                <c:pt idx="105">
                  <c:v>42347.0</c:v>
                </c:pt>
                <c:pt idx="106">
                  <c:v>42346.0</c:v>
                </c:pt>
                <c:pt idx="107">
                  <c:v>42345.0</c:v>
                </c:pt>
                <c:pt idx="108">
                  <c:v>42342.0</c:v>
                </c:pt>
                <c:pt idx="109">
                  <c:v>42341.0</c:v>
                </c:pt>
                <c:pt idx="110">
                  <c:v>42340.0</c:v>
                </c:pt>
                <c:pt idx="111">
                  <c:v>42339.0</c:v>
                </c:pt>
                <c:pt idx="112">
                  <c:v>42338.0</c:v>
                </c:pt>
                <c:pt idx="113">
                  <c:v>42335.0</c:v>
                </c:pt>
                <c:pt idx="114">
                  <c:v>42333.0</c:v>
                </c:pt>
                <c:pt idx="115">
                  <c:v>42332.0</c:v>
                </c:pt>
                <c:pt idx="116">
                  <c:v>42331.0</c:v>
                </c:pt>
                <c:pt idx="117">
                  <c:v>42328.0</c:v>
                </c:pt>
                <c:pt idx="118">
                  <c:v>42327.0</c:v>
                </c:pt>
                <c:pt idx="119">
                  <c:v>42326.0</c:v>
                </c:pt>
                <c:pt idx="120">
                  <c:v>42325.0</c:v>
                </c:pt>
                <c:pt idx="121">
                  <c:v>42324.0</c:v>
                </c:pt>
                <c:pt idx="122">
                  <c:v>42321.0</c:v>
                </c:pt>
                <c:pt idx="123">
                  <c:v>42319.0</c:v>
                </c:pt>
                <c:pt idx="124">
                  <c:v>42318.0</c:v>
                </c:pt>
                <c:pt idx="125">
                  <c:v>42317.0</c:v>
                </c:pt>
                <c:pt idx="126">
                  <c:v>42314.0</c:v>
                </c:pt>
                <c:pt idx="127">
                  <c:v>42313.0</c:v>
                </c:pt>
                <c:pt idx="128">
                  <c:v>42312.0</c:v>
                </c:pt>
                <c:pt idx="129">
                  <c:v>42311.0</c:v>
                </c:pt>
                <c:pt idx="130">
                  <c:v>42310.0</c:v>
                </c:pt>
                <c:pt idx="131">
                  <c:v>42307.0</c:v>
                </c:pt>
                <c:pt idx="132">
                  <c:v>42306.0</c:v>
                </c:pt>
                <c:pt idx="133">
                  <c:v>42305.0</c:v>
                </c:pt>
                <c:pt idx="134">
                  <c:v>42304.0</c:v>
                </c:pt>
                <c:pt idx="135">
                  <c:v>42303.0</c:v>
                </c:pt>
                <c:pt idx="136">
                  <c:v>42300.0</c:v>
                </c:pt>
                <c:pt idx="137">
                  <c:v>42299.0</c:v>
                </c:pt>
                <c:pt idx="138">
                  <c:v>42298.0</c:v>
                </c:pt>
                <c:pt idx="139">
                  <c:v>42297.0</c:v>
                </c:pt>
                <c:pt idx="140">
                  <c:v>42296.0</c:v>
                </c:pt>
                <c:pt idx="141">
                  <c:v>42293.0</c:v>
                </c:pt>
                <c:pt idx="142">
                  <c:v>42292.0</c:v>
                </c:pt>
                <c:pt idx="143">
                  <c:v>42291.0</c:v>
                </c:pt>
                <c:pt idx="144">
                  <c:v>42290.0</c:v>
                </c:pt>
                <c:pt idx="145">
                  <c:v>42289.0</c:v>
                </c:pt>
                <c:pt idx="146">
                  <c:v>42286.0</c:v>
                </c:pt>
                <c:pt idx="147">
                  <c:v>42285.0</c:v>
                </c:pt>
                <c:pt idx="148">
                  <c:v>42284.0</c:v>
                </c:pt>
                <c:pt idx="149">
                  <c:v>42283.0</c:v>
                </c:pt>
                <c:pt idx="150">
                  <c:v>42282.0</c:v>
                </c:pt>
                <c:pt idx="151">
                  <c:v>42279.0</c:v>
                </c:pt>
                <c:pt idx="152">
                  <c:v>42278.0</c:v>
                </c:pt>
                <c:pt idx="153">
                  <c:v>42277.0</c:v>
                </c:pt>
                <c:pt idx="154">
                  <c:v>42276.0</c:v>
                </c:pt>
                <c:pt idx="155">
                  <c:v>42275.0</c:v>
                </c:pt>
                <c:pt idx="156">
                  <c:v>42272.0</c:v>
                </c:pt>
                <c:pt idx="157">
                  <c:v>42271.0</c:v>
                </c:pt>
                <c:pt idx="158">
                  <c:v>42270.0</c:v>
                </c:pt>
                <c:pt idx="159">
                  <c:v>42269.0</c:v>
                </c:pt>
                <c:pt idx="160">
                  <c:v>42268.0</c:v>
                </c:pt>
                <c:pt idx="161">
                  <c:v>42265.0</c:v>
                </c:pt>
                <c:pt idx="162">
                  <c:v>42264.0</c:v>
                </c:pt>
                <c:pt idx="163">
                  <c:v>42263.0</c:v>
                </c:pt>
                <c:pt idx="164">
                  <c:v>42262.0</c:v>
                </c:pt>
                <c:pt idx="165">
                  <c:v>42261.0</c:v>
                </c:pt>
                <c:pt idx="166">
                  <c:v>42258.0</c:v>
                </c:pt>
                <c:pt idx="167">
                  <c:v>42257.0</c:v>
                </c:pt>
                <c:pt idx="168">
                  <c:v>42256.0</c:v>
                </c:pt>
                <c:pt idx="169">
                  <c:v>42255.0</c:v>
                </c:pt>
                <c:pt idx="170">
                  <c:v>42254.0</c:v>
                </c:pt>
                <c:pt idx="171">
                  <c:v>42251.0</c:v>
                </c:pt>
                <c:pt idx="172">
                  <c:v>42250.0</c:v>
                </c:pt>
                <c:pt idx="173">
                  <c:v>42249.0</c:v>
                </c:pt>
                <c:pt idx="174">
                  <c:v>42248.0</c:v>
                </c:pt>
                <c:pt idx="175">
                  <c:v>42247.0</c:v>
                </c:pt>
                <c:pt idx="176">
                  <c:v>42244.0</c:v>
                </c:pt>
                <c:pt idx="177">
                  <c:v>42243.0</c:v>
                </c:pt>
                <c:pt idx="178">
                  <c:v>42242.0</c:v>
                </c:pt>
                <c:pt idx="179">
                  <c:v>42241.0</c:v>
                </c:pt>
                <c:pt idx="180">
                  <c:v>42240.0</c:v>
                </c:pt>
                <c:pt idx="181">
                  <c:v>42237.0</c:v>
                </c:pt>
                <c:pt idx="182">
                  <c:v>42236.0</c:v>
                </c:pt>
                <c:pt idx="183">
                  <c:v>42235.0</c:v>
                </c:pt>
                <c:pt idx="184">
                  <c:v>42234.0</c:v>
                </c:pt>
                <c:pt idx="185">
                  <c:v>42233.0</c:v>
                </c:pt>
                <c:pt idx="186">
                  <c:v>42230.0</c:v>
                </c:pt>
                <c:pt idx="187">
                  <c:v>42229.0</c:v>
                </c:pt>
                <c:pt idx="188">
                  <c:v>42228.0</c:v>
                </c:pt>
                <c:pt idx="189">
                  <c:v>42227.0</c:v>
                </c:pt>
                <c:pt idx="190">
                  <c:v>42226.0</c:v>
                </c:pt>
                <c:pt idx="191">
                  <c:v>42223.0</c:v>
                </c:pt>
                <c:pt idx="192">
                  <c:v>42222.0</c:v>
                </c:pt>
                <c:pt idx="193">
                  <c:v>42221.0</c:v>
                </c:pt>
                <c:pt idx="194">
                  <c:v>42220.0</c:v>
                </c:pt>
                <c:pt idx="195">
                  <c:v>42219.0</c:v>
                </c:pt>
                <c:pt idx="196">
                  <c:v>42216.0</c:v>
                </c:pt>
                <c:pt idx="197">
                  <c:v>42215.0</c:v>
                </c:pt>
                <c:pt idx="198">
                  <c:v>42214.0</c:v>
                </c:pt>
                <c:pt idx="199">
                  <c:v>42213.0</c:v>
                </c:pt>
                <c:pt idx="200">
                  <c:v>42212.0</c:v>
                </c:pt>
                <c:pt idx="201">
                  <c:v>42209.0</c:v>
                </c:pt>
                <c:pt idx="202">
                  <c:v>42208.0</c:v>
                </c:pt>
                <c:pt idx="203">
                  <c:v>42207.0</c:v>
                </c:pt>
                <c:pt idx="204">
                  <c:v>42206.0</c:v>
                </c:pt>
                <c:pt idx="205">
                  <c:v>42205.0</c:v>
                </c:pt>
                <c:pt idx="206">
                  <c:v>42202.0</c:v>
                </c:pt>
                <c:pt idx="207">
                  <c:v>42201.0</c:v>
                </c:pt>
                <c:pt idx="208">
                  <c:v>42200.0</c:v>
                </c:pt>
                <c:pt idx="209">
                  <c:v>42199.0</c:v>
                </c:pt>
                <c:pt idx="210">
                  <c:v>42198.0</c:v>
                </c:pt>
                <c:pt idx="211">
                  <c:v>42195.0</c:v>
                </c:pt>
                <c:pt idx="212">
                  <c:v>42194.0</c:v>
                </c:pt>
                <c:pt idx="213">
                  <c:v>42193.0</c:v>
                </c:pt>
                <c:pt idx="214">
                  <c:v>42192.0</c:v>
                </c:pt>
                <c:pt idx="215">
                  <c:v>42191.0</c:v>
                </c:pt>
                <c:pt idx="216">
                  <c:v>42188.0</c:v>
                </c:pt>
                <c:pt idx="217">
                  <c:v>42187.0</c:v>
                </c:pt>
                <c:pt idx="218">
                  <c:v>42186.0</c:v>
                </c:pt>
                <c:pt idx="219">
                  <c:v>42185.0</c:v>
                </c:pt>
                <c:pt idx="220">
                  <c:v>42184.0</c:v>
                </c:pt>
                <c:pt idx="221">
                  <c:v>42181.0</c:v>
                </c:pt>
                <c:pt idx="222">
                  <c:v>42180.0</c:v>
                </c:pt>
                <c:pt idx="223">
                  <c:v>42179.0</c:v>
                </c:pt>
                <c:pt idx="224">
                  <c:v>42178.0</c:v>
                </c:pt>
                <c:pt idx="225">
                  <c:v>42177.0</c:v>
                </c:pt>
                <c:pt idx="226">
                  <c:v>42174.0</c:v>
                </c:pt>
                <c:pt idx="227">
                  <c:v>42173.0</c:v>
                </c:pt>
                <c:pt idx="228">
                  <c:v>42172.0</c:v>
                </c:pt>
                <c:pt idx="229">
                  <c:v>42171.0</c:v>
                </c:pt>
                <c:pt idx="230">
                  <c:v>42170.0</c:v>
                </c:pt>
                <c:pt idx="231">
                  <c:v>42167.0</c:v>
                </c:pt>
                <c:pt idx="232">
                  <c:v>42166.0</c:v>
                </c:pt>
                <c:pt idx="233">
                  <c:v>42165.0</c:v>
                </c:pt>
                <c:pt idx="234">
                  <c:v>42164.0</c:v>
                </c:pt>
                <c:pt idx="235">
                  <c:v>42163.0</c:v>
                </c:pt>
                <c:pt idx="236">
                  <c:v>42160.0</c:v>
                </c:pt>
                <c:pt idx="237">
                  <c:v>42159.0</c:v>
                </c:pt>
                <c:pt idx="238">
                  <c:v>42158.0</c:v>
                </c:pt>
                <c:pt idx="239">
                  <c:v>42157.0</c:v>
                </c:pt>
                <c:pt idx="240">
                  <c:v>42156.0</c:v>
                </c:pt>
                <c:pt idx="241">
                  <c:v>42153.0</c:v>
                </c:pt>
                <c:pt idx="242">
                  <c:v>42152.0</c:v>
                </c:pt>
                <c:pt idx="243">
                  <c:v>42151.0</c:v>
                </c:pt>
                <c:pt idx="244">
                  <c:v>42150.0</c:v>
                </c:pt>
                <c:pt idx="245">
                  <c:v>42149.0</c:v>
                </c:pt>
                <c:pt idx="246">
                  <c:v>42146.0</c:v>
                </c:pt>
                <c:pt idx="247">
                  <c:v>42145.0</c:v>
                </c:pt>
                <c:pt idx="248">
                  <c:v>42144.0</c:v>
                </c:pt>
                <c:pt idx="249">
                  <c:v>42143.0</c:v>
                </c:pt>
                <c:pt idx="250">
                  <c:v>42142.0</c:v>
                </c:pt>
                <c:pt idx="251">
                  <c:v>42139.0</c:v>
                </c:pt>
                <c:pt idx="252">
                  <c:v>42138.0</c:v>
                </c:pt>
                <c:pt idx="253">
                  <c:v>42137.0</c:v>
                </c:pt>
                <c:pt idx="254">
                  <c:v>42136.0</c:v>
                </c:pt>
                <c:pt idx="255">
                  <c:v>42135.0</c:v>
                </c:pt>
                <c:pt idx="256">
                  <c:v>42132.0</c:v>
                </c:pt>
                <c:pt idx="257">
                  <c:v>42131.0</c:v>
                </c:pt>
                <c:pt idx="258">
                  <c:v>42130.0</c:v>
                </c:pt>
                <c:pt idx="259">
                  <c:v>42129.0</c:v>
                </c:pt>
                <c:pt idx="260">
                  <c:v>42128.0</c:v>
                </c:pt>
                <c:pt idx="261">
                  <c:v>42125.0</c:v>
                </c:pt>
                <c:pt idx="262">
                  <c:v>42124.0</c:v>
                </c:pt>
                <c:pt idx="263">
                  <c:v>42123.0</c:v>
                </c:pt>
                <c:pt idx="264">
                  <c:v>42122.0</c:v>
                </c:pt>
                <c:pt idx="265">
                  <c:v>42121.0</c:v>
                </c:pt>
                <c:pt idx="266">
                  <c:v>42118.0</c:v>
                </c:pt>
                <c:pt idx="267">
                  <c:v>42117.0</c:v>
                </c:pt>
                <c:pt idx="268">
                  <c:v>42116.0</c:v>
                </c:pt>
                <c:pt idx="269">
                  <c:v>42115.0</c:v>
                </c:pt>
                <c:pt idx="270">
                  <c:v>42114.0</c:v>
                </c:pt>
                <c:pt idx="271">
                  <c:v>42111.0</c:v>
                </c:pt>
                <c:pt idx="272">
                  <c:v>42110.0</c:v>
                </c:pt>
                <c:pt idx="273">
                  <c:v>42109.0</c:v>
                </c:pt>
                <c:pt idx="274">
                  <c:v>42108.0</c:v>
                </c:pt>
                <c:pt idx="275">
                  <c:v>42107.0</c:v>
                </c:pt>
                <c:pt idx="276">
                  <c:v>42104.0</c:v>
                </c:pt>
                <c:pt idx="277">
                  <c:v>42103.0</c:v>
                </c:pt>
                <c:pt idx="278">
                  <c:v>42102.0</c:v>
                </c:pt>
                <c:pt idx="279">
                  <c:v>42101.0</c:v>
                </c:pt>
                <c:pt idx="280">
                  <c:v>42100.0</c:v>
                </c:pt>
                <c:pt idx="281">
                  <c:v>42097.0</c:v>
                </c:pt>
                <c:pt idx="282">
                  <c:v>42096.0</c:v>
                </c:pt>
                <c:pt idx="283">
                  <c:v>42095.0</c:v>
                </c:pt>
                <c:pt idx="284">
                  <c:v>42094.0</c:v>
                </c:pt>
                <c:pt idx="285">
                  <c:v>42093.0</c:v>
                </c:pt>
                <c:pt idx="286">
                  <c:v>42090.0</c:v>
                </c:pt>
                <c:pt idx="287">
                  <c:v>42089.0</c:v>
                </c:pt>
                <c:pt idx="288">
                  <c:v>42088.0</c:v>
                </c:pt>
                <c:pt idx="289">
                  <c:v>42087.0</c:v>
                </c:pt>
                <c:pt idx="290">
                  <c:v>42086.0</c:v>
                </c:pt>
                <c:pt idx="291">
                  <c:v>42083.0</c:v>
                </c:pt>
                <c:pt idx="292">
                  <c:v>42082.0</c:v>
                </c:pt>
                <c:pt idx="293">
                  <c:v>42081.0</c:v>
                </c:pt>
                <c:pt idx="294">
                  <c:v>42080.0</c:v>
                </c:pt>
                <c:pt idx="295">
                  <c:v>42079.0</c:v>
                </c:pt>
                <c:pt idx="296">
                  <c:v>42076.0</c:v>
                </c:pt>
                <c:pt idx="297">
                  <c:v>42075.0</c:v>
                </c:pt>
                <c:pt idx="298">
                  <c:v>42074.0</c:v>
                </c:pt>
                <c:pt idx="299">
                  <c:v>42073.0</c:v>
                </c:pt>
                <c:pt idx="300">
                  <c:v>42072.0</c:v>
                </c:pt>
                <c:pt idx="301">
                  <c:v>42069.0</c:v>
                </c:pt>
                <c:pt idx="302">
                  <c:v>42068.0</c:v>
                </c:pt>
                <c:pt idx="303">
                  <c:v>42067.0</c:v>
                </c:pt>
                <c:pt idx="304">
                  <c:v>42066.0</c:v>
                </c:pt>
                <c:pt idx="305">
                  <c:v>42065.0</c:v>
                </c:pt>
                <c:pt idx="306">
                  <c:v>42062.0</c:v>
                </c:pt>
                <c:pt idx="307">
                  <c:v>42061.0</c:v>
                </c:pt>
                <c:pt idx="308">
                  <c:v>42060.0</c:v>
                </c:pt>
                <c:pt idx="309">
                  <c:v>42059.0</c:v>
                </c:pt>
                <c:pt idx="310">
                  <c:v>42058.0</c:v>
                </c:pt>
                <c:pt idx="311">
                  <c:v>42055.0</c:v>
                </c:pt>
                <c:pt idx="312">
                  <c:v>42054.0</c:v>
                </c:pt>
                <c:pt idx="313">
                  <c:v>42053.0</c:v>
                </c:pt>
                <c:pt idx="314">
                  <c:v>42052.0</c:v>
                </c:pt>
                <c:pt idx="315">
                  <c:v>42051.0</c:v>
                </c:pt>
                <c:pt idx="316">
                  <c:v>42048.0</c:v>
                </c:pt>
                <c:pt idx="317">
                  <c:v>42047.0</c:v>
                </c:pt>
                <c:pt idx="318">
                  <c:v>42046.0</c:v>
                </c:pt>
                <c:pt idx="319">
                  <c:v>42045.0</c:v>
                </c:pt>
                <c:pt idx="320">
                  <c:v>42044.0</c:v>
                </c:pt>
                <c:pt idx="321">
                  <c:v>42041.0</c:v>
                </c:pt>
                <c:pt idx="322">
                  <c:v>42040.0</c:v>
                </c:pt>
                <c:pt idx="323">
                  <c:v>42039.0</c:v>
                </c:pt>
                <c:pt idx="324">
                  <c:v>42038.0</c:v>
                </c:pt>
                <c:pt idx="325">
                  <c:v>42037.0</c:v>
                </c:pt>
                <c:pt idx="326">
                  <c:v>42034.0</c:v>
                </c:pt>
                <c:pt idx="327">
                  <c:v>42033.0</c:v>
                </c:pt>
                <c:pt idx="328">
                  <c:v>42032.0</c:v>
                </c:pt>
                <c:pt idx="329">
                  <c:v>42031.0</c:v>
                </c:pt>
                <c:pt idx="330">
                  <c:v>42030.0</c:v>
                </c:pt>
                <c:pt idx="331">
                  <c:v>42027.0</c:v>
                </c:pt>
                <c:pt idx="332">
                  <c:v>42026.0</c:v>
                </c:pt>
                <c:pt idx="333">
                  <c:v>42025.0</c:v>
                </c:pt>
                <c:pt idx="334">
                  <c:v>42024.0</c:v>
                </c:pt>
                <c:pt idx="335">
                  <c:v>42023.0</c:v>
                </c:pt>
                <c:pt idx="336">
                  <c:v>42020.0</c:v>
                </c:pt>
                <c:pt idx="337">
                  <c:v>42019.0</c:v>
                </c:pt>
                <c:pt idx="338">
                  <c:v>42018.0</c:v>
                </c:pt>
                <c:pt idx="339">
                  <c:v>42017.0</c:v>
                </c:pt>
                <c:pt idx="340">
                  <c:v>42016.0</c:v>
                </c:pt>
                <c:pt idx="341">
                  <c:v>42013.0</c:v>
                </c:pt>
                <c:pt idx="342">
                  <c:v>42012.0</c:v>
                </c:pt>
                <c:pt idx="343">
                  <c:v>42011.0</c:v>
                </c:pt>
                <c:pt idx="344">
                  <c:v>42010.0</c:v>
                </c:pt>
                <c:pt idx="345">
                  <c:v>42009.0</c:v>
                </c:pt>
                <c:pt idx="346">
                  <c:v>42006.0</c:v>
                </c:pt>
                <c:pt idx="347">
                  <c:v>42005.0</c:v>
                </c:pt>
                <c:pt idx="348">
                  <c:v>42004.0</c:v>
                </c:pt>
                <c:pt idx="349">
                  <c:v>42003.0</c:v>
                </c:pt>
                <c:pt idx="350">
                  <c:v>42002.0</c:v>
                </c:pt>
                <c:pt idx="351">
                  <c:v>41999.0</c:v>
                </c:pt>
                <c:pt idx="352">
                  <c:v>41998.0</c:v>
                </c:pt>
                <c:pt idx="353">
                  <c:v>41997.0</c:v>
                </c:pt>
                <c:pt idx="354">
                  <c:v>41996.0</c:v>
                </c:pt>
                <c:pt idx="355">
                  <c:v>41995.0</c:v>
                </c:pt>
                <c:pt idx="356">
                  <c:v>41992.0</c:v>
                </c:pt>
                <c:pt idx="357">
                  <c:v>41991.0</c:v>
                </c:pt>
                <c:pt idx="358">
                  <c:v>41990.0</c:v>
                </c:pt>
                <c:pt idx="359">
                  <c:v>41989.0</c:v>
                </c:pt>
                <c:pt idx="360">
                  <c:v>41988.0</c:v>
                </c:pt>
                <c:pt idx="361">
                  <c:v>41985.0</c:v>
                </c:pt>
                <c:pt idx="362">
                  <c:v>41984.0</c:v>
                </c:pt>
                <c:pt idx="363">
                  <c:v>41983.0</c:v>
                </c:pt>
                <c:pt idx="364">
                  <c:v>41982.0</c:v>
                </c:pt>
                <c:pt idx="365">
                  <c:v>41981.0</c:v>
                </c:pt>
                <c:pt idx="366">
                  <c:v>41978.0</c:v>
                </c:pt>
                <c:pt idx="367">
                  <c:v>41977.0</c:v>
                </c:pt>
                <c:pt idx="368">
                  <c:v>41976.0</c:v>
                </c:pt>
                <c:pt idx="369">
                  <c:v>41975.0</c:v>
                </c:pt>
                <c:pt idx="370">
                  <c:v>41974.0</c:v>
                </c:pt>
                <c:pt idx="371">
                  <c:v>41971.0</c:v>
                </c:pt>
                <c:pt idx="372">
                  <c:v>41970.0</c:v>
                </c:pt>
                <c:pt idx="373">
                  <c:v>41969.0</c:v>
                </c:pt>
                <c:pt idx="374">
                  <c:v>41968.0</c:v>
                </c:pt>
                <c:pt idx="375">
                  <c:v>41967.0</c:v>
                </c:pt>
                <c:pt idx="376">
                  <c:v>41964.0</c:v>
                </c:pt>
                <c:pt idx="377">
                  <c:v>41963.0</c:v>
                </c:pt>
                <c:pt idx="378">
                  <c:v>41962.0</c:v>
                </c:pt>
                <c:pt idx="379">
                  <c:v>41961.0</c:v>
                </c:pt>
                <c:pt idx="380">
                  <c:v>41960.0</c:v>
                </c:pt>
                <c:pt idx="381">
                  <c:v>41957.0</c:v>
                </c:pt>
                <c:pt idx="382">
                  <c:v>41956.0</c:v>
                </c:pt>
                <c:pt idx="383">
                  <c:v>41955.0</c:v>
                </c:pt>
                <c:pt idx="384">
                  <c:v>41954.0</c:v>
                </c:pt>
                <c:pt idx="385">
                  <c:v>41953.0</c:v>
                </c:pt>
                <c:pt idx="386">
                  <c:v>41950.0</c:v>
                </c:pt>
                <c:pt idx="387">
                  <c:v>41949.0</c:v>
                </c:pt>
                <c:pt idx="388">
                  <c:v>41948.0</c:v>
                </c:pt>
                <c:pt idx="389">
                  <c:v>41947.0</c:v>
                </c:pt>
                <c:pt idx="390">
                  <c:v>41946.0</c:v>
                </c:pt>
                <c:pt idx="391">
                  <c:v>41943.0</c:v>
                </c:pt>
                <c:pt idx="392">
                  <c:v>41942.0</c:v>
                </c:pt>
                <c:pt idx="393">
                  <c:v>41941.0</c:v>
                </c:pt>
                <c:pt idx="394">
                  <c:v>41940.0</c:v>
                </c:pt>
                <c:pt idx="395">
                  <c:v>41939.0</c:v>
                </c:pt>
                <c:pt idx="396">
                  <c:v>41936.0</c:v>
                </c:pt>
                <c:pt idx="397">
                  <c:v>41935.0</c:v>
                </c:pt>
                <c:pt idx="398">
                  <c:v>41934.0</c:v>
                </c:pt>
                <c:pt idx="399">
                  <c:v>41933.0</c:v>
                </c:pt>
                <c:pt idx="400">
                  <c:v>41932.0</c:v>
                </c:pt>
                <c:pt idx="401">
                  <c:v>41929.0</c:v>
                </c:pt>
                <c:pt idx="402">
                  <c:v>41928.0</c:v>
                </c:pt>
                <c:pt idx="403">
                  <c:v>41927.0</c:v>
                </c:pt>
                <c:pt idx="404">
                  <c:v>41926.0</c:v>
                </c:pt>
                <c:pt idx="405">
                  <c:v>41925.0</c:v>
                </c:pt>
                <c:pt idx="406">
                  <c:v>41922.0</c:v>
                </c:pt>
                <c:pt idx="407">
                  <c:v>41921.0</c:v>
                </c:pt>
                <c:pt idx="408">
                  <c:v>41920.0</c:v>
                </c:pt>
                <c:pt idx="409">
                  <c:v>41919.0</c:v>
                </c:pt>
                <c:pt idx="410">
                  <c:v>41918.0</c:v>
                </c:pt>
                <c:pt idx="411">
                  <c:v>41915.0</c:v>
                </c:pt>
                <c:pt idx="412">
                  <c:v>41914.0</c:v>
                </c:pt>
                <c:pt idx="413">
                  <c:v>41913.0</c:v>
                </c:pt>
                <c:pt idx="414">
                  <c:v>41912.0</c:v>
                </c:pt>
                <c:pt idx="415">
                  <c:v>41911.0</c:v>
                </c:pt>
                <c:pt idx="416">
                  <c:v>41908.0</c:v>
                </c:pt>
                <c:pt idx="417">
                  <c:v>41907.0</c:v>
                </c:pt>
                <c:pt idx="418">
                  <c:v>41906.0</c:v>
                </c:pt>
                <c:pt idx="419">
                  <c:v>41905.0</c:v>
                </c:pt>
                <c:pt idx="420">
                  <c:v>41904.0</c:v>
                </c:pt>
                <c:pt idx="421">
                  <c:v>41901.0</c:v>
                </c:pt>
                <c:pt idx="422">
                  <c:v>41900.0</c:v>
                </c:pt>
                <c:pt idx="423">
                  <c:v>41899.0</c:v>
                </c:pt>
                <c:pt idx="424">
                  <c:v>41898.0</c:v>
                </c:pt>
                <c:pt idx="425">
                  <c:v>41897.0</c:v>
                </c:pt>
                <c:pt idx="426">
                  <c:v>41894.0</c:v>
                </c:pt>
                <c:pt idx="427">
                  <c:v>41893.0</c:v>
                </c:pt>
                <c:pt idx="428">
                  <c:v>41892.0</c:v>
                </c:pt>
                <c:pt idx="429">
                  <c:v>41891.0</c:v>
                </c:pt>
                <c:pt idx="430">
                  <c:v>41890.0</c:v>
                </c:pt>
                <c:pt idx="431">
                  <c:v>41887.0</c:v>
                </c:pt>
                <c:pt idx="432">
                  <c:v>41886.0</c:v>
                </c:pt>
                <c:pt idx="433">
                  <c:v>41885.0</c:v>
                </c:pt>
                <c:pt idx="434">
                  <c:v>41884.0</c:v>
                </c:pt>
                <c:pt idx="435">
                  <c:v>41883.0</c:v>
                </c:pt>
                <c:pt idx="436">
                  <c:v>41880.0</c:v>
                </c:pt>
                <c:pt idx="437">
                  <c:v>41879.0</c:v>
                </c:pt>
                <c:pt idx="438">
                  <c:v>41878.0</c:v>
                </c:pt>
                <c:pt idx="439">
                  <c:v>41877.0</c:v>
                </c:pt>
                <c:pt idx="440">
                  <c:v>41876.0</c:v>
                </c:pt>
                <c:pt idx="441">
                  <c:v>41873.0</c:v>
                </c:pt>
                <c:pt idx="442">
                  <c:v>41872.0</c:v>
                </c:pt>
                <c:pt idx="443">
                  <c:v>41871.0</c:v>
                </c:pt>
                <c:pt idx="444">
                  <c:v>41870.0</c:v>
                </c:pt>
                <c:pt idx="445">
                  <c:v>41869.0</c:v>
                </c:pt>
                <c:pt idx="446">
                  <c:v>41866.0</c:v>
                </c:pt>
                <c:pt idx="447">
                  <c:v>41865.0</c:v>
                </c:pt>
                <c:pt idx="448">
                  <c:v>41864.0</c:v>
                </c:pt>
                <c:pt idx="449">
                  <c:v>41863.0</c:v>
                </c:pt>
                <c:pt idx="450">
                  <c:v>41862.0</c:v>
                </c:pt>
                <c:pt idx="451">
                  <c:v>41859.0</c:v>
                </c:pt>
                <c:pt idx="452">
                  <c:v>41858.0</c:v>
                </c:pt>
                <c:pt idx="453">
                  <c:v>41857.0</c:v>
                </c:pt>
                <c:pt idx="454">
                  <c:v>41856.0</c:v>
                </c:pt>
                <c:pt idx="455">
                  <c:v>41855.0</c:v>
                </c:pt>
                <c:pt idx="456">
                  <c:v>41852.0</c:v>
                </c:pt>
                <c:pt idx="457">
                  <c:v>41851.0</c:v>
                </c:pt>
                <c:pt idx="458">
                  <c:v>41850.0</c:v>
                </c:pt>
                <c:pt idx="459">
                  <c:v>41849.0</c:v>
                </c:pt>
                <c:pt idx="460">
                  <c:v>41848.0</c:v>
                </c:pt>
                <c:pt idx="461">
                  <c:v>41845.0</c:v>
                </c:pt>
                <c:pt idx="462">
                  <c:v>41844.0</c:v>
                </c:pt>
                <c:pt idx="463">
                  <c:v>41843.0</c:v>
                </c:pt>
                <c:pt idx="464">
                  <c:v>41842.0</c:v>
                </c:pt>
                <c:pt idx="465">
                  <c:v>41841.0</c:v>
                </c:pt>
                <c:pt idx="466">
                  <c:v>41838.0</c:v>
                </c:pt>
                <c:pt idx="467">
                  <c:v>41837.0</c:v>
                </c:pt>
                <c:pt idx="468">
                  <c:v>41836.0</c:v>
                </c:pt>
                <c:pt idx="469">
                  <c:v>41835.0</c:v>
                </c:pt>
                <c:pt idx="470">
                  <c:v>41834.0</c:v>
                </c:pt>
                <c:pt idx="471">
                  <c:v>41831.0</c:v>
                </c:pt>
                <c:pt idx="472">
                  <c:v>41830.0</c:v>
                </c:pt>
                <c:pt idx="473">
                  <c:v>41829.0</c:v>
                </c:pt>
                <c:pt idx="474">
                  <c:v>41828.0</c:v>
                </c:pt>
                <c:pt idx="475">
                  <c:v>41827.0</c:v>
                </c:pt>
                <c:pt idx="476">
                  <c:v>41824.0</c:v>
                </c:pt>
                <c:pt idx="477">
                  <c:v>41823.0</c:v>
                </c:pt>
                <c:pt idx="478">
                  <c:v>41822.0</c:v>
                </c:pt>
                <c:pt idx="479">
                  <c:v>41821.0</c:v>
                </c:pt>
                <c:pt idx="480">
                  <c:v>41820.0</c:v>
                </c:pt>
                <c:pt idx="481">
                  <c:v>41817.0</c:v>
                </c:pt>
                <c:pt idx="482">
                  <c:v>41816.0</c:v>
                </c:pt>
                <c:pt idx="483">
                  <c:v>41815.0</c:v>
                </c:pt>
                <c:pt idx="484">
                  <c:v>41814.0</c:v>
                </c:pt>
                <c:pt idx="485">
                  <c:v>41813.0</c:v>
                </c:pt>
                <c:pt idx="486">
                  <c:v>41810.0</c:v>
                </c:pt>
                <c:pt idx="487">
                  <c:v>41809.0</c:v>
                </c:pt>
                <c:pt idx="488">
                  <c:v>41808.0</c:v>
                </c:pt>
                <c:pt idx="489">
                  <c:v>41807.0</c:v>
                </c:pt>
                <c:pt idx="490">
                  <c:v>41806.0</c:v>
                </c:pt>
                <c:pt idx="491">
                  <c:v>41803.0</c:v>
                </c:pt>
                <c:pt idx="492">
                  <c:v>41802.0</c:v>
                </c:pt>
                <c:pt idx="493">
                  <c:v>41801.0</c:v>
                </c:pt>
                <c:pt idx="494">
                  <c:v>41800.0</c:v>
                </c:pt>
                <c:pt idx="495">
                  <c:v>41799.0</c:v>
                </c:pt>
                <c:pt idx="496">
                  <c:v>41796.0</c:v>
                </c:pt>
                <c:pt idx="497">
                  <c:v>41795.0</c:v>
                </c:pt>
                <c:pt idx="498">
                  <c:v>41794.0</c:v>
                </c:pt>
                <c:pt idx="499">
                  <c:v>41793.0</c:v>
                </c:pt>
                <c:pt idx="500">
                  <c:v>41792.0</c:v>
                </c:pt>
                <c:pt idx="501">
                  <c:v>41789.0</c:v>
                </c:pt>
                <c:pt idx="502">
                  <c:v>41788.0</c:v>
                </c:pt>
                <c:pt idx="503">
                  <c:v>41787.0</c:v>
                </c:pt>
                <c:pt idx="504">
                  <c:v>41786.0</c:v>
                </c:pt>
                <c:pt idx="505">
                  <c:v>41785.0</c:v>
                </c:pt>
                <c:pt idx="506">
                  <c:v>41782.0</c:v>
                </c:pt>
                <c:pt idx="507">
                  <c:v>41781.0</c:v>
                </c:pt>
                <c:pt idx="508">
                  <c:v>41780.0</c:v>
                </c:pt>
                <c:pt idx="509">
                  <c:v>41779.0</c:v>
                </c:pt>
                <c:pt idx="510">
                  <c:v>41778.0</c:v>
                </c:pt>
                <c:pt idx="511">
                  <c:v>41775.0</c:v>
                </c:pt>
                <c:pt idx="512">
                  <c:v>41774.0</c:v>
                </c:pt>
                <c:pt idx="513">
                  <c:v>41773.0</c:v>
                </c:pt>
                <c:pt idx="514">
                  <c:v>41772.0</c:v>
                </c:pt>
                <c:pt idx="515">
                  <c:v>41771.0</c:v>
                </c:pt>
                <c:pt idx="516">
                  <c:v>41768.0</c:v>
                </c:pt>
                <c:pt idx="517">
                  <c:v>41767.0</c:v>
                </c:pt>
                <c:pt idx="518">
                  <c:v>41766.0</c:v>
                </c:pt>
                <c:pt idx="519">
                  <c:v>41765.0</c:v>
                </c:pt>
                <c:pt idx="520">
                  <c:v>41764.0</c:v>
                </c:pt>
                <c:pt idx="521">
                  <c:v>41761.0</c:v>
                </c:pt>
                <c:pt idx="522">
                  <c:v>41760.0</c:v>
                </c:pt>
                <c:pt idx="523">
                  <c:v>41759.0</c:v>
                </c:pt>
                <c:pt idx="524">
                  <c:v>41758.0</c:v>
                </c:pt>
                <c:pt idx="525">
                  <c:v>41757.0</c:v>
                </c:pt>
                <c:pt idx="526">
                  <c:v>41754.0</c:v>
                </c:pt>
                <c:pt idx="527">
                  <c:v>41753.0</c:v>
                </c:pt>
                <c:pt idx="528">
                  <c:v>41752.0</c:v>
                </c:pt>
                <c:pt idx="529">
                  <c:v>41751.0</c:v>
                </c:pt>
                <c:pt idx="530">
                  <c:v>41750.0</c:v>
                </c:pt>
                <c:pt idx="531">
                  <c:v>41747.0</c:v>
                </c:pt>
                <c:pt idx="532">
                  <c:v>41746.0</c:v>
                </c:pt>
                <c:pt idx="533">
                  <c:v>41745.0</c:v>
                </c:pt>
                <c:pt idx="534">
                  <c:v>41744.0</c:v>
                </c:pt>
                <c:pt idx="535">
                  <c:v>41743.0</c:v>
                </c:pt>
                <c:pt idx="536">
                  <c:v>41740.0</c:v>
                </c:pt>
                <c:pt idx="537">
                  <c:v>41739.0</c:v>
                </c:pt>
                <c:pt idx="538">
                  <c:v>41738.0</c:v>
                </c:pt>
                <c:pt idx="539">
                  <c:v>41737.0</c:v>
                </c:pt>
                <c:pt idx="540">
                  <c:v>41736.0</c:v>
                </c:pt>
                <c:pt idx="541">
                  <c:v>41733.0</c:v>
                </c:pt>
                <c:pt idx="542">
                  <c:v>41732.0</c:v>
                </c:pt>
                <c:pt idx="543">
                  <c:v>41731.0</c:v>
                </c:pt>
                <c:pt idx="544">
                  <c:v>41730.0</c:v>
                </c:pt>
                <c:pt idx="545">
                  <c:v>41729.0</c:v>
                </c:pt>
                <c:pt idx="546">
                  <c:v>41726.0</c:v>
                </c:pt>
                <c:pt idx="547">
                  <c:v>41725.0</c:v>
                </c:pt>
                <c:pt idx="548">
                  <c:v>41724.0</c:v>
                </c:pt>
                <c:pt idx="549">
                  <c:v>41723.0</c:v>
                </c:pt>
                <c:pt idx="550">
                  <c:v>41722.0</c:v>
                </c:pt>
                <c:pt idx="551">
                  <c:v>41719.0</c:v>
                </c:pt>
                <c:pt idx="552">
                  <c:v>41718.0</c:v>
                </c:pt>
                <c:pt idx="553">
                  <c:v>41717.0</c:v>
                </c:pt>
                <c:pt idx="554">
                  <c:v>41716.0</c:v>
                </c:pt>
                <c:pt idx="555">
                  <c:v>41715.0</c:v>
                </c:pt>
                <c:pt idx="556">
                  <c:v>41712.0</c:v>
                </c:pt>
                <c:pt idx="557">
                  <c:v>41711.0</c:v>
                </c:pt>
                <c:pt idx="558">
                  <c:v>41710.0</c:v>
                </c:pt>
                <c:pt idx="559">
                  <c:v>41709.0</c:v>
                </c:pt>
                <c:pt idx="560">
                  <c:v>41708.0</c:v>
                </c:pt>
                <c:pt idx="561">
                  <c:v>41705.0</c:v>
                </c:pt>
                <c:pt idx="562">
                  <c:v>41704.0</c:v>
                </c:pt>
                <c:pt idx="563">
                  <c:v>41703.0</c:v>
                </c:pt>
                <c:pt idx="564">
                  <c:v>41702.0</c:v>
                </c:pt>
                <c:pt idx="565">
                  <c:v>41701.0</c:v>
                </c:pt>
                <c:pt idx="566">
                  <c:v>41698.0</c:v>
                </c:pt>
                <c:pt idx="567">
                  <c:v>41697.0</c:v>
                </c:pt>
                <c:pt idx="568">
                  <c:v>41696.0</c:v>
                </c:pt>
                <c:pt idx="569">
                  <c:v>41695.0</c:v>
                </c:pt>
                <c:pt idx="570">
                  <c:v>41694.0</c:v>
                </c:pt>
                <c:pt idx="571">
                  <c:v>41691.0</c:v>
                </c:pt>
                <c:pt idx="572">
                  <c:v>41690.0</c:v>
                </c:pt>
                <c:pt idx="573">
                  <c:v>41689.0</c:v>
                </c:pt>
                <c:pt idx="574">
                  <c:v>41688.0</c:v>
                </c:pt>
                <c:pt idx="575">
                  <c:v>41687.0</c:v>
                </c:pt>
                <c:pt idx="576">
                  <c:v>41684.0</c:v>
                </c:pt>
                <c:pt idx="577">
                  <c:v>41683.0</c:v>
                </c:pt>
                <c:pt idx="578">
                  <c:v>41682.0</c:v>
                </c:pt>
                <c:pt idx="579">
                  <c:v>41681.0</c:v>
                </c:pt>
                <c:pt idx="580">
                  <c:v>41680.0</c:v>
                </c:pt>
                <c:pt idx="581">
                  <c:v>41677.0</c:v>
                </c:pt>
                <c:pt idx="582">
                  <c:v>41676.0</c:v>
                </c:pt>
                <c:pt idx="583">
                  <c:v>41675.0</c:v>
                </c:pt>
                <c:pt idx="584">
                  <c:v>41674.0</c:v>
                </c:pt>
                <c:pt idx="585">
                  <c:v>41673.0</c:v>
                </c:pt>
                <c:pt idx="586">
                  <c:v>41670.0</c:v>
                </c:pt>
                <c:pt idx="587">
                  <c:v>41669.0</c:v>
                </c:pt>
                <c:pt idx="588">
                  <c:v>41668.0</c:v>
                </c:pt>
                <c:pt idx="589">
                  <c:v>41667.0</c:v>
                </c:pt>
                <c:pt idx="590">
                  <c:v>41666.0</c:v>
                </c:pt>
                <c:pt idx="591">
                  <c:v>41663.0</c:v>
                </c:pt>
                <c:pt idx="592">
                  <c:v>41662.0</c:v>
                </c:pt>
                <c:pt idx="593">
                  <c:v>41661.0</c:v>
                </c:pt>
                <c:pt idx="594">
                  <c:v>41660.0</c:v>
                </c:pt>
                <c:pt idx="595">
                  <c:v>41659.0</c:v>
                </c:pt>
                <c:pt idx="596">
                  <c:v>41656.0</c:v>
                </c:pt>
                <c:pt idx="597">
                  <c:v>41655.0</c:v>
                </c:pt>
                <c:pt idx="598">
                  <c:v>41654.0</c:v>
                </c:pt>
                <c:pt idx="599">
                  <c:v>41653.0</c:v>
                </c:pt>
                <c:pt idx="600">
                  <c:v>41652.0</c:v>
                </c:pt>
                <c:pt idx="601">
                  <c:v>41649.0</c:v>
                </c:pt>
                <c:pt idx="602">
                  <c:v>41648.0</c:v>
                </c:pt>
                <c:pt idx="603">
                  <c:v>41647.0</c:v>
                </c:pt>
                <c:pt idx="604">
                  <c:v>41646.0</c:v>
                </c:pt>
                <c:pt idx="605">
                  <c:v>41645.0</c:v>
                </c:pt>
                <c:pt idx="606">
                  <c:v>41642.0</c:v>
                </c:pt>
                <c:pt idx="607">
                  <c:v>41641.0</c:v>
                </c:pt>
                <c:pt idx="608">
                  <c:v>41640.0</c:v>
                </c:pt>
                <c:pt idx="609">
                  <c:v>41639.0</c:v>
                </c:pt>
                <c:pt idx="610">
                  <c:v>41638.0</c:v>
                </c:pt>
                <c:pt idx="611">
                  <c:v>41635.0</c:v>
                </c:pt>
                <c:pt idx="612">
                  <c:v>41634.0</c:v>
                </c:pt>
                <c:pt idx="613">
                  <c:v>41633.0</c:v>
                </c:pt>
                <c:pt idx="614">
                  <c:v>41632.0</c:v>
                </c:pt>
                <c:pt idx="615">
                  <c:v>41631.0</c:v>
                </c:pt>
                <c:pt idx="616">
                  <c:v>41628.0</c:v>
                </c:pt>
                <c:pt idx="617">
                  <c:v>41627.0</c:v>
                </c:pt>
                <c:pt idx="618">
                  <c:v>41626.0</c:v>
                </c:pt>
                <c:pt idx="619">
                  <c:v>41625.0</c:v>
                </c:pt>
                <c:pt idx="620">
                  <c:v>41624.0</c:v>
                </c:pt>
                <c:pt idx="621">
                  <c:v>41621.0</c:v>
                </c:pt>
                <c:pt idx="622">
                  <c:v>41620.0</c:v>
                </c:pt>
                <c:pt idx="623">
                  <c:v>41619.0</c:v>
                </c:pt>
                <c:pt idx="624">
                  <c:v>41618.0</c:v>
                </c:pt>
                <c:pt idx="625">
                  <c:v>41617.0</c:v>
                </c:pt>
                <c:pt idx="626">
                  <c:v>41614.0</c:v>
                </c:pt>
                <c:pt idx="627">
                  <c:v>41613.0</c:v>
                </c:pt>
                <c:pt idx="628">
                  <c:v>41612.0</c:v>
                </c:pt>
                <c:pt idx="629">
                  <c:v>41611.0</c:v>
                </c:pt>
                <c:pt idx="630">
                  <c:v>41610.0</c:v>
                </c:pt>
                <c:pt idx="631">
                  <c:v>41607.0</c:v>
                </c:pt>
                <c:pt idx="632">
                  <c:v>41606.0</c:v>
                </c:pt>
                <c:pt idx="633">
                  <c:v>41605.0</c:v>
                </c:pt>
                <c:pt idx="634">
                  <c:v>41604.0</c:v>
                </c:pt>
                <c:pt idx="635">
                  <c:v>41603.0</c:v>
                </c:pt>
                <c:pt idx="636">
                  <c:v>41600.0</c:v>
                </c:pt>
                <c:pt idx="637">
                  <c:v>41599.0</c:v>
                </c:pt>
                <c:pt idx="638">
                  <c:v>41598.0</c:v>
                </c:pt>
                <c:pt idx="639">
                  <c:v>41597.0</c:v>
                </c:pt>
                <c:pt idx="640">
                  <c:v>41596.0</c:v>
                </c:pt>
                <c:pt idx="641">
                  <c:v>41593.0</c:v>
                </c:pt>
                <c:pt idx="642">
                  <c:v>41592.0</c:v>
                </c:pt>
                <c:pt idx="643">
                  <c:v>41591.0</c:v>
                </c:pt>
                <c:pt idx="644">
                  <c:v>41590.0</c:v>
                </c:pt>
                <c:pt idx="645">
                  <c:v>41589.0</c:v>
                </c:pt>
                <c:pt idx="646">
                  <c:v>41586.0</c:v>
                </c:pt>
                <c:pt idx="647">
                  <c:v>41585.0</c:v>
                </c:pt>
                <c:pt idx="648">
                  <c:v>41584.0</c:v>
                </c:pt>
                <c:pt idx="649">
                  <c:v>41583.0</c:v>
                </c:pt>
                <c:pt idx="650">
                  <c:v>41582.0</c:v>
                </c:pt>
                <c:pt idx="651">
                  <c:v>41579.0</c:v>
                </c:pt>
                <c:pt idx="652">
                  <c:v>41578.0</c:v>
                </c:pt>
                <c:pt idx="653">
                  <c:v>41577.0</c:v>
                </c:pt>
                <c:pt idx="654">
                  <c:v>41576.0</c:v>
                </c:pt>
                <c:pt idx="655">
                  <c:v>41575.0</c:v>
                </c:pt>
                <c:pt idx="656">
                  <c:v>41572.0</c:v>
                </c:pt>
                <c:pt idx="657">
                  <c:v>41571.0</c:v>
                </c:pt>
                <c:pt idx="658">
                  <c:v>41570.0</c:v>
                </c:pt>
                <c:pt idx="659">
                  <c:v>41569.0</c:v>
                </c:pt>
                <c:pt idx="660">
                  <c:v>41568.0</c:v>
                </c:pt>
                <c:pt idx="661">
                  <c:v>41565.0</c:v>
                </c:pt>
                <c:pt idx="662">
                  <c:v>41564.0</c:v>
                </c:pt>
                <c:pt idx="663">
                  <c:v>41563.0</c:v>
                </c:pt>
                <c:pt idx="664">
                  <c:v>41562.0</c:v>
                </c:pt>
                <c:pt idx="665">
                  <c:v>41561.0</c:v>
                </c:pt>
                <c:pt idx="666">
                  <c:v>41558.0</c:v>
                </c:pt>
                <c:pt idx="667">
                  <c:v>41557.0</c:v>
                </c:pt>
                <c:pt idx="668">
                  <c:v>41556.0</c:v>
                </c:pt>
                <c:pt idx="669">
                  <c:v>41555.0</c:v>
                </c:pt>
                <c:pt idx="670">
                  <c:v>41554.0</c:v>
                </c:pt>
                <c:pt idx="671">
                  <c:v>41551.0</c:v>
                </c:pt>
                <c:pt idx="672">
                  <c:v>41550.0</c:v>
                </c:pt>
                <c:pt idx="673">
                  <c:v>41549.0</c:v>
                </c:pt>
                <c:pt idx="674">
                  <c:v>41548.0</c:v>
                </c:pt>
                <c:pt idx="675">
                  <c:v>41547.0</c:v>
                </c:pt>
                <c:pt idx="676">
                  <c:v>41544.0</c:v>
                </c:pt>
                <c:pt idx="677">
                  <c:v>41543.0</c:v>
                </c:pt>
                <c:pt idx="678">
                  <c:v>41542.0</c:v>
                </c:pt>
                <c:pt idx="679">
                  <c:v>41541.0</c:v>
                </c:pt>
                <c:pt idx="680">
                  <c:v>41540.0</c:v>
                </c:pt>
                <c:pt idx="681">
                  <c:v>41537.0</c:v>
                </c:pt>
                <c:pt idx="682">
                  <c:v>41536.0</c:v>
                </c:pt>
                <c:pt idx="683">
                  <c:v>41535.0</c:v>
                </c:pt>
                <c:pt idx="684">
                  <c:v>41534.0</c:v>
                </c:pt>
                <c:pt idx="685">
                  <c:v>41533.0</c:v>
                </c:pt>
                <c:pt idx="686">
                  <c:v>41530.0</c:v>
                </c:pt>
                <c:pt idx="687">
                  <c:v>41529.0</c:v>
                </c:pt>
                <c:pt idx="688">
                  <c:v>41528.0</c:v>
                </c:pt>
                <c:pt idx="689">
                  <c:v>41527.0</c:v>
                </c:pt>
                <c:pt idx="690">
                  <c:v>41526.0</c:v>
                </c:pt>
                <c:pt idx="691">
                  <c:v>41523.0</c:v>
                </c:pt>
                <c:pt idx="692">
                  <c:v>41522.0</c:v>
                </c:pt>
                <c:pt idx="693">
                  <c:v>41521.0</c:v>
                </c:pt>
                <c:pt idx="694">
                  <c:v>41520.0</c:v>
                </c:pt>
                <c:pt idx="695">
                  <c:v>41519.0</c:v>
                </c:pt>
                <c:pt idx="696">
                  <c:v>41516.0</c:v>
                </c:pt>
                <c:pt idx="697">
                  <c:v>41515.0</c:v>
                </c:pt>
                <c:pt idx="698">
                  <c:v>41514.0</c:v>
                </c:pt>
                <c:pt idx="699">
                  <c:v>41513.0</c:v>
                </c:pt>
                <c:pt idx="700">
                  <c:v>41512.0</c:v>
                </c:pt>
                <c:pt idx="701">
                  <c:v>41509.0</c:v>
                </c:pt>
                <c:pt idx="702">
                  <c:v>41508.0</c:v>
                </c:pt>
                <c:pt idx="703">
                  <c:v>41507.0</c:v>
                </c:pt>
                <c:pt idx="704">
                  <c:v>41506.0</c:v>
                </c:pt>
                <c:pt idx="705">
                  <c:v>41505.0</c:v>
                </c:pt>
                <c:pt idx="706">
                  <c:v>41502.0</c:v>
                </c:pt>
                <c:pt idx="707">
                  <c:v>41501.0</c:v>
                </c:pt>
                <c:pt idx="708">
                  <c:v>41500.0</c:v>
                </c:pt>
                <c:pt idx="709">
                  <c:v>41499.0</c:v>
                </c:pt>
                <c:pt idx="710">
                  <c:v>41498.0</c:v>
                </c:pt>
                <c:pt idx="711">
                  <c:v>41495.0</c:v>
                </c:pt>
                <c:pt idx="712">
                  <c:v>41494.0</c:v>
                </c:pt>
                <c:pt idx="713">
                  <c:v>41493.0</c:v>
                </c:pt>
                <c:pt idx="714">
                  <c:v>41492.0</c:v>
                </c:pt>
                <c:pt idx="715">
                  <c:v>41491.0</c:v>
                </c:pt>
                <c:pt idx="716">
                  <c:v>41488.0</c:v>
                </c:pt>
                <c:pt idx="717">
                  <c:v>41487.0</c:v>
                </c:pt>
                <c:pt idx="718">
                  <c:v>41486.0</c:v>
                </c:pt>
                <c:pt idx="719">
                  <c:v>41485.0</c:v>
                </c:pt>
                <c:pt idx="720">
                  <c:v>41484.0</c:v>
                </c:pt>
                <c:pt idx="721">
                  <c:v>41481.0</c:v>
                </c:pt>
                <c:pt idx="722">
                  <c:v>41480.0</c:v>
                </c:pt>
                <c:pt idx="723">
                  <c:v>41479.0</c:v>
                </c:pt>
                <c:pt idx="724">
                  <c:v>41478.0</c:v>
                </c:pt>
                <c:pt idx="725">
                  <c:v>41477.0</c:v>
                </c:pt>
                <c:pt idx="726">
                  <c:v>41474.0</c:v>
                </c:pt>
                <c:pt idx="727">
                  <c:v>41473.0</c:v>
                </c:pt>
                <c:pt idx="728">
                  <c:v>41472.0</c:v>
                </c:pt>
                <c:pt idx="729">
                  <c:v>41471.0</c:v>
                </c:pt>
                <c:pt idx="730">
                  <c:v>41470.0</c:v>
                </c:pt>
                <c:pt idx="731">
                  <c:v>41467.0</c:v>
                </c:pt>
                <c:pt idx="732">
                  <c:v>41466.0</c:v>
                </c:pt>
                <c:pt idx="733">
                  <c:v>41465.0</c:v>
                </c:pt>
                <c:pt idx="734">
                  <c:v>41464.0</c:v>
                </c:pt>
                <c:pt idx="735">
                  <c:v>41463.0</c:v>
                </c:pt>
                <c:pt idx="736">
                  <c:v>41460.0</c:v>
                </c:pt>
                <c:pt idx="737">
                  <c:v>41459.0</c:v>
                </c:pt>
                <c:pt idx="738">
                  <c:v>41458.0</c:v>
                </c:pt>
                <c:pt idx="739">
                  <c:v>41457.0</c:v>
                </c:pt>
                <c:pt idx="740">
                  <c:v>41456.0</c:v>
                </c:pt>
                <c:pt idx="741">
                  <c:v>41453.0</c:v>
                </c:pt>
                <c:pt idx="742">
                  <c:v>41452.0</c:v>
                </c:pt>
                <c:pt idx="743">
                  <c:v>41451.0</c:v>
                </c:pt>
                <c:pt idx="744">
                  <c:v>41450.0</c:v>
                </c:pt>
                <c:pt idx="745">
                  <c:v>41449.0</c:v>
                </c:pt>
                <c:pt idx="746">
                  <c:v>41446.0</c:v>
                </c:pt>
                <c:pt idx="747">
                  <c:v>41445.0</c:v>
                </c:pt>
                <c:pt idx="748">
                  <c:v>41444.0</c:v>
                </c:pt>
                <c:pt idx="749">
                  <c:v>41443.0</c:v>
                </c:pt>
                <c:pt idx="750">
                  <c:v>41442.0</c:v>
                </c:pt>
                <c:pt idx="751">
                  <c:v>41439.0</c:v>
                </c:pt>
                <c:pt idx="752">
                  <c:v>41438.0</c:v>
                </c:pt>
                <c:pt idx="753">
                  <c:v>41437.0</c:v>
                </c:pt>
                <c:pt idx="754">
                  <c:v>41436.0</c:v>
                </c:pt>
                <c:pt idx="755">
                  <c:v>41435.0</c:v>
                </c:pt>
                <c:pt idx="756">
                  <c:v>41432.0</c:v>
                </c:pt>
                <c:pt idx="757">
                  <c:v>41431.0</c:v>
                </c:pt>
                <c:pt idx="758">
                  <c:v>41430.0</c:v>
                </c:pt>
                <c:pt idx="759">
                  <c:v>41429.0</c:v>
                </c:pt>
                <c:pt idx="760">
                  <c:v>41428.0</c:v>
                </c:pt>
                <c:pt idx="761">
                  <c:v>41425.0</c:v>
                </c:pt>
                <c:pt idx="762">
                  <c:v>41424.0</c:v>
                </c:pt>
                <c:pt idx="763">
                  <c:v>41423.0</c:v>
                </c:pt>
                <c:pt idx="764">
                  <c:v>41422.0</c:v>
                </c:pt>
                <c:pt idx="765">
                  <c:v>41421.0</c:v>
                </c:pt>
                <c:pt idx="766">
                  <c:v>41418.0</c:v>
                </c:pt>
                <c:pt idx="767">
                  <c:v>41417.0</c:v>
                </c:pt>
                <c:pt idx="768">
                  <c:v>41416.0</c:v>
                </c:pt>
                <c:pt idx="769">
                  <c:v>41415.0</c:v>
                </c:pt>
                <c:pt idx="770">
                  <c:v>41414.0</c:v>
                </c:pt>
                <c:pt idx="771">
                  <c:v>41411.0</c:v>
                </c:pt>
                <c:pt idx="772">
                  <c:v>41410.0</c:v>
                </c:pt>
                <c:pt idx="773">
                  <c:v>41409.0</c:v>
                </c:pt>
                <c:pt idx="774">
                  <c:v>41408.0</c:v>
                </c:pt>
                <c:pt idx="775">
                  <c:v>41407.0</c:v>
                </c:pt>
                <c:pt idx="776">
                  <c:v>41404.0</c:v>
                </c:pt>
                <c:pt idx="777">
                  <c:v>41403.0</c:v>
                </c:pt>
                <c:pt idx="778">
                  <c:v>41402.0</c:v>
                </c:pt>
                <c:pt idx="779">
                  <c:v>41401.0</c:v>
                </c:pt>
                <c:pt idx="780">
                  <c:v>41400.0</c:v>
                </c:pt>
                <c:pt idx="781">
                  <c:v>41397.0</c:v>
                </c:pt>
                <c:pt idx="782">
                  <c:v>41396.0</c:v>
                </c:pt>
                <c:pt idx="783">
                  <c:v>41395.0</c:v>
                </c:pt>
                <c:pt idx="784">
                  <c:v>41394.0</c:v>
                </c:pt>
                <c:pt idx="785">
                  <c:v>41393.0</c:v>
                </c:pt>
                <c:pt idx="786">
                  <c:v>41390.0</c:v>
                </c:pt>
                <c:pt idx="787">
                  <c:v>41389.0</c:v>
                </c:pt>
                <c:pt idx="788">
                  <c:v>41388.0</c:v>
                </c:pt>
                <c:pt idx="789">
                  <c:v>41387.0</c:v>
                </c:pt>
                <c:pt idx="790">
                  <c:v>41386.0</c:v>
                </c:pt>
                <c:pt idx="791">
                  <c:v>41383.0</c:v>
                </c:pt>
                <c:pt idx="792">
                  <c:v>41382.0</c:v>
                </c:pt>
                <c:pt idx="793">
                  <c:v>41381.0</c:v>
                </c:pt>
                <c:pt idx="794">
                  <c:v>41380.0</c:v>
                </c:pt>
                <c:pt idx="795">
                  <c:v>41379.0</c:v>
                </c:pt>
                <c:pt idx="796">
                  <c:v>41376.0</c:v>
                </c:pt>
                <c:pt idx="797">
                  <c:v>41375.0</c:v>
                </c:pt>
                <c:pt idx="798">
                  <c:v>41374.0</c:v>
                </c:pt>
                <c:pt idx="799">
                  <c:v>41373.0</c:v>
                </c:pt>
                <c:pt idx="800">
                  <c:v>41372.0</c:v>
                </c:pt>
                <c:pt idx="801">
                  <c:v>41369.0</c:v>
                </c:pt>
                <c:pt idx="802">
                  <c:v>41368.0</c:v>
                </c:pt>
                <c:pt idx="803">
                  <c:v>41367.0</c:v>
                </c:pt>
                <c:pt idx="804">
                  <c:v>41366.0</c:v>
                </c:pt>
                <c:pt idx="805">
                  <c:v>41365.0</c:v>
                </c:pt>
                <c:pt idx="806">
                  <c:v>41362.0</c:v>
                </c:pt>
                <c:pt idx="807">
                  <c:v>41361.0</c:v>
                </c:pt>
                <c:pt idx="808">
                  <c:v>41360.0</c:v>
                </c:pt>
                <c:pt idx="809">
                  <c:v>41359.0</c:v>
                </c:pt>
                <c:pt idx="810">
                  <c:v>41358.0</c:v>
                </c:pt>
                <c:pt idx="811">
                  <c:v>41355.0</c:v>
                </c:pt>
                <c:pt idx="812">
                  <c:v>41354.0</c:v>
                </c:pt>
                <c:pt idx="813">
                  <c:v>41353.0</c:v>
                </c:pt>
                <c:pt idx="814">
                  <c:v>41352.0</c:v>
                </c:pt>
                <c:pt idx="815">
                  <c:v>41351.0</c:v>
                </c:pt>
                <c:pt idx="816">
                  <c:v>41348.0</c:v>
                </c:pt>
                <c:pt idx="817">
                  <c:v>41347.0</c:v>
                </c:pt>
                <c:pt idx="818">
                  <c:v>41346.0</c:v>
                </c:pt>
                <c:pt idx="819">
                  <c:v>41345.0</c:v>
                </c:pt>
                <c:pt idx="820">
                  <c:v>41344.0</c:v>
                </c:pt>
                <c:pt idx="821">
                  <c:v>41341.0</c:v>
                </c:pt>
                <c:pt idx="822">
                  <c:v>41340.0</c:v>
                </c:pt>
                <c:pt idx="823">
                  <c:v>41339.0</c:v>
                </c:pt>
                <c:pt idx="824">
                  <c:v>41338.0</c:v>
                </c:pt>
                <c:pt idx="825">
                  <c:v>41337.0</c:v>
                </c:pt>
                <c:pt idx="826">
                  <c:v>41334.0</c:v>
                </c:pt>
                <c:pt idx="827">
                  <c:v>41333.0</c:v>
                </c:pt>
                <c:pt idx="828">
                  <c:v>41332.0</c:v>
                </c:pt>
                <c:pt idx="829">
                  <c:v>41331.0</c:v>
                </c:pt>
                <c:pt idx="830">
                  <c:v>41330.0</c:v>
                </c:pt>
                <c:pt idx="831">
                  <c:v>41327.0</c:v>
                </c:pt>
                <c:pt idx="832">
                  <c:v>41326.0</c:v>
                </c:pt>
                <c:pt idx="833">
                  <c:v>41325.0</c:v>
                </c:pt>
                <c:pt idx="834">
                  <c:v>41324.0</c:v>
                </c:pt>
                <c:pt idx="835">
                  <c:v>41323.0</c:v>
                </c:pt>
                <c:pt idx="836">
                  <c:v>41320.0</c:v>
                </c:pt>
                <c:pt idx="837">
                  <c:v>41319.0</c:v>
                </c:pt>
                <c:pt idx="838">
                  <c:v>41318.0</c:v>
                </c:pt>
                <c:pt idx="839">
                  <c:v>41317.0</c:v>
                </c:pt>
                <c:pt idx="840">
                  <c:v>41316.0</c:v>
                </c:pt>
                <c:pt idx="841">
                  <c:v>41313.0</c:v>
                </c:pt>
                <c:pt idx="842">
                  <c:v>41312.0</c:v>
                </c:pt>
                <c:pt idx="843">
                  <c:v>41311.0</c:v>
                </c:pt>
                <c:pt idx="844">
                  <c:v>41310.0</c:v>
                </c:pt>
                <c:pt idx="845">
                  <c:v>41309.0</c:v>
                </c:pt>
                <c:pt idx="846">
                  <c:v>41306.0</c:v>
                </c:pt>
                <c:pt idx="847">
                  <c:v>41305.0</c:v>
                </c:pt>
                <c:pt idx="848">
                  <c:v>41304.0</c:v>
                </c:pt>
                <c:pt idx="849">
                  <c:v>41303.0</c:v>
                </c:pt>
                <c:pt idx="850">
                  <c:v>41302.0</c:v>
                </c:pt>
                <c:pt idx="851">
                  <c:v>41299.0</c:v>
                </c:pt>
                <c:pt idx="852">
                  <c:v>41298.0</c:v>
                </c:pt>
                <c:pt idx="853">
                  <c:v>41297.0</c:v>
                </c:pt>
                <c:pt idx="854">
                  <c:v>41296.0</c:v>
                </c:pt>
                <c:pt idx="855">
                  <c:v>41295.0</c:v>
                </c:pt>
                <c:pt idx="856">
                  <c:v>41292.0</c:v>
                </c:pt>
                <c:pt idx="857">
                  <c:v>41291.0</c:v>
                </c:pt>
                <c:pt idx="858">
                  <c:v>41290.0</c:v>
                </c:pt>
                <c:pt idx="859">
                  <c:v>41289.0</c:v>
                </c:pt>
                <c:pt idx="860">
                  <c:v>41288.0</c:v>
                </c:pt>
                <c:pt idx="861">
                  <c:v>41285.0</c:v>
                </c:pt>
                <c:pt idx="862">
                  <c:v>41284.0</c:v>
                </c:pt>
                <c:pt idx="863">
                  <c:v>41283.0</c:v>
                </c:pt>
                <c:pt idx="864">
                  <c:v>41282.0</c:v>
                </c:pt>
                <c:pt idx="865">
                  <c:v>41281.0</c:v>
                </c:pt>
                <c:pt idx="866">
                  <c:v>41278.0</c:v>
                </c:pt>
                <c:pt idx="867">
                  <c:v>41277.0</c:v>
                </c:pt>
                <c:pt idx="868">
                  <c:v>41276.0</c:v>
                </c:pt>
                <c:pt idx="869">
                  <c:v>41275.0</c:v>
                </c:pt>
                <c:pt idx="870">
                  <c:v>41274.0</c:v>
                </c:pt>
                <c:pt idx="871">
                  <c:v>41271.0</c:v>
                </c:pt>
                <c:pt idx="872">
                  <c:v>41270.0</c:v>
                </c:pt>
                <c:pt idx="873">
                  <c:v>41269.0</c:v>
                </c:pt>
                <c:pt idx="874">
                  <c:v>41268.0</c:v>
                </c:pt>
                <c:pt idx="875">
                  <c:v>41267.0</c:v>
                </c:pt>
                <c:pt idx="876">
                  <c:v>41264.0</c:v>
                </c:pt>
                <c:pt idx="877">
                  <c:v>41263.0</c:v>
                </c:pt>
                <c:pt idx="878">
                  <c:v>41262.0</c:v>
                </c:pt>
                <c:pt idx="879">
                  <c:v>41261.0</c:v>
                </c:pt>
                <c:pt idx="880">
                  <c:v>41260.0</c:v>
                </c:pt>
                <c:pt idx="881">
                  <c:v>41257.0</c:v>
                </c:pt>
                <c:pt idx="882">
                  <c:v>41256.0</c:v>
                </c:pt>
                <c:pt idx="883">
                  <c:v>41255.0</c:v>
                </c:pt>
                <c:pt idx="884">
                  <c:v>41254.0</c:v>
                </c:pt>
                <c:pt idx="885">
                  <c:v>41253.0</c:v>
                </c:pt>
                <c:pt idx="886">
                  <c:v>41250.0</c:v>
                </c:pt>
                <c:pt idx="887">
                  <c:v>41249.0</c:v>
                </c:pt>
                <c:pt idx="888">
                  <c:v>41248.0</c:v>
                </c:pt>
                <c:pt idx="889">
                  <c:v>41247.0</c:v>
                </c:pt>
                <c:pt idx="890">
                  <c:v>41246.0</c:v>
                </c:pt>
                <c:pt idx="891">
                  <c:v>41243.0</c:v>
                </c:pt>
                <c:pt idx="892">
                  <c:v>41242.0</c:v>
                </c:pt>
                <c:pt idx="893">
                  <c:v>41241.0</c:v>
                </c:pt>
                <c:pt idx="894">
                  <c:v>41240.0</c:v>
                </c:pt>
                <c:pt idx="895">
                  <c:v>41239.0</c:v>
                </c:pt>
                <c:pt idx="896">
                  <c:v>41236.0</c:v>
                </c:pt>
                <c:pt idx="897">
                  <c:v>41235.0</c:v>
                </c:pt>
                <c:pt idx="898">
                  <c:v>41234.0</c:v>
                </c:pt>
                <c:pt idx="899">
                  <c:v>41233.0</c:v>
                </c:pt>
                <c:pt idx="900">
                  <c:v>41232.0</c:v>
                </c:pt>
                <c:pt idx="901">
                  <c:v>41229.0</c:v>
                </c:pt>
                <c:pt idx="902">
                  <c:v>41228.0</c:v>
                </c:pt>
                <c:pt idx="903">
                  <c:v>41227.0</c:v>
                </c:pt>
                <c:pt idx="904">
                  <c:v>41226.0</c:v>
                </c:pt>
                <c:pt idx="905">
                  <c:v>41225.0</c:v>
                </c:pt>
                <c:pt idx="906">
                  <c:v>41222.0</c:v>
                </c:pt>
                <c:pt idx="907">
                  <c:v>41221.0</c:v>
                </c:pt>
                <c:pt idx="908">
                  <c:v>41220.0</c:v>
                </c:pt>
                <c:pt idx="909">
                  <c:v>41219.0</c:v>
                </c:pt>
                <c:pt idx="910">
                  <c:v>41218.0</c:v>
                </c:pt>
                <c:pt idx="911">
                  <c:v>41215.0</c:v>
                </c:pt>
                <c:pt idx="912">
                  <c:v>41214.0</c:v>
                </c:pt>
                <c:pt idx="913">
                  <c:v>41213.0</c:v>
                </c:pt>
                <c:pt idx="914">
                  <c:v>41212.0</c:v>
                </c:pt>
                <c:pt idx="915">
                  <c:v>41211.0</c:v>
                </c:pt>
                <c:pt idx="916">
                  <c:v>41208.0</c:v>
                </c:pt>
                <c:pt idx="917">
                  <c:v>41207.0</c:v>
                </c:pt>
                <c:pt idx="918">
                  <c:v>41206.0</c:v>
                </c:pt>
                <c:pt idx="919">
                  <c:v>41205.0</c:v>
                </c:pt>
                <c:pt idx="920">
                  <c:v>41204.0</c:v>
                </c:pt>
                <c:pt idx="921">
                  <c:v>41201.0</c:v>
                </c:pt>
                <c:pt idx="922">
                  <c:v>41200.0</c:v>
                </c:pt>
                <c:pt idx="923">
                  <c:v>41199.0</c:v>
                </c:pt>
                <c:pt idx="924">
                  <c:v>41198.0</c:v>
                </c:pt>
                <c:pt idx="925">
                  <c:v>41197.0</c:v>
                </c:pt>
                <c:pt idx="926">
                  <c:v>41194.0</c:v>
                </c:pt>
                <c:pt idx="927">
                  <c:v>41193.0</c:v>
                </c:pt>
                <c:pt idx="928">
                  <c:v>41192.0</c:v>
                </c:pt>
                <c:pt idx="929">
                  <c:v>41191.0</c:v>
                </c:pt>
                <c:pt idx="930">
                  <c:v>41190.0</c:v>
                </c:pt>
                <c:pt idx="931">
                  <c:v>41187.0</c:v>
                </c:pt>
                <c:pt idx="932">
                  <c:v>41186.0</c:v>
                </c:pt>
                <c:pt idx="933">
                  <c:v>41185.0</c:v>
                </c:pt>
                <c:pt idx="934">
                  <c:v>41184.0</c:v>
                </c:pt>
                <c:pt idx="935">
                  <c:v>41183.0</c:v>
                </c:pt>
                <c:pt idx="936">
                  <c:v>41180.0</c:v>
                </c:pt>
                <c:pt idx="937">
                  <c:v>41179.0</c:v>
                </c:pt>
                <c:pt idx="938">
                  <c:v>41178.0</c:v>
                </c:pt>
                <c:pt idx="939">
                  <c:v>41177.0</c:v>
                </c:pt>
                <c:pt idx="940">
                  <c:v>41176.0</c:v>
                </c:pt>
                <c:pt idx="941">
                  <c:v>41173.0</c:v>
                </c:pt>
                <c:pt idx="942">
                  <c:v>41172.0</c:v>
                </c:pt>
                <c:pt idx="943">
                  <c:v>41171.0</c:v>
                </c:pt>
                <c:pt idx="944">
                  <c:v>41170.0</c:v>
                </c:pt>
                <c:pt idx="945">
                  <c:v>41169.0</c:v>
                </c:pt>
                <c:pt idx="946">
                  <c:v>41166.0</c:v>
                </c:pt>
                <c:pt idx="947">
                  <c:v>41165.0</c:v>
                </c:pt>
                <c:pt idx="948">
                  <c:v>41164.0</c:v>
                </c:pt>
                <c:pt idx="949">
                  <c:v>41163.0</c:v>
                </c:pt>
                <c:pt idx="950">
                  <c:v>41162.0</c:v>
                </c:pt>
                <c:pt idx="951">
                  <c:v>41159.0</c:v>
                </c:pt>
                <c:pt idx="952">
                  <c:v>41158.0</c:v>
                </c:pt>
                <c:pt idx="953">
                  <c:v>41157.0</c:v>
                </c:pt>
                <c:pt idx="954">
                  <c:v>41156.0</c:v>
                </c:pt>
                <c:pt idx="955">
                  <c:v>41155.0</c:v>
                </c:pt>
                <c:pt idx="956">
                  <c:v>41152.0</c:v>
                </c:pt>
                <c:pt idx="957">
                  <c:v>41151.0</c:v>
                </c:pt>
                <c:pt idx="958">
                  <c:v>41150.0</c:v>
                </c:pt>
                <c:pt idx="959">
                  <c:v>41149.0</c:v>
                </c:pt>
                <c:pt idx="960">
                  <c:v>41148.0</c:v>
                </c:pt>
                <c:pt idx="961">
                  <c:v>41145.0</c:v>
                </c:pt>
                <c:pt idx="962">
                  <c:v>41144.0</c:v>
                </c:pt>
                <c:pt idx="963">
                  <c:v>41143.0</c:v>
                </c:pt>
                <c:pt idx="964">
                  <c:v>41142.0</c:v>
                </c:pt>
                <c:pt idx="965">
                  <c:v>41141.0</c:v>
                </c:pt>
                <c:pt idx="966">
                  <c:v>41138.0</c:v>
                </c:pt>
                <c:pt idx="967">
                  <c:v>41137.0</c:v>
                </c:pt>
                <c:pt idx="968">
                  <c:v>41136.0</c:v>
                </c:pt>
                <c:pt idx="969">
                  <c:v>41135.0</c:v>
                </c:pt>
                <c:pt idx="970">
                  <c:v>41134.0</c:v>
                </c:pt>
                <c:pt idx="971">
                  <c:v>41131.0</c:v>
                </c:pt>
                <c:pt idx="972">
                  <c:v>41130.0</c:v>
                </c:pt>
                <c:pt idx="973">
                  <c:v>41129.0</c:v>
                </c:pt>
                <c:pt idx="974">
                  <c:v>41128.0</c:v>
                </c:pt>
                <c:pt idx="975">
                  <c:v>41127.0</c:v>
                </c:pt>
                <c:pt idx="976">
                  <c:v>41124.0</c:v>
                </c:pt>
                <c:pt idx="977">
                  <c:v>41123.0</c:v>
                </c:pt>
                <c:pt idx="978">
                  <c:v>41122.0</c:v>
                </c:pt>
                <c:pt idx="979">
                  <c:v>41121.0</c:v>
                </c:pt>
                <c:pt idx="980">
                  <c:v>41120.0</c:v>
                </c:pt>
                <c:pt idx="981">
                  <c:v>41117.0</c:v>
                </c:pt>
                <c:pt idx="982">
                  <c:v>41116.0</c:v>
                </c:pt>
                <c:pt idx="983">
                  <c:v>41115.0</c:v>
                </c:pt>
                <c:pt idx="984">
                  <c:v>41114.0</c:v>
                </c:pt>
                <c:pt idx="985">
                  <c:v>41113.0</c:v>
                </c:pt>
                <c:pt idx="986">
                  <c:v>41110.0</c:v>
                </c:pt>
                <c:pt idx="987">
                  <c:v>41109.0</c:v>
                </c:pt>
                <c:pt idx="988">
                  <c:v>41108.0</c:v>
                </c:pt>
                <c:pt idx="989">
                  <c:v>41107.0</c:v>
                </c:pt>
                <c:pt idx="990">
                  <c:v>41106.0</c:v>
                </c:pt>
                <c:pt idx="991">
                  <c:v>41103.0</c:v>
                </c:pt>
                <c:pt idx="992">
                  <c:v>41102.0</c:v>
                </c:pt>
                <c:pt idx="993">
                  <c:v>41101.0</c:v>
                </c:pt>
                <c:pt idx="994">
                  <c:v>41100.0</c:v>
                </c:pt>
                <c:pt idx="995">
                  <c:v>41099.0</c:v>
                </c:pt>
                <c:pt idx="996">
                  <c:v>41096.0</c:v>
                </c:pt>
                <c:pt idx="997">
                  <c:v>41095.0</c:v>
                </c:pt>
                <c:pt idx="998">
                  <c:v>41094.0</c:v>
                </c:pt>
                <c:pt idx="999">
                  <c:v>41093.0</c:v>
                </c:pt>
                <c:pt idx="1000">
                  <c:v>41092.0</c:v>
                </c:pt>
                <c:pt idx="1001">
                  <c:v>41089.0</c:v>
                </c:pt>
                <c:pt idx="1002">
                  <c:v>41088.0</c:v>
                </c:pt>
                <c:pt idx="1003">
                  <c:v>41087.0</c:v>
                </c:pt>
                <c:pt idx="1004">
                  <c:v>41086.0</c:v>
                </c:pt>
                <c:pt idx="1005">
                  <c:v>41085.0</c:v>
                </c:pt>
                <c:pt idx="1006">
                  <c:v>41082.0</c:v>
                </c:pt>
                <c:pt idx="1007">
                  <c:v>41081.0</c:v>
                </c:pt>
                <c:pt idx="1008">
                  <c:v>41080.0</c:v>
                </c:pt>
                <c:pt idx="1009">
                  <c:v>41079.0</c:v>
                </c:pt>
                <c:pt idx="1010">
                  <c:v>41078.0</c:v>
                </c:pt>
                <c:pt idx="1011">
                  <c:v>41075.0</c:v>
                </c:pt>
                <c:pt idx="1012">
                  <c:v>41074.0</c:v>
                </c:pt>
                <c:pt idx="1013">
                  <c:v>41073.0</c:v>
                </c:pt>
                <c:pt idx="1014">
                  <c:v>41072.0</c:v>
                </c:pt>
                <c:pt idx="1015">
                  <c:v>41071.0</c:v>
                </c:pt>
                <c:pt idx="1016">
                  <c:v>41068.0</c:v>
                </c:pt>
                <c:pt idx="1017">
                  <c:v>41067.0</c:v>
                </c:pt>
                <c:pt idx="1018">
                  <c:v>41066.0</c:v>
                </c:pt>
                <c:pt idx="1019">
                  <c:v>41065.0</c:v>
                </c:pt>
                <c:pt idx="1020">
                  <c:v>41064.0</c:v>
                </c:pt>
                <c:pt idx="1021">
                  <c:v>41061.0</c:v>
                </c:pt>
                <c:pt idx="1022">
                  <c:v>41060.0</c:v>
                </c:pt>
                <c:pt idx="1023">
                  <c:v>41059.0</c:v>
                </c:pt>
                <c:pt idx="1024">
                  <c:v>41058.0</c:v>
                </c:pt>
                <c:pt idx="1025">
                  <c:v>41057.0</c:v>
                </c:pt>
                <c:pt idx="1026">
                  <c:v>41054.0</c:v>
                </c:pt>
                <c:pt idx="1027">
                  <c:v>41053.0</c:v>
                </c:pt>
                <c:pt idx="1028">
                  <c:v>41052.0</c:v>
                </c:pt>
                <c:pt idx="1029">
                  <c:v>41051.0</c:v>
                </c:pt>
                <c:pt idx="1030">
                  <c:v>41050.0</c:v>
                </c:pt>
                <c:pt idx="1031">
                  <c:v>41047.0</c:v>
                </c:pt>
                <c:pt idx="1032">
                  <c:v>41046.0</c:v>
                </c:pt>
                <c:pt idx="1033">
                  <c:v>41045.0</c:v>
                </c:pt>
                <c:pt idx="1034">
                  <c:v>41044.0</c:v>
                </c:pt>
                <c:pt idx="1035">
                  <c:v>41043.0</c:v>
                </c:pt>
                <c:pt idx="1036">
                  <c:v>41040.0</c:v>
                </c:pt>
                <c:pt idx="1037">
                  <c:v>41039.0</c:v>
                </c:pt>
                <c:pt idx="1038">
                  <c:v>41038.0</c:v>
                </c:pt>
                <c:pt idx="1039">
                  <c:v>41037.0</c:v>
                </c:pt>
                <c:pt idx="1040">
                  <c:v>41036.0</c:v>
                </c:pt>
                <c:pt idx="1041">
                  <c:v>41033.0</c:v>
                </c:pt>
                <c:pt idx="1042">
                  <c:v>41032.0</c:v>
                </c:pt>
                <c:pt idx="1043">
                  <c:v>41031.0</c:v>
                </c:pt>
                <c:pt idx="1044">
                  <c:v>41030.0</c:v>
                </c:pt>
                <c:pt idx="1045">
                  <c:v>41029.0</c:v>
                </c:pt>
                <c:pt idx="1046">
                  <c:v>41026.0</c:v>
                </c:pt>
                <c:pt idx="1047">
                  <c:v>41025.0</c:v>
                </c:pt>
                <c:pt idx="1048">
                  <c:v>41024.0</c:v>
                </c:pt>
                <c:pt idx="1049">
                  <c:v>41023.0</c:v>
                </c:pt>
                <c:pt idx="1050">
                  <c:v>41022.0</c:v>
                </c:pt>
                <c:pt idx="1051">
                  <c:v>41019.0</c:v>
                </c:pt>
                <c:pt idx="1052">
                  <c:v>41018.0</c:v>
                </c:pt>
                <c:pt idx="1053">
                  <c:v>41017.0</c:v>
                </c:pt>
                <c:pt idx="1054">
                  <c:v>41016.0</c:v>
                </c:pt>
                <c:pt idx="1055">
                  <c:v>41015.0</c:v>
                </c:pt>
                <c:pt idx="1056">
                  <c:v>41012.0</c:v>
                </c:pt>
                <c:pt idx="1057">
                  <c:v>41011.0</c:v>
                </c:pt>
                <c:pt idx="1058">
                  <c:v>41010.0</c:v>
                </c:pt>
                <c:pt idx="1059">
                  <c:v>41009.0</c:v>
                </c:pt>
                <c:pt idx="1060">
                  <c:v>41008.0</c:v>
                </c:pt>
                <c:pt idx="1061">
                  <c:v>41005.0</c:v>
                </c:pt>
                <c:pt idx="1062">
                  <c:v>41004.0</c:v>
                </c:pt>
                <c:pt idx="1063">
                  <c:v>41003.0</c:v>
                </c:pt>
                <c:pt idx="1064">
                  <c:v>41002.0</c:v>
                </c:pt>
                <c:pt idx="1065">
                  <c:v>41001.0</c:v>
                </c:pt>
                <c:pt idx="1066">
                  <c:v>40998.0</c:v>
                </c:pt>
                <c:pt idx="1067">
                  <c:v>40997.0</c:v>
                </c:pt>
                <c:pt idx="1068">
                  <c:v>40996.0</c:v>
                </c:pt>
                <c:pt idx="1069">
                  <c:v>40995.0</c:v>
                </c:pt>
                <c:pt idx="1070">
                  <c:v>40994.0</c:v>
                </c:pt>
                <c:pt idx="1071">
                  <c:v>40991.0</c:v>
                </c:pt>
                <c:pt idx="1072">
                  <c:v>40990.0</c:v>
                </c:pt>
                <c:pt idx="1073">
                  <c:v>40989.0</c:v>
                </c:pt>
                <c:pt idx="1074">
                  <c:v>40988.0</c:v>
                </c:pt>
                <c:pt idx="1075">
                  <c:v>40987.0</c:v>
                </c:pt>
                <c:pt idx="1076">
                  <c:v>40984.0</c:v>
                </c:pt>
                <c:pt idx="1077">
                  <c:v>40983.0</c:v>
                </c:pt>
                <c:pt idx="1078">
                  <c:v>40982.0</c:v>
                </c:pt>
                <c:pt idx="1079">
                  <c:v>40981.0</c:v>
                </c:pt>
                <c:pt idx="1080">
                  <c:v>40980.0</c:v>
                </c:pt>
                <c:pt idx="1081">
                  <c:v>40977.0</c:v>
                </c:pt>
                <c:pt idx="1082">
                  <c:v>40976.0</c:v>
                </c:pt>
                <c:pt idx="1083">
                  <c:v>40975.0</c:v>
                </c:pt>
                <c:pt idx="1084">
                  <c:v>40974.0</c:v>
                </c:pt>
                <c:pt idx="1085">
                  <c:v>40973.0</c:v>
                </c:pt>
                <c:pt idx="1086">
                  <c:v>40970.0</c:v>
                </c:pt>
                <c:pt idx="1087">
                  <c:v>40969.0</c:v>
                </c:pt>
                <c:pt idx="1088">
                  <c:v>40968.0</c:v>
                </c:pt>
                <c:pt idx="1089">
                  <c:v>40967.0</c:v>
                </c:pt>
                <c:pt idx="1090">
                  <c:v>40966.0</c:v>
                </c:pt>
                <c:pt idx="1091">
                  <c:v>40963.0</c:v>
                </c:pt>
                <c:pt idx="1092">
                  <c:v>40962.0</c:v>
                </c:pt>
                <c:pt idx="1093">
                  <c:v>40961.0</c:v>
                </c:pt>
                <c:pt idx="1094">
                  <c:v>40960.0</c:v>
                </c:pt>
                <c:pt idx="1095">
                  <c:v>40959.0</c:v>
                </c:pt>
                <c:pt idx="1096">
                  <c:v>40956.0</c:v>
                </c:pt>
                <c:pt idx="1097">
                  <c:v>40955.0</c:v>
                </c:pt>
                <c:pt idx="1098">
                  <c:v>40954.0</c:v>
                </c:pt>
                <c:pt idx="1099">
                  <c:v>40953.0</c:v>
                </c:pt>
                <c:pt idx="1100">
                  <c:v>40952.0</c:v>
                </c:pt>
                <c:pt idx="1101">
                  <c:v>40949.0</c:v>
                </c:pt>
                <c:pt idx="1102">
                  <c:v>40948.0</c:v>
                </c:pt>
                <c:pt idx="1103">
                  <c:v>40947.0</c:v>
                </c:pt>
                <c:pt idx="1104">
                  <c:v>40946.0</c:v>
                </c:pt>
                <c:pt idx="1105">
                  <c:v>40945.0</c:v>
                </c:pt>
                <c:pt idx="1106">
                  <c:v>40942.0</c:v>
                </c:pt>
                <c:pt idx="1107">
                  <c:v>40941.0</c:v>
                </c:pt>
                <c:pt idx="1108">
                  <c:v>40940.0</c:v>
                </c:pt>
                <c:pt idx="1109">
                  <c:v>40939.0</c:v>
                </c:pt>
                <c:pt idx="1110">
                  <c:v>40938.0</c:v>
                </c:pt>
                <c:pt idx="1111">
                  <c:v>40935.0</c:v>
                </c:pt>
                <c:pt idx="1112">
                  <c:v>40934.0</c:v>
                </c:pt>
                <c:pt idx="1113">
                  <c:v>40933.0</c:v>
                </c:pt>
                <c:pt idx="1114">
                  <c:v>40932.0</c:v>
                </c:pt>
                <c:pt idx="1115">
                  <c:v>40931.0</c:v>
                </c:pt>
                <c:pt idx="1116">
                  <c:v>40928.0</c:v>
                </c:pt>
                <c:pt idx="1117">
                  <c:v>40927.0</c:v>
                </c:pt>
                <c:pt idx="1118">
                  <c:v>40926.0</c:v>
                </c:pt>
                <c:pt idx="1119">
                  <c:v>40925.0</c:v>
                </c:pt>
                <c:pt idx="1120">
                  <c:v>40924.0</c:v>
                </c:pt>
                <c:pt idx="1121">
                  <c:v>40921.0</c:v>
                </c:pt>
                <c:pt idx="1122">
                  <c:v>40920.0</c:v>
                </c:pt>
                <c:pt idx="1123">
                  <c:v>40919.0</c:v>
                </c:pt>
                <c:pt idx="1124">
                  <c:v>40918.0</c:v>
                </c:pt>
                <c:pt idx="1125">
                  <c:v>40917.0</c:v>
                </c:pt>
                <c:pt idx="1126">
                  <c:v>40914.0</c:v>
                </c:pt>
                <c:pt idx="1127">
                  <c:v>40913.0</c:v>
                </c:pt>
                <c:pt idx="1128">
                  <c:v>40912.0</c:v>
                </c:pt>
                <c:pt idx="1129">
                  <c:v>40911.0</c:v>
                </c:pt>
                <c:pt idx="1130">
                  <c:v>40910.0</c:v>
                </c:pt>
                <c:pt idx="1131">
                  <c:v>40907.0</c:v>
                </c:pt>
                <c:pt idx="1132">
                  <c:v>40906.0</c:v>
                </c:pt>
                <c:pt idx="1133">
                  <c:v>40905.0</c:v>
                </c:pt>
                <c:pt idx="1134">
                  <c:v>40904.0</c:v>
                </c:pt>
                <c:pt idx="1135">
                  <c:v>40903.0</c:v>
                </c:pt>
                <c:pt idx="1136">
                  <c:v>40900.0</c:v>
                </c:pt>
                <c:pt idx="1137">
                  <c:v>40899.0</c:v>
                </c:pt>
                <c:pt idx="1138">
                  <c:v>40898.0</c:v>
                </c:pt>
                <c:pt idx="1139">
                  <c:v>40897.0</c:v>
                </c:pt>
                <c:pt idx="1140">
                  <c:v>40896.0</c:v>
                </c:pt>
                <c:pt idx="1141">
                  <c:v>40893.0</c:v>
                </c:pt>
                <c:pt idx="1142">
                  <c:v>40892.0</c:v>
                </c:pt>
                <c:pt idx="1143">
                  <c:v>40891.0</c:v>
                </c:pt>
                <c:pt idx="1144">
                  <c:v>40890.0</c:v>
                </c:pt>
                <c:pt idx="1145">
                  <c:v>40889.0</c:v>
                </c:pt>
                <c:pt idx="1146">
                  <c:v>40886.0</c:v>
                </c:pt>
                <c:pt idx="1147">
                  <c:v>40885.0</c:v>
                </c:pt>
                <c:pt idx="1148">
                  <c:v>40884.0</c:v>
                </c:pt>
                <c:pt idx="1149">
                  <c:v>40883.0</c:v>
                </c:pt>
                <c:pt idx="1150">
                  <c:v>40882.0</c:v>
                </c:pt>
                <c:pt idx="1151">
                  <c:v>40879.0</c:v>
                </c:pt>
                <c:pt idx="1152">
                  <c:v>40878.0</c:v>
                </c:pt>
                <c:pt idx="1153">
                  <c:v>40877.0</c:v>
                </c:pt>
                <c:pt idx="1154">
                  <c:v>40876.0</c:v>
                </c:pt>
                <c:pt idx="1155">
                  <c:v>40875.0</c:v>
                </c:pt>
                <c:pt idx="1156">
                  <c:v>40872.0</c:v>
                </c:pt>
                <c:pt idx="1157">
                  <c:v>40871.0</c:v>
                </c:pt>
                <c:pt idx="1158">
                  <c:v>40870.0</c:v>
                </c:pt>
                <c:pt idx="1159">
                  <c:v>40869.0</c:v>
                </c:pt>
                <c:pt idx="1160">
                  <c:v>40868.0</c:v>
                </c:pt>
                <c:pt idx="1161">
                  <c:v>40865.0</c:v>
                </c:pt>
                <c:pt idx="1162">
                  <c:v>40864.0</c:v>
                </c:pt>
                <c:pt idx="1163">
                  <c:v>40863.0</c:v>
                </c:pt>
                <c:pt idx="1164">
                  <c:v>40862.0</c:v>
                </c:pt>
                <c:pt idx="1165">
                  <c:v>40861.0</c:v>
                </c:pt>
                <c:pt idx="1166">
                  <c:v>40858.0</c:v>
                </c:pt>
                <c:pt idx="1167">
                  <c:v>40857.0</c:v>
                </c:pt>
                <c:pt idx="1168">
                  <c:v>40856.0</c:v>
                </c:pt>
                <c:pt idx="1169">
                  <c:v>40855.0</c:v>
                </c:pt>
                <c:pt idx="1170">
                  <c:v>40854.0</c:v>
                </c:pt>
                <c:pt idx="1171">
                  <c:v>40851.0</c:v>
                </c:pt>
                <c:pt idx="1172">
                  <c:v>40850.0</c:v>
                </c:pt>
                <c:pt idx="1173">
                  <c:v>40849.0</c:v>
                </c:pt>
                <c:pt idx="1174">
                  <c:v>40848.0</c:v>
                </c:pt>
                <c:pt idx="1175">
                  <c:v>40847.0</c:v>
                </c:pt>
                <c:pt idx="1176">
                  <c:v>40844.0</c:v>
                </c:pt>
                <c:pt idx="1177">
                  <c:v>40843.0</c:v>
                </c:pt>
                <c:pt idx="1178">
                  <c:v>40842.0</c:v>
                </c:pt>
                <c:pt idx="1179">
                  <c:v>40841.0</c:v>
                </c:pt>
                <c:pt idx="1180">
                  <c:v>40840.0</c:v>
                </c:pt>
                <c:pt idx="1181">
                  <c:v>40837.0</c:v>
                </c:pt>
                <c:pt idx="1182">
                  <c:v>40836.0</c:v>
                </c:pt>
                <c:pt idx="1183">
                  <c:v>40835.0</c:v>
                </c:pt>
                <c:pt idx="1184">
                  <c:v>40834.0</c:v>
                </c:pt>
                <c:pt idx="1185">
                  <c:v>40833.0</c:v>
                </c:pt>
                <c:pt idx="1186">
                  <c:v>40830.0</c:v>
                </c:pt>
                <c:pt idx="1187">
                  <c:v>40829.0</c:v>
                </c:pt>
                <c:pt idx="1188">
                  <c:v>40828.0</c:v>
                </c:pt>
                <c:pt idx="1189">
                  <c:v>40827.0</c:v>
                </c:pt>
                <c:pt idx="1190">
                  <c:v>40826.0</c:v>
                </c:pt>
                <c:pt idx="1191">
                  <c:v>40823.0</c:v>
                </c:pt>
                <c:pt idx="1192">
                  <c:v>40822.0</c:v>
                </c:pt>
                <c:pt idx="1193">
                  <c:v>40821.0</c:v>
                </c:pt>
                <c:pt idx="1194">
                  <c:v>40820.0</c:v>
                </c:pt>
                <c:pt idx="1195">
                  <c:v>40819.0</c:v>
                </c:pt>
                <c:pt idx="1196">
                  <c:v>40816.0</c:v>
                </c:pt>
                <c:pt idx="1197">
                  <c:v>40815.0</c:v>
                </c:pt>
                <c:pt idx="1198">
                  <c:v>40814.0</c:v>
                </c:pt>
                <c:pt idx="1199">
                  <c:v>40813.0</c:v>
                </c:pt>
                <c:pt idx="1200">
                  <c:v>40812.0</c:v>
                </c:pt>
                <c:pt idx="1201">
                  <c:v>40809.0</c:v>
                </c:pt>
                <c:pt idx="1202">
                  <c:v>40808.0</c:v>
                </c:pt>
                <c:pt idx="1203">
                  <c:v>40807.0</c:v>
                </c:pt>
                <c:pt idx="1204">
                  <c:v>40806.0</c:v>
                </c:pt>
                <c:pt idx="1205">
                  <c:v>40805.0</c:v>
                </c:pt>
                <c:pt idx="1206">
                  <c:v>40802.0</c:v>
                </c:pt>
                <c:pt idx="1207">
                  <c:v>40801.0</c:v>
                </c:pt>
                <c:pt idx="1208">
                  <c:v>40800.0</c:v>
                </c:pt>
                <c:pt idx="1209">
                  <c:v>40799.0</c:v>
                </c:pt>
                <c:pt idx="1210">
                  <c:v>40798.0</c:v>
                </c:pt>
                <c:pt idx="1211">
                  <c:v>40795.0</c:v>
                </c:pt>
                <c:pt idx="1212">
                  <c:v>40794.0</c:v>
                </c:pt>
                <c:pt idx="1213">
                  <c:v>40793.0</c:v>
                </c:pt>
                <c:pt idx="1214">
                  <c:v>40792.0</c:v>
                </c:pt>
                <c:pt idx="1215">
                  <c:v>40791.0</c:v>
                </c:pt>
                <c:pt idx="1216">
                  <c:v>40788.0</c:v>
                </c:pt>
                <c:pt idx="1217">
                  <c:v>40787.0</c:v>
                </c:pt>
                <c:pt idx="1218">
                  <c:v>40786.0</c:v>
                </c:pt>
                <c:pt idx="1219">
                  <c:v>40785.0</c:v>
                </c:pt>
                <c:pt idx="1220">
                  <c:v>40784.0</c:v>
                </c:pt>
                <c:pt idx="1221">
                  <c:v>40781.0</c:v>
                </c:pt>
                <c:pt idx="1222">
                  <c:v>40780.0</c:v>
                </c:pt>
                <c:pt idx="1223">
                  <c:v>40779.0</c:v>
                </c:pt>
                <c:pt idx="1224">
                  <c:v>40778.0</c:v>
                </c:pt>
                <c:pt idx="1225">
                  <c:v>40777.0</c:v>
                </c:pt>
                <c:pt idx="1226">
                  <c:v>40774.0</c:v>
                </c:pt>
                <c:pt idx="1227">
                  <c:v>40773.0</c:v>
                </c:pt>
                <c:pt idx="1228">
                  <c:v>40772.0</c:v>
                </c:pt>
                <c:pt idx="1229">
                  <c:v>40771.0</c:v>
                </c:pt>
                <c:pt idx="1230">
                  <c:v>40770.0</c:v>
                </c:pt>
                <c:pt idx="1231">
                  <c:v>40767.0</c:v>
                </c:pt>
                <c:pt idx="1232">
                  <c:v>40766.0</c:v>
                </c:pt>
                <c:pt idx="1233">
                  <c:v>40765.0</c:v>
                </c:pt>
                <c:pt idx="1234">
                  <c:v>40764.0</c:v>
                </c:pt>
                <c:pt idx="1235">
                  <c:v>40763.0</c:v>
                </c:pt>
                <c:pt idx="1236">
                  <c:v>40760.0</c:v>
                </c:pt>
                <c:pt idx="1237">
                  <c:v>40759.0</c:v>
                </c:pt>
                <c:pt idx="1238">
                  <c:v>40758.0</c:v>
                </c:pt>
                <c:pt idx="1239">
                  <c:v>40757.0</c:v>
                </c:pt>
                <c:pt idx="1240">
                  <c:v>40756.0</c:v>
                </c:pt>
                <c:pt idx="1241">
                  <c:v>40753.0</c:v>
                </c:pt>
                <c:pt idx="1242">
                  <c:v>40752.0</c:v>
                </c:pt>
                <c:pt idx="1243">
                  <c:v>40751.0</c:v>
                </c:pt>
                <c:pt idx="1244">
                  <c:v>40750.0</c:v>
                </c:pt>
                <c:pt idx="1245">
                  <c:v>40749.0</c:v>
                </c:pt>
                <c:pt idx="1246">
                  <c:v>40746.0</c:v>
                </c:pt>
                <c:pt idx="1247">
                  <c:v>40745.0</c:v>
                </c:pt>
                <c:pt idx="1248">
                  <c:v>40744.0</c:v>
                </c:pt>
                <c:pt idx="1249">
                  <c:v>40743.0</c:v>
                </c:pt>
                <c:pt idx="1250">
                  <c:v>40742.0</c:v>
                </c:pt>
                <c:pt idx="1251">
                  <c:v>40739.0</c:v>
                </c:pt>
                <c:pt idx="1252">
                  <c:v>40738.0</c:v>
                </c:pt>
                <c:pt idx="1253">
                  <c:v>40737.0</c:v>
                </c:pt>
                <c:pt idx="1254">
                  <c:v>40736.0</c:v>
                </c:pt>
                <c:pt idx="1255">
                  <c:v>40735.0</c:v>
                </c:pt>
                <c:pt idx="1256">
                  <c:v>40732.0</c:v>
                </c:pt>
                <c:pt idx="1257">
                  <c:v>40731.0</c:v>
                </c:pt>
                <c:pt idx="1258">
                  <c:v>40730.0</c:v>
                </c:pt>
                <c:pt idx="1259">
                  <c:v>40729.0</c:v>
                </c:pt>
                <c:pt idx="1260">
                  <c:v>40728.0</c:v>
                </c:pt>
                <c:pt idx="1261">
                  <c:v>40725.0</c:v>
                </c:pt>
                <c:pt idx="1262">
                  <c:v>40724.0</c:v>
                </c:pt>
                <c:pt idx="1263">
                  <c:v>40723.0</c:v>
                </c:pt>
                <c:pt idx="1264">
                  <c:v>40722.0</c:v>
                </c:pt>
                <c:pt idx="1265">
                  <c:v>40721.0</c:v>
                </c:pt>
                <c:pt idx="1266">
                  <c:v>40718.0</c:v>
                </c:pt>
                <c:pt idx="1267">
                  <c:v>40717.0</c:v>
                </c:pt>
                <c:pt idx="1268">
                  <c:v>40716.0</c:v>
                </c:pt>
                <c:pt idx="1269">
                  <c:v>40715.0</c:v>
                </c:pt>
                <c:pt idx="1270">
                  <c:v>40714.0</c:v>
                </c:pt>
                <c:pt idx="1271">
                  <c:v>40711.0</c:v>
                </c:pt>
                <c:pt idx="1272">
                  <c:v>40710.0</c:v>
                </c:pt>
                <c:pt idx="1273">
                  <c:v>40709.0</c:v>
                </c:pt>
                <c:pt idx="1274">
                  <c:v>40708.0</c:v>
                </c:pt>
                <c:pt idx="1275">
                  <c:v>40707.0</c:v>
                </c:pt>
                <c:pt idx="1276">
                  <c:v>40704.0</c:v>
                </c:pt>
                <c:pt idx="1277">
                  <c:v>40703.0</c:v>
                </c:pt>
                <c:pt idx="1278">
                  <c:v>40702.0</c:v>
                </c:pt>
                <c:pt idx="1279">
                  <c:v>40701.0</c:v>
                </c:pt>
                <c:pt idx="1280">
                  <c:v>40700.0</c:v>
                </c:pt>
                <c:pt idx="1281">
                  <c:v>40697.0</c:v>
                </c:pt>
                <c:pt idx="1282">
                  <c:v>40696.0</c:v>
                </c:pt>
                <c:pt idx="1283">
                  <c:v>40695.0</c:v>
                </c:pt>
                <c:pt idx="1284">
                  <c:v>40694.0</c:v>
                </c:pt>
                <c:pt idx="1285">
                  <c:v>40693.0</c:v>
                </c:pt>
                <c:pt idx="1286">
                  <c:v>40690.0</c:v>
                </c:pt>
                <c:pt idx="1287">
                  <c:v>40689.0</c:v>
                </c:pt>
                <c:pt idx="1288">
                  <c:v>40688.0</c:v>
                </c:pt>
                <c:pt idx="1289">
                  <c:v>40687.0</c:v>
                </c:pt>
                <c:pt idx="1290">
                  <c:v>40686.0</c:v>
                </c:pt>
                <c:pt idx="1291">
                  <c:v>40683.0</c:v>
                </c:pt>
                <c:pt idx="1292">
                  <c:v>40682.0</c:v>
                </c:pt>
                <c:pt idx="1293">
                  <c:v>40681.0</c:v>
                </c:pt>
                <c:pt idx="1294">
                  <c:v>40680.0</c:v>
                </c:pt>
                <c:pt idx="1295">
                  <c:v>40679.0</c:v>
                </c:pt>
                <c:pt idx="1296">
                  <c:v>40676.0</c:v>
                </c:pt>
                <c:pt idx="1297">
                  <c:v>40675.0</c:v>
                </c:pt>
                <c:pt idx="1298">
                  <c:v>40674.0</c:v>
                </c:pt>
                <c:pt idx="1299">
                  <c:v>40673.0</c:v>
                </c:pt>
                <c:pt idx="1300">
                  <c:v>40672.0</c:v>
                </c:pt>
                <c:pt idx="1301">
                  <c:v>40669.0</c:v>
                </c:pt>
                <c:pt idx="1302">
                  <c:v>40668.0</c:v>
                </c:pt>
                <c:pt idx="1303">
                  <c:v>40667.0</c:v>
                </c:pt>
                <c:pt idx="1304">
                  <c:v>40666.0</c:v>
                </c:pt>
                <c:pt idx="1305">
                  <c:v>40665.0</c:v>
                </c:pt>
                <c:pt idx="1306">
                  <c:v>40662.0</c:v>
                </c:pt>
                <c:pt idx="1307">
                  <c:v>40661.0</c:v>
                </c:pt>
                <c:pt idx="1308">
                  <c:v>40660.0</c:v>
                </c:pt>
                <c:pt idx="1309">
                  <c:v>40659.0</c:v>
                </c:pt>
                <c:pt idx="1310">
                  <c:v>40658.0</c:v>
                </c:pt>
                <c:pt idx="1311">
                  <c:v>40655.0</c:v>
                </c:pt>
                <c:pt idx="1312">
                  <c:v>40654.0</c:v>
                </c:pt>
                <c:pt idx="1313">
                  <c:v>40653.0</c:v>
                </c:pt>
                <c:pt idx="1314">
                  <c:v>40652.0</c:v>
                </c:pt>
                <c:pt idx="1315">
                  <c:v>40651.0</c:v>
                </c:pt>
                <c:pt idx="1316">
                  <c:v>40648.0</c:v>
                </c:pt>
                <c:pt idx="1317">
                  <c:v>40647.0</c:v>
                </c:pt>
                <c:pt idx="1318">
                  <c:v>40646.0</c:v>
                </c:pt>
                <c:pt idx="1319">
                  <c:v>40645.0</c:v>
                </c:pt>
                <c:pt idx="1320">
                  <c:v>40644.0</c:v>
                </c:pt>
                <c:pt idx="1321">
                  <c:v>40641.0</c:v>
                </c:pt>
                <c:pt idx="1322">
                  <c:v>40640.0</c:v>
                </c:pt>
                <c:pt idx="1323">
                  <c:v>40639.0</c:v>
                </c:pt>
                <c:pt idx="1324">
                  <c:v>40638.0</c:v>
                </c:pt>
                <c:pt idx="1325">
                  <c:v>40637.0</c:v>
                </c:pt>
                <c:pt idx="1326">
                  <c:v>40634.0</c:v>
                </c:pt>
                <c:pt idx="1327">
                  <c:v>40633.0</c:v>
                </c:pt>
                <c:pt idx="1328">
                  <c:v>40632.0</c:v>
                </c:pt>
                <c:pt idx="1329">
                  <c:v>40631.0</c:v>
                </c:pt>
                <c:pt idx="1330">
                  <c:v>40630.0</c:v>
                </c:pt>
                <c:pt idx="1331">
                  <c:v>40627.0</c:v>
                </c:pt>
                <c:pt idx="1332">
                  <c:v>40626.0</c:v>
                </c:pt>
                <c:pt idx="1333">
                  <c:v>40625.0</c:v>
                </c:pt>
                <c:pt idx="1334">
                  <c:v>40624.0</c:v>
                </c:pt>
                <c:pt idx="1335">
                  <c:v>40623.0</c:v>
                </c:pt>
                <c:pt idx="1336">
                  <c:v>40620.0</c:v>
                </c:pt>
                <c:pt idx="1337">
                  <c:v>40619.0</c:v>
                </c:pt>
                <c:pt idx="1338">
                  <c:v>40618.0</c:v>
                </c:pt>
                <c:pt idx="1339">
                  <c:v>40617.0</c:v>
                </c:pt>
                <c:pt idx="1340">
                  <c:v>40616.0</c:v>
                </c:pt>
                <c:pt idx="1341">
                  <c:v>40613.0</c:v>
                </c:pt>
                <c:pt idx="1342">
                  <c:v>40612.0</c:v>
                </c:pt>
                <c:pt idx="1343">
                  <c:v>40611.0</c:v>
                </c:pt>
                <c:pt idx="1344">
                  <c:v>40610.0</c:v>
                </c:pt>
                <c:pt idx="1345">
                  <c:v>40609.0</c:v>
                </c:pt>
                <c:pt idx="1346">
                  <c:v>40606.0</c:v>
                </c:pt>
                <c:pt idx="1347">
                  <c:v>40605.0</c:v>
                </c:pt>
                <c:pt idx="1348">
                  <c:v>40604.0</c:v>
                </c:pt>
                <c:pt idx="1349">
                  <c:v>40603.0</c:v>
                </c:pt>
                <c:pt idx="1350">
                  <c:v>40602.0</c:v>
                </c:pt>
                <c:pt idx="1351">
                  <c:v>40599.0</c:v>
                </c:pt>
                <c:pt idx="1352">
                  <c:v>40598.0</c:v>
                </c:pt>
                <c:pt idx="1353">
                  <c:v>40597.0</c:v>
                </c:pt>
                <c:pt idx="1354">
                  <c:v>40596.0</c:v>
                </c:pt>
                <c:pt idx="1355">
                  <c:v>40595.0</c:v>
                </c:pt>
                <c:pt idx="1356">
                  <c:v>40592.0</c:v>
                </c:pt>
                <c:pt idx="1357">
                  <c:v>40591.0</c:v>
                </c:pt>
                <c:pt idx="1358">
                  <c:v>40590.0</c:v>
                </c:pt>
                <c:pt idx="1359">
                  <c:v>40589.0</c:v>
                </c:pt>
                <c:pt idx="1360">
                  <c:v>40588.0</c:v>
                </c:pt>
                <c:pt idx="1361">
                  <c:v>40585.0</c:v>
                </c:pt>
                <c:pt idx="1362">
                  <c:v>40584.0</c:v>
                </c:pt>
                <c:pt idx="1363">
                  <c:v>40583.0</c:v>
                </c:pt>
                <c:pt idx="1364">
                  <c:v>40582.0</c:v>
                </c:pt>
                <c:pt idx="1365">
                  <c:v>40581.0</c:v>
                </c:pt>
                <c:pt idx="1366">
                  <c:v>40578.0</c:v>
                </c:pt>
                <c:pt idx="1367">
                  <c:v>40577.0</c:v>
                </c:pt>
                <c:pt idx="1368">
                  <c:v>40576.0</c:v>
                </c:pt>
                <c:pt idx="1369">
                  <c:v>40575.0</c:v>
                </c:pt>
                <c:pt idx="1370">
                  <c:v>40574.0</c:v>
                </c:pt>
                <c:pt idx="1371">
                  <c:v>40571.0</c:v>
                </c:pt>
                <c:pt idx="1372">
                  <c:v>40570.0</c:v>
                </c:pt>
                <c:pt idx="1373">
                  <c:v>40569.0</c:v>
                </c:pt>
                <c:pt idx="1374">
                  <c:v>40568.0</c:v>
                </c:pt>
                <c:pt idx="1375">
                  <c:v>40567.0</c:v>
                </c:pt>
                <c:pt idx="1376">
                  <c:v>40564.0</c:v>
                </c:pt>
                <c:pt idx="1377">
                  <c:v>40563.0</c:v>
                </c:pt>
                <c:pt idx="1378">
                  <c:v>40562.0</c:v>
                </c:pt>
                <c:pt idx="1379">
                  <c:v>40561.0</c:v>
                </c:pt>
                <c:pt idx="1380">
                  <c:v>40560.0</c:v>
                </c:pt>
                <c:pt idx="1381">
                  <c:v>40557.0</c:v>
                </c:pt>
                <c:pt idx="1382">
                  <c:v>40556.0</c:v>
                </c:pt>
                <c:pt idx="1383">
                  <c:v>40555.0</c:v>
                </c:pt>
                <c:pt idx="1384">
                  <c:v>40554.0</c:v>
                </c:pt>
                <c:pt idx="1385">
                  <c:v>40553.0</c:v>
                </c:pt>
                <c:pt idx="1386">
                  <c:v>40550.0</c:v>
                </c:pt>
                <c:pt idx="1387">
                  <c:v>40549.0</c:v>
                </c:pt>
                <c:pt idx="1388">
                  <c:v>40548.0</c:v>
                </c:pt>
                <c:pt idx="1389">
                  <c:v>40547.0</c:v>
                </c:pt>
                <c:pt idx="1390">
                  <c:v>40546.0</c:v>
                </c:pt>
                <c:pt idx="1391">
                  <c:v>40543.0</c:v>
                </c:pt>
                <c:pt idx="1392">
                  <c:v>40542.0</c:v>
                </c:pt>
                <c:pt idx="1393">
                  <c:v>40541.0</c:v>
                </c:pt>
                <c:pt idx="1394">
                  <c:v>40540.0</c:v>
                </c:pt>
                <c:pt idx="1395">
                  <c:v>40539.0</c:v>
                </c:pt>
                <c:pt idx="1396">
                  <c:v>40536.0</c:v>
                </c:pt>
                <c:pt idx="1397">
                  <c:v>40535.0</c:v>
                </c:pt>
                <c:pt idx="1398">
                  <c:v>40534.0</c:v>
                </c:pt>
                <c:pt idx="1399">
                  <c:v>40533.0</c:v>
                </c:pt>
                <c:pt idx="1400">
                  <c:v>40532.0</c:v>
                </c:pt>
                <c:pt idx="1401">
                  <c:v>40529.0</c:v>
                </c:pt>
                <c:pt idx="1402">
                  <c:v>40528.0</c:v>
                </c:pt>
                <c:pt idx="1403">
                  <c:v>40527.0</c:v>
                </c:pt>
                <c:pt idx="1404">
                  <c:v>40526.0</c:v>
                </c:pt>
                <c:pt idx="1405">
                  <c:v>40525.0</c:v>
                </c:pt>
                <c:pt idx="1406">
                  <c:v>40522.0</c:v>
                </c:pt>
                <c:pt idx="1407">
                  <c:v>40521.0</c:v>
                </c:pt>
                <c:pt idx="1408">
                  <c:v>40520.0</c:v>
                </c:pt>
                <c:pt idx="1409">
                  <c:v>40519.0</c:v>
                </c:pt>
                <c:pt idx="1410">
                  <c:v>40518.0</c:v>
                </c:pt>
                <c:pt idx="1411">
                  <c:v>40515.0</c:v>
                </c:pt>
                <c:pt idx="1412">
                  <c:v>40514.0</c:v>
                </c:pt>
                <c:pt idx="1413">
                  <c:v>40513.0</c:v>
                </c:pt>
                <c:pt idx="1414">
                  <c:v>40512.0</c:v>
                </c:pt>
                <c:pt idx="1415">
                  <c:v>40511.0</c:v>
                </c:pt>
                <c:pt idx="1416">
                  <c:v>40508.0</c:v>
                </c:pt>
                <c:pt idx="1417">
                  <c:v>40507.0</c:v>
                </c:pt>
                <c:pt idx="1418">
                  <c:v>40506.0</c:v>
                </c:pt>
                <c:pt idx="1419">
                  <c:v>40505.0</c:v>
                </c:pt>
                <c:pt idx="1420">
                  <c:v>40504.0</c:v>
                </c:pt>
                <c:pt idx="1421">
                  <c:v>40501.0</c:v>
                </c:pt>
                <c:pt idx="1422">
                  <c:v>40500.0</c:v>
                </c:pt>
                <c:pt idx="1423">
                  <c:v>40499.0</c:v>
                </c:pt>
                <c:pt idx="1424">
                  <c:v>40498.0</c:v>
                </c:pt>
                <c:pt idx="1425">
                  <c:v>40497.0</c:v>
                </c:pt>
                <c:pt idx="1426">
                  <c:v>40494.0</c:v>
                </c:pt>
                <c:pt idx="1427">
                  <c:v>40493.0</c:v>
                </c:pt>
                <c:pt idx="1428">
                  <c:v>40492.0</c:v>
                </c:pt>
                <c:pt idx="1429">
                  <c:v>40491.0</c:v>
                </c:pt>
                <c:pt idx="1430">
                  <c:v>40490.0</c:v>
                </c:pt>
                <c:pt idx="1431">
                  <c:v>40487.0</c:v>
                </c:pt>
                <c:pt idx="1432">
                  <c:v>40486.0</c:v>
                </c:pt>
                <c:pt idx="1433">
                  <c:v>40485.0</c:v>
                </c:pt>
                <c:pt idx="1434">
                  <c:v>40484.0</c:v>
                </c:pt>
                <c:pt idx="1435">
                  <c:v>40483.0</c:v>
                </c:pt>
                <c:pt idx="1436">
                  <c:v>40480.0</c:v>
                </c:pt>
                <c:pt idx="1437">
                  <c:v>40479.0</c:v>
                </c:pt>
                <c:pt idx="1438">
                  <c:v>40478.0</c:v>
                </c:pt>
                <c:pt idx="1439">
                  <c:v>40477.0</c:v>
                </c:pt>
                <c:pt idx="1440">
                  <c:v>40476.0</c:v>
                </c:pt>
                <c:pt idx="1441">
                  <c:v>40473.0</c:v>
                </c:pt>
                <c:pt idx="1442">
                  <c:v>40472.0</c:v>
                </c:pt>
                <c:pt idx="1443">
                  <c:v>40471.0</c:v>
                </c:pt>
                <c:pt idx="1444">
                  <c:v>40470.0</c:v>
                </c:pt>
                <c:pt idx="1445">
                  <c:v>40469.0</c:v>
                </c:pt>
                <c:pt idx="1446">
                  <c:v>40466.0</c:v>
                </c:pt>
                <c:pt idx="1447">
                  <c:v>40465.0</c:v>
                </c:pt>
                <c:pt idx="1448">
                  <c:v>40464.0</c:v>
                </c:pt>
                <c:pt idx="1449">
                  <c:v>40463.0</c:v>
                </c:pt>
                <c:pt idx="1450">
                  <c:v>40462.0</c:v>
                </c:pt>
                <c:pt idx="1451">
                  <c:v>40459.0</c:v>
                </c:pt>
                <c:pt idx="1452">
                  <c:v>40458.0</c:v>
                </c:pt>
                <c:pt idx="1453">
                  <c:v>40457.0</c:v>
                </c:pt>
                <c:pt idx="1454">
                  <c:v>40456.0</c:v>
                </c:pt>
                <c:pt idx="1455">
                  <c:v>40455.0</c:v>
                </c:pt>
                <c:pt idx="1456">
                  <c:v>40452.0</c:v>
                </c:pt>
                <c:pt idx="1457">
                  <c:v>40451.0</c:v>
                </c:pt>
                <c:pt idx="1458">
                  <c:v>40450.0</c:v>
                </c:pt>
                <c:pt idx="1459">
                  <c:v>40449.0</c:v>
                </c:pt>
                <c:pt idx="1460">
                  <c:v>40448.0</c:v>
                </c:pt>
                <c:pt idx="1461">
                  <c:v>40445.0</c:v>
                </c:pt>
                <c:pt idx="1462">
                  <c:v>40444.0</c:v>
                </c:pt>
                <c:pt idx="1463">
                  <c:v>40443.0</c:v>
                </c:pt>
                <c:pt idx="1464">
                  <c:v>40442.0</c:v>
                </c:pt>
                <c:pt idx="1465">
                  <c:v>40441.0</c:v>
                </c:pt>
                <c:pt idx="1466">
                  <c:v>40438.0</c:v>
                </c:pt>
                <c:pt idx="1467">
                  <c:v>40437.0</c:v>
                </c:pt>
                <c:pt idx="1468">
                  <c:v>40436.0</c:v>
                </c:pt>
                <c:pt idx="1469">
                  <c:v>40435.0</c:v>
                </c:pt>
                <c:pt idx="1470">
                  <c:v>40434.0</c:v>
                </c:pt>
                <c:pt idx="1471">
                  <c:v>40431.0</c:v>
                </c:pt>
                <c:pt idx="1472">
                  <c:v>40430.0</c:v>
                </c:pt>
                <c:pt idx="1473">
                  <c:v>40429.0</c:v>
                </c:pt>
                <c:pt idx="1474">
                  <c:v>40428.0</c:v>
                </c:pt>
                <c:pt idx="1475">
                  <c:v>40427.0</c:v>
                </c:pt>
                <c:pt idx="1476">
                  <c:v>40424.0</c:v>
                </c:pt>
                <c:pt idx="1477">
                  <c:v>40423.0</c:v>
                </c:pt>
                <c:pt idx="1478">
                  <c:v>40422.0</c:v>
                </c:pt>
                <c:pt idx="1479">
                  <c:v>40421.0</c:v>
                </c:pt>
                <c:pt idx="1480">
                  <c:v>40420.0</c:v>
                </c:pt>
                <c:pt idx="1481">
                  <c:v>40417.0</c:v>
                </c:pt>
                <c:pt idx="1482">
                  <c:v>40416.0</c:v>
                </c:pt>
                <c:pt idx="1483">
                  <c:v>40415.0</c:v>
                </c:pt>
                <c:pt idx="1484">
                  <c:v>40414.0</c:v>
                </c:pt>
                <c:pt idx="1485">
                  <c:v>40413.0</c:v>
                </c:pt>
                <c:pt idx="1486">
                  <c:v>40410.0</c:v>
                </c:pt>
                <c:pt idx="1487">
                  <c:v>40409.0</c:v>
                </c:pt>
                <c:pt idx="1488">
                  <c:v>40408.0</c:v>
                </c:pt>
                <c:pt idx="1489">
                  <c:v>40407.0</c:v>
                </c:pt>
                <c:pt idx="1490">
                  <c:v>40406.0</c:v>
                </c:pt>
                <c:pt idx="1491">
                  <c:v>40403.0</c:v>
                </c:pt>
                <c:pt idx="1492">
                  <c:v>40402.0</c:v>
                </c:pt>
                <c:pt idx="1493">
                  <c:v>40401.0</c:v>
                </c:pt>
                <c:pt idx="1494">
                  <c:v>40400.0</c:v>
                </c:pt>
                <c:pt idx="1495">
                  <c:v>40399.0</c:v>
                </c:pt>
                <c:pt idx="1496">
                  <c:v>40396.0</c:v>
                </c:pt>
                <c:pt idx="1497">
                  <c:v>40395.0</c:v>
                </c:pt>
                <c:pt idx="1498">
                  <c:v>40394.0</c:v>
                </c:pt>
                <c:pt idx="1499">
                  <c:v>40393.0</c:v>
                </c:pt>
                <c:pt idx="1500">
                  <c:v>40392.0</c:v>
                </c:pt>
                <c:pt idx="1501">
                  <c:v>40389.0</c:v>
                </c:pt>
                <c:pt idx="1502">
                  <c:v>40388.0</c:v>
                </c:pt>
                <c:pt idx="1503">
                  <c:v>40387.0</c:v>
                </c:pt>
                <c:pt idx="1504">
                  <c:v>40386.0</c:v>
                </c:pt>
                <c:pt idx="1505">
                  <c:v>40385.0</c:v>
                </c:pt>
                <c:pt idx="1506">
                  <c:v>40382.0</c:v>
                </c:pt>
                <c:pt idx="1507">
                  <c:v>40381.0</c:v>
                </c:pt>
                <c:pt idx="1508">
                  <c:v>40380.0</c:v>
                </c:pt>
                <c:pt idx="1509">
                  <c:v>40379.0</c:v>
                </c:pt>
                <c:pt idx="1510">
                  <c:v>40378.0</c:v>
                </c:pt>
                <c:pt idx="1511">
                  <c:v>40375.0</c:v>
                </c:pt>
                <c:pt idx="1512">
                  <c:v>40374.0</c:v>
                </c:pt>
                <c:pt idx="1513">
                  <c:v>40373.0</c:v>
                </c:pt>
                <c:pt idx="1514">
                  <c:v>40372.0</c:v>
                </c:pt>
                <c:pt idx="1515">
                  <c:v>40371.0</c:v>
                </c:pt>
                <c:pt idx="1516">
                  <c:v>40368.0</c:v>
                </c:pt>
                <c:pt idx="1517">
                  <c:v>40367.0</c:v>
                </c:pt>
                <c:pt idx="1518">
                  <c:v>40366.0</c:v>
                </c:pt>
                <c:pt idx="1519">
                  <c:v>40365.0</c:v>
                </c:pt>
                <c:pt idx="1520">
                  <c:v>40364.0</c:v>
                </c:pt>
                <c:pt idx="1521">
                  <c:v>40361.0</c:v>
                </c:pt>
                <c:pt idx="1522">
                  <c:v>40360.0</c:v>
                </c:pt>
                <c:pt idx="1523">
                  <c:v>40359.0</c:v>
                </c:pt>
                <c:pt idx="1524">
                  <c:v>40358.0</c:v>
                </c:pt>
                <c:pt idx="1525">
                  <c:v>40357.0</c:v>
                </c:pt>
                <c:pt idx="1526">
                  <c:v>40354.0</c:v>
                </c:pt>
                <c:pt idx="1527">
                  <c:v>40353.0</c:v>
                </c:pt>
                <c:pt idx="1528">
                  <c:v>40352.0</c:v>
                </c:pt>
                <c:pt idx="1529">
                  <c:v>40351.0</c:v>
                </c:pt>
                <c:pt idx="1530">
                  <c:v>40350.0</c:v>
                </c:pt>
                <c:pt idx="1531">
                  <c:v>40347.0</c:v>
                </c:pt>
                <c:pt idx="1532">
                  <c:v>40346.0</c:v>
                </c:pt>
                <c:pt idx="1533">
                  <c:v>40345.0</c:v>
                </c:pt>
                <c:pt idx="1534">
                  <c:v>40344.0</c:v>
                </c:pt>
                <c:pt idx="1535">
                  <c:v>40343.0</c:v>
                </c:pt>
                <c:pt idx="1536">
                  <c:v>40340.0</c:v>
                </c:pt>
                <c:pt idx="1537">
                  <c:v>40339.0</c:v>
                </c:pt>
                <c:pt idx="1538">
                  <c:v>40338.0</c:v>
                </c:pt>
                <c:pt idx="1539">
                  <c:v>40337.0</c:v>
                </c:pt>
                <c:pt idx="1540">
                  <c:v>40336.0</c:v>
                </c:pt>
                <c:pt idx="1541">
                  <c:v>40333.0</c:v>
                </c:pt>
                <c:pt idx="1542">
                  <c:v>40332.0</c:v>
                </c:pt>
                <c:pt idx="1543">
                  <c:v>40331.0</c:v>
                </c:pt>
                <c:pt idx="1544">
                  <c:v>40330.0</c:v>
                </c:pt>
                <c:pt idx="1545">
                  <c:v>40329.0</c:v>
                </c:pt>
                <c:pt idx="1546">
                  <c:v>40326.0</c:v>
                </c:pt>
                <c:pt idx="1547">
                  <c:v>40325.0</c:v>
                </c:pt>
                <c:pt idx="1548">
                  <c:v>40324.0</c:v>
                </c:pt>
                <c:pt idx="1549">
                  <c:v>40323.0</c:v>
                </c:pt>
                <c:pt idx="1550">
                  <c:v>40322.0</c:v>
                </c:pt>
                <c:pt idx="1551">
                  <c:v>40319.0</c:v>
                </c:pt>
                <c:pt idx="1552">
                  <c:v>40318.0</c:v>
                </c:pt>
                <c:pt idx="1553">
                  <c:v>40317.0</c:v>
                </c:pt>
                <c:pt idx="1554">
                  <c:v>40316.0</c:v>
                </c:pt>
                <c:pt idx="1555">
                  <c:v>40315.0</c:v>
                </c:pt>
                <c:pt idx="1556">
                  <c:v>40312.0</c:v>
                </c:pt>
                <c:pt idx="1557">
                  <c:v>40311.0</c:v>
                </c:pt>
                <c:pt idx="1558">
                  <c:v>40310.0</c:v>
                </c:pt>
                <c:pt idx="1559">
                  <c:v>40309.0</c:v>
                </c:pt>
                <c:pt idx="1560">
                  <c:v>40308.0</c:v>
                </c:pt>
                <c:pt idx="1561">
                  <c:v>40305.0</c:v>
                </c:pt>
                <c:pt idx="1562">
                  <c:v>40304.0</c:v>
                </c:pt>
                <c:pt idx="1563">
                  <c:v>40303.0</c:v>
                </c:pt>
                <c:pt idx="1564">
                  <c:v>40302.0</c:v>
                </c:pt>
                <c:pt idx="1565">
                  <c:v>40301.0</c:v>
                </c:pt>
                <c:pt idx="1566">
                  <c:v>40298.0</c:v>
                </c:pt>
                <c:pt idx="1567">
                  <c:v>40297.0</c:v>
                </c:pt>
                <c:pt idx="1568">
                  <c:v>40296.0</c:v>
                </c:pt>
                <c:pt idx="1569">
                  <c:v>40295.0</c:v>
                </c:pt>
                <c:pt idx="1570">
                  <c:v>40294.0</c:v>
                </c:pt>
                <c:pt idx="1571">
                  <c:v>40291.0</c:v>
                </c:pt>
                <c:pt idx="1572">
                  <c:v>40290.0</c:v>
                </c:pt>
                <c:pt idx="1573">
                  <c:v>40289.0</c:v>
                </c:pt>
                <c:pt idx="1574">
                  <c:v>40288.0</c:v>
                </c:pt>
                <c:pt idx="1575">
                  <c:v>40287.0</c:v>
                </c:pt>
                <c:pt idx="1576">
                  <c:v>40284.0</c:v>
                </c:pt>
                <c:pt idx="1577">
                  <c:v>40283.0</c:v>
                </c:pt>
                <c:pt idx="1578">
                  <c:v>40282.0</c:v>
                </c:pt>
                <c:pt idx="1579">
                  <c:v>40281.0</c:v>
                </c:pt>
                <c:pt idx="1580">
                  <c:v>40280.0</c:v>
                </c:pt>
                <c:pt idx="1581">
                  <c:v>40277.0</c:v>
                </c:pt>
                <c:pt idx="1582">
                  <c:v>40276.0</c:v>
                </c:pt>
                <c:pt idx="1583">
                  <c:v>40275.0</c:v>
                </c:pt>
                <c:pt idx="1584">
                  <c:v>40274.0</c:v>
                </c:pt>
                <c:pt idx="1585">
                  <c:v>40273.0</c:v>
                </c:pt>
                <c:pt idx="1586">
                  <c:v>40270.0</c:v>
                </c:pt>
                <c:pt idx="1587">
                  <c:v>40269.0</c:v>
                </c:pt>
                <c:pt idx="1588">
                  <c:v>40268.0</c:v>
                </c:pt>
                <c:pt idx="1589">
                  <c:v>40267.0</c:v>
                </c:pt>
                <c:pt idx="1590">
                  <c:v>40266.0</c:v>
                </c:pt>
                <c:pt idx="1591">
                  <c:v>40263.0</c:v>
                </c:pt>
                <c:pt idx="1592">
                  <c:v>40262.0</c:v>
                </c:pt>
                <c:pt idx="1593">
                  <c:v>40261.0</c:v>
                </c:pt>
                <c:pt idx="1594">
                  <c:v>40260.0</c:v>
                </c:pt>
                <c:pt idx="1595">
                  <c:v>40259.0</c:v>
                </c:pt>
                <c:pt idx="1596">
                  <c:v>40256.0</c:v>
                </c:pt>
                <c:pt idx="1597">
                  <c:v>40255.0</c:v>
                </c:pt>
                <c:pt idx="1598">
                  <c:v>40254.0</c:v>
                </c:pt>
                <c:pt idx="1599">
                  <c:v>40253.0</c:v>
                </c:pt>
                <c:pt idx="1600">
                  <c:v>40252.0</c:v>
                </c:pt>
                <c:pt idx="1601">
                  <c:v>40249.0</c:v>
                </c:pt>
                <c:pt idx="1602">
                  <c:v>40248.0</c:v>
                </c:pt>
                <c:pt idx="1603">
                  <c:v>40247.0</c:v>
                </c:pt>
                <c:pt idx="1604">
                  <c:v>40246.0</c:v>
                </c:pt>
                <c:pt idx="1605">
                  <c:v>40245.0</c:v>
                </c:pt>
                <c:pt idx="1606">
                  <c:v>40242.0</c:v>
                </c:pt>
                <c:pt idx="1607">
                  <c:v>40241.0</c:v>
                </c:pt>
                <c:pt idx="1608">
                  <c:v>40240.0</c:v>
                </c:pt>
                <c:pt idx="1609">
                  <c:v>40239.0</c:v>
                </c:pt>
                <c:pt idx="1610">
                  <c:v>40238.0</c:v>
                </c:pt>
                <c:pt idx="1611">
                  <c:v>40235.0</c:v>
                </c:pt>
                <c:pt idx="1612">
                  <c:v>40234.0</c:v>
                </c:pt>
                <c:pt idx="1613">
                  <c:v>40233.0</c:v>
                </c:pt>
                <c:pt idx="1614">
                  <c:v>40232.0</c:v>
                </c:pt>
                <c:pt idx="1615">
                  <c:v>40231.0</c:v>
                </c:pt>
                <c:pt idx="1616">
                  <c:v>40228.0</c:v>
                </c:pt>
                <c:pt idx="1617">
                  <c:v>40227.0</c:v>
                </c:pt>
                <c:pt idx="1618">
                  <c:v>40226.0</c:v>
                </c:pt>
                <c:pt idx="1619">
                  <c:v>40225.0</c:v>
                </c:pt>
                <c:pt idx="1620">
                  <c:v>40224.0</c:v>
                </c:pt>
                <c:pt idx="1621">
                  <c:v>40221.0</c:v>
                </c:pt>
                <c:pt idx="1622">
                  <c:v>40220.0</c:v>
                </c:pt>
                <c:pt idx="1623">
                  <c:v>40219.0</c:v>
                </c:pt>
                <c:pt idx="1624">
                  <c:v>40218.0</c:v>
                </c:pt>
                <c:pt idx="1625">
                  <c:v>40217.0</c:v>
                </c:pt>
                <c:pt idx="1626">
                  <c:v>40214.0</c:v>
                </c:pt>
                <c:pt idx="1627">
                  <c:v>40213.0</c:v>
                </c:pt>
                <c:pt idx="1628">
                  <c:v>40212.0</c:v>
                </c:pt>
                <c:pt idx="1629">
                  <c:v>40211.0</c:v>
                </c:pt>
                <c:pt idx="1630">
                  <c:v>40210.0</c:v>
                </c:pt>
                <c:pt idx="1631">
                  <c:v>40207.0</c:v>
                </c:pt>
                <c:pt idx="1632">
                  <c:v>40206.0</c:v>
                </c:pt>
                <c:pt idx="1633">
                  <c:v>40205.0</c:v>
                </c:pt>
                <c:pt idx="1634">
                  <c:v>40204.0</c:v>
                </c:pt>
                <c:pt idx="1635">
                  <c:v>40203.0</c:v>
                </c:pt>
                <c:pt idx="1636">
                  <c:v>40200.0</c:v>
                </c:pt>
                <c:pt idx="1637">
                  <c:v>40199.0</c:v>
                </c:pt>
                <c:pt idx="1638">
                  <c:v>40198.0</c:v>
                </c:pt>
                <c:pt idx="1639">
                  <c:v>40197.0</c:v>
                </c:pt>
                <c:pt idx="1640">
                  <c:v>40196.0</c:v>
                </c:pt>
                <c:pt idx="1641">
                  <c:v>40193.0</c:v>
                </c:pt>
                <c:pt idx="1642">
                  <c:v>40192.0</c:v>
                </c:pt>
                <c:pt idx="1643">
                  <c:v>40191.0</c:v>
                </c:pt>
                <c:pt idx="1644">
                  <c:v>40190.0</c:v>
                </c:pt>
                <c:pt idx="1645">
                  <c:v>40189.0</c:v>
                </c:pt>
                <c:pt idx="1646">
                  <c:v>40186.0</c:v>
                </c:pt>
                <c:pt idx="1647">
                  <c:v>40185.0</c:v>
                </c:pt>
                <c:pt idx="1648">
                  <c:v>40184.0</c:v>
                </c:pt>
                <c:pt idx="1649">
                  <c:v>40183.0</c:v>
                </c:pt>
                <c:pt idx="1650">
                  <c:v>40182.0</c:v>
                </c:pt>
                <c:pt idx="1651">
                  <c:v>40179.0</c:v>
                </c:pt>
                <c:pt idx="1652">
                  <c:v>40178.0</c:v>
                </c:pt>
                <c:pt idx="1653">
                  <c:v>40177.0</c:v>
                </c:pt>
                <c:pt idx="1654">
                  <c:v>40176.0</c:v>
                </c:pt>
                <c:pt idx="1655">
                  <c:v>40175.0</c:v>
                </c:pt>
                <c:pt idx="1656">
                  <c:v>40172.0</c:v>
                </c:pt>
                <c:pt idx="1657">
                  <c:v>40171.0</c:v>
                </c:pt>
                <c:pt idx="1658">
                  <c:v>40170.0</c:v>
                </c:pt>
                <c:pt idx="1659">
                  <c:v>40169.0</c:v>
                </c:pt>
                <c:pt idx="1660">
                  <c:v>40168.0</c:v>
                </c:pt>
                <c:pt idx="1661">
                  <c:v>40165.0</c:v>
                </c:pt>
                <c:pt idx="1662">
                  <c:v>40164.0</c:v>
                </c:pt>
                <c:pt idx="1663">
                  <c:v>40163.0</c:v>
                </c:pt>
                <c:pt idx="1664">
                  <c:v>40162.0</c:v>
                </c:pt>
                <c:pt idx="1665">
                  <c:v>40161.0</c:v>
                </c:pt>
                <c:pt idx="1666">
                  <c:v>40158.0</c:v>
                </c:pt>
                <c:pt idx="1667">
                  <c:v>40157.0</c:v>
                </c:pt>
                <c:pt idx="1668">
                  <c:v>40156.0</c:v>
                </c:pt>
                <c:pt idx="1669">
                  <c:v>40155.0</c:v>
                </c:pt>
                <c:pt idx="1670">
                  <c:v>40154.0</c:v>
                </c:pt>
                <c:pt idx="1671">
                  <c:v>40151.0</c:v>
                </c:pt>
                <c:pt idx="1672">
                  <c:v>40150.0</c:v>
                </c:pt>
                <c:pt idx="1673">
                  <c:v>40149.0</c:v>
                </c:pt>
                <c:pt idx="1674">
                  <c:v>40148.0</c:v>
                </c:pt>
                <c:pt idx="1675">
                  <c:v>40147.0</c:v>
                </c:pt>
                <c:pt idx="1676">
                  <c:v>40144.0</c:v>
                </c:pt>
                <c:pt idx="1677">
                  <c:v>40143.0</c:v>
                </c:pt>
                <c:pt idx="1678">
                  <c:v>40142.0</c:v>
                </c:pt>
                <c:pt idx="1679">
                  <c:v>40141.0</c:v>
                </c:pt>
                <c:pt idx="1680">
                  <c:v>40140.0</c:v>
                </c:pt>
                <c:pt idx="1681">
                  <c:v>40137.0</c:v>
                </c:pt>
                <c:pt idx="1682">
                  <c:v>40136.0</c:v>
                </c:pt>
                <c:pt idx="1683">
                  <c:v>40135.0</c:v>
                </c:pt>
                <c:pt idx="1684">
                  <c:v>40134.0</c:v>
                </c:pt>
                <c:pt idx="1685">
                  <c:v>40133.0</c:v>
                </c:pt>
                <c:pt idx="1686">
                  <c:v>40130.0</c:v>
                </c:pt>
                <c:pt idx="1687">
                  <c:v>40129.0</c:v>
                </c:pt>
                <c:pt idx="1688">
                  <c:v>40128.0</c:v>
                </c:pt>
                <c:pt idx="1689">
                  <c:v>40127.0</c:v>
                </c:pt>
                <c:pt idx="1690">
                  <c:v>40126.0</c:v>
                </c:pt>
                <c:pt idx="1691">
                  <c:v>40123.0</c:v>
                </c:pt>
                <c:pt idx="1692">
                  <c:v>40122.0</c:v>
                </c:pt>
                <c:pt idx="1693">
                  <c:v>40121.0</c:v>
                </c:pt>
                <c:pt idx="1694">
                  <c:v>40120.0</c:v>
                </c:pt>
                <c:pt idx="1695">
                  <c:v>40119.0</c:v>
                </c:pt>
                <c:pt idx="1696">
                  <c:v>40116.0</c:v>
                </c:pt>
                <c:pt idx="1697">
                  <c:v>40115.0</c:v>
                </c:pt>
                <c:pt idx="1698">
                  <c:v>40114.0</c:v>
                </c:pt>
                <c:pt idx="1699">
                  <c:v>40113.0</c:v>
                </c:pt>
                <c:pt idx="1700">
                  <c:v>40112.0</c:v>
                </c:pt>
                <c:pt idx="1701">
                  <c:v>40109.0</c:v>
                </c:pt>
                <c:pt idx="1702">
                  <c:v>40108.0</c:v>
                </c:pt>
                <c:pt idx="1703">
                  <c:v>40107.0</c:v>
                </c:pt>
                <c:pt idx="1704">
                  <c:v>40106.0</c:v>
                </c:pt>
                <c:pt idx="1705">
                  <c:v>40105.0</c:v>
                </c:pt>
                <c:pt idx="1706">
                  <c:v>40102.0</c:v>
                </c:pt>
                <c:pt idx="1707">
                  <c:v>40101.0</c:v>
                </c:pt>
                <c:pt idx="1708">
                  <c:v>40100.0</c:v>
                </c:pt>
                <c:pt idx="1709">
                  <c:v>40099.0</c:v>
                </c:pt>
                <c:pt idx="1710">
                  <c:v>40098.0</c:v>
                </c:pt>
                <c:pt idx="1711">
                  <c:v>40095.0</c:v>
                </c:pt>
                <c:pt idx="1712">
                  <c:v>40094.0</c:v>
                </c:pt>
                <c:pt idx="1713">
                  <c:v>40093.0</c:v>
                </c:pt>
                <c:pt idx="1714">
                  <c:v>40092.0</c:v>
                </c:pt>
                <c:pt idx="1715">
                  <c:v>40091.0</c:v>
                </c:pt>
                <c:pt idx="1716">
                  <c:v>40088.0</c:v>
                </c:pt>
                <c:pt idx="1717">
                  <c:v>40087.0</c:v>
                </c:pt>
                <c:pt idx="1718">
                  <c:v>40086.0</c:v>
                </c:pt>
                <c:pt idx="1719">
                  <c:v>40085.0</c:v>
                </c:pt>
                <c:pt idx="1720">
                  <c:v>40084.0</c:v>
                </c:pt>
                <c:pt idx="1721">
                  <c:v>40081.0</c:v>
                </c:pt>
                <c:pt idx="1722">
                  <c:v>40080.0</c:v>
                </c:pt>
                <c:pt idx="1723">
                  <c:v>40079.0</c:v>
                </c:pt>
                <c:pt idx="1724">
                  <c:v>40078.0</c:v>
                </c:pt>
                <c:pt idx="1725">
                  <c:v>40077.0</c:v>
                </c:pt>
                <c:pt idx="1726">
                  <c:v>40074.0</c:v>
                </c:pt>
                <c:pt idx="1727">
                  <c:v>40073.0</c:v>
                </c:pt>
                <c:pt idx="1728">
                  <c:v>40072.0</c:v>
                </c:pt>
                <c:pt idx="1729">
                  <c:v>40071.0</c:v>
                </c:pt>
                <c:pt idx="1730">
                  <c:v>40070.0</c:v>
                </c:pt>
                <c:pt idx="1731">
                  <c:v>40067.0</c:v>
                </c:pt>
                <c:pt idx="1732">
                  <c:v>40066.0</c:v>
                </c:pt>
                <c:pt idx="1733">
                  <c:v>40065.0</c:v>
                </c:pt>
                <c:pt idx="1734">
                  <c:v>40064.0</c:v>
                </c:pt>
                <c:pt idx="1735">
                  <c:v>40063.0</c:v>
                </c:pt>
                <c:pt idx="1736">
                  <c:v>40060.0</c:v>
                </c:pt>
                <c:pt idx="1737">
                  <c:v>40059.0</c:v>
                </c:pt>
                <c:pt idx="1738">
                  <c:v>40058.0</c:v>
                </c:pt>
                <c:pt idx="1739">
                  <c:v>40057.0</c:v>
                </c:pt>
                <c:pt idx="1740">
                  <c:v>40056.0</c:v>
                </c:pt>
                <c:pt idx="1741">
                  <c:v>40053.0</c:v>
                </c:pt>
                <c:pt idx="1742">
                  <c:v>40052.0</c:v>
                </c:pt>
                <c:pt idx="1743">
                  <c:v>40051.0</c:v>
                </c:pt>
                <c:pt idx="1744">
                  <c:v>40050.0</c:v>
                </c:pt>
                <c:pt idx="1745">
                  <c:v>40049.0</c:v>
                </c:pt>
                <c:pt idx="1746">
                  <c:v>40046.0</c:v>
                </c:pt>
                <c:pt idx="1747">
                  <c:v>40045.0</c:v>
                </c:pt>
                <c:pt idx="1748">
                  <c:v>40044.0</c:v>
                </c:pt>
                <c:pt idx="1749">
                  <c:v>40043.0</c:v>
                </c:pt>
                <c:pt idx="1750">
                  <c:v>40042.0</c:v>
                </c:pt>
                <c:pt idx="1751">
                  <c:v>40039.0</c:v>
                </c:pt>
                <c:pt idx="1752">
                  <c:v>40038.0</c:v>
                </c:pt>
                <c:pt idx="1753">
                  <c:v>40037.0</c:v>
                </c:pt>
                <c:pt idx="1754">
                  <c:v>40036.0</c:v>
                </c:pt>
                <c:pt idx="1755">
                  <c:v>40035.0</c:v>
                </c:pt>
                <c:pt idx="1756">
                  <c:v>40032.0</c:v>
                </c:pt>
                <c:pt idx="1757">
                  <c:v>40031.0</c:v>
                </c:pt>
                <c:pt idx="1758">
                  <c:v>40030.0</c:v>
                </c:pt>
                <c:pt idx="1759">
                  <c:v>40029.0</c:v>
                </c:pt>
                <c:pt idx="1760">
                  <c:v>40028.0</c:v>
                </c:pt>
                <c:pt idx="1761">
                  <c:v>40025.0</c:v>
                </c:pt>
                <c:pt idx="1762">
                  <c:v>40024.0</c:v>
                </c:pt>
                <c:pt idx="1763">
                  <c:v>40023.0</c:v>
                </c:pt>
                <c:pt idx="1764">
                  <c:v>40022.0</c:v>
                </c:pt>
                <c:pt idx="1765">
                  <c:v>40021.0</c:v>
                </c:pt>
                <c:pt idx="1766">
                  <c:v>40018.0</c:v>
                </c:pt>
                <c:pt idx="1767">
                  <c:v>40017.0</c:v>
                </c:pt>
                <c:pt idx="1768">
                  <c:v>40016.0</c:v>
                </c:pt>
                <c:pt idx="1769">
                  <c:v>40015.0</c:v>
                </c:pt>
                <c:pt idx="1770">
                  <c:v>40014.0</c:v>
                </c:pt>
                <c:pt idx="1771">
                  <c:v>40011.0</c:v>
                </c:pt>
                <c:pt idx="1772">
                  <c:v>40010.0</c:v>
                </c:pt>
                <c:pt idx="1773">
                  <c:v>40009.0</c:v>
                </c:pt>
                <c:pt idx="1774">
                  <c:v>40008.0</c:v>
                </c:pt>
                <c:pt idx="1775">
                  <c:v>40007.0</c:v>
                </c:pt>
                <c:pt idx="1776">
                  <c:v>40004.0</c:v>
                </c:pt>
                <c:pt idx="1777">
                  <c:v>40003.0</c:v>
                </c:pt>
                <c:pt idx="1778">
                  <c:v>40002.0</c:v>
                </c:pt>
                <c:pt idx="1779">
                  <c:v>40001.0</c:v>
                </c:pt>
                <c:pt idx="1780">
                  <c:v>40000.0</c:v>
                </c:pt>
                <c:pt idx="1781">
                  <c:v>39997.0</c:v>
                </c:pt>
                <c:pt idx="1782">
                  <c:v>39996.0</c:v>
                </c:pt>
                <c:pt idx="1783">
                  <c:v>39995.0</c:v>
                </c:pt>
                <c:pt idx="1784">
                  <c:v>39994.0</c:v>
                </c:pt>
                <c:pt idx="1785">
                  <c:v>39993.0</c:v>
                </c:pt>
                <c:pt idx="1786">
                  <c:v>39990.0</c:v>
                </c:pt>
                <c:pt idx="1787">
                  <c:v>39989.0</c:v>
                </c:pt>
                <c:pt idx="1788">
                  <c:v>39988.0</c:v>
                </c:pt>
                <c:pt idx="1789">
                  <c:v>39987.0</c:v>
                </c:pt>
                <c:pt idx="1790">
                  <c:v>39986.0</c:v>
                </c:pt>
                <c:pt idx="1791">
                  <c:v>39983.0</c:v>
                </c:pt>
                <c:pt idx="1792">
                  <c:v>39982.0</c:v>
                </c:pt>
                <c:pt idx="1793">
                  <c:v>39981.0</c:v>
                </c:pt>
                <c:pt idx="1794">
                  <c:v>39980.0</c:v>
                </c:pt>
                <c:pt idx="1795">
                  <c:v>39979.0</c:v>
                </c:pt>
                <c:pt idx="1796">
                  <c:v>39976.0</c:v>
                </c:pt>
                <c:pt idx="1797">
                  <c:v>39975.0</c:v>
                </c:pt>
                <c:pt idx="1798">
                  <c:v>39974.0</c:v>
                </c:pt>
                <c:pt idx="1799">
                  <c:v>39973.0</c:v>
                </c:pt>
                <c:pt idx="1800">
                  <c:v>39972.0</c:v>
                </c:pt>
                <c:pt idx="1801">
                  <c:v>39969.0</c:v>
                </c:pt>
                <c:pt idx="1802">
                  <c:v>39968.0</c:v>
                </c:pt>
                <c:pt idx="1803">
                  <c:v>39967.0</c:v>
                </c:pt>
                <c:pt idx="1804">
                  <c:v>39966.0</c:v>
                </c:pt>
                <c:pt idx="1805">
                  <c:v>39965.0</c:v>
                </c:pt>
                <c:pt idx="1806">
                  <c:v>39962.0</c:v>
                </c:pt>
                <c:pt idx="1807">
                  <c:v>39961.0</c:v>
                </c:pt>
                <c:pt idx="1808">
                  <c:v>39960.0</c:v>
                </c:pt>
                <c:pt idx="1809">
                  <c:v>39959.0</c:v>
                </c:pt>
                <c:pt idx="1810">
                  <c:v>39958.0</c:v>
                </c:pt>
                <c:pt idx="1811">
                  <c:v>39955.0</c:v>
                </c:pt>
                <c:pt idx="1812">
                  <c:v>39954.0</c:v>
                </c:pt>
                <c:pt idx="1813">
                  <c:v>39953.0</c:v>
                </c:pt>
                <c:pt idx="1814">
                  <c:v>39952.0</c:v>
                </c:pt>
                <c:pt idx="1815">
                  <c:v>39951.0</c:v>
                </c:pt>
                <c:pt idx="1816">
                  <c:v>39948.0</c:v>
                </c:pt>
                <c:pt idx="1817">
                  <c:v>39947.0</c:v>
                </c:pt>
                <c:pt idx="1818">
                  <c:v>39946.0</c:v>
                </c:pt>
                <c:pt idx="1819">
                  <c:v>39945.0</c:v>
                </c:pt>
                <c:pt idx="1820">
                  <c:v>39944.0</c:v>
                </c:pt>
                <c:pt idx="1821">
                  <c:v>39941.0</c:v>
                </c:pt>
                <c:pt idx="1822">
                  <c:v>39940.0</c:v>
                </c:pt>
                <c:pt idx="1823">
                  <c:v>39939.0</c:v>
                </c:pt>
                <c:pt idx="1824">
                  <c:v>39938.0</c:v>
                </c:pt>
                <c:pt idx="1825">
                  <c:v>39937.0</c:v>
                </c:pt>
                <c:pt idx="1826">
                  <c:v>39934.0</c:v>
                </c:pt>
                <c:pt idx="1827">
                  <c:v>39933.0</c:v>
                </c:pt>
                <c:pt idx="1828">
                  <c:v>39932.0</c:v>
                </c:pt>
                <c:pt idx="1829">
                  <c:v>39931.0</c:v>
                </c:pt>
                <c:pt idx="1830">
                  <c:v>39930.0</c:v>
                </c:pt>
                <c:pt idx="1831">
                  <c:v>39927.0</c:v>
                </c:pt>
                <c:pt idx="1832">
                  <c:v>39926.0</c:v>
                </c:pt>
                <c:pt idx="1833">
                  <c:v>39925.0</c:v>
                </c:pt>
                <c:pt idx="1834">
                  <c:v>39924.0</c:v>
                </c:pt>
                <c:pt idx="1835">
                  <c:v>39923.0</c:v>
                </c:pt>
                <c:pt idx="1836">
                  <c:v>39920.0</c:v>
                </c:pt>
                <c:pt idx="1837">
                  <c:v>39919.0</c:v>
                </c:pt>
                <c:pt idx="1838">
                  <c:v>39918.0</c:v>
                </c:pt>
                <c:pt idx="1839">
                  <c:v>39917.0</c:v>
                </c:pt>
                <c:pt idx="1840">
                  <c:v>39916.0</c:v>
                </c:pt>
                <c:pt idx="1841">
                  <c:v>39913.0</c:v>
                </c:pt>
                <c:pt idx="1842">
                  <c:v>39912.0</c:v>
                </c:pt>
                <c:pt idx="1843">
                  <c:v>39911.0</c:v>
                </c:pt>
                <c:pt idx="1844">
                  <c:v>39910.0</c:v>
                </c:pt>
                <c:pt idx="1845">
                  <c:v>39909.0</c:v>
                </c:pt>
                <c:pt idx="1846">
                  <c:v>39906.0</c:v>
                </c:pt>
                <c:pt idx="1847">
                  <c:v>39905.0</c:v>
                </c:pt>
                <c:pt idx="1848">
                  <c:v>39904.0</c:v>
                </c:pt>
                <c:pt idx="1849">
                  <c:v>39903.0</c:v>
                </c:pt>
                <c:pt idx="1850">
                  <c:v>39902.0</c:v>
                </c:pt>
                <c:pt idx="1851">
                  <c:v>39899.0</c:v>
                </c:pt>
                <c:pt idx="1852">
                  <c:v>39898.0</c:v>
                </c:pt>
                <c:pt idx="1853">
                  <c:v>39897.0</c:v>
                </c:pt>
                <c:pt idx="1854">
                  <c:v>39896.0</c:v>
                </c:pt>
                <c:pt idx="1855">
                  <c:v>39895.0</c:v>
                </c:pt>
                <c:pt idx="1856">
                  <c:v>39892.0</c:v>
                </c:pt>
                <c:pt idx="1857">
                  <c:v>39891.0</c:v>
                </c:pt>
                <c:pt idx="1858">
                  <c:v>39890.0</c:v>
                </c:pt>
                <c:pt idx="1859">
                  <c:v>39889.0</c:v>
                </c:pt>
                <c:pt idx="1860">
                  <c:v>39888.0</c:v>
                </c:pt>
                <c:pt idx="1861">
                  <c:v>39885.0</c:v>
                </c:pt>
                <c:pt idx="1862">
                  <c:v>39884.0</c:v>
                </c:pt>
                <c:pt idx="1863">
                  <c:v>39883.0</c:v>
                </c:pt>
                <c:pt idx="1864">
                  <c:v>39882.0</c:v>
                </c:pt>
                <c:pt idx="1865">
                  <c:v>39881.0</c:v>
                </c:pt>
                <c:pt idx="1866">
                  <c:v>39878.0</c:v>
                </c:pt>
                <c:pt idx="1867">
                  <c:v>39877.0</c:v>
                </c:pt>
                <c:pt idx="1868">
                  <c:v>39876.0</c:v>
                </c:pt>
                <c:pt idx="1869">
                  <c:v>39875.0</c:v>
                </c:pt>
                <c:pt idx="1870">
                  <c:v>39874.0</c:v>
                </c:pt>
                <c:pt idx="1871">
                  <c:v>39871.0</c:v>
                </c:pt>
                <c:pt idx="1872">
                  <c:v>39870.0</c:v>
                </c:pt>
                <c:pt idx="1873">
                  <c:v>39869.0</c:v>
                </c:pt>
                <c:pt idx="1874">
                  <c:v>39868.0</c:v>
                </c:pt>
                <c:pt idx="1875">
                  <c:v>39867.0</c:v>
                </c:pt>
                <c:pt idx="1876">
                  <c:v>39864.0</c:v>
                </c:pt>
                <c:pt idx="1877">
                  <c:v>39863.0</c:v>
                </c:pt>
                <c:pt idx="1878">
                  <c:v>39862.0</c:v>
                </c:pt>
                <c:pt idx="1879">
                  <c:v>39861.0</c:v>
                </c:pt>
                <c:pt idx="1880">
                  <c:v>39860.0</c:v>
                </c:pt>
                <c:pt idx="1881">
                  <c:v>39857.0</c:v>
                </c:pt>
                <c:pt idx="1882">
                  <c:v>39856.0</c:v>
                </c:pt>
                <c:pt idx="1883">
                  <c:v>39855.0</c:v>
                </c:pt>
                <c:pt idx="1884">
                  <c:v>39854.0</c:v>
                </c:pt>
                <c:pt idx="1885">
                  <c:v>39853.0</c:v>
                </c:pt>
                <c:pt idx="1886">
                  <c:v>39850.0</c:v>
                </c:pt>
                <c:pt idx="1887">
                  <c:v>39849.0</c:v>
                </c:pt>
                <c:pt idx="1888">
                  <c:v>39848.0</c:v>
                </c:pt>
                <c:pt idx="1889">
                  <c:v>39847.0</c:v>
                </c:pt>
                <c:pt idx="1890">
                  <c:v>39846.0</c:v>
                </c:pt>
                <c:pt idx="1891">
                  <c:v>39843.0</c:v>
                </c:pt>
                <c:pt idx="1892">
                  <c:v>39842.0</c:v>
                </c:pt>
                <c:pt idx="1893">
                  <c:v>39841.0</c:v>
                </c:pt>
                <c:pt idx="1894">
                  <c:v>39840.0</c:v>
                </c:pt>
                <c:pt idx="1895">
                  <c:v>39839.0</c:v>
                </c:pt>
                <c:pt idx="1896">
                  <c:v>39836.0</c:v>
                </c:pt>
                <c:pt idx="1897">
                  <c:v>39835.0</c:v>
                </c:pt>
                <c:pt idx="1898">
                  <c:v>39834.0</c:v>
                </c:pt>
                <c:pt idx="1899">
                  <c:v>39833.0</c:v>
                </c:pt>
                <c:pt idx="1900">
                  <c:v>39832.0</c:v>
                </c:pt>
                <c:pt idx="1901">
                  <c:v>39829.0</c:v>
                </c:pt>
                <c:pt idx="1902">
                  <c:v>39828.0</c:v>
                </c:pt>
                <c:pt idx="1903">
                  <c:v>39827.0</c:v>
                </c:pt>
                <c:pt idx="1904">
                  <c:v>39826.0</c:v>
                </c:pt>
                <c:pt idx="1905">
                  <c:v>39825.0</c:v>
                </c:pt>
                <c:pt idx="1906">
                  <c:v>39822.0</c:v>
                </c:pt>
                <c:pt idx="1907">
                  <c:v>39821.0</c:v>
                </c:pt>
                <c:pt idx="1908">
                  <c:v>39820.0</c:v>
                </c:pt>
                <c:pt idx="1909">
                  <c:v>39819.0</c:v>
                </c:pt>
                <c:pt idx="1910">
                  <c:v>39818.0</c:v>
                </c:pt>
                <c:pt idx="1911">
                  <c:v>39815.0</c:v>
                </c:pt>
                <c:pt idx="1912">
                  <c:v>39814.0</c:v>
                </c:pt>
                <c:pt idx="1913">
                  <c:v>39813.0</c:v>
                </c:pt>
                <c:pt idx="1914">
                  <c:v>39812.0</c:v>
                </c:pt>
                <c:pt idx="1915">
                  <c:v>39811.0</c:v>
                </c:pt>
                <c:pt idx="1916">
                  <c:v>39808.0</c:v>
                </c:pt>
                <c:pt idx="1917">
                  <c:v>39807.0</c:v>
                </c:pt>
                <c:pt idx="1918">
                  <c:v>39806.0</c:v>
                </c:pt>
                <c:pt idx="1919">
                  <c:v>39805.0</c:v>
                </c:pt>
                <c:pt idx="1920">
                  <c:v>39804.0</c:v>
                </c:pt>
                <c:pt idx="1921">
                  <c:v>39801.0</c:v>
                </c:pt>
                <c:pt idx="1922">
                  <c:v>39800.0</c:v>
                </c:pt>
                <c:pt idx="1923">
                  <c:v>39799.0</c:v>
                </c:pt>
                <c:pt idx="1924">
                  <c:v>39798.0</c:v>
                </c:pt>
                <c:pt idx="1925">
                  <c:v>39797.0</c:v>
                </c:pt>
                <c:pt idx="1926">
                  <c:v>39794.0</c:v>
                </c:pt>
                <c:pt idx="1927">
                  <c:v>39793.0</c:v>
                </c:pt>
                <c:pt idx="1928">
                  <c:v>39792.0</c:v>
                </c:pt>
                <c:pt idx="1929">
                  <c:v>39791.0</c:v>
                </c:pt>
                <c:pt idx="1930">
                  <c:v>39790.0</c:v>
                </c:pt>
                <c:pt idx="1931">
                  <c:v>39787.0</c:v>
                </c:pt>
                <c:pt idx="1932">
                  <c:v>39786.0</c:v>
                </c:pt>
                <c:pt idx="1933">
                  <c:v>39785.0</c:v>
                </c:pt>
                <c:pt idx="1934">
                  <c:v>39784.0</c:v>
                </c:pt>
                <c:pt idx="1935">
                  <c:v>39783.0</c:v>
                </c:pt>
                <c:pt idx="1936">
                  <c:v>39780.0</c:v>
                </c:pt>
                <c:pt idx="1937">
                  <c:v>39779.0</c:v>
                </c:pt>
                <c:pt idx="1938">
                  <c:v>39778.0</c:v>
                </c:pt>
                <c:pt idx="1939">
                  <c:v>39777.0</c:v>
                </c:pt>
                <c:pt idx="1940">
                  <c:v>39776.0</c:v>
                </c:pt>
                <c:pt idx="1941">
                  <c:v>39773.0</c:v>
                </c:pt>
                <c:pt idx="1942">
                  <c:v>39772.0</c:v>
                </c:pt>
                <c:pt idx="1943">
                  <c:v>39771.0</c:v>
                </c:pt>
                <c:pt idx="1944">
                  <c:v>39770.0</c:v>
                </c:pt>
                <c:pt idx="1945">
                  <c:v>39769.0</c:v>
                </c:pt>
                <c:pt idx="1946">
                  <c:v>39766.0</c:v>
                </c:pt>
                <c:pt idx="1947">
                  <c:v>39765.0</c:v>
                </c:pt>
                <c:pt idx="1948">
                  <c:v>39764.0</c:v>
                </c:pt>
                <c:pt idx="1949">
                  <c:v>39763.0</c:v>
                </c:pt>
                <c:pt idx="1950">
                  <c:v>39762.0</c:v>
                </c:pt>
                <c:pt idx="1951">
                  <c:v>39759.0</c:v>
                </c:pt>
                <c:pt idx="1952">
                  <c:v>39758.0</c:v>
                </c:pt>
                <c:pt idx="1953">
                  <c:v>39757.0</c:v>
                </c:pt>
                <c:pt idx="1954">
                  <c:v>39756.0</c:v>
                </c:pt>
                <c:pt idx="1955">
                  <c:v>39755.0</c:v>
                </c:pt>
                <c:pt idx="1956">
                  <c:v>39752.0</c:v>
                </c:pt>
                <c:pt idx="1957">
                  <c:v>39751.0</c:v>
                </c:pt>
                <c:pt idx="1958">
                  <c:v>39750.0</c:v>
                </c:pt>
                <c:pt idx="1959">
                  <c:v>39749.0</c:v>
                </c:pt>
                <c:pt idx="1960">
                  <c:v>39748.0</c:v>
                </c:pt>
                <c:pt idx="1961">
                  <c:v>39745.0</c:v>
                </c:pt>
                <c:pt idx="1962">
                  <c:v>39744.0</c:v>
                </c:pt>
                <c:pt idx="1963">
                  <c:v>39743.0</c:v>
                </c:pt>
                <c:pt idx="1964">
                  <c:v>39742.0</c:v>
                </c:pt>
                <c:pt idx="1965">
                  <c:v>39741.0</c:v>
                </c:pt>
                <c:pt idx="1966">
                  <c:v>39738.0</c:v>
                </c:pt>
                <c:pt idx="1967">
                  <c:v>39737.0</c:v>
                </c:pt>
                <c:pt idx="1968">
                  <c:v>39736.0</c:v>
                </c:pt>
                <c:pt idx="1969">
                  <c:v>39735.0</c:v>
                </c:pt>
                <c:pt idx="1970">
                  <c:v>39734.0</c:v>
                </c:pt>
                <c:pt idx="1971">
                  <c:v>39731.0</c:v>
                </c:pt>
                <c:pt idx="1972">
                  <c:v>39730.0</c:v>
                </c:pt>
                <c:pt idx="1973">
                  <c:v>39729.0</c:v>
                </c:pt>
                <c:pt idx="1974">
                  <c:v>39728.0</c:v>
                </c:pt>
                <c:pt idx="1975">
                  <c:v>39727.0</c:v>
                </c:pt>
                <c:pt idx="1976">
                  <c:v>39724.0</c:v>
                </c:pt>
                <c:pt idx="1977">
                  <c:v>39723.0</c:v>
                </c:pt>
                <c:pt idx="1978">
                  <c:v>39722.0</c:v>
                </c:pt>
                <c:pt idx="1979">
                  <c:v>39721.0</c:v>
                </c:pt>
                <c:pt idx="1980">
                  <c:v>39720.0</c:v>
                </c:pt>
                <c:pt idx="1981">
                  <c:v>39717.0</c:v>
                </c:pt>
                <c:pt idx="1982">
                  <c:v>39716.0</c:v>
                </c:pt>
                <c:pt idx="1983">
                  <c:v>39715.0</c:v>
                </c:pt>
                <c:pt idx="1984">
                  <c:v>39714.0</c:v>
                </c:pt>
                <c:pt idx="1985">
                  <c:v>39713.0</c:v>
                </c:pt>
                <c:pt idx="1986">
                  <c:v>39710.0</c:v>
                </c:pt>
                <c:pt idx="1987">
                  <c:v>39709.0</c:v>
                </c:pt>
                <c:pt idx="1988">
                  <c:v>39708.0</c:v>
                </c:pt>
                <c:pt idx="1989">
                  <c:v>39707.0</c:v>
                </c:pt>
                <c:pt idx="1990">
                  <c:v>39706.0</c:v>
                </c:pt>
                <c:pt idx="1991">
                  <c:v>39703.0</c:v>
                </c:pt>
                <c:pt idx="1992">
                  <c:v>39702.0</c:v>
                </c:pt>
                <c:pt idx="1993">
                  <c:v>39701.0</c:v>
                </c:pt>
                <c:pt idx="1994">
                  <c:v>39700.0</c:v>
                </c:pt>
                <c:pt idx="1995">
                  <c:v>39699.0</c:v>
                </c:pt>
                <c:pt idx="1996">
                  <c:v>39696.0</c:v>
                </c:pt>
                <c:pt idx="1997">
                  <c:v>39695.0</c:v>
                </c:pt>
                <c:pt idx="1998">
                  <c:v>39694.0</c:v>
                </c:pt>
                <c:pt idx="1999">
                  <c:v>39693.0</c:v>
                </c:pt>
                <c:pt idx="2000">
                  <c:v>39692.0</c:v>
                </c:pt>
                <c:pt idx="2001">
                  <c:v>39689.0</c:v>
                </c:pt>
                <c:pt idx="2002">
                  <c:v>39688.0</c:v>
                </c:pt>
                <c:pt idx="2003">
                  <c:v>39687.0</c:v>
                </c:pt>
                <c:pt idx="2004">
                  <c:v>39686.0</c:v>
                </c:pt>
                <c:pt idx="2005">
                  <c:v>39685.0</c:v>
                </c:pt>
                <c:pt idx="2006">
                  <c:v>39682.0</c:v>
                </c:pt>
                <c:pt idx="2007">
                  <c:v>39681.0</c:v>
                </c:pt>
                <c:pt idx="2008">
                  <c:v>39680.0</c:v>
                </c:pt>
                <c:pt idx="2009">
                  <c:v>39679.0</c:v>
                </c:pt>
                <c:pt idx="2010">
                  <c:v>39678.0</c:v>
                </c:pt>
                <c:pt idx="2011">
                  <c:v>39675.0</c:v>
                </c:pt>
                <c:pt idx="2012">
                  <c:v>39674.0</c:v>
                </c:pt>
                <c:pt idx="2013">
                  <c:v>39673.0</c:v>
                </c:pt>
                <c:pt idx="2014">
                  <c:v>39672.0</c:v>
                </c:pt>
                <c:pt idx="2015">
                  <c:v>39671.0</c:v>
                </c:pt>
                <c:pt idx="2016">
                  <c:v>39668.0</c:v>
                </c:pt>
                <c:pt idx="2017">
                  <c:v>39667.0</c:v>
                </c:pt>
                <c:pt idx="2018">
                  <c:v>39666.0</c:v>
                </c:pt>
                <c:pt idx="2019">
                  <c:v>39665.0</c:v>
                </c:pt>
                <c:pt idx="2020">
                  <c:v>39664.0</c:v>
                </c:pt>
                <c:pt idx="2021">
                  <c:v>39661.0</c:v>
                </c:pt>
                <c:pt idx="2022">
                  <c:v>39660.0</c:v>
                </c:pt>
                <c:pt idx="2023">
                  <c:v>39659.0</c:v>
                </c:pt>
                <c:pt idx="2024">
                  <c:v>39658.0</c:v>
                </c:pt>
                <c:pt idx="2025">
                  <c:v>39657.0</c:v>
                </c:pt>
                <c:pt idx="2026">
                  <c:v>39654.0</c:v>
                </c:pt>
                <c:pt idx="2027">
                  <c:v>39653.0</c:v>
                </c:pt>
                <c:pt idx="2028">
                  <c:v>39652.0</c:v>
                </c:pt>
                <c:pt idx="2029">
                  <c:v>39651.0</c:v>
                </c:pt>
                <c:pt idx="2030">
                  <c:v>39650.0</c:v>
                </c:pt>
                <c:pt idx="2031">
                  <c:v>39647.0</c:v>
                </c:pt>
                <c:pt idx="2032">
                  <c:v>39646.0</c:v>
                </c:pt>
                <c:pt idx="2033">
                  <c:v>39645.0</c:v>
                </c:pt>
                <c:pt idx="2034">
                  <c:v>39644.0</c:v>
                </c:pt>
                <c:pt idx="2035">
                  <c:v>39643.0</c:v>
                </c:pt>
                <c:pt idx="2036">
                  <c:v>39640.0</c:v>
                </c:pt>
                <c:pt idx="2037">
                  <c:v>39639.0</c:v>
                </c:pt>
                <c:pt idx="2038">
                  <c:v>39638.0</c:v>
                </c:pt>
                <c:pt idx="2039">
                  <c:v>39637.0</c:v>
                </c:pt>
                <c:pt idx="2040">
                  <c:v>39636.0</c:v>
                </c:pt>
                <c:pt idx="2041">
                  <c:v>39633.0</c:v>
                </c:pt>
                <c:pt idx="2042">
                  <c:v>39632.0</c:v>
                </c:pt>
                <c:pt idx="2043">
                  <c:v>39631.0</c:v>
                </c:pt>
                <c:pt idx="2044">
                  <c:v>39630.0</c:v>
                </c:pt>
                <c:pt idx="2045">
                  <c:v>39629.0</c:v>
                </c:pt>
                <c:pt idx="2046">
                  <c:v>39626.0</c:v>
                </c:pt>
                <c:pt idx="2047">
                  <c:v>39625.0</c:v>
                </c:pt>
                <c:pt idx="2048">
                  <c:v>39624.0</c:v>
                </c:pt>
                <c:pt idx="2049">
                  <c:v>39623.0</c:v>
                </c:pt>
                <c:pt idx="2050">
                  <c:v>39622.0</c:v>
                </c:pt>
                <c:pt idx="2051">
                  <c:v>39619.0</c:v>
                </c:pt>
                <c:pt idx="2052">
                  <c:v>39618.0</c:v>
                </c:pt>
                <c:pt idx="2053">
                  <c:v>39617.0</c:v>
                </c:pt>
                <c:pt idx="2054">
                  <c:v>39616.0</c:v>
                </c:pt>
                <c:pt idx="2055">
                  <c:v>39615.0</c:v>
                </c:pt>
                <c:pt idx="2056">
                  <c:v>39612.0</c:v>
                </c:pt>
                <c:pt idx="2057">
                  <c:v>39611.0</c:v>
                </c:pt>
                <c:pt idx="2058">
                  <c:v>39610.0</c:v>
                </c:pt>
                <c:pt idx="2059">
                  <c:v>39609.0</c:v>
                </c:pt>
                <c:pt idx="2060">
                  <c:v>39608.0</c:v>
                </c:pt>
                <c:pt idx="2061">
                  <c:v>39605.0</c:v>
                </c:pt>
                <c:pt idx="2062">
                  <c:v>39604.0</c:v>
                </c:pt>
                <c:pt idx="2063">
                  <c:v>39603.0</c:v>
                </c:pt>
                <c:pt idx="2064">
                  <c:v>39602.0</c:v>
                </c:pt>
                <c:pt idx="2065">
                  <c:v>39601.0</c:v>
                </c:pt>
                <c:pt idx="2066">
                  <c:v>39598.0</c:v>
                </c:pt>
                <c:pt idx="2067">
                  <c:v>39597.0</c:v>
                </c:pt>
                <c:pt idx="2068">
                  <c:v>39596.0</c:v>
                </c:pt>
                <c:pt idx="2069">
                  <c:v>39595.0</c:v>
                </c:pt>
                <c:pt idx="2070">
                  <c:v>39594.0</c:v>
                </c:pt>
                <c:pt idx="2071">
                  <c:v>39591.0</c:v>
                </c:pt>
                <c:pt idx="2072">
                  <c:v>39590.0</c:v>
                </c:pt>
                <c:pt idx="2073">
                  <c:v>39589.0</c:v>
                </c:pt>
                <c:pt idx="2074">
                  <c:v>39588.0</c:v>
                </c:pt>
                <c:pt idx="2075">
                  <c:v>39587.0</c:v>
                </c:pt>
                <c:pt idx="2076">
                  <c:v>39584.0</c:v>
                </c:pt>
                <c:pt idx="2077">
                  <c:v>39583.0</c:v>
                </c:pt>
                <c:pt idx="2078">
                  <c:v>39582.0</c:v>
                </c:pt>
                <c:pt idx="2079">
                  <c:v>39581.0</c:v>
                </c:pt>
                <c:pt idx="2080">
                  <c:v>39580.0</c:v>
                </c:pt>
                <c:pt idx="2081">
                  <c:v>39577.0</c:v>
                </c:pt>
                <c:pt idx="2082">
                  <c:v>39576.0</c:v>
                </c:pt>
                <c:pt idx="2083">
                  <c:v>39575.0</c:v>
                </c:pt>
                <c:pt idx="2084">
                  <c:v>39574.0</c:v>
                </c:pt>
                <c:pt idx="2085">
                  <c:v>39573.0</c:v>
                </c:pt>
                <c:pt idx="2086">
                  <c:v>39570.0</c:v>
                </c:pt>
                <c:pt idx="2087">
                  <c:v>39569.0</c:v>
                </c:pt>
                <c:pt idx="2088">
                  <c:v>39568.0</c:v>
                </c:pt>
                <c:pt idx="2089">
                  <c:v>39567.0</c:v>
                </c:pt>
                <c:pt idx="2090">
                  <c:v>39566.0</c:v>
                </c:pt>
                <c:pt idx="2091">
                  <c:v>39563.0</c:v>
                </c:pt>
                <c:pt idx="2092">
                  <c:v>39562.0</c:v>
                </c:pt>
                <c:pt idx="2093">
                  <c:v>39561.0</c:v>
                </c:pt>
                <c:pt idx="2094">
                  <c:v>39560.0</c:v>
                </c:pt>
                <c:pt idx="2095">
                  <c:v>39559.0</c:v>
                </c:pt>
                <c:pt idx="2096">
                  <c:v>39556.0</c:v>
                </c:pt>
                <c:pt idx="2097">
                  <c:v>39555.0</c:v>
                </c:pt>
                <c:pt idx="2098">
                  <c:v>39554.0</c:v>
                </c:pt>
                <c:pt idx="2099">
                  <c:v>39553.0</c:v>
                </c:pt>
                <c:pt idx="2100">
                  <c:v>39552.0</c:v>
                </c:pt>
                <c:pt idx="2101">
                  <c:v>39549.0</c:v>
                </c:pt>
                <c:pt idx="2102">
                  <c:v>39548.0</c:v>
                </c:pt>
                <c:pt idx="2103">
                  <c:v>39547.0</c:v>
                </c:pt>
                <c:pt idx="2104">
                  <c:v>39546.0</c:v>
                </c:pt>
                <c:pt idx="2105">
                  <c:v>39545.0</c:v>
                </c:pt>
                <c:pt idx="2106">
                  <c:v>39542.0</c:v>
                </c:pt>
                <c:pt idx="2107">
                  <c:v>39541.0</c:v>
                </c:pt>
                <c:pt idx="2108">
                  <c:v>39540.0</c:v>
                </c:pt>
                <c:pt idx="2109">
                  <c:v>39539.0</c:v>
                </c:pt>
                <c:pt idx="2110">
                  <c:v>39538.0</c:v>
                </c:pt>
                <c:pt idx="2111">
                  <c:v>39535.0</c:v>
                </c:pt>
                <c:pt idx="2112">
                  <c:v>39534.0</c:v>
                </c:pt>
                <c:pt idx="2113">
                  <c:v>39533.0</c:v>
                </c:pt>
                <c:pt idx="2114">
                  <c:v>39532.0</c:v>
                </c:pt>
                <c:pt idx="2115">
                  <c:v>39531.0</c:v>
                </c:pt>
                <c:pt idx="2116">
                  <c:v>39528.0</c:v>
                </c:pt>
                <c:pt idx="2117">
                  <c:v>39527.0</c:v>
                </c:pt>
                <c:pt idx="2118">
                  <c:v>39526.0</c:v>
                </c:pt>
                <c:pt idx="2119">
                  <c:v>39525.0</c:v>
                </c:pt>
                <c:pt idx="2120">
                  <c:v>39524.0</c:v>
                </c:pt>
                <c:pt idx="2121">
                  <c:v>39521.0</c:v>
                </c:pt>
                <c:pt idx="2122">
                  <c:v>39520.0</c:v>
                </c:pt>
                <c:pt idx="2123">
                  <c:v>39519.0</c:v>
                </c:pt>
                <c:pt idx="2124">
                  <c:v>39518.0</c:v>
                </c:pt>
                <c:pt idx="2125">
                  <c:v>39517.0</c:v>
                </c:pt>
                <c:pt idx="2126">
                  <c:v>39514.0</c:v>
                </c:pt>
                <c:pt idx="2127">
                  <c:v>39513.0</c:v>
                </c:pt>
                <c:pt idx="2128">
                  <c:v>39512.0</c:v>
                </c:pt>
                <c:pt idx="2129">
                  <c:v>39511.0</c:v>
                </c:pt>
                <c:pt idx="2130">
                  <c:v>39510.0</c:v>
                </c:pt>
                <c:pt idx="2131">
                  <c:v>39507.0</c:v>
                </c:pt>
                <c:pt idx="2132">
                  <c:v>39506.0</c:v>
                </c:pt>
                <c:pt idx="2133">
                  <c:v>39505.0</c:v>
                </c:pt>
                <c:pt idx="2134">
                  <c:v>39504.0</c:v>
                </c:pt>
                <c:pt idx="2135">
                  <c:v>39503.0</c:v>
                </c:pt>
                <c:pt idx="2136">
                  <c:v>39500.0</c:v>
                </c:pt>
                <c:pt idx="2137">
                  <c:v>39499.0</c:v>
                </c:pt>
                <c:pt idx="2138">
                  <c:v>39498.0</c:v>
                </c:pt>
                <c:pt idx="2139">
                  <c:v>39497.0</c:v>
                </c:pt>
                <c:pt idx="2140">
                  <c:v>39496.0</c:v>
                </c:pt>
                <c:pt idx="2141">
                  <c:v>39493.0</c:v>
                </c:pt>
                <c:pt idx="2142">
                  <c:v>39492.0</c:v>
                </c:pt>
                <c:pt idx="2143">
                  <c:v>39491.0</c:v>
                </c:pt>
                <c:pt idx="2144">
                  <c:v>39490.0</c:v>
                </c:pt>
                <c:pt idx="2145">
                  <c:v>39489.0</c:v>
                </c:pt>
                <c:pt idx="2146">
                  <c:v>39486.0</c:v>
                </c:pt>
                <c:pt idx="2147">
                  <c:v>39485.0</c:v>
                </c:pt>
                <c:pt idx="2148">
                  <c:v>39484.0</c:v>
                </c:pt>
                <c:pt idx="2149">
                  <c:v>39483.0</c:v>
                </c:pt>
                <c:pt idx="2150">
                  <c:v>39482.0</c:v>
                </c:pt>
                <c:pt idx="2151">
                  <c:v>39479.0</c:v>
                </c:pt>
                <c:pt idx="2152">
                  <c:v>39478.0</c:v>
                </c:pt>
                <c:pt idx="2153">
                  <c:v>39477.0</c:v>
                </c:pt>
                <c:pt idx="2154">
                  <c:v>39476.0</c:v>
                </c:pt>
                <c:pt idx="2155">
                  <c:v>39475.0</c:v>
                </c:pt>
                <c:pt idx="2156">
                  <c:v>39472.0</c:v>
                </c:pt>
                <c:pt idx="2157">
                  <c:v>39471.0</c:v>
                </c:pt>
                <c:pt idx="2158">
                  <c:v>39470.0</c:v>
                </c:pt>
                <c:pt idx="2159">
                  <c:v>39469.0</c:v>
                </c:pt>
                <c:pt idx="2160">
                  <c:v>39468.0</c:v>
                </c:pt>
                <c:pt idx="2161">
                  <c:v>39465.0</c:v>
                </c:pt>
                <c:pt idx="2162">
                  <c:v>39464.0</c:v>
                </c:pt>
                <c:pt idx="2163">
                  <c:v>39463.0</c:v>
                </c:pt>
                <c:pt idx="2164">
                  <c:v>39462.0</c:v>
                </c:pt>
                <c:pt idx="2165">
                  <c:v>39461.0</c:v>
                </c:pt>
                <c:pt idx="2166">
                  <c:v>39458.0</c:v>
                </c:pt>
                <c:pt idx="2167">
                  <c:v>39457.0</c:v>
                </c:pt>
                <c:pt idx="2168">
                  <c:v>39456.0</c:v>
                </c:pt>
                <c:pt idx="2169">
                  <c:v>39455.0</c:v>
                </c:pt>
                <c:pt idx="2170">
                  <c:v>39454.0</c:v>
                </c:pt>
                <c:pt idx="2171">
                  <c:v>39451.0</c:v>
                </c:pt>
                <c:pt idx="2172">
                  <c:v>39450.0</c:v>
                </c:pt>
                <c:pt idx="2173">
                  <c:v>39449.0</c:v>
                </c:pt>
                <c:pt idx="2174">
                  <c:v>39448.0</c:v>
                </c:pt>
                <c:pt idx="2175">
                  <c:v>39447.0</c:v>
                </c:pt>
                <c:pt idx="2176">
                  <c:v>39444.0</c:v>
                </c:pt>
                <c:pt idx="2177">
                  <c:v>39443.0</c:v>
                </c:pt>
                <c:pt idx="2178">
                  <c:v>39442.0</c:v>
                </c:pt>
                <c:pt idx="2179">
                  <c:v>39441.0</c:v>
                </c:pt>
                <c:pt idx="2180">
                  <c:v>39440.0</c:v>
                </c:pt>
                <c:pt idx="2181">
                  <c:v>39437.0</c:v>
                </c:pt>
                <c:pt idx="2182">
                  <c:v>39436.0</c:v>
                </c:pt>
                <c:pt idx="2183">
                  <c:v>39435.0</c:v>
                </c:pt>
                <c:pt idx="2184">
                  <c:v>39434.0</c:v>
                </c:pt>
                <c:pt idx="2185">
                  <c:v>39433.0</c:v>
                </c:pt>
                <c:pt idx="2186">
                  <c:v>39430.0</c:v>
                </c:pt>
                <c:pt idx="2187">
                  <c:v>39429.0</c:v>
                </c:pt>
                <c:pt idx="2188">
                  <c:v>39428.0</c:v>
                </c:pt>
                <c:pt idx="2189">
                  <c:v>39427.0</c:v>
                </c:pt>
                <c:pt idx="2190">
                  <c:v>39426.0</c:v>
                </c:pt>
                <c:pt idx="2191">
                  <c:v>39423.0</c:v>
                </c:pt>
                <c:pt idx="2192">
                  <c:v>39422.0</c:v>
                </c:pt>
                <c:pt idx="2193">
                  <c:v>39421.0</c:v>
                </c:pt>
                <c:pt idx="2194">
                  <c:v>39420.0</c:v>
                </c:pt>
                <c:pt idx="2195">
                  <c:v>39419.0</c:v>
                </c:pt>
                <c:pt idx="2196">
                  <c:v>39416.0</c:v>
                </c:pt>
                <c:pt idx="2197">
                  <c:v>39415.0</c:v>
                </c:pt>
                <c:pt idx="2198">
                  <c:v>39414.0</c:v>
                </c:pt>
                <c:pt idx="2199">
                  <c:v>39413.0</c:v>
                </c:pt>
                <c:pt idx="2200">
                  <c:v>39412.0</c:v>
                </c:pt>
                <c:pt idx="2201">
                  <c:v>39409.0</c:v>
                </c:pt>
                <c:pt idx="2202">
                  <c:v>39408.0</c:v>
                </c:pt>
                <c:pt idx="2203">
                  <c:v>39407.0</c:v>
                </c:pt>
                <c:pt idx="2204">
                  <c:v>39406.0</c:v>
                </c:pt>
                <c:pt idx="2205">
                  <c:v>39405.0</c:v>
                </c:pt>
                <c:pt idx="2206">
                  <c:v>39402.0</c:v>
                </c:pt>
                <c:pt idx="2207">
                  <c:v>39401.0</c:v>
                </c:pt>
                <c:pt idx="2208">
                  <c:v>39400.0</c:v>
                </c:pt>
                <c:pt idx="2209">
                  <c:v>39399.0</c:v>
                </c:pt>
                <c:pt idx="2210">
                  <c:v>39398.0</c:v>
                </c:pt>
                <c:pt idx="2211">
                  <c:v>39395.0</c:v>
                </c:pt>
                <c:pt idx="2212">
                  <c:v>39394.0</c:v>
                </c:pt>
                <c:pt idx="2213">
                  <c:v>39393.0</c:v>
                </c:pt>
                <c:pt idx="2214">
                  <c:v>39392.0</c:v>
                </c:pt>
                <c:pt idx="2215">
                  <c:v>39391.0</c:v>
                </c:pt>
                <c:pt idx="2216">
                  <c:v>39388.0</c:v>
                </c:pt>
                <c:pt idx="2217">
                  <c:v>39387.0</c:v>
                </c:pt>
                <c:pt idx="2218">
                  <c:v>39386.0</c:v>
                </c:pt>
                <c:pt idx="2219">
                  <c:v>39385.0</c:v>
                </c:pt>
                <c:pt idx="2220">
                  <c:v>39384.0</c:v>
                </c:pt>
                <c:pt idx="2221">
                  <c:v>39381.0</c:v>
                </c:pt>
                <c:pt idx="2222">
                  <c:v>39380.0</c:v>
                </c:pt>
                <c:pt idx="2223">
                  <c:v>39379.0</c:v>
                </c:pt>
                <c:pt idx="2224">
                  <c:v>39378.0</c:v>
                </c:pt>
                <c:pt idx="2225">
                  <c:v>39377.0</c:v>
                </c:pt>
                <c:pt idx="2226">
                  <c:v>39374.0</c:v>
                </c:pt>
                <c:pt idx="2227">
                  <c:v>39373.0</c:v>
                </c:pt>
                <c:pt idx="2228">
                  <c:v>39372.0</c:v>
                </c:pt>
                <c:pt idx="2229">
                  <c:v>39371.0</c:v>
                </c:pt>
                <c:pt idx="2230">
                  <c:v>39370.0</c:v>
                </c:pt>
                <c:pt idx="2231">
                  <c:v>39367.0</c:v>
                </c:pt>
                <c:pt idx="2232">
                  <c:v>39366.0</c:v>
                </c:pt>
                <c:pt idx="2233">
                  <c:v>39365.0</c:v>
                </c:pt>
                <c:pt idx="2234">
                  <c:v>39364.0</c:v>
                </c:pt>
                <c:pt idx="2235">
                  <c:v>39363.0</c:v>
                </c:pt>
                <c:pt idx="2236">
                  <c:v>39360.0</c:v>
                </c:pt>
                <c:pt idx="2237">
                  <c:v>39359.0</c:v>
                </c:pt>
                <c:pt idx="2238">
                  <c:v>39358.0</c:v>
                </c:pt>
                <c:pt idx="2239">
                  <c:v>39357.0</c:v>
                </c:pt>
                <c:pt idx="2240">
                  <c:v>39356.0</c:v>
                </c:pt>
                <c:pt idx="2241">
                  <c:v>39353.0</c:v>
                </c:pt>
                <c:pt idx="2242">
                  <c:v>39352.0</c:v>
                </c:pt>
                <c:pt idx="2243">
                  <c:v>39351.0</c:v>
                </c:pt>
                <c:pt idx="2244">
                  <c:v>39350.0</c:v>
                </c:pt>
                <c:pt idx="2245">
                  <c:v>39349.0</c:v>
                </c:pt>
                <c:pt idx="2246">
                  <c:v>39346.0</c:v>
                </c:pt>
                <c:pt idx="2247">
                  <c:v>39345.0</c:v>
                </c:pt>
                <c:pt idx="2248">
                  <c:v>39344.0</c:v>
                </c:pt>
                <c:pt idx="2249">
                  <c:v>39343.0</c:v>
                </c:pt>
                <c:pt idx="2250">
                  <c:v>39342.0</c:v>
                </c:pt>
                <c:pt idx="2251">
                  <c:v>39339.0</c:v>
                </c:pt>
                <c:pt idx="2252">
                  <c:v>39338.0</c:v>
                </c:pt>
                <c:pt idx="2253">
                  <c:v>39337.0</c:v>
                </c:pt>
                <c:pt idx="2254">
                  <c:v>39336.0</c:v>
                </c:pt>
                <c:pt idx="2255">
                  <c:v>39335.0</c:v>
                </c:pt>
                <c:pt idx="2256">
                  <c:v>39332.0</c:v>
                </c:pt>
                <c:pt idx="2257">
                  <c:v>39331.0</c:v>
                </c:pt>
                <c:pt idx="2258">
                  <c:v>39330.0</c:v>
                </c:pt>
                <c:pt idx="2259">
                  <c:v>39329.0</c:v>
                </c:pt>
                <c:pt idx="2260">
                  <c:v>39328.0</c:v>
                </c:pt>
                <c:pt idx="2261">
                  <c:v>39325.0</c:v>
                </c:pt>
                <c:pt idx="2262">
                  <c:v>39324.0</c:v>
                </c:pt>
                <c:pt idx="2263">
                  <c:v>39323.0</c:v>
                </c:pt>
                <c:pt idx="2264">
                  <c:v>39322.0</c:v>
                </c:pt>
                <c:pt idx="2265">
                  <c:v>39321.0</c:v>
                </c:pt>
                <c:pt idx="2266">
                  <c:v>39318.0</c:v>
                </c:pt>
                <c:pt idx="2267">
                  <c:v>39317.0</c:v>
                </c:pt>
                <c:pt idx="2268">
                  <c:v>39316.0</c:v>
                </c:pt>
                <c:pt idx="2269">
                  <c:v>39315.0</c:v>
                </c:pt>
                <c:pt idx="2270">
                  <c:v>39314.0</c:v>
                </c:pt>
                <c:pt idx="2271">
                  <c:v>39311.0</c:v>
                </c:pt>
                <c:pt idx="2272">
                  <c:v>39310.0</c:v>
                </c:pt>
                <c:pt idx="2273">
                  <c:v>39309.0</c:v>
                </c:pt>
                <c:pt idx="2274">
                  <c:v>39308.0</c:v>
                </c:pt>
                <c:pt idx="2275">
                  <c:v>39307.0</c:v>
                </c:pt>
                <c:pt idx="2276">
                  <c:v>39304.0</c:v>
                </c:pt>
                <c:pt idx="2277">
                  <c:v>39303.0</c:v>
                </c:pt>
                <c:pt idx="2278">
                  <c:v>39302.0</c:v>
                </c:pt>
                <c:pt idx="2279">
                  <c:v>39301.0</c:v>
                </c:pt>
                <c:pt idx="2280">
                  <c:v>39300.0</c:v>
                </c:pt>
                <c:pt idx="2281">
                  <c:v>39297.0</c:v>
                </c:pt>
                <c:pt idx="2282">
                  <c:v>39296.0</c:v>
                </c:pt>
                <c:pt idx="2283">
                  <c:v>39295.0</c:v>
                </c:pt>
                <c:pt idx="2284">
                  <c:v>39294.0</c:v>
                </c:pt>
                <c:pt idx="2285">
                  <c:v>39293.0</c:v>
                </c:pt>
                <c:pt idx="2286">
                  <c:v>39290.0</c:v>
                </c:pt>
                <c:pt idx="2287">
                  <c:v>39289.0</c:v>
                </c:pt>
                <c:pt idx="2288">
                  <c:v>39288.0</c:v>
                </c:pt>
                <c:pt idx="2289">
                  <c:v>39287.0</c:v>
                </c:pt>
                <c:pt idx="2290">
                  <c:v>39286.0</c:v>
                </c:pt>
                <c:pt idx="2291">
                  <c:v>39283.0</c:v>
                </c:pt>
                <c:pt idx="2292">
                  <c:v>39282.0</c:v>
                </c:pt>
                <c:pt idx="2293">
                  <c:v>39281.0</c:v>
                </c:pt>
                <c:pt idx="2294">
                  <c:v>39280.0</c:v>
                </c:pt>
                <c:pt idx="2295">
                  <c:v>39279.0</c:v>
                </c:pt>
                <c:pt idx="2296">
                  <c:v>39276.0</c:v>
                </c:pt>
                <c:pt idx="2297">
                  <c:v>39275.0</c:v>
                </c:pt>
                <c:pt idx="2298">
                  <c:v>39274.0</c:v>
                </c:pt>
                <c:pt idx="2299">
                  <c:v>39273.0</c:v>
                </c:pt>
                <c:pt idx="2300">
                  <c:v>39272.0</c:v>
                </c:pt>
                <c:pt idx="2301">
                  <c:v>39269.0</c:v>
                </c:pt>
                <c:pt idx="2302">
                  <c:v>39268.0</c:v>
                </c:pt>
                <c:pt idx="2303">
                  <c:v>39267.0</c:v>
                </c:pt>
                <c:pt idx="2304">
                  <c:v>39266.0</c:v>
                </c:pt>
                <c:pt idx="2305">
                  <c:v>39265.0</c:v>
                </c:pt>
                <c:pt idx="2306">
                  <c:v>39262.0</c:v>
                </c:pt>
                <c:pt idx="2307">
                  <c:v>39261.0</c:v>
                </c:pt>
                <c:pt idx="2308">
                  <c:v>39260.0</c:v>
                </c:pt>
                <c:pt idx="2309">
                  <c:v>39259.0</c:v>
                </c:pt>
                <c:pt idx="2310">
                  <c:v>39258.0</c:v>
                </c:pt>
                <c:pt idx="2311">
                  <c:v>39255.0</c:v>
                </c:pt>
                <c:pt idx="2312">
                  <c:v>39254.0</c:v>
                </c:pt>
                <c:pt idx="2313">
                  <c:v>39253.0</c:v>
                </c:pt>
                <c:pt idx="2314">
                  <c:v>39252.0</c:v>
                </c:pt>
                <c:pt idx="2315">
                  <c:v>39251.0</c:v>
                </c:pt>
                <c:pt idx="2316">
                  <c:v>39248.0</c:v>
                </c:pt>
                <c:pt idx="2317">
                  <c:v>39247.0</c:v>
                </c:pt>
                <c:pt idx="2318">
                  <c:v>39246.0</c:v>
                </c:pt>
                <c:pt idx="2319">
                  <c:v>39245.0</c:v>
                </c:pt>
                <c:pt idx="2320">
                  <c:v>39244.0</c:v>
                </c:pt>
                <c:pt idx="2321">
                  <c:v>39241.0</c:v>
                </c:pt>
                <c:pt idx="2322">
                  <c:v>39240.0</c:v>
                </c:pt>
                <c:pt idx="2323">
                  <c:v>39239.0</c:v>
                </c:pt>
                <c:pt idx="2324">
                  <c:v>39238.0</c:v>
                </c:pt>
                <c:pt idx="2325">
                  <c:v>39237.0</c:v>
                </c:pt>
                <c:pt idx="2326">
                  <c:v>39234.0</c:v>
                </c:pt>
                <c:pt idx="2327">
                  <c:v>39233.0</c:v>
                </c:pt>
                <c:pt idx="2328">
                  <c:v>39232.0</c:v>
                </c:pt>
                <c:pt idx="2329">
                  <c:v>39231.0</c:v>
                </c:pt>
                <c:pt idx="2330">
                  <c:v>39230.0</c:v>
                </c:pt>
                <c:pt idx="2331">
                  <c:v>39227.0</c:v>
                </c:pt>
                <c:pt idx="2332">
                  <c:v>39226.0</c:v>
                </c:pt>
                <c:pt idx="2333">
                  <c:v>39225.0</c:v>
                </c:pt>
                <c:pt idx="2334">
                  <c:v>39224.0</c:v>
                </c:pt>
                <c:pt idx="2335">
                  <c:v>39223.0</c:v>
                </c:pt>
                <c:pt idx="2336">
                  <c:v>39220.0</c:v>
                </c:pt>
                <c:pt idx="2337">
                  <c:v>39219.0</c:v>
                </c:pt>
                <c:pt idx="2338">
                  <c:v>39218.0</c:v>
                </c:pt>
                <c:pt idx="2339">
                  <c:v>39217.0</c:v>
                </c:pt>
                <c:pt idx="2340">
                  <c:v>39216.0</c:v>
                </c:pt>
                <c:pt idx="2341">
                  <c:v>39213.0</c:v>
                </c:pt>
                <c:pt idx="2342">
                  <c:v>39212.0</c:v>
                </c:pt>
                <c:pt idx="2343">
                  <c:v>39211.0</c:v>
                </c:pt>
                <c:pt idx="2344">
                  <c:v>39210.0</c:v>
                </c:pt>
                <c:pt idx="2345">
                  <c:v>39209.0</c:v>
                </c:pt>
                <c:pt idx="2346">
                  <c:v>39206.0</c:v>
                </c:pt>
                <c:pt idx="2347">
                  <c:v>39205.0</c:v>
                </c:pt>
                <c:pt idx="2348">
                  <c:v>39204.0</c:v>
                </c:pt>
                <c:pt idx="2349">
                  <c:v>39203.0</c:v>
                </c:pt>
                <c:pt idx="2350">
                  <c:v>39202.0</c:v>
                </c:pt>
                <c:pt idx="2351">
                  <c:v>39199.0</c:v>
                </c:pt>
                <c:pt idx="2352">
                  <c:v>39198.0</c:v>
                </c:pt>
                <c:pt idx="2353">
                  <c:v>39197.0</c:v>
                </c:pt>
                <c:pt idx="2354">
                  <c:v>39196.0</c:v>
                </c:pt>
                <c:pt idx="2355">
                  <c:v>39195.0</c:v>
                </c:pt>
                <c:pt idx="2356">
                  <c:v>39192.0</c:v>
                </c:pt>
                <c:pt idx="2357">
                  <c:v>39191.0</c:v>
                </c:pt>
                <c:pt idx="2358">
                  <c:v>39190.0</c:v>
                </c:pt>
                <c:pt idx="2359">
                  <c:v>39189.0</c:v>
                </c:pt>
                <c:pt idx="2360">
                  <c:v>39188.0</c:v>
                </c:pt>
                <c:pt idx="2361">
                  <c:v>39185.0</c:v>
                </c:pt>
                <c:pt idx="2362">
                  <c:v>39184.0</c:v>
                </c:pt>
                <c:pt idx="2363">
                  <c:v>39183.0</c:v>
                </c:pt>
                <c:pt idx="2364">
                  <c:v>39182.0</c:v>
                </c:pt>
                <c:pt idx="2365">
                  <c:v>39181.0</c:v>
                </c:pt>
                <c:pt idx="2366">
                  <c:v>39178.0</c:v>
                </c:pt>
                <c:pt idx="2367">
                  <c:v>39177.0</c:v>
                </c:pt>
                <c:pt idx="2368">
                  <c:v>39176.0</c:v>
                </c:pt>
                <c:pt idx="2369">
                  <c:v>39175.0</c:v>
                </c:pt>
                <c:pt idx="2370">
                  <c:v>39174.0</c:v>
                </c:pt>
                <c:pt idx="2371">
                  <c:v>39171.0</c:v>
                </c:pt>
                <c:pt idx="2372">
                  <c:v>39170.0</c:v>
                </c:pt>
                <c:pt idx="2373">
                  <c:v>39169.0</c:v>
                </c:pt>
                <c:pt idx="2374">
                  <c:v>39168.0</c:v>
                </c:pt>
                <c:pt idx="2375">
                  <c:v>39167.0</c:v>
                </c:pt>
                <c:pt idx="2376">
                  <c:v>39164.0</c:v>
                </c:pt>
                <c:pt idx="2377">
                  <c:v>39163.0</c:v>
                </c:pt>
                <c:pt idx="2378">
                  <c:v>39162.0</c:v>
                </c:pt>
                <c:pt idx="2379">
                  <c:v>39161.0</c:v>
                </c:pt>
                <c:pt idx="2380">
                  <c:v>39160.0</c:v>
                </c:pt>
                <c:pt idx="2381">
                  <c:v>39157.0</c:v>
                </c:pt>
                <c:pt idx="2382">
                  <c:v>39156.0</c:v>
                </c:pt>
                <c:pt idx="2383">
                  <c:v>39155.0</c:v>
                </c:pt>
                <c:pt idx="2384">
                  <c:v>39154.0</c:v>
                </c:pt>
                <c:pt idx="2385">
                  <c:v>39153.0</c:v>
                </c:pt>
                <c:pt idx="2386">
                  <c:v>39150.0</c:v>
                </c:pt>
                <c:pt idx="2387">
                  <c:v>39149.0</c:v>
                </c:pt>
                <c:pt idx="2388">
                  <c:v>39148.0</c:v>
                </c:pt>
                <c:pt idx="2389">
                  <c:v>39147.0</c:v>
                </c:pt>
                <c:pt idx="2390">
                  <c:v>39146.0</c:v>
                </c:pt>
                <c:pt idx="2391">
                  <c:v>39143.0</c:v>
                </c:pt>
                <c:pt idx="2392">
                  <c:v>39142.0</c:v>
                </c:pt>
                <c:pt idx="2393">
                  <c:v>39141.0</c:v>
                </c:pt>
                <c:pt idx="2394">
                  <c:v>39140.0</c:v>
                </c:pt>
                <c:pt idx="2395">
                  <c:v>39139.0</c:v>
                </c:pt>
                <c:pt idx="2396">
                  <c:v>39136.0</c:v>
                </c:pt>
                <c:pt idx="2397">
                  <c:v>39135.0</c:v>
                </c:pt>
                <c:pt idx="2398">
                  <c:v>39134.0</c:v>
                </c:pt>
                <c:pt idx="2399">
                  <c:v>39133.0</c:v>
                </c:pt>
                <c:pt idx="2400">
                  <c:v>39132.0</c:v>
                </c:pt>
                <c:pt idx="2401">
                  <c:v>39129.0</c:v>
                </c:pt>
                <c:pt idx="2402">
                  <c:v>39128.0</c:v>
                </c:pt>
                <c:pt idx="2403">
                  <c:v>39127.0</c:v>
                </c:pt>
                <c:pt idx="2404">
                  <c:v>39126.0</c:v>
                </c:pt>
                <c:pt idx="2405">
                  <c:v>39125.0</c:v>
                </c:pt>
                <c:pt idx="2406">
                  <c:v>39122.0</c:v>
                </c:pt>
                <c:pt idx="2407">
                  <c:v>39121.0</c:v>
                </c:pt>
                <c:pt idx="2408">
                  <c:v>39120.0</c:v>
                </c:pt>
                <c:pt idx="2409">
                  <c:v>39119.0</c:v>
                </c:pt>
                <c:pt idx="2410">
                  <c:v>39118.0</c:v>
                </c:pt>
                <c:pt idx="2411">
                  <c:v>39115.0</c:v>
                </c:pt>
                <c:pt idx="2412">
                  <c:v>39114.0</c:v>
                </c:pt>
                <c:pt idx="2413">
                  <c:v>39113.0</c:v>
                </c:pt>
                <c:pt idx="2414">
                  <c:v>39112.0</c:v>
                </c:pt>
                <c:pt idx="2415">
                  <c:v>39111.0</c:v>
                </c:pt>
                <c:pt idx="2416">
                  <c:v>39108.0</c:v>
                </c:pt>
                <c:pt idx="2417">
                  <c:v>39107.0</c:v>
                </c:pt>
                <c:pt idx="2418">
                  <c:v>39106.0</c:v>
                </c:pt>
                <c:pt idx="2419">
                  <c:v>39105.0</c:v>
                </c:pt>
                <c:pt idx="2420">
                  <c:v>39104.0</c:v>
                </c:pt>
                <c:pt idx="2421">
                  <c:v>39101.0</c:v>
                </c:pt>
                <c:pt idx="2422">
                  <c:v>39100.0</c:v>
                </c:pt>
                <c:pt idx="2423">
                  <c:v>39099.0</c:v>
                </c:pt>
                <c:pt idx="2424">
                  <c:v>39098.0</c:v>
                </c:pt>
                <c:pt idx="2425">
                  <c:v>39097.0</c:v>
                </c:pt>
                <c:pt idx="2426">
                  <c:v>39094.0</c:v>
                </c:pt>
                <c:pt idx="2427">
                  <c:v>39093.0</c:v>
                </c:pt>
                <c:pt idx="2428">
                  <c:v>39092.0</c:v>
                </c:pt>
                <c:pt idx="2429">
                  <c:v>39091.0</c:v>
                </c:pt>
                <c:pt idx="2430">
                  <c:v>39090.0</c:v>
                </c:pt>
                <c:pt idx="2431">
                  <c:v>39087.0</c:v>
                </c:pt>
                <c:pt idx="2432">
                  <c:v>39086.0</c:v>
                </c:pt>
                <c:pt idx="2433">
                  <c:v>39085.0</c:v>
                </c:pt>
                <c:pt idx="2434">
                  <c:v>39084.0</c:v>
                </c:pt>
                <c:pt idx="2435">
                  <c:v>39083.0</c:v>
                </c:pt>
                <c:pt idx="2436">
                  <c:v>39080.0</c:v>
                </c:pt>
                <c:pt idx="2437">
                  <c:v>39079.0</c:v>
                </c:pt>
                <c:pt idx="2438">
                  <c:v>39078.0</c:v>
                </c:pt>
                <c:pt idx="2439">
                  <c:v>39077.0</c:v>
                </c:pt>
                <c:pt idx="2440">
                  <c:v>39076.0</c:v>
                </c:pt>
                <c:pt idx="2441">
                  <c:v>39073.0</c:v>
                </c:pt>
                <c:pt idx="2442">
                  <c:v>39072.0</c:v>
                </c:pt>
                <c:pt idx="2443">
                  <c:v>39071.0</c:v>
                </c:pt>
                <c:pt idx="2444">
                  <c:v>39070.0</c:v>
                </c:pt>
                <c:pt idx="2445">
                  <c:v>39069.0</c:v>
                </c:pt>
                <c:pt idx="2446">
                  <c:v>39066.0</c:v>
                </c:pt>
                <c:pt idx="2447">
                  <c:v>39065.0</c:v>
                </c:pt>
                <c:pt idx="2448">
                  <c:v>39064.0</c:v>
                </c:pt>
                <c:pt idx="2449">
                  <c:v>39063.0</c:v>
                </c:pt>
                <c:pt idx="2450">
                  <c:v>39062.0</c:v>
                </c:pt>
                <c:pt idx="2451">
                  <c:v>39059.0</c:v>
                </c:pt>
                <c:pt idx="2452">
                  <c:v>39058.0</c:v>
                </c:pt>
                <c:pt idx="2453">
                  <c:v>39057.0</c:v>
                </c:pt>
                <c:pt idx="2454">
                  <c:v>39056.0</c:v>
                </c:pt>
                <c:pt idx="2455">
                  <c:v>39055.0</c:v>
                </c:pt>
                <c:pt idx="2456">
                  <c:v>39052.0</c:v>
                </c:pt>
                <c:pt idx="2457">
                  <c:v>39051.0</c:v>
                </c:pt>
                <c:pt idx="2458">
                  <c:v>39050.0</c:v>
                </c:pt>
                <c:pt idx="2459">
                  <c:v>39049.0</c:v>
                </c:pt>
                <c:pt idx="2460">
                  <c:v>39048.0</c:v>
                </c:pt>
                <c:pt idx="2461">
                  <c:v>39045.0</c:v>
                </c:pt>
                <c:pt idx="2462">
                  <c:v>39044.0</c:v>
                </c:pt>
                <c:pt idx="2463">
                  <c:v>39043.0</c:v>
                </c:pt>
                <c:pt idx="2464">
                  <c:v>39042.0</c:v>
                </c:pt>
                <c:pt idx="2465">
                  <c:v>39041.0</c:v>
                </c:pt>
                <c:pt idx="2466">
                  <c:v>39038.0</c:v>
                </c:pt>
                <c:pt idx="2467">
                  <c:v>39037.0</c:v>
                </c:pt>
                <c:pt idx="2468">
                  <c:v>39036.0</c:v>
                </c:pt>
                <c:pt idx="2469">
                  <c:v>39035.0</c:v>
                </c:pt>
                <c:pt idx="2470">
                  <c:v>39034.0</c:v>
                </c:pt>
                <c:pt idx="2471">
                  <c:v>39031.0</c:v>
                </c:pt>
                <c:pt idx="2472">
                  <c:v>39030.0</c:v>
                </c:pt>
                <c:pt idx="2473">
                  <c:v>39029.0</c:v>
                </c:pt>
                <c:pt idx="2474">
                  <c:v>39028.0</c:v>
                </c:pt>
                <c:pt idx="2475">
                  <c:v>39027.0</c:v>
                </c:pt>
                <c:pt idx="2476">
                  <c:v>39024.0</c:v>
                </c:pt>
                <c:pt idx="2477">
                  <c:v>39023.0</c:v>
                </c:pt>
                <c:pt idx="2478">
                  <c:v>39022.0</c:v>
                </c:pt>
                <c:pt idx="2479">
                  <c:v>39021.0</c:v>
                </c:pt>
                <c:pt idx="2480">
                  <c:v>39020.0</c:v>
                </c:pt>
                <c:pt idx="2481">
                  <c:v>39017.0</c:v>
                </c:pt>
                <c:pt idx="2482">
                  <c:v>39016.0</c:v>
                </c:pt>
                <c:pt idx="2483">
                  <c:v>39015.0</c:v>
                </c:pt>
                <c:pt idx="2484">
                  <c:v>39014.0</c:v>
                </c:pt>
                <c:pt idx="2485">
                  <c:v>39013.0</c:v>
                </c:pt>
                <c:pt idx="2486">
                  <c:v>39010.0</c:v>
                </c:pt>
                <c:pt idx="2487">
                  <c:v>39009.0</c:v>
                </c:pt>
                <c:pt idx="2488">
                  <c:v>39008.0</c:v>
                </c:pt>
                <c:pt idx="2489">
                  <c:v>39007.0</c:v>
                </c:pt>
                <c:pt idx="2490">
                  <c:v>39006.0</c:v>
                </c:pt>
                <c:pt idx="2491">
                  <c:v>39003.0</c:v>
                </c:pt>
                <c:pt idx="2492">
                  <c:v>39002.0</c:v>
                </c:pt>
                <c:pt idx="2493">
                  <c:v>39001.0</c:v>
                </c:pt>
                <c:pt idx="2494">
                  <c:v>39000.0</c:v>
                </c:pt>
                <c:pt idx="2495">
                  <c:v>38999.0</c:v>
                </c:pt>
                <c:pt idx="2496">
                  <c:v>38996.0</c:v>
                </c:pt>
                <c:pt idx="2497">
                  <c:v>38995.0</c:v>
                </c:pt>
                <c:pt idx="2498">
                  <c:v>38994.0</c:v>
                </c:pt>
                <c:pt idx="2499">
                  <c:v>38993.0</c:v>
                </c:pt>
                <c:pt idx="2500">
                  <c:v>38992.0</c:v>
                </c:pt>
                <c:pt idx="2501">
                  <c:v>38989.0</c:v>
                </c:pt>
                <c:pt idx="2502">
                  <c:v>38988.0</c:v>
                </c:pt>
                <c:pt idx="2503">
                  <c:v>38987.0</c:v>
                </c:pt>
                <c:pt idx="2504">
                  <c:v>38986.0</c:v>
                </c:pt>
                <c:pt idx="2505">
                  <c:v>38985.0</c:v>
                </c:pt>
                <c:pt idx="2506">
                  <c:v>38982.0</c:v>
                </c:pt>
                <c:pt idx="2507">
                  <c:v>38981.0</c:v>
                </c:pt>
                <c:pt idx="2508">
                  <c:v>38980.0</c:v>
                </c:pt>
                <c:pt idx="2509">
                  <c:v>38979.0</c:v>
                </c:pt>
                <c:pt idx="2510">
                  <c:v>38978.0</c:v>
                </c:pt>
                <c:pt idx="2511">
                  <c:v>38975.0</c:v>
                </c:pt>
                <c:pt idx="2512">
                  <c:v>38974.0</c:v>
                </c:pt>
                <c:pt idx="2513">
                  <c:v>38973.0</c:v>
                </c:pt>
                <c:pt idx="2514">
                  <c:v>38972.0</c:v>
                </c:pt>
                <c:pt idx="2515">
                  <c:v>38971.0</c:v>
                </c:pt>
                <c:pt idx="2516">
                  <c:v>38968.0</c:v>
                </c:pt>
                <c:pt idx="2517">
                  <c:v>38967.0</c:v>
                </c:pt>
                <c:pt idx="2518">
                  <c:v>38966.0</c:v>
                </c:pt>
                <c:pt idx="2519">
                  <c:v>38965.0</c:v>
                </c:pt>
                <c:pt idx="2520">
                  <c:v>38964.0</c:v>
                </c:pt>
                <c:pt idx="2521">
                  <c:v>38961.0</c:v>
                </c:pt>
                <c:pt idx="2522">
                  <c:v>38960.0</c:v>
                </c:pt>
                <c:pt idx="2523">
                  <c:v>38959.0</c:v>
                </c:pt>
                <c:pt idx="2524">
                  <c:v>38958.0</c:v>
                </c:pt>
                <c:pt idx="2525">
                  <c:v>38957.0</c:v>
                </c:pt>
                <c:pt idx="2526">
                  <c:v>38954.0</c:v>
                </c:pt>
                <c:pt idx="2527">
                  <c:v>38953.0</c:v>
                </c:pt>
                <c:pt idx="2528">
                  <c:v>38952.0</c:v>
                </c:pt>
                <c:pt idx="2529">
                  <c:v>38951.0</c:v>
                </c:pt>
                <c:pt idx="2530">
                  <c:v>38950.0</c:v>
                </c:pt>
                <c:pt idx="2531">
                  <c:v>38947.0</c:v>
                </c:pt>
                <c:pt idx="2532">
                  <c:v>38946.0</c:v>
                </c:pt>
                <c:pt idx="2533">
                  <c:v>38945.0</c:v>
                </c:pt>
                <c:pt idx="2534">
                  <c:v>38944.0</c:v>
                </c:pt>
                <c:pt idx="2535">
                  <c:v>38943.0</c:v>
                </c:pt>
                <c:pt idx="2536">
                  <c:v>38940.0</c:v>
                </c:pt>
                <c:pt idx="2537">
                  <c:v>38939.0</c:v>
                </c:pt>
                <c:pt idx="2538">
                  <c:v>38938.0</c:v>
                </c:pt>
                <c:pt idx="2539">
                  <c:v>38937.0</c:v>
                </c:pt>
                <c:pt idx="2540">
                  <c:v>38936.0</c:v>
                </c:pt>
                <c:pt idx="2541">
                  <c:v>38933.0</c:v>
                </c:pt>
                <c:pt idx="2542">
                  <c:v>38932.0</c:v>
                </c:pt>
                <c:pt idx="2543">
                  <c:v>38931.0</c:v>
                </c:pt>
                <c:pt idx="2544">
                  <c:v>38930.0</c:v>
                </c:pt>
                <c:pt idx="2545">
                  <c:v>38929.0</c:v>
                </c:pt>
                <c:pt idx="2546">
                  <c:v>38926.0</c:v>
                </c:pt>
                <c:pt idx="2547">
                  <c:v>38925.0</c:v>
                </c:pt>
                <c:pt idx="2548">
                  <c:v>38924.0</c:v>
                </c:pt>
                <c:pt idx="2549">
                  <c:v>38923.0</c:v>
                </c:pt>
                <c:pt idx="2550">
                  <c:v>38922.0</c:v>
                </c:pt>
                <c:pt idx="2551">
                  <c:v>38919.0</c:v>
                </c:pt>
                <c:pt idx="2552">
                  <c:v>38918.0</c:v>
                </c:pt>
                <c:pt idx="2553">
                  <c:v>38917.0</c:v>
                </c:pt>
                <c:pt idx="2554">
                  <c:v>38916.0</c:v>
                </c:pt>
                <c:pt idx="2555">
                  <c:v>38915.0</c:v>
                </c:pt>
                <c:pt idx="2556">
                  <c:v>38912.0</c:v>
                </c:pt>
                <c:pt idx="2557">
                  <c:v>38911.0</c:v>
                </c:pt>
                <c:pt idx="2558">
                  <c:v>38910.0</c:v>
                </c:pt>
                <c:pt idx="2559">
                  <c:v>38909.0</c:v>
                </c:pt>
                <c:pt idx="2560">
                  <c:v>38908.0</c:v>
                </c:pt>
                <c:pt idx="2561">
                  <c:v>38905.0</c:v>
                </c:pt>
                <c:pt idx="2562">
                  <c:v>38904.0</c:v>
                </c:pt>
                <c:pt idx="2563">
                  <c:v>38903.0</c:v>
                </c:pt>
                <c:pt idx="2564">
                  <c:v>38902.0</c:v>
                </c:pt>
                <c:pt idx="2565">
                  <c:v>38901.0</c:v>
                </c:pt>
                <c:pt idx="2566">
                  <c:v>38898.0</c:v>
                </c:pt>
                <c:pt idx="2567">
                  <c:v>38897.0</c:v>
                </c:pt>
                <c:pt idx="2568">
                  <c:v>38896.0</c:v>
                </c:pt>
                <c:pt idx="2569">
                  <c:v>38895.0</c:v>
                </c:pt>
                <c:pt idx="2570">
                  <c:v>38894.0</c:v>
                </c:pt>
                <c:pt idx="2571">
                  <c:v>38891.0</c:v>
                </c:pt>
                <c:pt idx="2572">
                  <c:v>38890.0</c:v>
                </c:pt>
                <c:pt idx="2573">
                  <c:v>38889.0</c:v>
                </c:pt>
                <c:pt idx="2574">
                  <c:v>38888.0</c:v>
                </c:pt>
                <c:pt idx="2575">
                  <c:v>38887.0</c:v>
                </c:pt>
                <c:pt idx="2576">
                  <c:v>38884.0</c:v>
                </c:pt>
                <c:pt idx="2577">
                  <c:v>38883.0</c:v>
                </c:pt>
                <c:pt idx="2578">
                  <c:v>38882.0</c:v>
                </c:pt>
                <c:pt idx="2579">
                  <c:v>38881.0</c:v>
                </c:pt>
                <c:pt idx="2580">
                  <c:v>38880.0</c:v>
                </c:pt>
                <c:pt idx="2581">
                  <c:v>38877.0</c:v>
                </c:pt>
                <c:pt idx="2582">
                  <c:v>38876.0</c:v>
                </c:pt>
                <c:pt idx="2583">
                  <c:v>38875.0</c:v>
                </c:pt>
                <c:pt idx="2584">
                  <c:v>38874.0</c:v>
                </c:pt>
                <c:pt idx="2585">
                  <c:v>38873.0</c:v>
                </c:pt>
                <c:pt idx="2586">
                  <c:v>38870.0</c:v>
                </c:pt>
                <c:pt idx="2587">
                  <c:v>38869.0</c:v>
                </c:pt>
                <c:pt idx="2588">
                  <c:v>38868.0</c:v>
                </c:pt>
                <c:pt idx="2589">
                  <c:v>38867.0</c:v>
                </c:pt>
                <c:pt idx="2590">
                  <c:v>38866.0</c:v>
                </c:pt>
                <c:pt idx="2591">
                  <c:v>38863.0</c:v>
                </c:pt>
                <c:pt idx="2592">
                  <c:v>38862.0</c:v>
                </c:pt>
                <c:pt idx="2593">
                  <c:v>38861.0</c:v>
                </c:pt>
                <c:pt idx="2594">
                  <c:v>38860.0</c:v>
                </c:pt>
                <c:pt idx="2595">
                  <c:v>38859.0</c:v>
                </c:pt>
                <c:pt idx="2596">
                  <c:v>38856.0</c:v>
                </c:pt>
                <c:pt idx="2597">
                  <c:v>38855.0</c:v>
                </c:pt>
                <c:pt idx="2598">
                  <c:v>38854.0</c:v>
                </c:pt>
                <c:pt idx="2599">
                  <c:v>38853.0</c:v>
                </c:pt>
                <c:pt idx="2600">
                  <c:v>38852.0</c:v>
                </c:pt>
                <c:pt idx="2601">
                  <c:v>38849.0</c:v>
                </c:pt>
                <c:pt idx="2602">
                  <c:v>38848.0</c:v>
                </c:pt>
                <c:pt idx="2603">
                  <c:v>38847.0</c:v>
                </c:pt>
                <c:pt idx="2604">
                  <c:v>38846.0</c:v>
                </c:pt>
                <c:pt idx="2605">
                  <c:v>38845.0</c:v>
                </c:pt>
                <c:pt idx="2606">
                  <c:v>38842.0</c:v>
                </c:pt>
              </c:numCache>
            </c:numRef>
          </c:cat>
          <c:val>
            <c:numRef>
              <c:f>'3f. Exchange Rate USDZAR'!$B$10:$B$2616</c:f>
              <c:numCache>
                <c:formatCode>0.00</c:formatCode>
                <c:ptCount val="2607"/>
                <c:pt idx="0">
                  <c:v>14.9047</c:v>
                </c:pt>
                <c:pt idx="1">
                  <c:v>14.5958</c:v>
                </c:pt>
                <c:pt idx="2">
                  <c:v>14.3226</c:v>
                </c:pt>
                <c:pt idx="3">
                  <c:v>14.2506</c:v>
                </c:pt>
                <c:pt idx="4">
                  <c:v>14.2742</c:v>
                </c:pt>
                <c:pt idx="5">
                  <c:v>14.5218</c:v>
                </c:pt>
                <c:pt idx="6">
                  <c:v>14.4132</c:v>
                </c:pt>
                <c:pt idx="7">
                  <c:v>14.4981</c:v>
                </c:pt>
                <c:pt idx="8">
                  <c:v>14.427</c:v>
                </c:pt>
                <c:pt idx="9">
                  <c:v>14.2876</c:v>
                </c:pt>
                <c:pt idx="10">
                  <c:v>14.2185</c:v>
                </c:pt>
                <c:pt idx="11">
                  <c:v>14.3138</c:v>
                </c:pt>
                <c:pt idx="12">
                  <c:v>14.4606</c:v>
                </c:pt>
                <c:pt idx="13">
                  <c:v>14.5674</c:v>
                </c:pt>
                <c:pt idx="14">
                  <c:v>14.5563</c:v>
                </c:pt>
                <c:pt idx="15">
                  <c:v>14.5776</c:v>
                </c:pt>
                <c:pt idx="16">
                  <c:v>14.7463</c:v>
                </c:pt>
                <c:pt idx="17">
                  <c:v>14.7045</c:v>
                </c:pt>
                <c:pt idx="18">
                  <c:v>14.9888</c:v>
                </c:pt>
                <c:pt idx="19">
                  <c:v>15.2295</c:v>
                </c:pt>
                <c:pt idx="20">
                  <c:v>15.2064</c:v>
                </c:pt>
                <c:pt idx="21">
                  <c:v>15.1367</c:v>
                </c:pt>
                <c:pt idx="22">
                  <c:v>14.7136</c:v>
                </c:pt>
                <c:pt idx="23">
                  <c:v>14.6378</c:v>
                </c:pt>
                <c:pt idx="24">
                  <c:v>14.6915</c:v>
                </c:pt>
                <c:pt idx="25">
                  <c:v>14.9482</c:v>
                </c:pt>
                <c:pt idx="26">
                  <c:v>15.2443</c:v>
                </c:pt>
                <c:pt idx="27">
                  <c:v>15.5498</c:v>
                </c:pt>
                <c:pt idx="28">
                  <c:v>15.4642</c:v>
                </c:pt>
                <c:pt idx="29">
                  <c:v>15.5344</c:v>
                </c:pt>
                <c:pt idx="30">
                  <c:v>15.3721</c:v>
                </c:pt>
                <c:pt idx="31">
                  <c:v>15.2115</c:v>
                </c:pt>
                <c:pt idx="32">
                  <c:v>15.2183</c:v>
                </c:pt>
                <c:pt idx="33">
                  <c:v>15.2684</c:v>
                </c:pt>
                <c:pt idx="34">
                  <c:v>15.1658</c:v>
                </c:pt>
                <c:pt idx="35">
                  <c:v>15.9532</c:v>
                </c:pt>
                <c:pt idx="36">
                  <c:v>15.9192</c:v>
                </c:pt>
                <c:pt idx="37">
                  <c:v>15.5431</c:v>
                </c:pt>
                <c:pt idx="38">
                  <c:v>15.2697</c:v>
                </c:pt>
                <c:pt idx="39">
                  <c:v>15.4536</c:v>
                </c:pt>
                <c:pt idx="40">
                  <c:v>15.2074</c:v>
                </c:pt>
                <c:pt idx="41">
                  <c:v>15.4142</c:v>
                </c:pt>
                <c:pt idx="42">
                  <c:v>15.2394</c:v>
                </c:pt>
                <c:pt idx="43">
                  <c:v>15.2973</c:v>
                </c:pt>
                <c:pt idx="44">
                  <c:v>15.5856</c:v>
                </c:pt>
                <c:pt idx="45">
                  <c:v>15.6195</c:v>
                </c:pt>
                <c:pt idx="46">
                  <c:v>15.5902</c:v>
                </c:pt>
                <c:pt idx="47">
                  <c:v>15.8158</c:v>
                </c:pt>
                <c:pt idx="48">
                  <c:v>16.2368</c:v>
                </c:pt>
                <c:pt idx="49">
                  <c:v>15.6523</c:v>
                </c:pt>
                <c:pt idx="50">
                  <c:v>15.6261</c:v>
                </c:pt>
                <c:pt idx="51">
                  <c:v>15.198</c:v>
                </c:pt>
                <c:pt idx="52">
                  <c:v>15.175</c:v>
                </c:pt>
                <c:pt idx="53">
                  <c:v>15.4124</c:v>
                </c:pt>
                <c:pt idx="54">
                  <c:v>15.4205</c:v>
                </c:pt>
                <c:pt idx="55">
                  <c:v>15.4771</c:v>
                </c:pt>
                <c:pt idx="56">
                  <c:v>15.7462</c:v>
                </c:pt>
                <c:pt idx="57">
                  <c:v>15.749</c:v>
                </c:pt>
                <c:pt idx="58">
                  <c:v>15.8356</c:v>
                </c:pt>
                <c:pt idx="59">
                  <c:v>15.8134</c:v>
                </c:pt>
                <c:pt idx="60">
                  <c:v>15.8493</c:v>
                </c:pt>
                <c:pt idx="61">
                  <c:v>16.0581</c:v>
                </c:pt>
                <c:pt idx="62">
                  <c:v>16.1469</c:v>
                </c:pt>
                <c:pt idx="63">
                  <c:v>15.9771</c:v>
                </c:pt>
                <c:pt idx="64">
                  <c:v>15.8752</c:v>
                </c:pt>
                <c:pt idx="65">
                  <c:v>16.1204</c:v>
                </c:pt>
                <c:pt idx="66">
                  <c:v>16.1749</c:v>
                </c:pt>
                <c:pt idx="67">
                  <c:v>15.9623</c:v>
                </c:pt>
                <c:pt idx="68">
                  <c:v>15.9083</c:v>
                </c:pt>
                <c:pt idx="69">
                  <c:v>16.168</c:v>
                </c:pt>
                <c:pt idx="70">
                  <c:v>16.3971</c:v>
                </c:pt>
                <c:pt idx="71">
                  <c:v>16.372</c:v>
                </c:pt>
                <c:pt idx="72">
                  <c:v>16.5157</c:v>
                </c:pt>
                <c:pt idx="73">
                  <c:v>16.483</c:v>
                </c:pt>
                <c:pt idx="74">
                  <c:v>16.5119</c:v>
                </c:pt>
                <c:pt idx="75">
                  <c:v>16.8787</c:v>
                </c:pt>
                <c:pt idx="76">
                  <c:v>16.7264</c:v>
                </c:pt>
                <c:pt idx="77">
                  <c:v>16.8156</c:v>
                </c:pt>
                <c:pt idx="78">
                  <c:v>16.7977</c:v>
                </c:pt>
                <c:pt idx="79">
                  <c:v>16.4593</c:v>
                </c:pt>
                <c:pt idx="80">
                  <c:v>16.4638</c:v>
                </c:pt>
                <c:pt idx="81">
                  <c:v>16.7682</c:v>
                </c:pt>
                <c:pt idx="82">
                  <c:v>16.9238</c:v>
                </c:pt>
                <c:pt idx="83">
                  <c:v>16.1761</c:v>
                </c:pt>
                <c:pt idx="84">
                  <c:v>15.9492</c:v>
                </c:pt>
                <c:pt idx="85">
                  <c:v>15.8279</c:v>
                </c:pt>
                <c:pt idx="86">
                  <c:v>15.6188</c:v>
                </c:pt>
                <c:pt idx="87">
                  <c:v>15.6028</c:v>
                </c:pt>
                <c:pt idx="88">
                  <c:v>15.4754</c:v>
                </c:pt>
                <c:pt idx="89">
                  <c:v>15.4868</c:v>
                </c:pt>
                <c:pt idx="90">
                  <c:v>15.5613</c:v>
                </c:pt>
                <c:pt idx="91">
                  <c:v>15.3056</c:v>
                </c:pt>
                <c:pt idx="92">
                  <c:v>15.3138</c:v>
                </c:pt>
                <c:pt idx="93">
                  <c:v>15.2299</c:v>
                </c:pt>
                <c:pt idx="94">
                  <c:v>15.294</c:v>
                </c:pt>
                <c:pt idx="95">
                  <c:v>15.2186</c:v>
                </c:pt>
                <c:pt idx="96">
                  <c:v>15.1922</c:v>
                </c:pt>
                <c:pt idx="97">
                  <c:v>15.1031</c:v>
                </c:pt>
                <c:pt idx="98">
                  <c:v>15.0964</c:v>
                </c:pt>
                <c:pt idx="99">
                  <c:v>15.163</c:v>
                </c:pt>
                <c:pt idx="100">
                  <c:v>15.0322</c:v>
                </c:pt>
                <c:pt idx="101">
                  <c:v>14.9421</c:v>
                </c:pt>
                <c:pt idx="102">
                  <c:v>15.1248</c:v>
                </c:pt>
                <c:pt idx="103">
                  <c:v>15.7558</c:v>
                </c:pt>
                <c:pt idx="104">
                  <c:v>15.2698</c:v>
                </c:pt>
                <c:pt idx="105">
                  <c:v>14.5936</c:v>
                </c:pt>
                <c:pt idx="106">
                  <c:v>14.5663</c:v>
                </c:pt>
                <c:pt idx="107">
                  <c:v>14.5236</c:v>
                </c:pt>
                <c:pt idx="108">
                  <c:v>14.3451</c:v>
                </c:pt>
                <c:pt idx="109">
                  <c:v>14.345</c:v>
                </c:pt>
                <c:pt idx="110">
                  <c:v>14.3688</c:v>
                </c:pt>
                <c:pt idx="111">
                  <c:v>14.4374</c:v>
                </c:pt>
                <c:pt idx="112">
                  <c:v>14.4916</c:v>
                </c:pt>
                <c:pt idx="113">
                  <c:v>14.4018</c:v>
                </c:pt>
                <c:pt idx="114">
                  <c:v>14.1374</c:v>
                </c:pt>
                <c:pt idx="115">
                  <c:v>14.0148</c:v>
                </c:pt>
                <c:pt idx="116">
                  <c:v>14.0931</c:v>
                </c:pt>
                <c:pt idx="117">
                  <c:v>13.963</c:v>
                </c:pt>
                <c:pt idx="118">
                  <c:v>14.0416</c:v>
                </c:pt>
                <c:pt idx="119">
                  <c:v>14.1936</c:v>
                </c:pt>
                <c:pt idx="120">
                  <c:v>14.2769</c:v>
                </c:pt>
                <c:pt idx="121">
                  <c:v>14.3766</c:v>
                </c:pt>
                <c:pt idx="122">
                  <c:v>14.3949</c:v>
                </c:pt>
                <c:pt idx="123">
                  <c:v>14.1917</c:v>
                </c:pt>
                <c:pt idx="124">
                  <c:v>14.2536</c:v>
                </c:pt>
                <c:pt idx="125">
                  <c:v>14.3122</c:v>
                </c:pt>
                <c:pt idx="126">
                  <c:v>14.1879</c:v>
                </c:pt>
                <c:pt idx="127">
                  <c:v>13.9071</c:v>
                </c:pt>
                <c:pt idx="128">
                  <c:v>13.9773</c:v>
                </c:pt>
                <c:pt idx="129">
                  <c:v>13.7733</c:v>
                </c:pt>
                <c:pt idx="130">
                  <c:v>13.7805</c:v>
                </c:pt>
                <c:pt idx="131">
                  <c:v>13.8246</c:v>
                </c:pt>
                <c:pt idx="132">
                  <c:v>13.8577</c:v>
                </c:pt>
                <c:pt idx="133">
                  <c:v>13.5882</c:v>
                </c:pt>
                <c:pt idx="134">
                  <c:v>13.6729</c:v>
                </c:pt>
                <c:pt idx="135">
                  <c:v>13.641</c:v>
                </c:pt>
                <c:pt idx="136">
                  <c:v>13.6513</c:v>
                </c:pt>
                <c:pt idx="137">
                  <c:v>13.4123</c:v>
                </c:pt>
                <c:pt idx="138">
                  <c:v>13.4958</c:v>
                </c:pt>
                <c:pt idx="139">
                  <c:v>13.28</c:v>
                </c:pt>
                <c:pt idx="140">
                  <c:v>13.2623</c:v>
                </c:pt>
                <c:pt idx="141">
                  <c:v>13.0833</c:v>
                </c:pt>
                <c:pt idx="142">
                  <c:v>13.0578</c:v>
                </c:pt>
                <c:pt idx="143">
                  <c:v>13.3</c:v>
                </c:pt>
                <c:pt idx="144">
                  <c:v>13.4594</c:v>
                </c:pt>
                <c:pt idx="145">
                  <c:v>13.2682</c:v>
                </c:pt>
                <c:pt idx="146">
                  <c:v>13.3446</c:v>
                </c:pt>
                <c:pt idx="147">
                  <c:v>13.3901</c:v>
                </c:pt>
                <c:pt idx="148">
                  <c:v>13.4093</c:v>
                </c:pt>
                <c:pt idx="149">
                  <c:v>13.5483</c:v>
                </c:pt>
                <c:pt idx="150">
                  <c:v>13.6125</c:v>
                </c:pt>
                <c:pt idx="151">
                  <c:v>13.7817</c:v>
                </c:pt>
                <c:pt idx="152">
                  <c:v>13.9111</c:v>
                </c:pt>
                <c:pt idx="153">
                  <c:v>13.8633</c:v>
                </c:pt>
                <c:pt idx="154">
                  <c:v>13.9855</c:v>
                </c:pt>
                <c:pt idx="155">
                  <c:v>14.0685</c:v>
                </c:pt>
                <c:pt idx="156">
                  <c:v>13.8682</c:v>
                </c:pt>
                <c:pt idx="157">
                  <c:v>13.8897</c:v>
                </c:pt>
                <c:pt idx="158">
                  <c:v>13.8526</c:v>
                </c:pt>
                <c:pt idx="159">
                  <c:v>13.6981</c:v>
                </c:pt>
                <c:pt idx="160">
                  <c:v>13.4764</c:v>
                </c:pt>
                <c:pt idx="161">
                  <c:v>13.2746</c:v>
                </c:pt>
                <c:pt idx="162">
                  <c:v>13.3635</c:v>
                </c:pt>
                <c:pt idx="163">
                  <c:v>13.2863</c:v>
                </c:pt>
                <c:pt idx="164">
                  <c:v>13.4607</c:v>
                </c:pt>
                <c:pt idx="165">
                  <c:v>13.519</c:v>
                </c:pt>
                <c:pt idx="166">
                  <c:v>13.554</c:v>
                </c:pt>
                <c:pt idx="167">
                  <c:v>13.6301</c:v>
                </c:pt>
                <c:pt idx="168">
                  <c:v>13.7109</c:v>
                </c:pt>
                <c:pt idx="169">
                  <c:v>13.7295</c:v>
                </c:pt>
                <c:pt idx="170">
                  <c:v>13.9551</c:v>
                </c:pt>
                <c:pt idx="171">
                  <c:v>13.862</c:v>
                </c:pt>
                <c:pt idx="172">
                  <c:v>13.5401</c:v>
                </c:pt>
                <c:pt idx="173">
                  <c:v>13.4429</c:v>
                </c:pt>
                <c:pt idx="174">
                  <c:v>13.4135</c:v>
                </c:pt>
                <c:pt idx="175">
                  <c:v>13.2624</c:v>
                </c:pt>
                <c:pt idx="176">
                  <c:v>13.3088</c:v>
                </c:pt>
                <c:pt idx="177">
                  <c:v>13.1312</c:v>
                </c:pt>
                <c:pt idx="178">
                  <c:v>13.1519</c:v>
                </c:pt>
                <c:pt idx="179">
                  <c:v>13.0738</c:v>
                </c:pt>
                <c:pt idx="180">
                  <c:v>13.1458</c:v>
                </c:pt>
                <c:pt idx="181">
                  <c:v>12.9387</c:v>
                </c:pt>
                <c:pt idx="182">
                  <c:v>12.8552</c:v>
                </c:pt>
                <c:pt idx="183">
                  <c:v>12.9414</c:v>
                </c:pt>
                <c:pt idx="184">
                  <c:v>12.9166</c:v>
                </c:pt>
                <c:pt idx="185">
                  <c:v>12.8939</c:v>
                </c:pt>
                <c:pt idx="186">
                  <c:v>12.7935</c:v>
                </c:pt>
                <c:pt idx="187">
                  <c:v>12.814</c:v>
                </c:pt>
                <c:pt idx="188">
                  <c:v>12.7648</c:v>
                </c:pt>
                <c:pt idx="189">
                  <c:v>12.8042</c:v>
                </c:pt>
                <c:pt idx="190">
                  <c:v>12.6523</c:v>
                </c:pt>
                <c:pt idx="191">
                  <c:v>12.629</c:v>
                </c:pt>
                <c:pt idx="192">
                  <c:v>12.7411</c:v>
                </c:pt>
                <c:pt idx="193">
                  <c:v>12.806</c:v>
                </c:pt>
                <c:pt idx="194">
                  <c:v>12.6536</c:v>
                </c:pt>
                <c:pt idx="195">
                  <c:v>12.6987</c:v>
                </c:pt>
                <c:pt idx="196">
                  <c:v>12.672</c:v>
                </c:pt>
                <c:pt idx="197">
                  <c:v>12.7298</c:v>
                </c:pt>
                <c:pt idx="198">
                  <c:v>12.503</c:v>
                </c:pt>
                <c:pt idx="199">
                  <c:v>12.5654</c:v>
                </c:pt>
                <c:pt idx="200">
                  <c:v>12.6241</c:v>
                </c:pt>
                <c:pt idx="201">
                  <c:v>12.6481</c:v>
                </c:pt>
                <c:pt idx="202">
                  <c:v>12.4456</c:v>
                </c:pt>
                <c:pt idx="203">
                  <c:v>12.4249</c:v>
                </c:pt>
                <c:pt idx="204">
                  <c:v>12.3317</c:v>
                </c:pt>
                <c:pt idx="205">
                  <c:v>12.4368</c:v>
                </c:pt>
                <c:pt idx="206">
                  <c:v>12.3405</c:v>
                </c:pt>
                <c:pt idx="207">
                  <c:v>12.3873</c:v>
                </c:pt>
                <c:pt idx="208">
                  <c:v>12.4231</c:v>
                </c:pt>
                <c:pt idx="209">
                  <c:v>12.3364</c:v>
                </c:pt>
                <c:pt idx="210">
                  <c:v>12.4409</c:v>
                </c:pt>
                <c:pt idx="211">
                  <c:v>12.4909</c:v>
                </c:pt>
                <c:pt idx="212">
                  <c:v>12.5237</c:v>
                </c:pt>
                <c:pt idx="213">
                  <c:v>12.5278</c:v>
                </c:pt>
                <c:pt idx="214">
                  <c:v>12.5232</c:v>
                </c:pt>
                <c:pt idx="215">
                  <c:v>12.3737</c:v>
                </c:pt>
                <c:pt idx="216">
                  <c:v>12.3128</c:v>
                </c:pt>
                <c:pt idx="217">
                  <c:v>12.2661</c:v>
                </c:pt>
                <c:pt idx="218">
                  <c:v>12.2471</c:v>
                </c:pt>
                <c:pt idx="219">
                  <c:v>12.1514</c:v>
                </c:pt>
                <c:pt idx="220">
                  <c:v>12.2748</c:v>
                </c:pt>
                <c:pt idx="221">
                  <c:v>12.197</c:v>
                </c:pt>
                <c:pt idx="222">
                  <c:v>12.0997</c:v>
                </c:pt>
                <c:pt idx="223">
                  <c:v>12.1255</c:v>
                </c:pt>
                <c:pt idx="224">
                  <c:v>12.2084</c:v>
                </c:pt>
                <c:pt idx="225">
                  <c:v>12.1131</c:v>
                </c:pt>
                <c:pt idx="226">
                  <c:v>12.1526</c:v>
                </c:pt>
                <c:pt idx="227">
                  <c:v>12.2068</c:v>
                </c:pt>
                <c:pt idx="228">
                  <c:v>12.3959</c:v>
                </c:pt>
                <c:pt idx="229">
                  <c:v>12.3843</c:v>
                </c:pt>
                <c:pt idx="230">
                  <c:v>12.3963</c:v>
                </c:pt>
                <c:pt idx="231">
                  <c:v>12.3843</c:v>
                </c:pt>
                <c:pt idx="232">
                  <c:v>12.3608</c:v>
                </c:pt>
                <c:pt idx="233">
                  <c:v>12.301</c:v>
                </c:pt>
                <c:pt idx="234">
                  <c:v>12.4401</c:v>
                </c:pt>
                <c:pt idx="235">
                  <c:v>12.5455</c:v>
                </c:pt>
                <c:pt idx="236">
                  <c:v>12.5794</c:v>
                </c:pt>
                <c:pt idx="237">
                  <c:v>12.3549</c:v>
                </c:pt>
                <c:pt idx="238">
                  <c:v>12.294</c:v>
                </c:pt>
                <c:pt idx="239">
                  <c:v>12.1946</c:v>
                </c:pt>
                <c:pt idx="240">
                  <c:v>12.2635</c:v>
                </c:pt>
                <c:pt idx="241">
                  <c:v>12.1556</c:v>
                </c:pt>
                <c:pt idx="242">
                  <c:v>12.1535</c:v>
                </c:pt>
                <c:pt idx="243">
                  <c:v>12.0667</c:v>
                </c:pt>
                <c:pt idx="244">
                  <c:v>12.0793</c:v>
                </c:pt>
                <c:pt idx="245">
                  <c:v>11.9438</c:v>
                </c:pt>
                <c:pt idx="246">
                  <c:v>11.8774</c:v>
                </c:pt>
                <c:pt idx="247">
                  <c:v>11.8321</c:v>
                </c:pt>
                <c:pt idx="248">
                  <c:v>11.8858</c:v>
                </c:pt>
                <c:pt idx="249">
                  <c:v>11.9201</c:v>
                </c:pt>
                <c:pt idx="250">
                  <c:v>11.8497</c:v>
                </c:pt>
                <c:pt idx="251">
                  <c:v>11.7669</c:v>
                </c:pt>
                <c:pt idx="252">
                  <c:v>11.8065</c:v>
                </c:pt>
                <c:pt idx="253">
                  <c:v>11.8794</c:v>
                </c:pt>
                <c:pt idx="254">
                  <c:v>12.0412</c:v>
                </c:pt>
                <c:pt idx="255">
                  <c:v>12.0657</c:v>
                </c:pt>
                <c:pt idx="256">
                  <c:v>11.9199</c:v>
                </c:pt>
                <c:pt idx="257">
                  <c:v>12.0204</c:v>
                </c:pt>
                <c:pt idx="258">
                  <c:v>12.0181</c:v>
                </c:pt>
                <c:pt idx="259">
                  <c:v>11.9874</c:v>
                </c:pt>
                <c:pt idx="260">
                  <c:v>12.0599</c:v>
                </c:pt>
                <c:pt idx="261">
                  <c:v>12.0724</c:v>
                </c:pt>
                <c:pt idx="262">
                  <c:v>11.9146</c:v>
                </c:pt>
                <c:pt idx="263">
                  <c:v>11.7451</c:v>
                </c:pt>
                <c:pt idx="264">
                  <c:v>11.8401</c:v>
                </c:pt>
                <c:pt idx="265">
                  <c:v>11.9732</c:v>
                </c:pt>
                <c:pt idx="266">
                  <c:v>12.1442</c:v>
                </c:pt>
                <c:pt idx="267">
                  <c:v>12.1554</c:v>
                </c:pt>
                <c:pt idx="268">
                  <c:v>12.209</c:v>
                </c:pt>
                <c:pt idx="269">
                  <c:v>12.1211</c:v>
                </c:pt>
                <c:pt idx="270">
                  <c:v>12.1001</c:v>
                </c:pt>
                <c:pt idx="271">
                  <c:v>12.0667</c:v>
                </c:pt>
                <c:pt idx="272">
                  <c:v>11.9848</c:v>
                </c:pt>
                <c:pt idx="273">
                  <c:v>12.1479</c:v>
                </c:pt>
                <c:pt idx="274">
                  <c:v>12.0091</c:v>
                </c:pt>
                <c:pt idx="275">
                  <c:v>12.1125</c:v>
                </c:pt>
                <c:pt idx="276">
                  <c:v>11.9922</c:v>
                </c:pt>
                <c:pt idx="277">
                  <c:v>11.9197</c:v>
                </c:pt>
                <c:pt idx="278">
                  <c:v>11.8042</c:v>
                </c:pt>
                <c:pt idx="279">
                  <c:v>11.8487</c:v>
                </c:pt>
                <c:pt idx="280">
                  <c:v>11.7566</c:v>
                </c:pt>
                <c:pt idx="281">
                  <c:v>11.7857</c:v>
                </c:pt>
                <c:pt idx="282">
                  <c:v>11.9581</c:v>
                </c:pt>
                <c:pt idx="283">
                  <c:v>11.9725</c:v>
                </c:pt>
                <c:pt idx="284">
                  <c:v>12.1422</c:v>
                </c:pt>
                <c:pt idx="285">
                  <c:v>12.139</c:v>
                </c:pt>
                <c:pt idx="286">
                  <c:v>12.025</c:v>
                </c:pt>
                <c:pt idx="287">
                  <c:v>11.9829</c:v>
                </c:pt>
                <c:pt idx="288">
                  <c:v>11.8533</c:v>
                </c:pt>
                <c:pt idx="289">
                  <c:v>11.7992</c:v>
                </c:pt>
                <c:pt idx="290">
                  <c:v>11.9141</c:v>
                </c:pt>
                <c:pt idx="291">
                  <c:v>12.0173</c:v>
                </c:pt>
                <c:pt idx="292">
                  <c:v>12.3306</c:v>
                </c:pt>
                <c:pt idx="293">
                  <c:v>12.3568</c:v>
                </c:pt>
                <c:pt idx="294">
                  <c:v>12.3727</c:v>
                </c:pt>
                <c:pt idx="295">
                  <c:v>12.3844</c:v>
                </c:pt>
                <c:pt idx="296">
                  <c:v>12.4609</c:v>
                </c:pt>
                <c:pt idx="297">
                  <c:v>12.2743</c:v>
                </c:pt>
                <c:pt idx="298">
                  <c:v>12.2661</c:v>
                </c:pt>
                <c:pt idx="299">
                  <c:v>12.3129</c:v>
                </c:pt>
                <c:pt idx="300">
                  <c:v>12.0835</c:v>
                </c:pt>
                <c:pt idx="301">
                  <c:v>12.053</c:v>
                </c:pt>
                <c:pt idx="302">
                  <c:v>11.8606</c:v>
                </c:pt>
                <c:pt idx="303">
                  <c:v>11.8109</c:v>
                </c:pt>
                <c:pt idx="304">
                  <c:v>11.7472</c:v>
                </c:pt>
                <c:pt idx="305">
                  <c:v>11.7708</c:v>
                </c:pt>
                <c:pt idx="306">
                  <c:v>11.6865</c:v>
                </c:pt>
                <c:pt idx="307">
                  <c:v>11.5024</c:v>
                </c:pt>
                <c:pt idx="308">
                  <c:v>11.4445</c:v>
                </c:pt>
                <c:pt idx="309">
                  <c:v>11.4878</c:v>
                </c:pt>
                <c:pt idx="310">
                  <c:v>11.6394</c:v>
                </c:pt>
                <c:pt idx="311">
                  <c:v>11.6233</c:v>
                </c:pt>
                <c:pt idx="312">
                  <c:v>11.6747</c:v>
                </c:pt>
                <c:pt idx="313">
                  <c:v>11.7092</c:v>
                </c:pt>
                <c:pt idx="314">
                  <c:v>11.6184</c:v>
                </c:pt>
                <c:pt idx="315">
                  <c:v>11.6632</c:v>
                </c:pt>
                <c:pt idx="316">
                  <c:v>11.6308</c:v>
                </c:pt>
                <c:pt idx="317">
                  <c:v>11.7197</c:v>
                </c:pt>
                <c:pt idx="318">
                  <c:v>11.8743</c:v>
                </c:pt>
                <c:pt idx="319">
                  <c:v>11.6979</c:v>
                </c:pt>
                <c:pt idx="320">
                  <c:v>11.5923</c:v>
                </c:pt>
                <c:pt idx="321">
                  <c:v>11.5265</c:v>
                </c:pt>
                <c:pt idx="322">
                  <c:v>11.2815</c:v>
                </c:pt>
                <c:pt idx="323">
                  <c:v>11.4631</c:v>
                </c:pt>
                <c:pt idx="324">
                  <c:v>11.3881</c:v>
                </c:pt>
                <c:pt idx="325">
                  <c:v>11.5229</c:v>
                </c:pt>
                <c:pt idx="326">
                  <c:v>11.6562</c:v>
                </c:pt>
                <c:pt idx="327">
                  <c:v>11.571</c:v>
                </c:pt>
                <c:pt idx="328">
                  <c:v>11.5355</c:v>
                </c:pt>
                <c:pt idx="329">
                  <c:v>11.5655</c:v>
                </c:pt>
                <c:pt idx="330">
                  <c:v>11.4386</c:v>
                </c:pt>
                <c:pt idx="331">
                  <c:v>11.4096</c:v>
                </c:pt>
                <c:pt idx="332">
                  <c:v>11.3826</c:v>
                </c:pt>
                <c:pt idx="333">
                  <c:v>11.5432</c:v>
                </c:pt>
                <c:pt idx="334">
                  <c:v>11.6035</c:v>
                </c:pt>
                <c:pt idx="335">
                  <c:v>11.6271</c:v>
                </c:pt>
                <c:pt idx="336">
                  <c:v>11.5694</c:v>
                </c:pt>
                <c:pt idx="337">
                  <c:v>11.5428</c:v>
                </c:pt>
                <c:pt idx="338">
                  <c:v>11.4359</c:v>
                </c:pt>
                <c:pt idx="339">
                  <c:v>11.5049</c:v>
                </c:pt>
                <c:pt idx="340">
                  <c:v>11.5124</c:v>
                </c:pt>
                <c:pt idx="341">
                  <c:v>11.4741</c:v>
                </c:pt>
                <c:pt idx="342">
                  <c:v>11.5597</c:v>
                </c:pt>
                <c:pt idx="343">
                  <c:v>11.716</c:v>
                </c:pt>
                <c:pt idx="344">
                  <c:v>11.702</c:v>
                </c:pt>
                <c:pt idx="345">
                  <c:v>11.719</c:v>
                </c:pt>
                <c:pt idx="346">
                  <c:v>11.6986</c:v>
                </c:pt>
                <c:pt idx="347">
                  <c:v>11.528</c:v>
                </c:pt>
                <c:pt idx="348">
                  <c:v>11.551</c:v>
                </c:pt>
                <c:pt idx="349">
                  <c:v>11.5724</c:v>
                </c:pt>
                <c:pt idx="350">
                  <c:v>11.6649</c:v>
                </c:pt>
                <c:pt idx="351">
                  <c:v>11.5988</c:v>
                </c:pt>
                <c:pt idx="352">
                  <c:v>11.6419</c:v>
                </c:pt>
                <c:pt idx="353">
                  <c:v>11.6505</c:v>
                </c:pt>
                <c:pt idx="354">
                  <c:v>11.6496</c:v>
                </c:pt>
                <c:pt idx="355">
                  <c:v>11.5531</c:v>
                </c:pt>
                <c:pt idx="356">
                  <c:v>11.6121</c:v>
                </c:pt>
                <c:pt idx="357">
                  <c:v>11.5849</c:v>
                </c:pt>
                <c:pt idx="358">
                  <c:v>11.6015</c:v>
                </c:pt>
                <c:pt idx="359">
                  <c:v>11.6643</c:v>
                </c:pt>
                <c:pt idx="360">
                  <c:v>11.76</c:v>
                </c:pt>
                <c:pt idx="361">
                  <c:v>11.6015</c:v>
                </c:pt>
                <c:pt idx="362">
                  <c:v>11.6309</c:v>
                </c:pt>
                <c:pt idx="363">
                  <c:v>11.5529</c:v>
                </c:pt>
                <c:pt idx="364">
                  <c:v>11.4511</c:v>
                </c:pt>
                <c:pt idx="365">
                  <c:v>11.5554</c:v>
                </c:pt>
                <c:pt idx="366">
                  <c:v>11.3409</c:v>
                </c:pt>
                <c:pt idx="367">
                  <c:v>11.183</c:v>
                </c:pt>
                <c:pt idx="368">
                  <c:v>11.2219</c:v>
                </c:pt>
                <c:pt idx="369">
                  <c:v>11.1378</c:v>
                </c:pt>
                <c:pt idx="370">
                  <c:v>10.9764</c:v>
                </c:pt>
                <c:pt idx="371">
                  <c:v>11.0751</c:v>
                </c:pt>
                <c:pt idx="372">
                  <c:v>10.9828</c:v>
                </c:pt>
                <c:pt idx="373">
                  <c:v>10.9627</c:v>
                </c:pt>
                <c:pt idx="374">
                  <c:v>10.9472</c:v>
                </c:pt>
                <c:pt idx="375">
                  <c:v>11.0401</c:v>
                </c:pt>
                <c:pt idx="376">
                  <c:v>10.9609</c:v>
                </c:pt>
                <c:pt idx="377">
                  <c:v>10.9573</c:v>
                </c:pt>
                <c:pt idx="378">
                  <c:v>11.0543</c:v>
                </c:pt>
                <c:pt idx="379">
                  <c:v>11.035</c:v>
                </c:pt>
                <c:pt idx="380">
                  <c:v>11.1258</c:v>
                </c:pt>
                <c:pt idx="381">
                  <c:v>11.1113</c:v>
                </c:pt>
                <c:pt idx="382">
                  <c:v>11.2179</c:v>
                </c:pt>
                <c:pt idx="383">
                  <c:v>11.1881</c:v>
                </c:pt>
                <c:pt idx="384">
                  <c:v>11.2285</c:v>
                </c:pt>
                <c:pt idx="385">
                  <c:v>11.2655</c:v>
                </c:pt>
                <c:pt idx="386">
                  <c:v>11.2705</c:v>
                </c:pt>
                <c:pt idx="387">
                  <c:v>11.268</c:v>
                </c:pt>
                <c:pt idx="388">
                  <c:v>11.1477</c:v>
                </c:pt>
                <c:pt idx="389">
                  <c:v>11.0453</c:v>
                </c:pt>
                <c:pt idx="390">
                  <c:v>11.0767</c:v>
                </c:pt>
                <c:pt idx="391">
                  <c:v>11.0319</c:v>
                </c:pt>
                <c:pt idx="392">
                  <c:v>10.8649</c:v>
                </c:pt>
                <c:pt idx="393">
                  <c:v>10.8507</c:v>
                </c:pt>
                <c:pt idx="394">
                  <c:v>10.8628</c:v>
                </c:pt>
                <c:pt idx="395">
                  <c:v>10.9428</c:v>
                </c:pt>
                <c:pt idx="396">
                  <c:v>10.9369</c:v>
                </c:pt>
                <c:pt idx="397">
                  <c:v>10.9664</c:v>
                </c:pt>
                <c:pt idx="398">
                  <c:v>10.9983</c:v>
                </c:pt>
                <c:pt idx="399">
                  <c:v>11.0252</c:v>
                </c:pt>
                <c:pt idx="400">
                  <c:v>11.0204</c:v>
                </c:pt>
                <c:pt idx="401">
                  <c:v>11.0882</c:v>
                </c:pt>
                <c:pt idx="402">
                  <c:v>11.0815</c:v>
                </c:pt>
                <c:pt idx="403">
                  <c:v>11.1005</c:v>
                </c:pt>
                <c:pt idx="404">
                  <c:v>11.0535</c:v>
                </c:pt>
                <c:pt idx="405">
                  <c:v>11.0363</c:v>
                </c:pt>
                <c:pt idx="406">
                  <c:v>11.0668</c:v>
                </c:pt>
                <c:pt idx="407">
                  <c:v>11.07</c:v>
                </c:pt>
                <c:pt idx="408">
                  <c:v>11.1743</c:v>
                </c:pt>
                <c:pt idx="409">
                  <c:v>11.1793</c:v>
                </c:pt>
                <c:pt idx="410">
                  <c:v>11.24</c:v>
                </c:pt>
                <c:pt idx="411">
                  <c:v>11.3465</c:v>
                </c:pt>
                <c:pt idx="412">
                  <c:v>11.1962</c:v>
                </c:pt>
                <c:pt idx="413">
                  <c:v>11.2686</c:v>
                </c:pt>
                <c:pt idx="414">
                  <c:v>11.297</c:v>
                </c:pt>
                <c:pt idx="415">
                  <c:v>11.273</c:v>
                </c:pt>
                <c:pt idx="416">
                  <c:v>11.2342</c:v>
                </c:pt>
                <c:pt idx="417">
                  <c:v>11.1986</c:v>
                </c:pt>
                <c:pt idx="418">
                  <c:v>11.1477</c:v>
                </c:pt>
                <c:pt idx="419">
                  <c:v>11.1392</c:v>
                </c:pt>
                <c:pt idx="420">
                  <c:v>11.1702</c:v>
                </c:pt>
                <c:pt idx="421">
                  <c:v>11.0826</c:v>
                </c:pt>
                <c:pt idx="422">
                  <c:v>11.0531</c:v>
                </c:pt>
                <c:pt idx="423">
                  <c:v>10.9556</c:v>
                </c:pt>
                <c:pt idx="424">
                  <c:v>10.898</c:v>
                </c:pt>
                <c:pt idx="425">
                  <c:v>10.9957</c:v>
                </c:pt>
                <c:pt idx="426">
                  <c:v>10.991</c:v>
                </c:pt>
                <c:pt idx="427">
                  <c:v>10.9723</c:v>
                </c:pt>
                <c:pt idx="428">
                  <c:v>10.9396</c:v>
                </c:pt>
                <c:pt idx="429">
                  <c:v>10.9269</c:v>
                </c:pt>
                <c:pt idx="430">
                  <c:v>10.7954</c:v>
                </c:pt>
                <c:pt idx="431">
                  <c:v>10.6979</c:v>
                </c:pt>
                <c:pt idx="432">
                  <c:v>10.7191</c:v>
                </c:pt>
                <c:pt idx="433">
                  <c:v>10.673</c:v>
                </c:pt>
                <c:pt idx="434">
                  <c:v>10.7431</c:v>
                </c:pt>
                <c:pt idx="435">
                  <c:v>10.6799</c:v>
                </c:pt>
                <c:pt idx="436">
                  <c:v>10.6493</c:v>
                </c:pt>
                <c:pt idx="437">
                  <c:v>10.6391</c:v>
                </c:pt>
                <c:pt idx="438">
                  <c:v>10.6122</c:v>
                </c:pt>
                <c:pt idx="439">
                  <c:v>10.6829</c:v>
                </c:pt>
                <c:pt idx="440">
                  <c:v>10.7157</c:v>
                </c:pt>
                <c:pt idx="441">
                  <c:v>10.6885</c:v>
                </c:pt>
                <c:pt idx="442">
                  <c:v>10.7016</c:v>
                </c:pt>
                <c:pt idx="443">
                  <c:v>10.698</c:v>
                </c:pt>
                <c:pt idx="444">
                  <c:v>10.6488</c:v>
                </c:pt>
                <c:pt idx="445">
                  <c:v>10.6098</c:v>
                </c:pt>
                <c:pt idx="446">
                  <c:v>10.6037</c:v>
                </c:pt>
                <c:pt idx="447">
                  <c:v>10.5479</c:v>
                </c:pt>
                <c:pt idx="448">
                  <c:v>10.5779</c:v>
                </c:pt>
                <c:pt idx="449">
                  <c:v>10.6449</c:v>
                </c:pt>
                <c:pt idx="450">
                  <c:v>10.6298</c:v>
                </c:pt>
                <c:pt idx="451">
                  <c:v>10.6833</c:v>
                </c:pt>
                <c:pt idx="452">
                  <c:v>10.7594</c:v>
                </c:pt>
                <c:pt idx="453">
                  <c:v>10.7184</c:v>
                </c:pt>
                <c:pt idx="454">
                  <c:v>10.7476</c:v>
                </c:pt>
                <c:pt idx="455">
                  <c:v>10.6888</c:v>
                </c:pt>
                <c:pt idx="456">
                  <c:v>10.7151</c:v>
                </c:pt>
                <c:pt idx="457">
                  <c:v>10.7029</c:v>
                </c:pt>
                <c:pt idx="458">
                  <c:v>10.7065</c:v>
                </c:pt>
                <c:pt idx="459">
                  <c:v>10.5913</c:v>
                </c:pt>
                <c:pt idx="460">
                  <c:v>10.5787</c:v>
                </c:pt>
                <c:pt idx="461">
                  <c:v>10.5136</c:v>
                </c:pt>
                <c:pt idx="462">
                  <c:v>10.5257</c:v>
                </c:pt>
                <c:pt idx="463">
                  <c:v>10.4955</c:v>
                </c:pt>
                <c:pt idx="464">
                  <c:v>10.5761</c:v>
                </c:pt>
                <c:pt idx="465">
                  <c:v>10.6033</c:v>
                </c:pt>
                <c:pt idx="466">
                  <c:v>10.6512</c:v>
                </c:pt>
                <c:pt idx="467">
                  <c:v>10.69</c:v>
                </c:pt>
                <c:pt idx="468">
                  <c:v>10.6689</c:v>
                </c:pt>
                <c:pt idx="469">
                  <c:v>10.6999</c:v>
                </c:pt>
                <c:pt idx="470">
                  <c:v>10.6821</c:v>
                </c:pt>
                <c:pt idx="471">
                  <c:v>10.7188</c:v>
                </c:pt>
                <c:pt idx="472">
                  <c:v>10.701</c:v>
                </c:pt>
                <c:pt idx="473">
                  <c:v>10.6978</c:v>
                </c:pt>
                <c:pt idx="474">
                  <c:v>10.692</c:v>
                </c:pt>
                <c:pt idx="475">
                  <c:v>10.7654</c:v>
                </c:pt>
                <c:pt idx="476">
                  <c:v>10.7508</c:v>
                </c:pt>
                <c:pt idx="477">
                  <c:v>10.7411</c:v>
                </c:pt>
                <c:pt idx="478">
                  <c:v>10.7669</c:v>
                </c:pt>
                <c:pt idx="479">
                  <c:v>10.6681</c:v>
                </c:pt>
                <c:pt idx="480">
                  <c:v>10.6277</c:v>
                </c:pt>
                <c:pt idx="481">
                  <c:v>10.617</c:v>
                </c:pt>
                <c:pt idx="482">
                  <c:v>10.6449</c:v>
                </c:pt>
                <c:pt idx="483">
                  <c:v>10.6164</c:v>
                </c:pt>
                <c:pt idx="484">
                  <c:v>10.6124</c:v>
                </c:pt>
                <c:pt idx="485">
                  <c:v>10.5772</c:v>
                </c:pt>
                <c:pt idx="486">
                  <c:v>10.6941</c:v>
                </c:pt>
                <c:pt idx="487">
                  <c:v>10.7204</c:v>
                </c:pt>
                <c:pt idx="488">
                  <c:v>10.7373</c:v>
                </c:pt>
                <c:pt idx="489">
                  <c:v>10.8407</c:v>
                </c:pt>
                <c:pt idx="490">
                  <c:v>10.7424</c:v>
                </c:pt>
                <c:pt idx="491">
                  <c:v>10.6772</c:v>
                </c:pt>
                <c:pt idx="492">
                  <c:v>10.6883</c:v>
                </c:pt>
                <c:pt idx="493">
                  <c:v>10.7335</c:v>
                </c:pt>
                <c:pt idx="494">
                  <c:v>10.7136</c:v>
                </c:pt>
                <c:pt idx="495">
                  <c:v>10.6465</c:v>
                </c:pt>
                <c:pt idx="496">
                  <c:v>10.5765</c:v>
                </c:pt>
                <c:pt idx="497">
                  <c:v>10.6996</c:v>
                </c:pt>
                <c:pt idx="498">
                  <c:v>10.7533</c:v>
                </c:pt>
                <c:pt idx="499">
                  <c:v>10.7394</c:v>
                </c:pt>
                <c:pt idx="500">
                  <c:v>10.6701</c:v>
                </c:pt>
                <c:pt idx="501">
                  <c:v>10.5731</c:v>
                </c:pt>
                <c:pt idx="502">
                  <c:v>10.4092</c:v>
                </c:pt>
                <c:pt idx="503">
                  <c:v>10.4697</c:v>
                </c:pt>
                <c:pt idx="504">
                  <c:v>10.4623</c:v>
                </c:pt>
                <c:pt idx="505">
                  <c:v>10.3594</c:v>
                </c:pt>
                <c:pt idx="506">
                  <c:v>10.3158</c:v>
                </c:pt>
                <c:pt idx="507">
                  <c:v>10.3292</c:v>
                </c:pt>
                <c:pt idx="508">
                  <c:v>10.4134</c:v>
                </c:pt>
                <c:pt idx="509">
                  <c:v>10.4523</c:v>
                </c:pt>
                <c:pt idx="510">
                  <c:v>10.3478</c:v>
                </c:pt>
                <c:pt idx="511">
                  <c:v>10.3463</c:v>
                </c:pt>
                <c:pt idx="512">
                  <c:v>10.4129</c:v>
                </c:pt>
                <c:pt idx="513">
                  <c:v>10.3008</c:v>
                </c:pt>
                <c:pt idx="514">
                  <c:v>10.3144</c:v>
                </c:pt>
                <c:pt idx="515">
                  <c:v>10.3628</c:v>
                </c:pt>
                <c:pt idx="516">
                  <c:v>10.3776</c:v>
                </c:pt>
                <c:pt idx="517">
                  <c:v>10.3309</c:v>
                </c:pt>
                <c:pt idx="518">
                  <c:v>10.4701</c:v>
                </c:pt>
                <c:pt idx="519">
                  <c:v>10.4783</c:v>
                </c:pt>
                <c:pt idx="520">
                  <c:v>10.5336</c:v>
                </c:pt>
                <c:pt idx="521">
                  <c:v>10.4612</c:v>
                </c:pt>
                <c:pt idx="522">
                  <c:v>10.4845</c:v>
                </c:pt>
                <c:pt idx="523">
                  <c:v>10.5277</c:v>
                </c:pt>
                <c:pt idx="524">
                  <c:v>10.5575</c:v>
                </c:pt>
                <c:pt idx="525">
                  <c:v>10.6211</c:v>
                </c:pt>
                <c:pt idx="526">
                  <c:v>10.6416</c:v>
                </c:pt>
                <c:pt idx="527">
                  <c:v>10.626</c:v>
                </c:pt>
                <c:pt idx="528">
                  <c:v>10.5957</c:v>
                </c:pt>
                <c:pt idx="529">
                  <c:v>10.5465</c:v>
                </c:pt>
                <c:pt idx="530">
                  <c:v>10.5035</c:v>
                </c:pt>
                <c:pt idx="531">
                  <c:v>10.4885</c:v>
                </c:pt>
                <c:pt idx="532">
                  <c:v>10.4948</c:v>
                </c:pt>
                <c:pt idx="533">
                  <c:v>10.555</c:v>
                </c:pt>
                <c:pt idx="534">
                  <c:v>10.587</c:v>
                </c:pt>
                <c:pt idx="535">
                  <c:v>10.5002</c:v>
                </c:pt>
                <c:pt idx="536">
                  <c:v>10.4792</c:v>
                </c:pt>
                <c:pt idx="537">
                  <c:v>10.4152</c:v>
                </c:pt>
                <c:pt idx="538">
                  <c:v>10.4614</c:v>
                </c:pt>
                <c:pt idx="539">
                  <c:v>10.4344</c:v>
                </c:pt>
                <c:pt idx="540">
                  <c:v>10.5224</c:v>
                </c:pt>
                <c:pt idx="541">
                  <c:v>10.538</c:v>
                </c:pt>
                <c:pt idx="542">
                  <c:v>10.6403</c:v>
                </c:pt>
                <c:pt idx="543">
                  <c:v>10.605</c:v>
                </c:pt>
                <c:pt idx="544">
                  <c:v>10.5669</c:v>
                </c:pt>
                <c:pt idx="545">
                  <c:v>10.5192</c:v>
                </c:pt>
                <c:pt idx="546">
                  <c:v>10.5866</c:v>
                </c:pt>
                <c:pt idx="547">
                  <c:v>10.5977</c:v>
                </c:pt>
                <c:pt idx="548">
                  <c:v>10.6777</c:v>
                </c:pt>
                <c:pt idx="549">
                  <c:v>10.7432</c:v>
                </c:pt>
                <c:pt idx="550">
                  <c:v>10.819</c:v>
                </c:pt>
                <c:pt idx="551">
                  <c:v>10.8868</c:v>
                </c:pt>
                <c:pt idx="552">
                  <c:v>10.8835</c:v>
                </c:pt>
                <c:pt idx="553">
                  <c:v>10.7666</c:v>
                </c:pt>
                <c:pt idx="554">
                  <c:v>10.7443</c:v>
                </c:pt>
                <c:pt idx="555">
                  <c:v>10.7245</c:v>
                </c:pt>
                <c:pt idx="556">
                  <c:v>10.6943</c:v>
                </c:pt>
                <c:pt idx="557">
                  <c:v>10.791</c:v>
                </c:pt>
                <c:pt idx="558">
                  <c:v>10.8271</c:v>
                </c:pt>
                <c:pt idx="559">
                  <c:v>10.8503</c:v>
                </c:pt>
                <c:pt idx="560">
                  <c:v>10.7592</c:v>
                </c:pt>
                <c:pt idx="561">
                  <c:v>10.717</c:v>
                </c:pt>
                <c:pt idx="562">
                  <c:v>10.6067</c:v>
                </c:pt>
                <c:pt idx="563">
                  <c:v>10.6747</c:v>
                </c:pt>
                <c:pt idx="564">
                  <c:v>10.788</c:v>
                </c:pt>
                <c:pt idx="565">
                  <c:v>10.8819</c:v>
                </c:pt>
                <c:pt idx="566">
                  <c:v>10.7188</c:v>
                </c:pt>
                <c:pt idx="567">
                  <c:v>10.7323</c:v>
                </c:pt>
                <c:pt idx="568">
                  <c:v>10.8394</c:v>
                </c:pt>
                <c:pt idx="569">
                  <c:v>10.7184</c:v>
                </c:pt>
                <c:pt idx="570">
                  <c:v>10.7979</c:v>
                </c:pt>
                <c:pt idx="571">
                  <c:v>10.9316</c:v>
                </c:pt>
                <c:pt idx="572">
                  <c:v>11.01</c:v>
                </c:pt>
                <c:pt idx="573">
                  <c:v>11.012</c:v>
                </c:pt>
                <c:pt idx="574">
                  <c:v>10.862</c:v>
                </c:pt>
                <c:pt idx="575">
                  <c:v>10.8287</c:v>
                </c:pt>
                <c:pt idx="576">
                  <c:v>10.8633</c:v>
                </c:pt>
                <c:pt idx="577">
                  <c:v>10.9969</c:v>
                </c:pt>
                <c:pt idx="578">
                  <c:v>11.029</c:v>
                </c:pt>
                <c:pt idx="579">
                  <c:v>10.9884</c:v>
                </c:pt>
                <c:pt idx="580">
                  <c:v>11.1383</c:v>
                </c:pt>
                <c:pt idx="581">
                  <c:v>11.0535</c:v>
                </c:pt>
                <c:pt idx="582">
                  <c:v>11.0241</c:v>
                </c:pt>
                <c:pt idx="583">
                  <c:v>11.1556</c:v>
                </c:pt>
                <c:pt idx="584">
                  <c:v>11.0776</c:v>
                </c:pt>
                <c:pt idx="585">
                  <c:v>11.2245</c:v>
                </c:pt>
                <c:pt idx="586">
                  <c:v>11.124</c:v>
                </c:pt>
                <c:pt idx="587">
                  <c:v>11.2035</c:v>
                </c:pt>
                <c:pt idx="588">
                  <c:v>11.2311</c:v>
                </c:pt>
                <c:pt idx="589">
                  <c:v>11.0735</c:v>
                </c:pt>
                <c:pt idx="590">
                  <c:v>11.1606</c:v>
                </c:pt>
                <c:pt idx="591">
                  <c:v>11.093</c:v>
                </c:pt>
                <c:pt idx="592">
                  <c:v>11.0346</c:v>
                </c:pt>
                <c:pt idx="593">
                  <c:v>10.8736</c:v>
                </c:pt>
                <c:pt idx="594">
                  <c:v>10.8566</c:v>
                </c:pt>
                <c:pt idx="595">
                  <c:v>10.8585</c:v>
                </c:pt>
                <c:pt idx="596">
                  <c:v>10.837</c:v>
                </c:pt>
                <c:pt idx="597">
                  <c:v>10.92</c:v>
                </c:pt>
                <c:pt idx="598">
                  <c:v>10.8588</c:v>
                </c:pt>
                <c:pt idx="599">
                  <c:v>10.8058</c:v>
                </c:pt>
                <c:pt idx="600">
                  <c:v>10.8168</c:v>
                </c:pt>
                <c:pt idx="601">
                  <c:v>10.6687</c:v>
                </c:pt>
                <c:pt idx="602">
                  <c:v>10.7948</c:v>
                </c:pt>
                <c:pt idx="603">
                  <c:v>10.7641</c:v>
                </c:pt>
                <c:pt idx="604">
                  <c:v>10.6348</c:v>
                </c:pt>
                <c:pt idx="605">
                  <c:v>10.6402</c:v>
                </c:pt>
                <c:pt idx="606">
                  <c:v>10.6501</c:v>
                </c:pt>
                <c:pt idx="607">
                  <c:v>10.6884</c:v>
                </c:pt>
                <c:pt idx="608">
                  <c:v>10.44</c:v>
                </c:pt>
                <c:pt idx="609">
                  <c:v>10.5206</c:v>
                </c:pt>
                <c:pt idx="610">
                  <c:v>10.4323</c:v>
                </c:pt>
                <c:pt idx="611">
                  <c:v>10.5404</c:v>
                </c:pt>
                <c:pt idx="612">
                  <c:v>10.3534</c:v>
                </c:pt>
                <c:pt idx="613">
                  <c:v>10.3325</c:v>
                </c:pt>
                <c:pt idx="614">
                  <c:v>10.3441</c:v>
                </c:pt>
                <c:pt idx="615">
                  <c:v>10.3256</c:v>
                </c:pt>
                <c:pt idx="616">
                  <c:v>10.3375</c:v>
                </c:pt>
                <c:pt idx="617">
                  <c:v>10.3776</c:v>
                </c:pt>
                <c:pt idx="618">
                  <c:v>10.3529</c:v>
                </c:pt>
                <c:pt idx="619">
                  <c:v>10.3459</c:v>
                </c:pt>
                <c:pt idx="620">
                  <c:v>10.2812</c:v>
                </c:pt>
                <c:pt idx="621">
                  <c:v>10.3329</c:v>
                </c:pt>
                <c:pt idx="622">
                  <c:v>10.429</c:v>
                </c:pt>
                <c:pt idx="623">
                  <c:v>10.381</c:v>
                </c:pt>
                <c:pt idx="624">
                  <c:v>10.3457</c:v>
                </c:pt>
                <c:pt idx="625">
                  <c:v>10.3876</c:v>
                </c:pt>
                <c:pt idx="626">
                  <c:v>10.3309</c:v>
                </c:pt>
                <c:pt idx="627">
                  <c:v>10.4519</c:v>
                </c:pt>
                <c:pt idx="628">
                  <c:v>10.4554</c:v>
                </c:pt>
                <c:pt idx="629">
                  <c:v>10.3632</c:v>
                </c:pt>
                <c:pt idx="630">
                  <c:v>10.2644</c:v>
                </c:pt>
                <c:pt idx="631">
                  <c:v>10.1891</c:v>
                </c:pt>
                <c:pt idx="632">
                  <c:v>10.1984</c:v>
                </c:pt>
                <c:pt idx="633">
                  <c:v>10.2265</c:v>
                </c:pt>
                <c:pt idx="634">
                  <c:v>10.1337</c:v>
                </c:pt>
                <c:pt idx="635">
                  <c:v>10.0808</c:v>
                </c:pt>
                <c:pt idx="636">
                  <c:v>10.0812</c:v>
                </c:pt>
                <c:pt idx="637">
                  <c:v>10.1546</c:v>
                </c:pt>
                <c:pt idx="638">
                  <c:v>10.1207</c:v>
                </c:pt>
                <c:pt idx="639">
                  <c:v>10.1871</c:v>
                </c:pt>
                <c:pt idx="640">
                  <c:v>10.127</c:v>
                </c:pt>
                <c:pt idx="641">
                  <c:v>10.1744</c:v>
                </c:pt>
                <c:pt idx="642">
                  <c:v>10.2127</c:v>
                </c:pt>
                <c:pt idx="643">
                  <c:v>10.3258</c:v>
                </c:pt>
                <c:pt idx="644">
                  <c:v>10.3887</c:v>
                </c:pt>
                <c:pt idx="645">
                  <c:v>10.3773</c:v>
                </c:pt>
                <c:pt idx="646">
                  <c:v>10.333</c:v>
                </c:pt>
                <c:pt idx="647">
                  <c:v>10.2916</c:v>
                </c:pt>
                <c:pt idx="648">
                  <c:v>10.2536</c:v>
                </c:pt>
                <c:pt idx="649">
                  <c:v>10.215</c:v>
                </c:pt>
                <c:pt idx="650">
                  <c:v>10.1277</c:v>
                </c:pt>
                <c:pt idx="651">
                  <c:v>10.1946</c:v>
                </c:pt>
                <c:pt idx="652">
                  <c:v>10.0313</c:v>
                </c:pt>
                <c:pt idx="653">
                  <c:v>9.8688</c:v>
                </c:pt>
                <c:pt idx="654">
                  <c:v>9.8882</c:v>
                </c:pt>
                <c:pt idx="655">
                  <c:v>9.84</c:v>
                </c:pt>
                <c:pt idx="656">
                  <c:v>9.8014</c:v>
                </c:pt>
                <c:pt idx="657">
                  <c:v>9.7579</c:v>
                </c:pt>
                <c:pt idx="658">
                  <c:v>9.7698</c:v>
                </c:pt>
                <c:pt idx="659">
                  <c:v>9.7216</c:v>
                </c:pt>
                <c:pt idx="660">
                  <c:v>9.847300000000001</c:v>
                </c:pt>
                <c:pt idx="661">
                  <c:v>9.763</c:v>
                </c:pt>
                <c:pt idx="662">
                  <c:v>9.8011</c:v>
                </c:pt>
                <c:pt idx="663">
                  <c:v>9.8907</c:v>
                </c:pt>
                <c:pt idx="664">
                  <c:v>9.9266</c:v>
                </c:pt>
                <c:pt idx="665">
                  <c:v>9.9399</c:v>
                </c:pt>
                <c:pt idx="666">
                  <c:v>9.9034</c:v>
                </c:pt>
                <c:pt idx="667">
                  <c:v>9.9119</c:v>
                </c:pt>
                <c:pt idx="668">
                  <c:v>10.017</c:v>
                </c:pt>
                <c:pt idx="669">
                  <c:v>9.998100000000001</c:v>
                </c:pt>
                <c:pt idx="670">
                  <c:v>9.9825</c:v>
                </c:pt>
                <c:pt idx="671">
                  <c:v>9.9828</c:v>
                </c:pt>
                <c:pt idx="672">
                  <c:v>10.0429</c:v>
                </c:pt>
                <c:pt idx="673">
                  <c:v>10.0514</c:v>
                </c:pt>
                <c:pt idx="674">
                  <c:v>10.1133</c:v>
                </c:pt>
                <c:pt idx="675">
                  <c:v>10.0458</c:v>
                </c:pt>
                <c:pt idx="676">
                  <c:v>10.0752</c:v>
                </c:pt>
                <c:pt idx="677">
                  <c:v>10.0018</c:v>
                </c:pt>
                <c:pt idx="678">
                  <c:v>9.9633</c:v>
                </c:pt>
                <c:pt idx="679">
                  <c:v>9.8416</c:v>
                </c:pt>
                <c:pt idx="680">
                  <c:v>9.8331</c:v>
                </c:pt>
                <c:pt idx="681">
                  <c:v>9.8734</c:v>
                </c:pt>
                <c:pt idx="682">
                  <c:v>9.6943</c:v>
                </c:pt>
                <c:pt idx="683">
                  <c:v>9.8096</c:v>
                </c:pt>
                <c:pt idx="684">
                  <c:v>9.805</c:v>
                </c:pt>
                <c:pt idx="685">
                  <c:v>9.8121</c:v>
                </c:pt>
                <c:pt idx="686">
                  <c:v>9.9434</c:v>
                </c:pt>
                <c:pt idx="687">
                  <c:v>9.9505</c:v>
                </c:pt>
                <c:pt idx="688">
                  <c:v>9.8898</c:v>
                </c:pt>
                <c:pt idx="689">
                  <c:v>10.0097</c:v>
                </c:pt>
                <c:pt idx="690">
                  <c:v>9.9739</c:v>
                </c:pt>
                <c:pt idx="691">
                  <c:v>10.0105</c:v>
                </c:pt>
                <c:pt idx="692">
                  <c:v>10.2519</c:v>
                </c:pt>
                <c:pt idx="693">
                  <c:v>10.2206</c:v>
                </c:pt>
                <c:pt idx="694">
                  <c:v>10.3342</c:v>
                </c:pt>
                <c:pt idx="695">
                  <c:v>10.246</c:v>
                </c:pt>
                <c:pt idx="696">
                  <c:v>10.2631</c:v>
                </c:pt>
                <c:pt idx="697">
                  <c:v>10.3393</c:v>
                </c:pt>
                <c:pt idx="698">
                  <c:v>10.3285</c:v>
                </c:pt>
                <c:pt idx="699">
                  <c:v>10.4121</c:v>
                </c:pt>
                <c:pt idx="700">
                  <c:v>10.3255</c:v>
                </c:pt>
                <c:pt idx="701">
                  <c:v>10.2195</c:v>
                </c:pt>
                <c:pt idx="702">
                  <c:v>10.2615</c:v>
                </c:pt>
                <c:pt idx="703">
                  <c:v>10.2358</c:v>
                </c:pt>
                <c:pt idx="704">
                  <c:v>10.1509</c:v>
                </c:pt>
                <c:pt idx="705">
                  <c:v>10.2059</c:v>
                </c:pt>
                <c:pt idx="706">
                  <c:v>10.0633</c:v>
                </c:pt>
                <c:pt idx="707">
                  <c:v>9.9972</c:v>
                </c:pt>
                <c:pt idx="708">
                  <c:v>9.929</c:v>
                </c:pt>
                <c:pt idx="709">
                  <c:v>9.9653</c:v>
                </c:pt>
                <c:pt idx="710">
                  <c:v>9.8485</c:v>
                </c:pt>
                <c:pt idx="711">
                  <c:v>9.7805</c:v>
                </c:pt>
                <c:pt idx="712">
                  <c:v>9.8112</c:v>
                </c:pt>
                <c:pt idx="713">
                  <c:v>9.9065</c:v>
                </c:pt>
                <c:pt idx="714">
                  <c:v>9.9261</c:v>
                </c:pt>
                <c:pt idx="715">
                  <c:v>9.854</c:v>
                </c:pt>
                <c:pt idx="716">
                  <c:v>9.8452</c:v>
                </c:pt>
                <c:pt idx="717">
                  <c:v>9.9676</c:v>
                </c:pt>
                <c:pt idx="718">
                  <c:v>9.9127</c:v>
                </c:pt>
                <c:pt idx="719">
                  <c:v>9.804</c:v>
                </c:pt>
                <c:pt idx="720">
                  <c:v>9.7773</c:v>
                </c:pt>
                <c:pt idx="721">
                  <c:v>9.7895</c:v>
                </c:pt>
                <c:pt idx="722">
                  <c:v>9.8226</c:v>
                </c:pt>
                <c:pt idx="723">
                  <c:v>9.7734</c:v>
                </c:pt>
                <c:pt idx="724">
                  <c:v>9.7023</c:v>
                </c:pt>
                <c:pt idx="725">
                  <c:v>9.8048</c:v>
                </c:pt>
                <c:pt idx="726">
                  <c:v>9.8574</c:v>
                </c:pt>
                <c:pt idx="727">
                  <c:v>9.9428</c:v>
                </c:pt>
                <c:pt idx="728">
                  <c:v>9.8161</c:v>
                </c:pt>
                <c:pt idx="729">
                  <c:v>9.8718</c:v>
                </c:pt>
                <c:pt idx="730">
                  <c:v>9.8934</c:v>
                </c:pt>
                <c:pt idx="731">
                  <c:v>9.9888</c:v>
                </c:pt>
                <c:pt idx="732">
                  <c:v>10.0582</c:v>
                </c:pt>
                <c:pt idx="733">
                  <c:v>10.0336</c:v>
                </c:pt>
                <c:pt idx="734">
                  <c:v>10.0382</c:v>
                </c:pt>
                <c:pt idx="735">
                  <c:v>10.1885</c:v>
                </c:pt>
                <c:pt idx="736">
                  <c:v>10.1789</c:v>
                </c:pt>
                <c:pt idx="737">
                  <c:v>10.0362</c:v>
                </c:pt>
                <c:pt idx="738">
                  <c:v>10.1178</c:v>
                </c:pt>
                <c:pt idx="739">
                  <c:v>9.9274</c:v>
                </c:pt>
                <c:pt idx="740">
                  <c:v>9.905</c:v>
                </c:pt>
                <c:pt idx="741">
                  <c:v>9.9326</c:v>
                </c:pt>
                <c:pt idx="742">
                  <c:v>9.9647</c:v>
                </c:pt>
                <c:pt idx="743">
                  <c:v>10.1189</c:v>
                </c:pt>
                <c:pt idx="744">
                  <c:v>10.0731</c:v>
                </c:pt>
                <c:pt idx="745">
                  <c:v>10.0963</c:v>
                </c:pt>
                <c:pt idx="746">
                  <c:v>10.175</c:v>
                </c:pt>
                <c:pt idx="747">
                  <c:v>10.2034</c:v>
                </c:pt>
                <c:pt idx="748">
                  <c:v>9.9602</c:v>
                </c:pt>
                <c:pt idx="749">
                  <c:v>9.9851</c:v>
                </c:pt>
                <c:pt idx="750">
                  <c:v>9.9174</c:v>
                </c:pt>
                <c:pt idx="751">
                  <c:v>9.9804</c:v>
                </c:pt>
                <c:pt idx="752">
                  <c:v>9.8729</c:v>
                </c:pt>
                <c:pt idx="753">
                  <c:v>10.0178</c:v>
                </c:pt>
                <c:pt idx="754">
                  <c:v>10.0618</c:v>
                </c:pt>
                <c:pt idx="755">
                  <c:v>10.1512</c:v>
                </c:pt>
                <c:pt idx="756">
                  <c:v>10.0063</c:v>
                </c:pt>
                <c:pt idx="757">
                  <c:v>9.8978</c:v>
                </c:pt>
                <c:pt idx="758">
                  <c:v>10.0271</c:v>
                </c:pt>
                <c:pt idx="759">
                  <c:v>9.8346</c:v>
                </c:pt>
                <c:pt idx="760">
                  <c:v>9.8333</c:v>
                </c:pt>
                <c:pt idx="761">
                  <c:v>10.087</c:v>
                </c:pt>
                <c:pt idx="762">
                  <c:v>10.0298</c:v>
                </c:pt>
                <c:pt idx="763">
                  <c:v>9.8331</c:v>
                </c:pt>
                <c:pt idx="764">
                  <c:v>9.7738</c:v>
                </c:pt>
                <c:pt idx="765">
                  <c:v>9.6111</c:v>
                </c:pt>
                <c:pt idx="766">
                  <c:v>9.594</c:v>
                </c:pt>
                <c:pt idx="767">
                  <c:v>9.5442</c:v>
                </c:pt>
                <c:pt idx="768">
                  <c:v>9.5527</c:v>
                </c:pt>
                <c:pt idx="769">
                  <c:v>9.5182</c:v>
                </c:pt>
                <c:pt idx="770">
                  <c:v>9.4419</c:v>
                </c:pt>
                <c:pt idx="771">
                  <c:v>9.4086</c:v>
                </c:pt>
                <c:pt idx="772">
                  <c:v>9.3128</c:v>
                </c:pt>
                <c:pt idx="773">
                  <c:v>9.2843</c:v>
                </c:pt>
                <c:pt idx="774">
                  <c:v>9.2249</c:v>
                </c:pt>
                <c:pt idx="775">
                  <c:v>9.1554</c:v>
                </c:pt>
                <c:pt idx="776">
                  <c:v>9.104200000000001</c:v>
                </c:pt>
                <c:pt idx="777">
                  <c:v>8.9802</c:v>
                </c:pt>
                <c:pt idx="778">
                  <c:v>9.0033</c:v>
                </c:pt>
                <c:pt idx="779">
                  <c:v>9.0121</c:v>
                </c:pt>
                <c:pt idx="780">
                  <c:v>8.9924</c:v>
                </c:pt>
                <c:pt idx="781">
                  <c:v>8.9159</c:v>
                </c:pt>
                <c:pt idx="782">
                  <c:v>8.9767</c:v>
                </c:pt>
                <c:pt idx="783">
                  <c:v>9.0308</c:v>
                </c:pt>
                <c:pt idx="784">
                  <c:v>8.9963</c:v>
                </c:pt>
                <c:pt idx="785">
                  <c:v>8.998200000000001</c:v>
                </c:pt>
                <c:pt idx="786">
                  <c:v>9.1135</c:v>
                </c:pt>
                <c:pt idx="787">
                  <c:v>9.0598</c:v>
                </c:pt>
                <c:pt idx="788">
                  <c:v>9.178100000000001</c:v>
                </c:pt>
                <c:pt idx="789">
                  <c:v>9.2256</c:v>
                </c:pt>
                <c:pt idx="790">
                  <c:v>9.2461</c:v>
                </c:pt>
                <c:pt idx="791">
                  <c:v>9.2503</c:v>
                </c:pt>
                <c:pt idx="792">
                  <c:v>9.185</c:v>
                </c:pt>
                <c:pt idx="793">
                  <c:v>9.1935</c:v>
                </c:pt>
                <c:pt idx="794">
                  <c:v>9.128500000000001</c:v>
                </c:pt>
                <c:pt idx="795">
                  <c:v>9.1616</c:v>
                </c:pt>
                <c:pt idx="796">
                  <c:v>8.946300000000001</c:v>
                </c:pt>
                <c:pt idx="797">
                  <c:v>8.8972</c:v>
                </c:pt>
                <c:pt idx="798">
                  <c:v>8.8851</c:v>
                </c:pt>
                <c:pt idx="799">
                  <c:v>8.919</c:v>
                </c:pt>
                <c:pt idx="800">
                  <c:v>9.0097</c:v>
                </c:pt>
                <c:pt idx="801">
                  <c:v>9.0958</c:v>
                </c:pt>
                <c:pt idx="802">
                  <c:v>9.1634</c:v>
                </c:pt>
                <c:pt idx="803">
                  <c:v>9.2179</c:v>
                </c:pt>
                <c:pt idx="804">
                  <c:v>9.214600000000001</c:v>
                </c:pt>
                <c:pt idx="805">
                  <c:v>9.1835</c:v>
                </c:pt>
                <c:pt idx="806">
                  <c:v>9.2415</c:v>
                </c:pt>
                <c:pt idx="807">
                  <c:v>9.2252</c:v>
                </c:pt>
                <c:pt idx="808">
                  <c:v>9.2668</c:v>
                </c:pt>
                <c:pt idx="809">
                  <c:v>9.2553</c:v>
                </c:pt>
                <c:pt idx="810">
                  <c:v>9.2868</c:v>
                </c:pt>
                <c:pt idx="811">
                  <c:v>9.3101</c:v>
                </c:pt>
                <c:pt idx="812">
                  <c:v>9.3155</c:v>
                </c:pt>
                <c:pt idx="813">
                  <c:v>9.2988</c:v>
                </c:pt>
                <c:pt idx="814">
                  <c:v>9.269</c:v>
                </c:pt>
                <c:pt idx="815">
                  <c:v>9.1802</c:v>
                </c:pt>
                <c:pt idx="816">
                  <c:v>9.1921</c:v>
                </c:pt>
                <c:pt idx="817">
                  <c:v>9.1758</c:v>
                </c:pt>
                <c:pt idx="818">
                  <c:v>9.248900000000001</c:v>
                </c:pt>
                <c:pt idx="819">
                  <c:v>9.1805</c:v>
                </c:pt>
                <c:pt idx="820">
                  <c:v>9.1219</c:v>
                </c:pt>
                <c:pt idx="821">
                  <c:v>9.1166</c:v>
                </c:pt>
                <c:pt idx="822">
                  <c:v>9.149100000000001</c:v>
                </c:pt>
                <c:pt idx="823">
                  <c:v>9.1381</c:v>
                </c:pt>
                <c:pt idx="824">
                  <c:v>9.0452</c:v>
                </c:pt>
                <c:pt idx="825">
                  <c:v>9.1242</c:v>
                </c:pt>
                <c:pt idx="826">
                  <c:v>9.0704</c:v>
                </c:pt>
                <c:pt idx="827">
                  <c:v>9.0068</c:v>
                </c:pt>
                <c:pt idx="828">
                  <c:v>8.8629</c:v>
                </c:pt>
                <c:pt idx="829">
                  <c:v>8.8456</c:v>
                </c:pt>
                <c:pt idx="830">
                  <c:v>8.8268</c:v>
                </c:pt>
                <c:pt idx="831">
                  <c:v>8.8647</c:v>
                </c:pt>
                <c:pt idx="832">
                  <c:v>8.8986</c:v>
                </c:pt>
                <c:pt idx="833">
                  <c:v>8.8899</c:v>
                </c:pt>
                <c:pt idx="834">
                  <c:v>8.8562</c:v>
                </c:pt>
                <c:pt idx="835">
                  <c:v>8.9012</c:v>
                </c:pt>
                <c:pt idx="836">
                  <c:v>8.8365</c:v>
                </c:pt>
                <c:pt idx="837">
                  <c:v>8.8105</c:v>
                </c:pt>
                <c:pt idx="838">
                  <c:v>8.8727</c:v>
                </c:pt>
                <c:pt idx="839">
                  <c:v>8.8884</c:v>
                </c:pt>
                <c:pt idx="840">
                  <c:v>8.911200000000001</c:v>
                </c:pt>
                <c:pt idx="841">
                  <c:v>8.8971</c:v>
                </c:pt>
                <c:pt idx="842">
                  <c:v>8.9215</c:v>
                </c:pt>
                <c:pt idx="843">
                  <c:v>8.919</c:v>
                </c:pt>
                <c:pt idx="844">
                  <c:v>8.8509</c:v>
                </c:pt>
                <c:pt idx="845">
                  <c:v>8.9151</c:v>
                </c:pt>
                <c:pt idx="846">
                  <c:v>8.8399</c:v>
                </c:pt>
                <c:pt idx="847">
                  <c:v>8.9369</c:v>
                </c:pt>
                <c:pt idx="848">
                  <c:v>9.043100000000001</c:v>
                </c:pt>
                <c:pt idx="849">
                  <c:v>9.0368</c:v>
                </c:pt>
                <c:pt idx="850">
                  <c:v>9.1126</c:v>
                </c:pt>
                <c:pt idx="851">
                  <c:v>8.9643</c:v>
                </c:pt>
                <c:pt idx="852">
                  <c:v>9.0575</c:v>
                </c:pt>
                <c:pt idx="853">
                  <c:v>9.0285</c:v>
                </c:pt>
                <c:pt idx="854">
                  <c:v>8.8632</c:v>
                </c:pt>
                <c:pt idx="855">
                  <c:v>8.8705</c:v>
                </c:pt>
                <c:pt idx="856">
                  <c:v>8.8875</c:v>
                </c:pt>
                <c:pt idx="857">
                  <c:v>8.8041</c:v>
                </c:pt>
                <c:pt idx="858">
                  <c:v>8.8023</c:v>
                </c:pt>
                <c:pt idx="859">
                  <c:v>8.8235</c:v>
                </c:pt>
                <c:pt idx="860">
                  <c:v>8.7129</c:v>
                </c:pt>
                <c:pt idx="861">
                  <c:v>8.7147</c:v>
                </c:pt>
                <c:pt idx="862">
                  <c:v>8.648</c:v>
                </c:pt>
                <c:pt idx="863">
                  <c:v>8.5871</c:v>
                </c:pt>
                <c:pt idx="864">
                  <c:v>8.5918</c:v>
                </c:pt>
                <c:pt idx="865">
                  <c:v>8.5741</c:v>
                </c:pt>
                <c:pt idx="866">
                  <c:v>8.5694</c:v>
                </c:pt>
                <c:pt idx="867">
                  <c:v>8.542300000000001</c:v>
                </c:pt>
                <c:pt idx="868">
                  <c:v>8.5278</c:v>
                </c:pt>
                <c:pt idx="869">
                  <c:v>8.4575</c:v>
                </c:pt>
                <c:pt idx="870">
                  <c:v>8.4778</c:v>
                </c:pt>
                <c:pt idx="871">
                  <c:v>8.4714</c:v>
                </c:pt>
                <c:pt idx="872">
                  <c:v>8.511</c:v>
                </c:pt>
                <c:pt idx="873">
                  <c:v>8.5663</c:v>
                </c:pt>
                <c:pt idx="874">
                  <c:v>8.5949</c:v>
                </c:pt>
                <c:pt idx="875">
                  <c:v>8.5865</c:v>
                </c:pt>
                <c:pt idx="876">
                  <c:v>8.5773</c:v>
                </c:pt>
                <c:pt idx="877">
                  <c:v>8.501</c:v>
                </c:pt>
                <c:pt idx="878">
                  <c:v>8.4746</c:v>
                </c:pt>
                <c:pt idx="879">
                  <c:v>8.4594</c:v>
                </c:pt>
                <c:pt idx="880">
                  <c:v>8.5504</c:v>
                </c:pt>
                <c:pt idx="881">
                  <c:v>8.622</c:v>
                </c:pt>
                <c:pt idx="882">
                  <c:v>8.6675</c:v>
                </c:pt>
                <c:pt idx="883">
                  <c:v>8.6266</c:v>
                </c:pt>
                <c:pt idx="884">
                  <c:v>8.6464</c:v>
                </c:pt>
                <c:pt idx="885">
                  <c:v>8.6715</c:v>
                </c:pt>
                <c:pt idx="886">
                  <c:v>8.663</c:v>
                </c:pt>
                <c:pt idx="887">
                  <c:v>8.688700000000001</c:v>
                </c:pt>
                <c:pt idx="888">
                  <c:v>8.7612</c:v>
                </c:pt>
                <c:pt idx="889">
                  <c:v>8.803</c:v>
                </c:pt>
                <c:pt idx="890">
                  <c:v>8.8595</c:v>
                </c:pt>
                <c:pt idx="891">
                  <c:v>8.8907</c:v>
                </c:pt>
                <c:pt idx="892">
                  <c:v>8.789</c:v>
                </c:pt>
                <c:pt idx="893">
                  <c:v>8.8157</c:v>
                </c:pt>
                <c:pt idx="894">
                  <c:v>8.8258</c:v>
                </c:pt>
                <c:pt idx="895">
                  <c:v>8.8761</c:v>
                </c:pt>
                <c:pt idx="896">
                  <c:v>8.8851</c:v>
                </c:pt>
                <c:pt idx="897">
                  <c:v>8.9405</c:v>
                </c:pt>
                <c:pt idx="898">
                  <c:v>8.9608</c:v>
                </c:pt>
                <c:pt idx="899">
                  <c:v>8.8608</c:v>
                </c:pt>
                <c:pt idx="900">
                  <c:v>8.8382</c:v>
                </c:pt>
                <c:pt idx="901">
                  <c:v>8.8716</c:v>
                </c:pt>
                <c:pt idx="902">
                  <c:v>8.94</c:v>
                </c:pt>
                <c:pt idx="903">
                  <c:v>8.9087</c:v>
                </c:pt>
                <c:pt idx="904">
                  <c:v>8.774800000000001</c:v>
                </c:pt>
                <c:pt idx="905">
                  <c:v>8.7486</c:v>
                </c:pt>
                <c:pt idx="906">
                  <c:v>8.7102</c:v>
                </c:pt>
                <c:pt idx="907">
                  <c:v>8.7104</c:v>
                </c:pt>
                <c:pt idx="908">
                  <c:v>8.6504</c:v>
                </c:pt>
                <c:pt idx="909">
                  <c:v>8.6257</c:v>
                </c:pt>
                <c:pt idx="910">
                  <c:v>8.7452</c:v>
                </c:pt>
                <c:pt idx="911">
                  <c:v>8.7714</c:v>
                </c:pt>
                <c:pt idx="912">
                  <c:v>8.649100000000001</c:v>
                </c:pt>
                <c:pt idx="913">
                  <c:v>8.6573</c:v>
                </c:pt>
                <c:pt idx="914">
                  <c:v>8.6435</c:v>
                </c:pt>
                <c:pt idx="915">
                  <c:v>8.6865</c:v>
                </c:pt>
                <c:pt idx="916">
                  <c:v>8.6467</c:v>
                </c:pt>
                <c:pt idx="917">
                  <c:v>8.719200000000001</c:v>
                </c:pt>
                <c:pt idx="918">
                  <c:v>8.7732</c:v>
                </c:pt>
                <c:pt idx="919">
                  <c:v>8.768800000000001</c:v>
                </c:pt>
                <c:pt idx="920">
                  <c:v>8.639200000000001</c:v>
                </c:pt>
                <c:pt idx="921">
                  <c:v>8.633800000000001</c:v>
                </c:pt>
                <c:pt idx="922">
                  <c:v>8.6294</c:v>
                </c:pt>
                <c:pt idx="923">
                  <c:v>8.5887</c:v>
                </c:pt>
                <c:pt idx="924">
                  <c:v>8.7442</c:v>
                </c:pt>
                <c:pt idx="925">
                  <c:v>8.8114</c:v>
                </c:pt>
                <c:pt idx="926">
                  <c:v>8.7447</c:v>
                </c:pt>
                <c:pt idx="927">
                  <c:v>8.6759</c:v>
                </c:pt>
                <c:pt idx="928">
                  <c:v>8.7068</c:v>
                </c:pt>
                <c:pt idx="929">
                  <c:v>8.7647</c:v>
                </c:pt>
                <c:pt idx="930">
                  <c:v>8.8525</c:v>
                </c:pt>
                <c:pt idx="931">
                  <c:v>8.7318</c:v>
                </c:pt>
                <c:pt idx="932">
                  <c:v>8.5247</c:v>
                </c:pt>
                <c:pt idx="933">
                  <c:v>8.43</c:v>
                </c:pt>
                <c:pt idx="934">
                  <c:v>8.3714</c:v>
                </c:pt>
                <c:pt idx="935">
                  <c:v>8.3675</c:v>
                </c:pt>
                <c:pt idx="936">
                  <c:v>8.2903</c:v>
                </c:pt>
                <c:pt idx="937">
                  <c:v>8.2257</c:v>
                </c:pt>
                <c:pt idx="938">
                  <c:v>8.2264</c:v>
                </c:pt>
                <c:pt idx="939">
                  <c:v>8.1808</c:v>
                </c:pt>
                <c:pt idx="940">
                  <c:v>8.2561</c:v>
                </c:pt>
                <c:pt idx="941">
                  <c:v>8.233700000000001</c:v>
                </c:pt>
                <c:pt idx="942">
                  <c:v>8.3307</c:v>
                </c:pt>
                <c:pt idx="943">
                  <c:v>8.2502</c:v>
                </c:pt>
                <c:pt idx="944">
                  <c:v>8.2021</c:v>
                </c:pt>
                <c:pt idx="945">
                  <c:v>8.2403</c:v>
                </c:pt>
                <c:pt idx="946">
                  <c:v>8.214</c:v>
                </c:pt>
                <c:pt idx="947">
                  <c:v>8.3235</c:v>
                </c:pt>
                <c:pt idx="948">
                  <c:v>8.3378</c:v>
                </c:pt>
                <c:pt idx="949">
                  <c:v>8.1539</c:v>
                </c:pt>
                <c:pt idx="950">
                  <c:v>8.1463</c:v>
                </c:pt>
                <c:pt idx="951">
                  <c:v>8.1714</c:v>
                </c:pt>
                <c:pt idx="952">
                  <c:v>8.2858</c:v>
                </c:pt>
                <c:pt idx="953">
                  <c:v>8.3943</c:v>
                </c:pt>
                <c:pt idx="954">
                  <c:v>8.411300000000001</c:v>
                </c:pt>
                <c:pt idx="955">
                  <c:v>8.4011</c:v>
                </c:pt>
                <c:pt idx="956">
                  <c:v>8.3947</c:v>
                </c:pt>
                <c:pt idx="957">
                  <c:v>8.4816</c:v>
                </c:pt>
                <c:pt idx="958">
                  <c:v>8.41</c:v>
                </c:pt>
                <c:pt idx="959">
                  <c:v>8.3854</c:v>
                </c:pt>
                <c:pt idx="960">
                  <c:v>8.4146</c:v>
                </c:pt>
                <c:pt idx="961">
                  <c:v>8.384</c:v>
                </c:pt>
                <c:pt idx="962">
                  <c:v>8.294</c:v>
                </c:pt>
                <c:pt idx="963">
                  <c:v>8.307</c:v>
                </c:pt>
                <c:pt idx="964">
                  <c:v>8.236000000000001</c:v>
                </c:pt>
                <c:pt idx="965">
                  <c:v>8.3057</c:v>
                </c:pt>
                <c:pt idx="966">
                  <c:v>8.3147</c:v>
                </c:pt>
                <c:pt idx="967">
                  <c:v>8.2202</c:v>
                </c:pt>
                <c:pt idx="968">
                  <c:v>8.222</c:v>
                </c:pt>
                <c:pt idx="969">
                  <c:v>8.1685</c:v>
                </c:pt>
                <c:pt idx="970">
                  <c:v>8.1557</c:v>
                </c:pt>
                <c:pt idx="971">
                  <c:v>8.0859</c:v>
                </c:pt>
                <c:pt idx="972">
                  <c:v>8.1062</c:v>
                </c:pt>
                <c:pt idx="973">
                  <c:v>8.103</c:v>
                </c:pt>
                <c:pt idx="974">
                  <c:v>8.1322</c:v>
                </c:pt>
                <c:pt idx="975">
                  <c:v>8.1448</c:v>
                </c:pt>
                <c:pt idx="976">
                  <c:v>8.1333</c:v>
                </c:pt>
                <c:pt idx="977">
                  <c:v>8.374</c:v>
                </c:pt>
                <c:pt idx="978">
                  <c:v>8.26</c:v>
                </c:pt>
                <c:pt idx="979">
                  <c:v>8.2623</c:v>
                </c:pt>
                <c:pt idx="980">
                  <c:v>8.210100000000001</c:v>
                </c:pt>
                <c:pt idx="981">
                  <c:v>8.1938</c:v>
                </c:pt>
                <c:pt idx="982">
                  <c:v>8.2657</c:v>
                </c:pt>
                <c:pt idx="983">
                  <c:v>8.45</c:v>
                </c:pt>
                <c:pt idx="984">
                  <c:v>8.539</c:v>
                </c:pt>
                <c:pt idx="985">
                  <c:v>8.4457</c:v>
                </c:pt>
                <c:pt idx="986">
                  <c:v>8.2851</c:v>
                </c:pt>
                <c:pt idx="987">
                  <c:v>8.1683</c:v>
                </c:pt>
                <c:pt idx="988">
                  <c:v>8.1546</c:v>
                </c:pt>
                <c:pt idx="989">
                  <c:v>8.200100000000001</c:v>
                </c:pt>
                <c:pt idx="990">
                  <c:v>8.2228</c:v>
                </c:pt>
                <c:pt idx="991">
                  <c:v>8.268000000000001</c:v>
                </c:pt>
                <c:pt idx="992">
                  <c:v>8.3414</c:v>
                </c:pt>
                <c:pt idx="993">
                  <c:v>8.2458</c:v>
                </c:pt>
                <c:pt idx="994">
                  <c:v>8.1896</c:v>
                </c:pt>
                <c:pt idx="995">
                  <c:v>8.2536</c:v>
                </c:pt>
                <c:pt idx="996">
                  <c:v>8.2574</c:v>
                </c:pt>
                <c:pt idx="997">
                  <c:v>8.1264</c:v>
                </c:pt>
                <c:pt idx="998">
                  <c:v>8.138</c:v>
                </c:pt>
                <c:pt idx="999">
                  <c:v>8.0865</c:v>
                </c:pt>
                <c:pt idx="1000">
                  <c:v>8.1714</c:v>
                </c:pt>
                <c:pt idx="1001">
                  <c:v>8.1878</c:v>
                </c:pt>
                <c:pt idx="1002">
                  <c:v>8.4359</c:v>
                </c:pt>
                <c:pt idx="1003">
                  <c:v>8.4074</c:v>
                </c:pt>
                <c:pt idx="1004">
                  <c:v>8.4498</c:v>
                </c:pt>
                <c:pt idx="1005">
                  <c:v>8.4972</c:v>
                </c:pt>
                <c:pt idx="1006">
                  <c:v>8.4087</c:v>
                </c:pt>
                <c:pt idx="1007">
                  <c:v>8.3413</c:v>
                </c:pt>
                <c:pt idx="1008">
                  <c:v>8.202</c:v>
                </c:pt>
                <c:pt idx="1009">
                  <c:v>8.2</c:v>
                </c:pt>
                <c:pt idx="1010">
                  <c:v>8.3291</c:v>
                </c:pt>
                <c:pt idx="1011">
                  <c:v>8.3548</c:v>
                </c:pt>
                <c:pt idx="1012">
                  <c:v>8.408</c:v>
                </c:pt>
                <c:pt idx="1013">
                  <c:v>8.3605</c:v>
                </c:pt>
                <c:pt idx="1014">
                  <c:v>8.4371</c:v>
                </c:pt>
                <c:pt idx="1015">
                  <c:v>8.448600000000001</c:v>
                </c:pt>
                <c:pt idx="1016">
                  <c:v>8.4215</c:v>
                </c:pt>
                <c:pt idx="1017">
                  <c:v>8.3305</c:v>
                </c:pt>
                <c:pt idx="1018">
                  <c:v>8.3139</c:v>
                </c:pt>
                <c:pt idx="1019">
                  <c:v>8.4553</c:v>
                </c:pt>
                <c:pt idx="1020">
                  <c:v>8.5085</c:v>
                </c:pt>
                <c:pt idx="1021">
                  <c:v>8.6057</c:v>
                </c:pt>
                <c:pt idx="1022">
                  <c:v>8.5033</c:v>
                </c:pt>
                <c:pt idx="1023">
                  <c:v>8.5</c:v>
                </c:pt>
                <c:pt idx="1024">
                  <c:v>8.349</c:v>
                </c:pt>
                <c:pt idx="1025">
                  <c:v>8.3493</c:v>
                </c:pt>
                <c:pt idx="1026">
                  <c:v>8.3799</c:v>
                </c:pt>
                <c:pt idx="1027">
                  <c:v>8.3741</c:v>
                </c:pt>
                <c:pt idx="1028">
                  <c:v>8.4358</c:v>
                </c:pt>
                <c:pt idx="1029">
                  <c:v>8.274000000000001</c:v>
                </c:pt>
                <c:pt idx="1030">
                  <c:v>8.2701</c:v>
                </c:pt>
                <c:pt idx="1031">
                  <c:v>8.334300000000001</c:v>
                </c:pt>
                <c:pt idx="1032">
                  <c:v>8.3215</c:v>
                </c:pt>
                <c:pt idx="1033">
                  <c:v>8.2816</c:v>
                </c:pt>
                <c:pt idx="1034">
                  <c:v>8.2776</c:v>
                </c:pt>
                <c:pt idx="1035">
                  <c:v>8.1661</c:v>
                </c:pt>
                <c:pt idx="1036">
                  <c:v>8.0886</c:v>
                </c:pt>
                <c:pt idx="1037">
                  <c:v>8.004200000000001</c:v>
                </c:pt>
                <c:pt idx="1038">
                  <c:v>8.0026</c:v>
                </c:pt>
                <c:pt idx="1039">
                  <c:v>7.9151</c:v>
                </c:pt>
                <c:pt idx="1040">
                  <c:v>7.8131</c:v>
                </c:pt>
                <c:pt idx="1041">
                  <c:v>7.8199</c:v>
                </c:pt>
                <c:pt idx="1042">
                  <c:v>7.7219</c:v>
                </c:pt>
                <c:pt idx="1043">
                  <c:v>7.7442</c:v>
                </c:pt>
                <c:pt idx="1044">
                  <c:v>7.7251</c:v>
                </c:pt>
                <c:pt idx="1045">
                  <c:v>7.7861</c:v>
                </c:pt>
                <c:pt idx="1046">
                  <c:v>7.7565</c:v>
                </c:pt>
                <c:pt idx="1047">
                  <c:v>7.7841</c:v>
                </c:pt>
                <c:pt idx="1048">
                  <c:v>7.7611</c:v>
                </c:pt>
                <c:pt idx="1049">
                  <c:v>7.8119</c:v>
                </c:pt>
                <c:pt idx="1050">
                  <c:v>7.8647</c:v>
                </c:pt>
                <c:pt idx="1051">
                  <c:v>7.802799999999999</c:v>
                </c:pt>
                <c:pt idx="1052">
                  <c:v>7.8602</c:v>
                </c:pt>
                <c:pt idx="1053">
                  <c:v>7.8189</c:v>
                </c:pt>
                <c:pt idx="1054">
                  <c:v>7.7946</c:v>
                </c:pt>
                <c:pt idx="1055">
                  <c:v>7.9518</c:v>
                </c:pt>
                <c:pt idx="1056">
                  <c:v>7.9392</c:v>
                </c:pt>
                <c:pt idx="1057">
                  <c:v>7.8968</c:v>
                </c:pt>
                <c:pt idx="1058">
                  <c:v>7.9793</c:v>
                </c:pt>
                <c:pt idx="1059">
                  <c:v>8.0085</c:v>
                </c:pt>
                <c:pt idx="1060">
                  <c:v>7.8745</c:v>
                </c:pt>
                <c:pt idx="1061">
                  <c:v>7.885</c:v>
                </c:pt>
                <c:pt idx="1062">
                  <c:v>7.8383</c:v>
                </c:pt>
                <c:pt idx="1063">
                  <c:v>7.8221</c:v>
                </c:pt>
                <c:pt idx="1064">
                  <c:v>7.7025</c:v>
                </c:pt>
                <c:pt idx="1065">
                  <c:v>7.6339</c:v>
                </c:pt>
                <c:pt idx="1066">
                  <c:v>7.6456</c:v>
                </c:pt>
                <c:pt idx="1067">
                  <c:v>7.7458</c:v>
                </c:pt>
                <c:pt idx="1068">
                  <c:v>7.688</c:v>
                </c:pt>
                <c:pt idx="1069">
                  <c:v>7.594</c:v>
                </c:pt>
                <c:pt idx="1070">
                  <c:v>7.5898</c:v>
                </c:pt>
                <c:pt idx="1071">
                  <c:v>7.6827</c:v>
                </c:pt>
                <c:pt idx="1072">
                  <c:v>7.7128</c:v>
                </c:pt>
                <c:pt idx="1073">
                  <c:v>7.6571</c:v>
                </c:pt>
                <c:pt idx="1074">
                  <c:v>7.6101</c:v>
                </c:pt>
                <c:pt idx="1075">
                  <c:v>7.5239</c:v>
                </c:pt>
                <c:pt idx="1076">
                  <c:v>7.5753</c:v>
                </c:pt>
                <c:pt idx="1077">
                  <c:v>7.6171</c:v>
                </c:pt>
                <c:pt idx="1078">
                  <c:v>7.7297</c:v>
                </c:pt>
                <c:pt idx="1079">
                  <c:v>7.5399</c:v>
                </c:pt>
                <c:pt idx="1080">
                  <c:v>7.5544</c:v>
                </c:pt>
                <c:pt idx="1081">
                  <c:v>7.5344</c:v>
                </c:pt>
                <c:pt idx="1082">
                  <c:v>7.5191</c:v>
                </c:pt>
                <c:pt idx="1083">
                  <c:v>7.6181</c:v>
                </c:pt>
                <c:pt idx="1084">
                  <c:v>7.6603</c:v>
                </c:pt>
                <c:pt idx="1085">
                  <c:v>7.555</c:v>
                </c:pt>
                <c:pt idx="1086">
                  <c:v>7.5169</c:v>
                </c:pt>
                <c:pt idx="1087">
                  <c:v>7.4578</c:v>
                </c:pt>
                <c:pt idx="1088">
                  <c:v>7.4531</c:v>
                </c:pt>
                <c:pt idx="1089">
                  <c:v>7.534</c:v>
                </c:pt>
                <c:pt idx="1090">
                  <c:v>7.538</c:v>
                </c:pt>
                <c:pt idx="1091">
                  <c:v>7.591</c:v>
                </c:pt>
                <c:pt idx="1092">
                  <c:v>7.6809</c:v>
                </c:pt>
                <c:pt idx="1093">
                  <c:v>7.7356</c:v>
                </c:pt>
                <c:pt idx="1094">
                  <c:v>7.7226</c:v>
                </c:pt>
                <c:pt idx="1095">
                  <c:v>7.6652</c:v>
                </c:pt>
                <c:pt idx="1096">
                  <c:v>7.7487</c:v>
                </c:pt>
                <c:pt idx="1097">
                  <c:v>7.7824</c:v>
                </c:pt>
                <c:pt idx="1098">
                  <c:v>7.7326</c:v>
                </c:pt>
                <c:pt idx="1099">
                  <c:v>7.7455</c:v>
                </c:pt>
                <c:pt idx="1100">
                  <c:v>7.6967</c:v>
                </c:pt>
                <c:pt idx="1101">
                  <c:v>7.7465</c:v>
                </c:pt>
                <c:pt idx="1102">
                  <c:v>7.6036</c:v>
                </c:pt>
                <c:pt idx="1103">
                  <c:v>7.5803</c:v>
                </c:pt>
                <c:pt idx="1104">
                  <c:v>7.5607</c:v>
                </c:pt>
                <c:pt idx="1105">
                  <c:v>7.5574</c:v>
                </c:pt>
                <c:pt idx="1106">
                  <c:v>7.5563</c:v>
                </c:pt>
                <c:pt idx="1107">
                  <c:v>7.64</c:v>
                </c:pt>
                <c:pt idx="1108">
                  <c:v>7.6735</c:v>
                </c:pt>
                <c:pt idx="1109">
                  <c:v>7.812</c:v>
                </c:pt>
                <c:pt idx="1110">
                  <c:v>7.8543</c:v>
                </c:pt>
                <c:pt idx="1111">
                  <c:v>7.7723</c:v>
                </c:pt>
                <c:pt idx="1112">
                  <c:v>7.7895</c:v>
                </c:pt>
                <c:pt idx="1113">
                  <c:v>7.9731</c:v>
                </c:pt>
                <c:pt idx="1114">
                  <c:v>7.9367</c:v>
                </c:pt>
                <c:pt idx="1115">
                  <c:v>7.9331</c:v>
                </c:pt>
                <c:pt idx="1116">
                  <c:v>7.9434</c:v>
                </c:pt>
                <c:pt idx="1117">
                  <c:v>7.9044</c:v>
                </c:pt>
                <c:pt idx="1118">
                  <c:v>7.9926</c:v>
                </c:pt>
                <c:pt idx="1119">
                  <c:v>8.0494</c:v>
                </c:pt>
                <c:pt idx="1120">
                  <c:v>8.1082</c:v>
                </c:pt>
                <c:pt idx="1121">
                  <c:v>8.1451</c:v>
                </c:pt>
                <c:pt idx="1122">
                  <c:v>8.0468</c:v>
                </c:pt>
                <c:pt idx="1123">
                  <c:v>8.1158</c:v>
                </c:pt>
                <c:pt idx="1124">
                  <c:v>8.1076</c:v>
                </c:pt>
                <c:pt idx="1125">
                  <c:v>8.1828</c:v>
                </c:pt>
                <c:pt idx="1126">
                  <c:v>8.1609</c:v>
                </c:pt>
                <c:pt idx="1127">
                  <c:v>8.1724</c:v>
                </c:pt>
                <c:pt idx="1128">
                  <c:v>8.1312</c:v>
                </c:pt>
                <c:pt idx="1129">
                  <c:v>8.0307</c:v>
                </c:pt>
                <c:pt idx="1130">
                  <c:v>8.0766</c:v>
                </c:pt>
                <c:pt idx="1131">
                  <c:v>8.0751</c:v>
                </c:pt>
                <c:pt idx="1132">
                  <c:v>8.185</c:v>
                </c:pt>
                <c:pt idx="1133">
                  <c:v>8.1932</c:v>
                </c:pt>
                <c:pt idx="1134">
                  <c:v>8.1409</c:v>
                </c:pt>
                <c:pt idx="1135">
                  <c:v>8.161</c:v>
                </c:pt>
                <c:pt idx="1136">
                  <c:v>8.1368</c:v>
                </c:pt>
                <c:pt idx="1137">
                  <c:v>8.1695</c:v>
                </c:pt>
                <c:pt idx="1138">
                  <c:v>8.263</c:v>
                </c:pt>
                <c:pt idx="1139">
                  <c:v>8.210000000000001</c:v>
                </c:pt>
                <c:pt idx="1140">
                  <c:v>8.3923</c:v>
                </c:pt>
                <c:pt idx="1141">
                  <c:v>8.3827</c:v>
                </c:pt>
                <c:pt idx="1142">
                  <c:v>8.4046</c:v>
                </c:pt>
                <c:pt idx="1143">
                  <c:v>8.434900000000001</c:v>
                </c:pt>
                <c:pt idx="1144">
                  <c:v>8.292</c:v>
                </c:pt>
                <c:pt idx="1145">
                  <c:v>8.2647</c:v>
                </c:pt>
                <c:pt idx="1146">
                  <c:v>8.116</c:v>
                </c:pt>
                <c:pt idx="1147">
                  <c:v>8.2675</c:v>
                </c:pt>
                <c:pt idx="1148">
                  <c:v>8.0225</c:v>
                </c:pt>
                <c:pt idx="1149">
                  <c:v>8.029</c:v>
                </c:pt>
                <c:pt idx="1150">
                  <c:v>8.006</c:v>
                </c:pt>
                <c:pt idx="1151">
                  <c:v>8.0569</c:v>
                </c:pt>
                <c:pt idx="1152">
                  <c:v>8.0928</c:v>
                </c:pt>
                <c:pt idx="1153">
                  <c:v>8.132</c:v>
                </c:pt>
                <c:pt idx="1154">
                  <c:v>8.3535</c:v>
                </c:pt>
                <c:pt idx="1155">
                  <c:v>8.3929</c:v>
                </c:pt>
                <c:pt idx="1156">
                  <c:v>8.5412</c:v>
                </c:pt>
                <c:pt idx="1157">
                  <c:v>8.4825</c:v>
                </c:pt>
                <c:pt idx="1158">
                  <c:v>8.5295</c:v>
                </c:pt>
                <c:pt idx="1159">
                  <c:v>8.3775</c:v>
                </c:pt>
                <c:pt idx="1160">
                  <c:v>8.328</c:v>
                </c:pt>
                <c:pt idx="1161">
                  <c:v>8.219</c:v>
                </c:pt>
                <c:pt idx="1162">
                  <c:v>8.2278</c:v>
                </c:pt>
                <c:pt idx="1163">
                  <c:v>8.1519</c:v>
                </c:pt>
                <c:pt idx="1164">
                  <c:v>8.1749</c:v>
                </c:pt>
                <c:pt idx="1165">
                  <c:v>8.0214</c:v>
                </c:pt>
                <c:pt idx="1166">
                  <c:v>7.9015</c:v>
                </c:pt>
                <c:pt idx="1167">
                  <c:v>7.9727</c:v>
                </c:pt>
                <c:pt idx="1168">
                  <c:v>7.9923</c:v>
                </c:pt>
                <c:pt idx="1169">
                  <c:v>7.8638</c:v>
                </c:pt>
                <c:pt idx="1170">
                  <c:v>7.967</c:v>
                </c:pt>
                <c:pt idx="1171">
                  <c:v>7.8945</c:v>
                </c:pt>
                <c:pt idx="1172">
                  <c:v>7.85</c:v>
                </c:pt>
                <c:pt idx="1173">
                  <c:v>7.9965</c:v>
                </c:pt>
                <c:pt idx="1174">
                  <c:v>8.0548</c:v>
                </c:pt>
                <c:pt idx="1175">
                  <c:v>7.8791</c:v>
                </c:pt>
                <c:pt idx="1176">
                  <c:v>7.7355</c:v>
                </c:pt>
                <c:pt idx="1177">
                  <c:v>7.7147</c:v>
                </c:pt>
                <c:pt idx="1178">
                  <c:v>8.0024</c:v>
                </c:pt>
                <c:pt idx="1179">
                  <c:v>7.9061</c:v>
                </c:pt>
                <c:pt idx="1180">
                  <c:v>7.8716</c:v>
                </c:pt>
                <c:pt idx="1181">
                  <c:v>8.0404</c:v>
                </c:pt>
                <c:pt idx="1182">
                  <c:v>8.2107</c:v>
                </c:pt>
                <c:pt idx="1183">
                  <c:v>8.016</c:v>
                </c:pt>
                <c:pt idx="1184">
                  <c:v>7.9965</c:v>
                </c:pt>
                <c:pt idx="1185">
                  <c:v>7.9616</c:v>
                </c:pt>
                <c:pt idx="1186">
                  <c:v>7.8545</c:v>
                </c:pt>
                <c:pt idx="1187">
                  <c:v>7.8965</c:v>
                </c:pt>
                <c:pt idx="1188">
                  <c:v>7.7943</c:v>
                </c:pt>
                <c:pt idx="1189">
                  <c:v>7.9157</c:v>
                </c:pt>
                <c:pt idx="1190">
                  <c:v>7.8399</c:v>
                </c:pt>
                <c:pt idx="1191">
                  <c:v>7.9722</c:v>
                </c:pt>
                <c:pt idx="1192">
                  <c:v>7.9763</c:v>
                </c:pt>
                <c:pt idx="1193">
                  <c:v>8.0205</c:v>
                </c:pt>
                <c:pt idx="1194">
                  <c:v>8.2318</c:v>
                </c:pt>
                <c:pt idx="1195">
                  <c:v>8.229900000000001</c:v>
                </c:pt>
                <c:pt idx="1196">
                  <c:v>8.0395</c:v>
                </c:pt>
                <c:pt idx="1197">
                  <c:v>7.9575</c:v>
                </c:pt>
                <c:pt idx="1198">
                  <c:v>7.81</c:v>
                </c:pt>
                <c:pt idx="1199">
                  <c:v>7.8571</c:v>
                </c:pt>
                <c:pt idx="1200">
                  <c:v>8.0996</c:v>
                </c:pt>
                <c:pt idx="1201">
                  <c:v>8.2549</c:v>
                </c:pt>
                <c:pt idx="1202">
                  <c:v>8.2515</c:v>
                </c:pt>
                <c:pt idx="1203">
                  <c:v>7.9117</c:v>
                </c:pt>
                <c:pt idx="1204">
                  <c:v>7.709</c:v>
                </c:pt>
                <c:pt idx="1205">
                  <c:v>7.7177</c:v>
                </c:pt>
                <c:pt idx="1206">
                  <c:v>7.44</c:v>
                </c:pt>
                <c:pt idx="1207">
                  <c:v>7.3768</c:v>
                </c:pt>
                <c:pt idx="1208">
                  <c:v>7.4105</c:v>
                </c:pt>
                <c:pt idx="1209">
                  <c:v>7.3038</c:v>
                </c:pt>
                <c:pt idx="1210">
                  <c:v>7.4576</c:v>
                </c:pt>
                <c:pt idx="1211">
                  <c:v>7.2737</c:v>
                </c:pt>
                <c:pt idx="1212">
                  <c:v>7.167</c:v>
                </c:pt>
                <c:pt idx="1213">
                  <c:v>7.1394</c:v>
                </c:pt>
                <c:pt idx="1214">
                  <c:v>7.1899</c:v>
                </c:pt>
                <c:pt idx="1215">
                  <c:v>7.1326</c:v>
                </c:pt>
                <c:pt idx="1216">
                  <c:v>7.0674</c:v>
                </c:pt>
                <c:pt idx="1217">
                  <c:v>6.9932</c:v>
                </c:pt>
                <c:pt idx="1218">
                  <c:v>6.9782</c:v>
                </c:pt>
                <c:pt idx="1219">
                  <c:v>7.0871</c:v>
                </c:pt>
                <c:pt idx="1220">
                  <c:v>7.0525</c:v>
                </c:pt>
                <c:pt idx="1221">
                  <c:v>7.1304</c:v>
                </c:pt>
                <c:pt idx="1222">
                  <c:v>7.226</c:v>
                </c:pt>
                <c:pt idx="1223">
                  <c:v>7.2444</c:v>
                </c:pt>
                <c:pt idx="1224">
                  <c:v>7.1755</c:v>
                </c:pt>
                <c:pt idx="1225">
                  <c:v>7.2209</c:v>
                </c:pt>
                <c:pt idx="1226">
                  <c:v>7.178</c:v>
                </c:pt>
                <c:pt idx="1227">
                  <c:v>7.2147</c:v>
                </c:pt>
                <c:pt idx="1228">
                  <c:v>7.0914</c:v>
                </c:pt>
                <c:pt idx="1229">
                  <c:v>7.1367</c:v>
                </c:pt>
                <c:pt idx="1230">
                  <c:v>7.1426</c:v>
                </c:pt>
                <c:pt idx="1231">
                  <c:v>7.168</c:v>
                </c:pt>
                <c:pt idx="1232">
                  <c:v>7.2317</c:v>
                </c:pt>
                <c:pt idx="1233">
                  <c:v>7.2722</c:v>
                </c:pt>
                <c:pt idx="1234">
                  <c:v>7.4029</c:v>
                </c:pt>
                <c:pt idx="1235">
                  <c:v>7.1166</c:v>
                </c:pt>
                <c:pt idx="1236">
                  <c:v>6.8898</c:v>
                </c:pt>
                <c:pt idx="1237">
                  <c:v>6.9225</c:v>
                </c:pt>
                <c:pt idx="1238">
                  <c:v>6.7429</c:v>
                </c:pt>
                <c:pt idx="1239">
                  <c:v>6.7673</c:v>
                </c:pt>
                <c:pt idx="1240">
                  <c:v>6.7346</c:v>
                </c:pt>
                <c:pt idx="1241">
                  <c:v>6.6988</c:v>
                </c:pt>
                <c:pt idx="1242">
                  <c:v>6.7095</c:v>
                </c:pt>
                <c:pt idx="1243">
                  <c:v>6.6703</c:v>
                </c:pt>
                <c:pt idx="1244">
                  <c:v>6.6747</c:v>
                </c:pt>
                <c:pt idx="1245">
                  <c:v>6.7643</c:v>
                </c:pt>
                <c:pt idx="1246">
                  <c:v>6.7716</c:v>
                </c:pt>
                <c:pt idx="1247">
                  <c:v>6.7785</c:v>
                </c:pt>
                <c:pt idx="1248">
                  <c:v>6.8861</c:v>
                </c:pt>
                <c:pt idx="1249">
                  <c:v>6.9444</c:v>
                </c:pt>
                <c:pt idx="1250">
                  <c:v>6.9893</c:v>
                </c:pt>
                <c:pt idx="1251">
                  <c:v>6.9026</c:v>
                </c:pt>
                <c:pt idx="1252">
                  <c:v>6.8572</c:v>
                </c:pt>
                <c:pt idx="1253">
                  <c:v>6.8223</c:v>
                </c:pt>
                <c:pt idx="1254">
                  <c:v>6.8764</c:v>
                </c:pt>
                <c:pt idx="1255">
                  <c:v>6.8335</c:v>
                </c:pt>
                <c:pt idx="1256">
                  <c:v>6.714</c:v>
                </c:pt>
                <c:pt idx="1257">
                  <c:v>6.6777</c:v>
                </c:pt>
                <c:pt idx="1258">
                  <c:v>6.736</c:v>
                </c:pt>
                <c:pt idx="1259">
                  <c:v>6.7303</c:v>
                </c:pt>
                <c:pt idx="1260">
                  <c:v>6.7191</c:v>
                </c:pt>
                <c:pt idx="1261">
                  <c:v>6.7237</c:v>
                </c:pt>
                <c:pt idx="1262">
                  <c:v>6.7602</c:v>
                </c:pt>
                <c:pt idx="1263">
                  <c:v>6.8265</c:v>
                </c:pt>
                <c:pt idx="1264">
                  <c:v>6.8415</c:v>
                </c:pt>
                <c:pt idx="1265">
                  <c:v>6.8737</c:v>
                </c:pt>
                <c:pt idx="1266">
                  <c:v>6.8993</c:v>
                </c:pt>
                <c:pt idx="1267">
                  <c:v>6.8614</c:v>
                </c:pt>
                <c:pt idx="1268">
                  <c:v>6.7586</c:v>
                </c:pt>
                <c:pt idx="1269">
                  <c:v>6.7275</c:v>
                </c:pt>
                <c:pt idx="1270">
                  <c:v>6.7798</c:v>
                </c:pt>
                <c:pt idx="1271">
                  <c:v>6.778</c:v>
                </c:pt>
                <c:pt idx="1272">
                  <c:v>6.8414</c:v>
                </c:pt>
                <c:pt idx="1273">
                  <c:v>6.843199999999999</c:v>
                </c:pt>
                <c:pt idx="1274">
                  <c:v>6.7612</c:v>
                </c:pt>
                <c:pt idx="1275">
                  <c:v>6.8022</c:v>
                </c:pt>
                <c:pt idx="1276">
                  <c:v>6.802799999999999</c:v>
                </c:pt>
                <c:pt idx="1277">
                  <c:v>6.7351</c:v>
                </c:pt>
                <c:pt idx="1278">
                  <c:v>6.7179</c:v>
                </c:pt>
                <c:pt idx="1279">
                  <c:v>6.7129</c:v>
                </c:pt>
                <c:pt idx="1280">
                  <c:v>6.7637</c:v>
                </c:pt>
                <c:pt idx="1281">
                  <c:v>6.6931</c:v>
                </c:pt>
                <c:pt idx="1282">
                  <c:v>6.7573</c:v>
                </c:pt>
                <c:pt idx="1283">
                  <c:v>6.8069</c:v>
                </c:pt>
                <c:pt idx="1284">
                  <c:v>6.8158</c:v>
                </c:pt>
                <c:pt idx="1285">
                  <c:v>6.9457</c:v>
                </c:pt>
                <c:pt idx="1286">
                  <c:v>6.9223</c:v>
                </c:pt>
                <c:pt idx="1287">
                  <c:v>6.9783</c:v>
                </c:pt>
                <c:pt idx="1288">
                  <c:v>7.0256</c:v>
                </c:pt>
                <c:pt idx="1289">
                  <c:v>6.9904</c:v>
                </c:pt>
                <c:pt idx="1290">
                  <c:v>7.0146</c:v>
                </c:pt>
                <c:pt idx="1291">
                  <c:v>6.9069</c:v>
                </c:pt>
                <c:pt idx="1292">
                  <c:v>6.8778</c:v>
                </c:pt>
                <c:pt idx="1293">
                  <c:v>6.9198</c:v>
                </c:pt>
                <c:pt idx="1294">
                  <c:v>6.983</c:v>
                </c:pt>
                <c:pt idx="1295">
                  <c:v>6.982</c:v>
                </c:pt>
                <c:pt idx="1296">
                  <c:v>7.0472</c:v>
                </c:pt>
                <c:pt idx="1297">
                  <c:v>6.9061</c:v>
                </c:pt>
                <c:pt idx="1298">
                  <c:v>6.8923</c:v>
                </c:pt>
                <c:pt idx="1299">
                  <c:v>6.771</c:v>
                </c:pt>
                <c:pt idx="1300">
                  <c:v>6.7543</c:v>
                </c:pt>
                <c:pt idx="1301">
                  <c:v>6.687</c:v>
                </c:pt>
                <c:pt idx="1302">
                  <c:v>6.7369</c:v>
                </c:pt>
                <c:pt idx="1303">
                  <c:v>6.6658</c:v>
                </c:pt>
                <c:pt idx="1304">
                  <c:v>6.6264</c:v>
                </c:pt>
                <c:pt idx="1305">
                  <c:v>6.5802</c:v>
                </c:pt>
                <c:pt idx="1306">
                  <c:v>6.5791</c:v>
                </c:pt>
                <c:pt idx="1307">
                  <c:v>6.625</c:v>
                </c:pt>
                <c:pt idx="1308">
                  <c:v>6.649599999999999</c:v>
                </c:pt>
                <c:pt idx="1309">
                  <c:v>6.6802</c:v>
                </c:pt>
                <c:pt idx="1310">
                  <c:v>6.733</c:v>
                </c:pt>
                <c:pt idx="1311">
                  <c:v>6.7076</c:v>
                </c:pt>
                <c:pt idx="1312">
                  <c:v>6.7047</c:v>
                </c:pt>
                <c:pt idx="1313">
                  <c:v>6.7996</c:v>
                </c:pt>
                <c:pt idx="1314">
                  <c:v>6.8245</c:v>
                </c:pt>
                <c:pt idx="1315">
                  <c:v>6.8648</c:v>
                </c:pt>
                <c:pt idx="1316">
                  <c:v>6.8142</c:v>
                </c:pt>
                <c:pt idx="1317">
                  <c:v>6.8495</c:v>
                </c:pt>
                <c:pt idx="1318">
                  <c:v>6.7937</c:v>
                </c:pt>
                <c:pt idx="1319">
                  <c:v>6.734199999999999</c:v>
                </c:pt>
                <c:pt idx="1320">
                  <c:v>6.6627</c:v>
                </c:pt>
                <c:pt idx="1321">
                  <c:v>6.6563</c:v>
                </c:pt>
                <c:pt idx="1322">
                  <c:v>6.6748</c:v>
                </c:pt>
                <c:pt idx="1323">
                  <c:v>6.6848</c:v>
                </c:pt>
                <c:pt idx="1324">
                  <c:v>6.721999999999999</c:v>
                </c:pt>
                <c:pt idx="1325">
                  <c:v>6.7113</c:v>
                </c:pt>
                <c:pt idx="1326">
                  <c:v>6.6948</c:v>
                </c:pt>
                <c:pt idx="1327">
                  <c:v>6.7694</c:v>
                </c:pt>
                <c:pt idx="1328">
                  <c:v>6.8029</c:v>
                </c:pt>
                <c:pt idx="1329">
                  <c:v>6.8695</c:v>
                </c:pt>
                <c:pt idx="1330">
                  <c:v>6.8636</c:v>
                </c:pt>
                <c:pt idx="1331">
                  <c:v>6.8655</c:v>
                </c:pt>
                <c:pt idx="1332">
                  <c:v>6.8629</c:v>
                </c:pt>
                <c:pt idx="1333">
                  <c:v>6.9171</c:v>
                </c:pt>
                <c:pt idx="1334">
                  <c:v>6.8951</c:v>
                </c:pt>
                <c:pt idx="1335">
                  <c:v>6.9555</c:v>
                </c:pt>
                <c:pt idx="1336">
                  <c:v>7.0022</c:v>
                </c:pt>
                <c:pt idx="1337">
                  <c:v>7.102</c:v>
                </c:pt>
                <c:pt idx="1338">
                  <c:v>7.0761</c:v>
                </c:pt>
                <c:pt idx="1339">
                  <c:v>6.987</c:v>
                </c:pt>
                <c:pt idx="1340">
                  <c:v>6.838</c:v>
                </c:pt>
                <c:pt idx="1341">
                  <c:v>6.8779</c:v>
                </c:pt>
                <c:pt idx="1342">
                  <c:v>6.9057</c:v>
                </c:pt>
                <c:pt idx="1343">
                  <c:v>6.8714</c:v>
                </c:pt>
                <c:pt idx="1344">
                  <c:v>6.8815</c:v>
                </c:pt>
                <c:pt idx="1345">
                  <c:v>6.8836</c:v>
                </c:pt>
                <c:pt idx="1346">
                  <c:v>6.8985</c:v>
                </c:pt>
                <c:pt idx="1347">
                  <c:v>6.9084</c:v>
                </c:pt>
                <c:pt idx="1348">
                  <c:v>6.8784</c:v>
                </c:pt>
                <c:pt idx="1349">
                  <c:v>6.9714</c:v>
                </c:pt>
                <c:pt idx="1350">
                  <c:v>6.9594</c:v>
                </c:pt>
                <c:pt idx="1351">
                  <c:v>7.0028</c:v>
                </c:pt>
                <c:pt idx="1352">
                  <c:v>7.065</c:v>
                </c:pt>
                <c:pt idx="1353">
                  <c:v>7.1262</c:v>
                </c:pt>
                <c:pt idx="1354">
                  <c:v>7.1587</c:v>
                </c:pt>
                <c:pt idx="1355">
                  <c:v>7.1589</c:v>
                </c:pt>
                <c:pt idx="1356">
                  <c:v>7.1325</c:v>
                </c:pt>
                <c:pt idx="1357">
                  <c:v>7.1987</c:v>
                </c:pt>
                <c:pt idx="1358">
                  <c:v>7.2478</c:v>
                </c:pt>
                <c:pt idx="1359">
                  <c:v>7.311</c:v>
                </c:pt>
                <c:pt idx="1360">
                  <c:v>7.306599999999999</c:v>
                </c:pt>
                <c:pt idx="1361">
                  <c:v>7.2956</c:v>
                </c:pt>
                <c:pt idx="1362">
                  <c:v>7.2613</c:v>
                </c:pt>
                <c:pt idx="1363">
                  <c:v>7.2235</c:v>
                </c:pt>
                <c:pt idx="1364">
                  <c:v>7.1738</c:v>
                </c:pt>
                <c:pt idx="1365">
                  <c:v>7.2614</c:v>
                </c:pt>
                <c:pt idx="1366">
                  <c:v>7.2541</c:v>
                </c:pt>
                <c:pt idx="1367">
                  <c:v>7.2753</c:v>
                </c:pt>
                <c:pt idx="1368">
                  <c:v>7.1665</c:v>
                </c:pt>
                <c:pt idx="1369">
                  <c:v>7.1249</c:v>
                </c:pt>
                <c:pt idx="1370">
                  <c:v>7.1788</c:v>
                </c:pt>
                <c:pt idx="1371">
                  <c:v>7.1642</c:v>
                </c:pt>
                <c:pt idx="1372">
                  <c:v>7.0418</c:v>
                </c:pt>
                <c:pt idx="1373">
                  <c:v>7.093</c:v>
                </c:pt>
                <c:pt idx="1374">
                  <c:v>7.0759</c:v>
                </c:pt>
                <c:pt idx="1375">
                  <c:v>7.0055</c:v>
                </c:pt>
                <c:pt idx="1376">
                  <c:v>7.0819</c:v>
                </c:pt>
                <c:pt idx="1377">
                  <c:v>7.0699</c:v>
                </c:pt>
                <c:pt idx="1378">
                  <c:v>6.9898</c:v>
                </c:pt>
                <c:pt idx="1379">
                  <c:v>6.9133</c:v>
                </c:pt>
                <c:pt idx="1380">
                  <c:v>6.8963</c:v>
                </c:pt>
                <c:pt idx="1381">
                  <c:v>6.9444</c:v>
                </c:pt>
                <c:pt idx="1382">
                  <c:v>6.8149</c:v>
                </c:pt>
                <c:pt idx="1383">
                  <c:v>6.8325</c:v>
                </c:pt>
                <c:pt idx="1384">
                  <c:v>6.8714</c:v>
                </c:pt>
                <c:pt idx="1385">
                  <c:v>6.8307</c:v>
                </c:pt>
                <c:pt idx="1386">
                  <c:v>6.8172</c:v>
                </c:pt>
                <c:pt idx="1387">
                  <c:v>6.7815</c:v>
                </c:pt>
                <c:pt idx="1388">
                  <c:v>6.705</c:v>
                </c:pt>
                <c:pt idx="1389">
                  <c:v>6.6998</c:v>
                </c:pt>
                <c:pt idx="1390">
                  <c:v>6.608</c:v>
                </c:pt>
                <c:pt idx="1391">
                  <c:v>6.5869</c:v>
                </c:pt>
                <c:pt idx="1392">
                  <c:v>6.6649</c:v>
                </c:pt>
                <c:pt idx="1393">
                  <c:v>6.660999999999999</c:v>
                </c:pt>
                <c:pt idx="1394">
                  <c:v>6.6603</c:v>
                </c:pt>
                <c:pt idx="1395">
                  <c:v>6.7434</c:v>
                </c:pt>
                <c:pt idx="1396">
                  <c:v>6.733</c:v>
                </c:pt>
                <c:pt idx="1397">
                  <c:v>6.7448</c:v>
                </c:pt>
                <c:pt idx="1398">
                  <c:v>6.796</c:v>
                </c:pt>
                <c:pt idx="1399">
                  <c:v>6.8152</c:v>
                </c:pt>
                <c:pt idx="1400">
                  <c:v>6.8465</c:v>
                </c:pt>
                <c:pt idx="1401">
                  <c:v>6.8655</c:v>
                </c:pt>
                <c:pt idx="1402">
                  <c:v>6.835</c:v>
                </c:pt>
                <c:pt idx="1403">
                  <c:v>6.8252</c:v>
                </c:pt>
                <c:pt idx="1404">
                  <c:v>6.8225</c:v>
                </c:pt>
                <c:pt idx="1405">
                  <c:v>6.846</c:v>
                </c:pt>
                <c:pt idx="1406">
                  <c:v>6.8634</c:v>
                </c:pt>
                <c:pt idx="1407">
                  <c:v>6.8766</c:v>
                </c:pt>
                <c:pt idx="1408">
                  <c:v>6.9275</c:v>
                </c:pt>
                <c:pt idx="1409">
                  <c:v>6.8938</c:v>
                </c:pt>
                <c:pt idx="1410">
                  <c:v>6.8958</c:v>
                </c:pt>
                <c:pt idx="1411">
                  <c:v>6.8582</c:v>
                </c:pt>
                <c:pt idx="1412">
                  <c:v>6.887</c:v>
                </c:pt>
                <c:pt idx="1413">
                  <c:v>7.0061</c:v>
                </c:pt>
                <c:pt idx="1414">
                  <c:v>7.0918</c:v>
                </c:pt>
                <c:pt idx="1415">
                  <c:v>7.1587</c:v>
                </c:pt>
                <c:pt idx="1416">
                  <c:v>7.1385</c:v>
                </c:pt>
                <c:pt idx="1417">
                  <c:v>7.0512</c:v>
                </c:pt>
                <c:pt idx="1418">
                  <c:v>7.0662</c:v>
                </c:pt>
                <c:pt idx="1419">
                  <c:v>7.1078</c:v>
                </c:pt>
                <c:pt idx="1420">
                  <c:v>7.0285</c:v>
                </c:pt>
                <c:pt idx="1421">
                  <c:v>7.0184</c:v>
                </c:pt>
                <c:pt idx="1422">
                  <c:v>6.9887</c:v>
                </c:pt>
                <c:pt idx="1423">
                  <c:v>7.0135</c:v>
                </c:pt>
                <c:pt idx="1424">
                  <c:v>7.0676</c:v>
                </c:pt>
                <c:pt idx="1425">
                  <c:v>6.9485</c:v>
                </c:pt>
                <c:pt idx="1426">
                  <c:v>6.965</c:v>
                </c:pt>
                <c:pt idx="1427">
                  <c:v>6.9448</c:v>
                </c:pt>
                <c:pt idx="1428">
                  <c:v>6.9095</c:v>
                </c:pt>
                <c:pt idx="1429">
                  <c:v>6.8451</c:v>
                </c:pt>
                <c:pt idx="1430">
                  <c:v>6.837099999999999</c:v>
                </c:pt>
                <c:pt idx="1431">
                  <c:v>6.788</c:v>
                </c:pt>
                <c:pt idx="1432">
                  <c:v>6.81</c:v>
                </c:pt>
                <c:pt idx="1433">
                  <c:v>6.9126</c:v>
                </c:pt>
                <c:pt idx="1434">
                  <c:v>6.886</c:v>
                </c:pt>
                <c:pt idx="1435">
                  <c:v>6.979</c:v>
                </c:pt>
                <c:pt idx="1436">
                  <c:v>6.9757</c:v>
                </c:pt>
                <c:pt idx="1437">
                  <c:v>6.994</c:v>
                </c:pt>
                <c:pt idx="1438">
                  <c:v>7.0679</c:v>
                </c:pt>
                <c:pt idx="1439">
                  <c:v>6.9437</c:v>
                </c:pt>
                <c:pt idx="1440">
                  <c:v>6.921</c:v>
                </c:pt>
                <c:pt idx="1441">
                  <c:v>6.9641</c:v>
                </c:pt>
                <c:pt idx="1442">
                  <c:v>6.9475</c:v>
                </c:pt>
                <c:pt idx="1443">
                  <c:v>6.9149</c:v>
                </c:pt>
                <c:pt idx="1444">
                  <c:v>6.9584</c:v>
                </c:pt>
                <c:pt idx="1445">
                  <c:v>6.8713</c:v>
                </c:pt>
                <c:pt idx="1446">
                  <c:v>6.8266</c:v>
                </c:pt>
                <c:pt idx="1447">
                  <c:v>6.8018</c:v>
                </c:pt>
                <c:pt idx="1448">
                  <c:v>6.81</c:v>
                </c:pt>
                <c:pt idx="1449">
                  <c:v>6.8894</c:v>
                </c:pt>
                <c:pt idx="1450">
                  <c:v>6.8567</c:v>
                </c:pt>
                <c:pt idx="1451">
                  <c:v>6.8545</c:v>
                </c:pt>
                <c:pt idx="1452">
                  <c:v>6.9059</c:v>
                </c:pt>
                <c:pt idx="1453">
                  <c:v>6.8576</c:v>
                </c:pt>
                <c:pt idx="1454">
                  <c:v>6.9037</c:v>
                </c:pt>
                <c:pt idx="1455">
                  <c:v>7.0171</c:v>
                </c:pt>
                <c:pt idx="1456">
                  <c:v>6.9402</c:v>
                </c:pt>
                <c:pt idx="1457">
                  <c:v>6.9821</c:v>
                </c:pt>
                <c:pt idx="1458">
                  <c:v>6.9729</c:v>
                </c:pt>
                <c:pt idx="1459">
                  <c:v>6.9748</c:v>
                </c:pt>
                <c:pt idx="1460">
                  <c:v>6.9954</c:v>
                </c:pt>
                <c:pt idx="1461">
                  <c:v>7.0063</c:v>
                </c:pt>
                <c:pt idx="1462">
                  <c:v>7.0361</c:v>
                </c:pt>
                <c:pt idx="1463">
                  <c:v>7.0248</c:v>
                </c:pt>
                <c:pt idx="1464">
                  <c:v>7.1319</c:v>
                </c:pt>
                <c:pt idx="1465">
                  <c:v>7.1294</c:v>
                </c:pt>
                <c:pt idx="1466">
                  <c:v>7.1263</c:v>
                </c:pt>
                <c:pt idx="1467">
                  <c:v>7.1612</c:v>
                </c:pt>
                <c:pt idx="1468">
                  <c:v>7.0931</c:v>
                </c:pt>
                <c:pt idx="1469">
                  <c:v>7.0662</c:v>
                </c:pt>
                <c:pt idx="1470">
                  <c:v>7.1408</c:v>
                </c:pt>
                <c:pt idx="1471">
                  <c:v>7.1884</c:v>
                </c:pt>
                <c:pt idx="1472">
                  <c:v>7.2024</c:v>
                </c:pt>
                <c:pt idx="1473">
                  <c:v>7.2405</c:v>
                </c:pt>
                <c:pt idx="1474">
                  <c:v>7.2631</c:v>
                </c:pt>
                <c:pt idx="1475">
                  <c:v>7.2213</c:v>
                </c:pt>
                <c:pt idx="1476">
                  <c:v>7.1818</c:v>
                </c:pt>
                <c:pt idx="1477">
                  <c:v>7.2352</c:v>
                </c:pt>
                <c:pt idx="1478">
                  <c:v>7.2911</c:v>
                </c:pt>
                <c:pt idx="1479">
                  <c:v>7.3835</c:v>
                </c:pt>
                <c:pt idx="1480">
                  <c:v>7.3413</c:v>
                </c:pt>
                <c:pt idx="1481">
                  <c:v>7.3076</c:v>
                </c:pt>
                <c:pt idx="1482">
                  <c:v>7.3161</c:v>
                </c:pt>
                <c:pt idx="1483">
                  <c:v>7.3651</c:v>
                </c:pt>
                <c:pt idx="1484">
                  <c:v>7.3568</c:v>
                </c:pt>
                <c:pt idx="1485">
                  <c:v>7.3441</c:v>
                </c:pt>
                <c:pt idx="1486">
                  <c:v>7.3288</c:v>
                </c:pt>
                <c:pt idx="1487">
                  <c:v>7.292</c:v>
                </c:pt>
                <c:pt idx="1488">
                  <c:v>7.2563</c:v>
                </c:pt>
                <c:pt idx="1489">
                  <c:v>7.2602</c:v>
                </c:pt>
                <c:pt idx="1490">
                  <c:v>7.2522</c:v>
                </c:pt>
                <c:pt idx="1491">
                  <c:v>7.3058</c:v>
                </c:pt>
                <c:pt idx="1492">
                  <c:v>7.29</c:v>
                </c:pt>
                <c:pt idx="1493">
                  <c:v>7.2804</c:v>
                </c:pt>
                <c:pt idx="1494">
                  <c:v>7.233</c:v>
                </c:pt>
                <c:pt idx="1495">
                  <c:v>7.1908</c:v>
                </c:pt>
                <c:pt idx="1496">
                  <c:v>7.2452</c:v>
                </c:pt>
                <c:pt idx="1497">
                  <c:v>7.2488</c:v>
                </c:pt>
                <c:pt idx="1498">
                  <c:v>7.2553</c:v>
                </c:pt>
                <c:pt idx="1499">
                  <c:v>7.2839</c:v>
                </c:pt>
                <c:pt idx="1500">
                  <c:v>7.2744</c:v>
                </c:pt>
                <c:pt idx="1501">
                  <c:v>7.2988</c:v>
                </c:pt>
                <c:pt idx="1502">
                  <c:v>7.3467</c:v>
                </c:pt>
                <c:pt idx="1503">
                  <c:v>7.3372</c:v>
                </c:pt>
                <c:pt idx="1504">
                  <c:v>7.3263</c:v>
                </c:pt>
                <c:pt idx="1505">
                  <c:v>7.3553</c:v>
                </c:pt>
                <c:pt idx="1506">
                  <c:v>7.4516</c:v>
                </c:pt>
                <c:pt idx="1507">
                  <c:v>7.4408</c:v>
                </c:pt>
                <c:pt idx="1508">
                  <c:v>7.522</c:v>
                </c:pt>
                <c:pt idx="1509">
                  <c:v>7.5815</c:v>
                </c:pt>
                <c:pt idx="1510">
                  <c:v>7.6513</c:v>
                </c:pt>
                <c:pt idx="1511">
                  <c:v>7.5964</c:v>
                </c:pt>
                <c:pt idx="1512">
                  <c:v>7.5852</c:v>
                </c:pt>
                <c:pt idx="1513">
                  <c:v>7.5336</c:v>
                </c:pt>
                <c:pt idx="1514">
                  <c:v>7.5286</c:v>
                </c:pt>
                <c:pt idx="1515">
                  <c:v>7.6171</c:v>
                </c:pt>
                <c:pt idx="1516">
                  <c:v>7.5836</c:v>
                </c:pt>
                <c:pt idx="1517">
                  <c:v>7.5913</c:v>
                </c:pt>
                <c:pt idx="1518">
                  <c:v>7.6249</c:v>
                </c:pt>
                <c:pt idx="1519">
                  <c:v>7.6476</c:v>
                </c:pt>
                <c:pt idx="1520">
                  <c:v>7.7465</c:v>
                </c:pt>
                <c:pt idx="1521">
                  <c:v>7.7254</c:v>
                </c:pt>
                <c:pt idx="1522">
                  <c:v>7.7379</c:v>
                </c:pt>
                <c:pt idx="1523">
                  <c:v>7.6543</c:v>
                </c:pt>
                <c:pt idx="1524">
                  <c:v>7.6662</c:v>
                </c:pt>
                <c:pt idx="1525">
                  <c:v>7.5626</c:v>
                </c:pt>
                <c:pt idx="1526">
                  <c:v>7.62</c:v>
                </c:pt>
                <c:pt idx="1527">
                  <c:v>7.5744</c:v>
                </c:pt>
                <c:pt idx="1528">
                  <c:v>7.55</c:v>
                </c:pt>
                <c:pt idx="1529">
                  <c:v>7.5386</c:v>
                </c:pt>
                <c:pt idx="1530">
                  <c:v>7.4918</c:v>
                </c:pt>
                <c:pt idx="1531">
                  <c:v>7.5174</c:v>
                </c:pt>
                <c:pt idx="1532">
                  <c:v>7.5901</c:v>
                </c:pt>
                <c:pt idx="1533">
                  <c:v>7.5806</c:v>
                </c:pt>
                <c:pt idx="1534">
                  <c:v>7.5958</c:v>
                </c:pt>
                <c:pt idx="1535">
                  <c:v>7.6631</c:v>
                </c:pt>
                <c:pt idx="1536">
                  <c:v>7.7097</c:v>
                </c:pt>
                <c:pt idx="1537">
                  <c:v>7.7151</c:v>
                </c:pt>
                <c:pt idx="1538">
                  <c:v>7.7503</c:v>
                </c:pt>
                <c:pt idx="1539">
                  <c:v>7.7469</c:v>
                </c:pt>
                <c:pt idx="1540">
                  <c:v>7.7996</c:v>
                </c:pt>
                <c:pt idx="1541">
                  <c:v>7.7655</c:v>
                </c:pt>
                <c:pt idx="1542">
                  <c:v>7.7055</c:v>
                </c:pt>
                <c:pt idx="1543">
                  <c:v>7.6761</c:v>
                </c:pt>
                <c:pt idx="1544">
                  <c:v>7.6763</c:v>
                </c:pt>
                <c:pt idx="1545">
                  <c:v>7.6604</c:v>
                </c:pt>
                <c:pt idx="1546">
                  <c:v>7.6085</c:v>
                </c:pt>
                <c:pt idx="1547">
                  <c:v>7.574</c:v>
                </c:pt>
                <c:pt idx="1548">
                  <c:v>7.7188</c:v>
                </c:pt>
                <c:pt idx="1549">
                  <c:v>7.9433</c:v>
                </c:pt>
                <c:pt idx="1550">
                  <c:v>7.8258</c:v>
                </c:pt>
                <c:pt idx="1551">
                  <c:v>7.9275</c:v>
                </c:pt>
                <c:pt idx="1552">
                  <c:v>8.0154</c:v>
                </c:pt>
                <c:pt idx="1553">
                  <c:v>7.8471</c:v>
                </c:pt>
                <c:pt idx="1554">
                  <c:v>7.605</c:v>
                </c:pt>
                <c:pt idx="1555">
                  <c:v>7.6042</c:v>
                </c:pt>
                <c:pt idx="1556">
                  <c:v>7.5416</c:v>
                </c:pt>
                <c:pt idx="1557">
                  <c:v>7.4533</c:v>
                </c:pt>
                <c:pt idx="1558">
                  <c:v>7.4752</c:v>
                </c:pt>
                <c:pt idx="1559">
                  <c:v>7.4872</c:v>
                </c:pt>
                <c:pt idx="1560">
                  <c:v>7.5016</c:v>
                </c:pt>
                <c:pt idx="1561">
                  <c:v>7.6524</c:v>
                </c:pt>
                <c:pt idx="1562">
                  <c:v>7.7398</c:v>
                </c:pt>
                <c:pt idx="1563">
                  <c:v>7.6146</c:v>
                </c:pt>
                <c:pt idx="1564">
                  <c:v>7.5529</c:v>
                </c:pt>
                <c:pt idx="1565">
                  <c:v>7.4099</c:v>
                </c:pt>
                <c:pt idx="1566">
                  <c:v>7.3885</c:v>
                </c:pt>
                <c:pt idx="1567">
                  <c:v>7.3527</c:v>
                </c:pt>
                <c:pt idx="1568">
                  <c:v>7.4861</c:v>
                </c:pt>
                <c:pt idx="1569">
                  <c:v>7.4467</c:v>
                </c:pt>
                <c:pt idx="1570">
                  <c:v>7.3288</c:v>
                </c:pt>
                <c:pt idx="1571">
                  <c:v>7.4395</c:v>
                </c:pt>
                <c:pt idx="1572">
                  <c:v>7.4963</c:v>
                </c:pt>
                <c:pt idx="1573">
                  <c:v>7.4035</c:v>
                </c:pt>
                <c:pt idx="1574">
                  <c:v>7.3875</c:v>
                </c:pt>
                <c:pt idx="1575">
                  <c:v>7.4809</c:v>
                </c:pt>
                <c:pt idx="1576">
                  <c:v>7.4037</c:v>
                </c:pt>
                <c:pt idx="1577">
                  <c:v>7.3138</c:v>
                </c:pt>
                <c:pt idx="1578">
                  <c:v>7.3004</c:v>
                </c:pt>
                <c:pt idx="1579">
                  <c:v>7.3025</c:v>
                </c:pt>
                <c:pt idx="1580">
                  <c:v>7.2684</c:v>
                </c:pt>
                <c:pt idx="1581">
                  <c:v>7.2442</c:v>
                </c:pt>
                <c:pt idx="1582">
                  <c:v>7.269</c:v>
                </c:pt>
                <c:pt idx="1583">
                  <c:v>7.2759</c:v>
                </c:pt>
                <c:pt idx="1584">
                  <c:v>7.264</c:v>
                </c:pt>
                <c:pt idx="1585">
                  <c:v>7.2351</c:v>
                </c:pt>
                <c:pt idx="1586">
                  <c:v>7.2463</c:v>
                </c:pt>
                <c:pt idx="1587">
                  <c:v>7.248</c:v>
                </c:pt>
                <c:pt idx="1588">
                  <c:v>7.2647</c:v>
                </c:pt>
                <c:pt idx="1589">
                  <c:v>7.3825</c:v>
                </c:pt>
                <c:pt idx="1590">
                  <c:v>7.4207</c:v>
                </c:pt>
                <c:pt idx="1591">
                  <c:v>7.4538</c:v>
                </c:pt>
                <c:pt idx="1592">
                  <c:v>7.4675</c:v>
                </c:pt>
                <c:pt idx="1593">
                  <c:v>7.3805</c:v>
                </c:pt>
                <c:pt idx="1594">
                  <c:v>7.3244</c:v>
                </c:pt>
                <c:pt idx="1595">
                  <c:v>7.3274</c:v>
                </c:pt>
                <c:pt idx="1596">
                  <c:v>7.3297</c:v>
                </c:pt>
                <c:pt idx="1597">
                  <c:v>7.291</c:v>
                </c:pt>
                <c:pt idx="1598">
                  <c:v>7.2823</c:v>
                </c:pt>
                <c:pt idx="1599">
                  <c:v>7.3665</c:v>
                </c:pt>
                <c:pt idx="1600">
                  <c:v>7.4194</c:v>
                </c:pt>
                <c:pt idx="1601">
                  <c:v>7.3966</c:v>
                </c:pt>
                <c:pt idx="1602">
                  <c:v>7.4313</c:v>
                </c:pt>
                <c:pt idx="1603">
                  <c:v>7.417</c:v>
                </c:pt>
                <c:pt idx="1604">
                  <c:v>7.387</c:v>
                </c:pt>
                <c:pt idx="1605">
                  <c:v>7.3888</c:v>
                </c:pt>
                <c:pt idx="1606">
                  <c:v>7.4213</c:v>
                </c:pt>
                <c:pt idx="1607">
                  <c:v>7.4769</c:v>
                </c:pt>
                <c:pt idx="1608">
                  <c:v>7.511</c:v>
                </c:pt>
                <c:pt idx="1609">
                  <c:v>7.5933</c:v>
                </c:pt>
                <c:pt idx="1610">
                  <c:v>7.6062</c:v>
                </c:pt>
                <c:pt idx="1611">
                  <c:v>7.6706</c:v>
                </c:pt>
                <c:pt idx="1612">
                  <c:v>7.8388</c:v>
                </c:pt>
                <c:pt idx="1613">
                  <c:v>7.7575</c:v>
                </c:pt>
                <c:pt idx="1614">
                  <c:v>7.7815</c:v>
                </c:pt>
                <c:pt idx="1615">
                  <c:v>7.7265</c:v>
                </c:pt>
                <c:pt idx="1616">
                  <c:v>7.658</c:v>
                </c:pt>
                <c:pt idx="1617">
                  <c:v>7.6127</c:v>
                </c:pt>
                <c:pt idx="1618">
                  <c:v>7.6088</c:v>
                </c:pt>
                <c:pt idx="1619">
                  <c:v>7.6718</c:v>
                </c:pt>
                <c:pt idx="1620">
                  <c:v>7.7328</c:v>
                </c:pt>
                <c:pt idx="1621">
                  <c:v>7.697599999999999</c:v>
                </c:pt>
                <c:pt idx="1622">
                  <c:v>7.6407</c:v>
                </c:pt>
                <c:pt idx="1623">
                  <c:v>7.743</c:v>
                </c:pt>
                <c:pt idx="1624">
                  <c:v>7.697</c:v>
                </c:pt>
                <c:pt idx="1625">
                  <c:v>7.7248</c:v>
                </c:pt>
                <c:pt idx="1626">
                  <c:v>7.7858</c:v>
                </c:pt>
                <c:pt idx="1627">
                  <c:v>7.6895</c:v>
                </c:pt>
                <c:pt idx="1628">
                  <c:v>7.5071</c:v>
                </c:pt>
                <c:pt idx="1629">
                  <c:v>7.4921</c:v>
                </c:pt>
                <c:pt idx="1630">
                  <c:v>7.5075</c:v>
                </c:pt>
                <c:pt idx="1631">
                  <c:v>7.5662</c:v>
                </c:pt>
                <c:pt idx="1632">
                  <c:v>7.6268</c:v>
                </c:pt>
                <c:pt idx="1633">
                  <c:v>7.6218</c:v>
                </c:pt>
                <c:pt idx="1634">
                  <c:v>7.5594</c:v>
                </c:pt>
                <c:pt idx="1635">
                  <c:v>7.6</c:v>
                </c:pt>
                <c:pt idx="1636">
                  <c:v>7.5984</c:v>
                </c:pt>
                <c:pt idx="1637">
                  <c:v>7.5725</c:v>
                </c:pt>
                <c:pt idx="1638">
                  <c:v>7.53</c:v>
                </c:pt>
                <c:pt idx="1639">
                  <c:v>7.4011</c:v>
                </c:pt>
                <c:pt idx="1640">
                  <c:v>7.3962</c:v>
                </c:pt>
                <c:pt idx="1641">
                  <c:v>7.4141</c:v>
                </c:pt>
                <c:pt idx="1642">
                  <c:v>7.4022</c:v>
                </c:pt>
                <c:pt idx="1643">
                  <c:v>7.4053</c:v>
                </c:pt>
                <c:pt idx="1644">
                  <c:v>7.4427</c:v>
                </c:pt>
                <c:pt idx="1645">
                  <c:v>7.369099999999999</c:v>
                </c:pt>
                <c:pt idx="1646">
                  <c:v>7.326</c:v>
                </c:pt>
                <c:pt idx="1647">
                  <c:v>7.4347</c:v>
                </c:pt>
                <c:pt idx="1648">
                  <c:v>7.3048</c:v>
                </c:pt>
                <c:pt idx="1649">
                  <c:v>7.3143</c:v>
                </c:pt>
                <c:pt idx="1650">
                  <c:v>7.2883</c:v>
                </c:pt>
                <c:pt idx="1651">
                  <c:v>7.389</c:v>
                </c:pt>
                <c:pt idx="1652">
                  <c:v>7.38</c:v>
                </c:pt>
                <c:pt idx="1653">
                  <c:v>7.3872</c:v>
                </c:pt>
                <c:pt idx="1654">
                  <c:v>7.391</c:v>
                </c:pt>
                <c:pt idx="1655">
                  <c:v>7.4874</c:v>
                </c:pt>
                <c:pt idx="1656">
                  <c:v>7.5315</c:v>
                </c:pt>
                <c:pt idx="1657">
                  <c:v>7.543</c:v>
                </c:pt>
                <c:pt idx="1658">
                  <c:v>7.6111</c:v>
                </c:pt>
                <c:pt idx="1659">
                  <c:v>7.7085</c:v>
                </c:pt>
                <c:pt idx="1660">
                  <c:v>7.7435</c:v>
                </c:pt>
                <c:pt idx="1661">
                  <c:v>7.577</c:v>
                </c:pt>
                <c:pt idx="1662">
                  <c:v>7.555</c:v>
                </c:pt>
                <c:pt idx="1663">
                  <c:v>7.4138</c:v>
                </c:pt>
                <c:pt idx="1664">
                  <c:v>7.4649</c:v>
                </c:pt>
                <c:pt idx="1665">
                  <c:v>7.3913</c:v>
                </c:pt>
                <c:pt idx="1666">
                  <c:v>7.5323</c:v>
                </c:pt>
                <c:pt idx="1667">
                  <c:v>7.5642</c:v>
                </c:pt>
                <c:pt idx="1668">
                  <c:v>7.594</c:v>
                </c:pt>
                <c:pt idx="1669">
                  <c:v>7.5475</c:v>
                </c:pt>
                <c:pt idx="1670">
                  <c:v>7.4185</c:v>
                </c:pt>
                <c:pt idx="1671">
                  <c:v>7.4221</c:v>
                </c:pt>
                <c:pt idx="1672">
                  <c:v>7.3425</c:v>
                </c:pt>
                <c:pt idx="1673">
                  <c:v>7.325</c:v>
                </c:pt>
                <c:pt idx="1674">
                  <c:v>7.3</c:v>
                </c:pt>
                <c:pt idx="1675">
                  <c:v>7.4215</c:v>
                </c:pt>
                <c:pt idx="1676">
                  <c:v>7.409</c:v>
                </c:pt>
                <c:pt idx="1677">
                  <c:v>7.4916</c:v>
                </c:pt>
                <c:pt idx="1678">
                  <c:v>7.332</c:v>
                </c:pt>
                <c:pt idx="1679">
                  <c:v>7.4555</c:v>
                </c:pt>
                <c:pt idx="1680">
                  <c:v>7.4767</c:v>
                </c:pt>
                <c:pt idx="1681">
                  <c:v>7.611</c:v>
                </c:pt>
                <c:pt idx="1682">
                  <c:v>7.5265</c:v>
                </c:pt>
                <c:pt idx="1683">
                  <c:v>7.4735</c:v>
                </c:pt>
                <c:pt idx="1684">
                  <c:v>7.4741</c:v>
                </c:pt>
                <c:pt idx="1685">
                  <c:v>7.3866</c:v>
                </c:pt>
                <c:pt idx="1686">
                  <c:v>7.4081</c:v>
                </c:pt>
                <c:pt idx="1687">
                  <c:v>7.4425</c:v>
                </c:pt>
                <c:pt idx="1688">
                  <c:v>7.3921</c:v>
                </c:pt>
                <c:pt idx="1689">
                  <c:v>7.3967</c:v>
                </c:pt>
                <c:pt idx="1690">
                  <c:v>7.4078</c:v>
                </c:pt>
                <c:pt idx="1691">
                  <c:v>7.5274</c:v>
                </c:pt>
                <c:pt idx="1692">
                  <c:v>7.6121</c:v>
                </c:pt>
                <c:pt idx="1693">
                  <c:v>7.6438</c:v>
                </c:pt>
                <c:pt idx="1694">
                  <c:v>7.8457</c:v>
                </c:pt>
                <c:pt idx="1695">
                  <c:v>7.895</c:v>
                </c:pt>
                <c:pt idx="1696">
                  <c:v>7.854</c:v>
                </c:pt>
                <c:pt idx="1697">
                  <c:v>7.7085</c:v>
                </c:pt>
                <c:pt idx="1698">
                  <c:v>7.8225</c:v>
                </c:pt>
                <c:pt idx="1699">
                  <c:v>7.683</c:v>
                </c:pt>
                <c:pt idx="1700">
                  <c:v>7.5519</c:v>
                </c:pt>
                <c:pt idx="1701">
                  <c:v>7.4477</c:v>
                </c:pt>
                <c:pt idx="1702">
                  <c:v>7.4288</c:v>
                </c:pt>
                <c:pt idx="1703">
                  <c:v>7.3561</c:v>
                </c:pt>
                <c:pt idx="1704">
                  <c:v>7.3913</c:v>
                </c:pt>
                <c:pt idx="1705">
                  <c:v>7.3107</c:v>
                </c:pt>
                <c:pt idx="1706">
                  <c:v>7.3557</c:v>
                </c:pt>
                <c:pt idx="1707">
                  <c:v>7.2745</c:v>
                </c:pt>
                <c:pt idx="1708">
                  <c:v>7.2622</c:v>
                </c:pt>
                <c:pt idx="1709">
                  <c:v>7.3521</c:v>
                </c:pt>
                <c:pt idx="1710">
                  <c:v>7.3346</c:v>
                </c:pt>
                <c:pt idx="1711">
                  <c:v>7.3929</c:v>
                </c:pt>
                <c:pt idx="1712">
                  <c:v>7.3233</c:v>
                </c:pt>
                <c:pt idx="1713">
                  <c:v>7.4531</c:v>
                </c:pt>
                <c:pt idx="1714">
                  <c:v>7.3817</c:v>
                </c:pt>
                <c:pt idx="1715">
                  <c:v>7.5583</c:v>
                </c:pt>
                <c:pt idx="1716">
                  <c:v>7.662</c:v>
                </c:pt>
                <c:pt idx="1717">
                  <c:v>7.684</c:v>
                </c:pt>
                <c:pt idx="1718">
                  <c:v>7.5093</c:v>
                </c:pt>
                <c:pt idx="1719">
                  <c:v>7.4051</c:v>
                </c:pt>
                <c:pt idx="1720">
                  <c:v>7.3982</c:v>
                </c:pt>
                <c:pt idx="1721">
                  <c:v>7.4161</c:v>
                </c:pt>
                <c:pt idx="1722">
                  <c:v>7.4805</c:v>
                </c:pt>
                <c:pt idx="1723">
                  <c:v>7.4273</c:v>
                </c:pt>
                <c:pt idx="1724">
                  <c:v>7.385</c:v>
                </c:pt>
                <c:pt idx="1725">
                  <c:v>7.4945</c:v>
                </c:pt>
                <c:pt idx="1726">
                  <c:v>7.4349</c:v>
                </c:pt>
                <c:pt idx="1727">
                  <c:v>7.4145</c:v>
                </c:pt>
                <c:pt idx="1728">
                  <c:v>7.3225</c:v>
                </c:pt>
                <c:pt idx="1729">
                  <c:v>7.3741</c:v>
                </c:pt>
                <c:pt idx="1730">
                  <c:v>7.4535</c:v>
                </c:pt>
                <c:pt idx="1731">
                  <c:v>7.443</c:v>
                </c:pt>
                <c:pt idx="1732">
                  <c:v>7.5553</c:v>
                </c:pt>
                <c:pt idx="1733">
                  <c:v>7.4983</c:v>
                </c:pt>
                <c:pt idx="1734">
                  <c:v>7.5187</c:v>
                </c:pt>
                <c:pt idx="1735">
                  <c:v>7.581</c:v>
                </c:pt>
                <c:pt idx="1736">
                  <c:v>7.5995</c:v>
                </c:pt>
                <c:pt idx="1737">
                  <c:v>7.6683</c:v>
                </c:pt>
                <c:pt idx="1738">
                  <c:v>7.8159</c:v>
                </c:pt>
                <c:pt idx="1739">
                  <c:v>7.8859</c:v>
                </c:pt>
                <c:pt idx="1740">
                  <c:v>7.7838</c:v>
                </c:pt>
                <c:pt idx="1741">
                  <c:v>7.7613</c:v>
                </c:pt>
                <c:pt idx="1742">
                  <c:v>7.8541</c:v>
                </c:pt>
                <c:pt idx="1743">
                  <c:v>7.861</c:v>
                </c:pt>
                <c:pt idx="1744">
                  <c:v>7.8186</c:v>
                </c:pt>
                <c:pt idx="1745">
                  <c:v>7.8038</c:v>
                </c:pt>
                <c:pt idx="1746">
                  <c:v>7.7873</c:v>
                </c:pt>
                <c:pt idx="1747">
                  <c:v>7.9055</c:v>
                </c:pt>
                <c:pt idx="1748">
                  <c:v>8.0025</c:v>
                </c:pt>
                <c:pt idx="1749">
                  <c:v>8.0367</c:v>
                </c:pt>
                <c:pt idx="1750">
                  <c:v>8.1565</c:v>
                </c:pt>
                <c:pt idx="1751">
                  <c:v>8.0808</c:v>
                </c:pt>
                <c:pt idx="1752">
                  <c:v>8.0245</c:v>
                </c:pt>
                <c:pt idx="1753">
                  <c:v>8.0663</c:v>
                </c:pt>
                <c:pt idx="1754">
                  <c:v>8.136100000000001</c:v>
                </c:pt>
                <c:pt idx="1755">
                  <c:v>8.1188</c:v>
                </c:pt>
                <c:pt idx="1756">
                  <c:v>7.9913</c:v>
                </c:pt>
                <c:pt idx="1757">
                  <c:v>8.0719</c:v>
                </c:pt>
                <c:pt idx="1758">
                  <c:v>7.924</c:v>
                </c:pt>
                <c:pt idx="1759">
                  <c:v>7.8376</c:v>
                </c:pt>
                <c:pt idx="1760">
                  <c:v>7.7493</c:v>
                </c:pt>
                <c:pt idx="1761">
                  <c:v>7.7828</c:v>
                </c:pt>
                <c:pt idx="1762">
                  <c:v>7.8013</c:v>
                </c:pt>
                <c:pt idx="1763">
                  <c:v>7.8761</c:v>
                </c:pt>
                <c:pt idx="1764">
                  <c:v>7.8907</c:v>
                </c:pt>
                <c:pt idx="1765">
                  <c:v>7.7625</c:v>
                </c:pt>
                <c:pt idx="1766">
                  <c:v>7.7309</c:v>
                </c:pt>
                <c:pt idx="1767">
                  <c:v>7.6463</c:v>
                </c:pt>
                <c:pt idx="1768">
                  <c:v>7.6964</c:v>
                </c:pt>
                <c:pt idx="1769">
                  <c:v>7.8335</c:v>
                </c:pt>
                <c:pt idx="1770">
                  <c:v>7.8525</c:v>
                </c:pt>
                <c:pt idx="1771">
                  <c:v>8.0389</c:v>
                </c:pt>
                <c:pt idx="1772">
                  <c:v>8.1185</c:v>
                </c:pt>
                <c:pt idx="1773">
                  <c:v>8.1283</c:v>
                </c:pt>
                <c:pt idx="1774">
                  <c:v>8.2865</c:v>
                </c:pt>
                <c:pt idx="1775">
                  <c:v>8.2655</c:v>
                </c:pt>
                <c:pt idx="1776">
                  <c:v>8.2663</c:v>
                </c:pt>
                <c:pt idx="1777">
                  <c:v>8.1099</c:v>
                </c:pt>
                <c:pt idx="1778">
                  <c:v>8.2354</c:v>
                </c:pt>
                <c:pt idx="1779">
                  <c:v>8.0503</c:v>
                </c:pt>
                <c:pt idx="1780">
                  <c:v>7.9913</c:v>
                </c:pt>
                <c:pt idx="1781">
                  <c:v>7.9375</c:v>
                </c:pt>
                <c:pt idx="1782">
                  <c:v>7.8463</c:v>
                </c:pt>
                <c:pt idx="1783">
                  <c:v>7.7463</c:v>
                </c:pt>
                <c:pt idx="1784">
                  <c:v>7.745</c:v>
                </c:pt>
                <c:pt idx="1785">
                  <c:v>7.8165</c:v>
                </c:pt>
                <c:pt idx="1786">
                  <c:v>7.8821</c:v>
                </c:pt>
                <c:pt idx="1787">
                  <c:v>8.0245</c:v>
                </c:pt>
                <c:pt idx="1788">
                  <c:v>8.0476</c:v>
                </c:pt>
                <c:pt idx="1789">
                  <c:v>8.1654</c:v>
                </c:pt>
                <c:pt idx="1790">
                  <c:v>8.1955</c:v>
                </c:pt>
                <c:pt idx="1791">
                  <c:v>8.0987</c:v>
                </c:pt>
                <c:pt idx="1792">
                  <c:v>8.1174</c:v>
                </c:pt>
                <c:pt idx="1793">
                  <c:v>8.0953</c:v>
                </c:pt>
                <c:pt idx="1794">
                  <c:v>8.0391</c:v>
                </c:pt>
                <c:pt idx="1795">
                  <c:v>8.097300000000001</c:v>
                </c:pt>
                <c:pt idx="1796">
                  <c:v>8.035</c:v>
                </c:pt>
                <c:pt idx="1797">
                  <c:v>7.9475</c:v>
                </c:pt>
                <c:pt idx="1798">
                  <c:v>8.0878</c:v>
                </c:pt>
                <c:pt idx="1799">
                  <c:v>8.1035</c:v>
                </c:pt>
                <c:pt idx="1800">
                  <c:v>8.17</c:v>
                </c:pt>
                <c:pt idx="1801">
                  <c:v>8.039</c:v>
                </c:pt>
                <c:pt idx="1802">
                  <c:v>8.042</c:v>
                </c:pt>
                <c:pt idx="1803">
                  <c:v>8.1121</c:v>
                </c:pt>
                <c:pt idx="1804">
                  <c:v>8.0145</c:v>
                </c:pt>
                <c:pt idx="1805">
                  <c:v>7.9684</c:v>
                </c:pt>
                <c:pt idx="1806">
                  <c:v>7.9845</c:v>
                </c:pt>
                <c:pt idx="1807">
                  <c:v>8.0976</c:v>
                </c:pt>
                <c:pt idx="1808">
                  <c:v>8.0854</c:v>
                </c:pt>
                <c:pt idx="1809">
                  <c:v>8.283300000000001</c:v>
                </c:pt>
                <c:pt idx="1810">
                  <c:v>8.213</c:v>
                </c:pt>
                <c:pt idx="1811">
                  <c:v>8.2739</c:v>
                </c:pt>
                <c:pt idx="1812">
                  <c:v>8.359</c:v>
                </c:pt>
                <c:pt idx="1813">
                  <c:v>8.3557</c:v>
                </c:pt>
                <c:pt idx="1814">
                  <c:v>8.4455</c:v>
                </c:pt>
                <c:pt idx="1815">
                  <c:v>8.5659</c:v>
                </c:pt>
                <c:pt idx="1816">
                  <c:v>8.7472</c:v>
                </c:pt>
                <c:pt idx="1817">
                  <c:v>8.5594</c:v>
                </c:pt>
                <c:pt idx="1818">
                  <c:v>8.5219</c:v>
                </c:pt>
                <c:pt idx="1819">
                  <c:v>8.4935</c:v>
                </c:pt>
                <c:pt idx="1820">
                  <c:v>8.4236</c:v>
                </c:pt>
                <c:pt idx="1821">
                  <c:v>8.3055</c:v>
                </c:pt>
                <c:pt idx="1822">
                  <c:v>8.3754</c:v>
                </c:pt>
                <c:pt idx="1823">
                  <c:v>8.375</c:v>
                </c:pt>
                <c:pt idx="1824">
                  <c:v>8.4317</c:v>
                </c:pt>
                <c:pt idx="1825">
                  <c:v>8.3725</c:v>
                </c:pt>
                <c:pt idx="1826">
                  <c:v>8.437</c:v>
                </c:pt>
                <c:pt idx="1827">
                  <c:v>8.4816</c:v>
                </c:pt>
                <c:pt idx="1828">
                  <c:v>8.4987</c:v>
                </c:pt>
                <c:pt idx="1829">
                  <c:v>8.7191</c:v>
                </c:pt>
                <c:pt idx="1830">
                  <c:v>8.7675</c:v>
                </c:pt>
                <c:pt idx="1831">
                  <c:v>8.741300000000001</c:v>
                </c:pt>
                <c:pt idx="1832">
                  <c:v>8.9795</c:v>
                </c:pt>
                <c:pt idx="1833">
                  <c:v>8.9001</c:v>
                </c:pt>
                <c:pt idx="1834">
                  <c:v>8.9338</c:v>
                </c:pt>
                <c:pt idx="1835">
                  <c:v>9.0825</c:v>
                </c:pt>
                <c:pt idx="1836">
                  <c:v>8.9666</c:v>
                </c:pt>
                <c:pt idx="1837">
                  <c:v>8.9514</c:v>
                </c:pt>
                <c:pt idx="1838">
                  <c:v>9.1258</c:v>
                </c:pt>
                <c:pt idx="1839">
                  <c:v>9.0758</c:v>
                </c:pt>
                <c:pt idx="1840">
                  <c:v>9.0223</c:v>
                </c:pt>
                <c:pt idx="1841">
                  <c:v>9.0589</c:v>
                </c:pt>
                <c:pt idx="1842">
                  <c:v>9.0963</c:v>
                </c:pt>
                <c:pt idx="1843">
                  <c:v>9.1108</c:v>
                </c:pt>
                <c:pt idx="1844">
                  <c:v>9.1257</c:v>
                </c:pt>
                <c:pt idx="1845">
                  <c:v>9.106</c:v>
                </c:pt>
                <c:pt idx="1846">
                  <c:v>9.077</c:v>
                </c:pt>
                <c:pt idx="1847">
                  <c:v>9.0521</c:v>
                </c:pt>
                <c:pt idx="1848">
                  <c:v>9.3794</c:v>
                </c:pt>
                <c:pt idx="1849">
                  <c:v>9.5175</c:v>
                </c:pt>
                <c:pt idx="1850">
                  <c:v>9.717</c:v>
                </c:pt>
                <c:pt idx="1851">
                  <c:v>9.6344</c:v>
                </c:pt>
                <c:pt idx="1852">
                  <c:v>9.3603</c:v>
                </c:pt>
                <c:pt idx="1853">
                  <c:v>9.4477</c:v>
                </c:pt>
                <c:pt idx="1854">
                  <c:v>9.4787</c:v>
                </c:pt>
                <c:pt idx="1855">
                  <c:v>9.4874</c:v>
                </c:pt>
                <c:pt idx="1856">
                  <c:v>9.6075</c:v>
                </c:pt>
                <c:pt idx="1857">
                  <c:v>9.6431</c:v>
                </c:pt>
                <c:pt idx="1858">
                  <c:v>9.8893</c:v>
                </c:pt>
                <c:pt idx="1859">
                  <c:v>9.9031</c:v>
                </c:pt>
                <c:pt idx="1860">
                  <c:v>9.865</c:v>
                </c:pt>
                <c:pt idx="1861">
                  <c:v>9.9565</c:v>
                </c:pt>
                <c:pt idx="1862">
                  <c:v>9.9759</c:v>
                </c:pt>
                <c:pt idx="1863">
                  <c:v>10.1178</c:v>
                </c:pt>
                <c:pt idx="1864">
                  <c:v>10.3325</c:v>
                </c:pt>
                <c:pt idx="1865">
                  <c:v>10.59</c:v>
                </c:pt>
                <c:pt idx="1866">
                  <c:v>10.474</c:v>
                </c:pt>
                <c:pt idx="1867">
                  <c:v>10.6078</c:v>
                </c:pt>
                <c:pt idx="1868">
                  <c:v>10.3687</c:v>
                </c:pt>
                <c:pt idx="1869">
                  <c:v>10.5</c:v>
                </c:pt>
                <c:pt idx="1870">
                  <c:v>10.5133</c:v>
                </c:pt>
                <c:pt idx="1871">
                  <c:v>10.0895</c:v>
                </c:pt>
                <c:pt idx="1872">
                  <c:v>9.8755</c:v>
                </c:pt>
                <c:pt idx="1873">
                  <c:v>9.965</c:v>
                </c:pt>
                <c:pt idx="1874">
                  <c:v>9.946</c:v>
                </c:pt>
                <c:pt idx="1875">
                  <c:v>10.0695</c:v>
                </c:pt>
                <c:pt idx="1876">
                  <c:v>10.1225</c:v>
                </c:pt>
                <c:pt idx="1877">
                  <c:v>10.0332</c:v>
                </c:pt>
                <c:pt idx="1878">
                  <c:v>10.1749</c:v>
                </c:pt>
                <c:pt idx="1879">
                  <c:v>10.2775</c:v>
                </c:pt>
                <c:pt idx="1880">
                  <c:v>10.0368</c:v>
                </c:pt>
                <c:pt idx="1881">
                  <c:v>9.9597</c:v>
                </c:pt>
                <c:pt idx="1882">
                  <c:v>10.085</c:v>
                </c:pt>
                <c:pt idx="1883">
                  <c:v>9.91</c:v>
                </c:pt>
                <c:pt idx="1884">
                  <c:v>9.78</c:v>
                </c:pt>
                <c:pt idx="1885">
                  <c:v>9.5925</c:v>
                </c:pt>
                <c:pt idx="1886">
                  <c:v>9.6493</c:v>
                </c:pt>
                <c:pt idx="1887">
                  <c:v>9.8146</c:v>
                </c:pt>
                <c:pt idx="1888">
                  <c:v>9.96</c:v>
                </c:pt>
                <c:pt idx="1889">
                  <c:v>10.1425</c:v>
                </c:pt>
                <c:pt idx="1890">
                  <c:v>10.1443</c:v>
                </c:pt>
                <c:pt idx="1891">
                  <c:v>10.2021</c:v>
                </c:pt>
                <c:pt idx="1892">
                  <c:v>10.0415</c:v>
                </c:pt>
                <c:pt idx="1893">
                  <c:v>9.8896</c:v>
                </c:pt>
                <c:pt idx="1894">
                  <c:v>9.9775</c:v>
                </c:pt>
                <c:pt idx="1895">
                  <c:v>10.12</c:v>
                </c:pt>
                <c:pt idx="1896">
                  <c:v>10.225</c:v>
                </c:pt>
                <c:pt idx="1897">
                  <c:v>10.0755</c:v>
                </c:pt>
                <c:pt idx="1898">
                  <c:v>10.159</c:v>
                </c:pt>
                <c:pt idx="1899">
                  <c:v>10.2045</c:v>
                </c:pt>
                <c:pt idx="1900">
                  <c:v>10.1295</c:v>
                </c:pt>
                <c:pt idx="1901">
                  <c:v>10.0715</c:v>
                </c:pt>
                <c:pt idx="1902">
                  <c:v>10.1825</c:v>
                </c:pt>
                <c:pt idx="1903">
                  <c:v>10.1673</c:v>
                </c:pt>
                <c:pt idx="1904">
                  <c:v>10.0147</c:v>
                </c:pt>
                <c:pt idx="1905">
                  <c:v>10.1095</c:v>
                </c:pt>
                <c:pt idx="1906">
                  <c:v>9.778700000000001</c:v>
                </c:pt>
                <c:pt idx="1907">
                  <c:v>9.66</c:v>
                </c:pt>
                <c:pt idx="1908">
                  <c:v>9.4846</c:v>
                </c:pt>
                <c:pt idx="1909">
                  <c:v>9.2954</c:v>
                </c:pt>
                <c:pt idx="1910">
                  <c:v>9.3237</c:v>
                </c:pt>
                <c:pt idx="1911">
                  <c:v>9.288</c:v>
                </c:pt>
                <c:pt idx="1912">
                  <c:v>9.454</c:v>
                </c:pt>
                <c:pt idx="1913">
                  <c:v>9.413</c:v>
                </c:pt>
                <c:pt idx="1914">
                  <c:v>9.3624</c:v>
                </c:pt>
                <c:pt idx="1915">
                  <c:v>9.4473</c:v>
                </c:pt>
                <c:pt idx="1916">
                  <c:v>9.7228</c:v>
                </c:pt>
                <c:pt idx="1917">
                  <c:v>9.73</c:v>
                </c:pt>
                <c:pt idx="1918">
                  <c:v>9.741300000000001</c:v>
                </c:pt>
                <c:pt idx="1919">
                  <c:v>9.6413</c:v>
                </c:pt>
                <c:pt idx="1920">
                  <c:v>9.7256</c:v>
                </c:pt>
                <c:pt idx="1921">
                  <c:v>9.6726</c:v>
                </c:pt>
                <c:pt idx="1922">
                  <c:v>9.5152</c:v>
                </c:pt>
                <c:pt idx="1923">
                  <c:v>9.8163</c:v>
                </c:pt>
                <c:pt idx="1924">
                  <c:v>10.2375</c:v>
                </c:pt>
                <c:pt idx="1925">
                  <c:v>10.125</c:v>
                </c:pt>
                <c:pt idx="1926">
                  <c:v>10.1495</c:v>
                </c:pt>
                <c:pt idx="1927">
                  <c:v>9.955</c:v>
                </c:pt>
                <c:pt idx="1928">
                  <c:v>10.1345</c:v>
                </c:pt>
                <c:pt idx="1929">
                  <c:v>10.085</c:v>
                </c:pt>
                <c:pt idx="1930">
                  <c:v>10.113</c:v>
                </c:pt>
                <c:pt idx="1931">
                  <c:v>10.485</c:v>
                </c:pt>
                <c:pt idx="1932">
                  <c:v>10.2695</c:v>
                </c:pt>
                <c:pt idx="1933">
                  <c:v>10.18</c:v>
                </c:pt>
                <c:pt idx="1934">
                  <c:v>10.3855</c:v>
                </c:pt>
                <c:pt idx="1935">
                  <c:v>10.4795</c:v>
                </c:pt>
                <c:pt idx="1936">
                  <c:v>10.0856</c:v>
                </c:pt>
                <c:pt idx="1937">
                  <c:v>9.91</c:v>
                </c:pt>
                <c:pt idx="1938">
                  <c:v>9.879</c:v>
                </c:pt>
                <c:pt idx="1939">
                  <c:v>9.8974</c:v>
                </c:pt>
                <c:pt idx="1940">
                  <c:v>10.1375</c:v>
                </c:pt>
                <c:pt idx="1941">
                  <c:v>10.4925</c:v>
                </c:pt>
                <c:pt idx="1942">
                  <c:v>10.5587</c:v>
                </c:pt>
                <c:pt idx="1943">
                  <c:v>10.46</c:v>
                </c:pt>
                <c:pt idx="1944">
                  <c:v>10.2239</c:v>
                </c:pt>
                <c:pt idx="1945">
                  <c:v>10.1395</c:v>
                </c:pt>
                <c:pt idx="1946">
                  <c:v>10.0163</c:v>
                </c:pt>
                <c:pt idx="1947">
                  <c:v>10.6477</c:v>
                </c:pt>
                <c:pt idx="1948">
                  <c:v>10.3375</c:v>
                </c:pt>
                <c:pt idx="1949">
                  <c:v>10.3445</c:v>
                </c:pt>
                <c:pt idx="1950">
                  <c:v>9.98</c:v>
                </c:pt>
                <c:pt idx="1951">
                  <c:v>10.175</c:v>
                </c:pt>
                <c:pt idx="1952">
                  <c:v>10.0821</c:v>
                </c:pt>
                <c:pt idx="1953">
                  <c:v>9.713900000000001</c:v>
                </c:pt>
                <c:pt idx="1954">
                  <c:v>9.6463</c:v>
                </c:pt>
                <c:pt idx="1955">
                  <c:v>9.9555</c:v>
                </c:pt>
                <c:pt idx="1956">
                  <c:v>9.7551</c:v>
                </c:pt>
                <c:pt idx="1957">
                  <c:v>10.0499</c:v>
                </c:pt>
                <c:pt idx="1958">
                  <c:v>9.87</c:v>
                </c:pt>
                <c:pt idx="1959">
                  <c:v>10.5798</c:v>
                </c:pt>
                <c:pt idx="1960">
                  <c:v>10.8245</c:v>
                </c:pt>
                <c:pt idx="1961">
                  <c:v>11.0955</c:v>
                </c:pt>
                <c:pt idx="1962">
                  <c:v>11.2091</c:v>
                </c:pt>
                <c:pt idx="1963">
                  <c:v>11.3755</c:v>
                </c:pt>
                <c:pt idx="1964">
                  <c:v>10.6547</c:v>
                </c:pt>
                <c:pt idx="1965">
                  <c:v>10.2191</c:v>
                </c:pt>
                <c:pt idx="1966">
                  <c:v>9.98</c:v>
                </c:pt>
                <c:pt idx="1967">
                  <c:v>10.4933</c:v>
                </c:pt>
                <c:pt idx="1968">
                  <c:v>9.5688</c:v>
                </c:pt>
                <c:pt idx="1969">
                  <c:v>9.02</c:v>
                </c:pt>
                <c:pt idx="1970">
                  <c:v>9.226900000000001</c:v>
                </c:pt>
                <c:pt idx="1971">
                  <c:v>9.353</c:v>
                </c:pt>
                <c:pt idx="1972">
                  <c:v>9.1147</c:v>
                </c:pt>
                <c:pt idx="1973">
                  <c:v>9.2567</c:v>
                </c:pt>
                <c:pt idx="1974">
                  <c:v>8.8955</c:v>
                </c:pt>
                <c:pt idx="1975">
                  <c:v>8.8805</c:v>
                </c:pt>
                <c:pt idx="1976">
                  <c:v>8.4446</c:v>
                </c:pt>
                <c:pt idx="1977">
                  <c:v>8.4737</c:v>
                </c:pt>
                <c:pt idx="1978">
                  <c:v>8.2648</c:v>
                </c:pt>
                <c:pt idx="1979">
                  <c:v>8.3324</c:v>
                </c:pt>
                <c:pt idx="1980">
                  <c:v>8.234500000000001</c:v>
                </c:pt>
                <c:pt idx="1981">
                  <c:v>8.116</c:v>
                </c:pt>
                <c:pt idx="1982">
                  <c:v>8.1313</c:v>
                </c:pt>
                <c:pt idx="1983">
                  <c:v>8.148400000000001</c:v>
                </c:pt>
                <c:pt idx="1984">
                  <c:v>8.1563</c:v>
                </c:pt>
                <c:pt idx="1985">
                  <c:v>7.9848</c:v>
                </c:pt>
                <c:pt idx="1986">
                  <c:v>7.9377</c:v>
                </c:pt>
                <c:pt idx="1987">
                  <c:v>8.3113</c:v>
                </c:pt>
                <c:pt idx="1988">
                  <c:v>8.2456</c:v>
                </c:pt>
                <c:pt idx="1989">
                  <c:v>8.19</c:v>
                </c:pt>
                <c:pt idx="1990">
                  <c:v>8.057</c:v>
                </c:pt>
                <c:pt idx="1991">
                  <c:v>8.0481</c:v>
                </c:pt>
                <c:pt idx="1992">
                  <c:v>8.2576</c:v>
                </c:pt>
                <c:pt idx="1993">
                  <c:v>8.1559</c:v>
                </c:pt>
                <c:pt idx="1994">
                  <c:v>7.9295</c:v>
                </c:pt>
                <c:pt idx="1995">
                  <c:v>7.9386</c:v>
                </c:pt>
                <c:pt idx="1996">
                  <c:v>7.9905</c:v>
                </c:pt>
                <c:pt idx="1997">
                  <c:v>7.9454</c:v>
                </c:pt>
                <c:pt idx="1998">
                  <c:v>7.8841</c:v>
                </c:pt>
                <c:pt idx="1999">
                  <c:v>7.7751</c:v>
                </c:pt>
                <c:pt idx="2000">
                  <c:v>7.7652</c:v>
                </c:pt>
                <c:pt idx="2001">
                  <c:v>7.701</c:v>
                </c:pt>
                <c:pt idx="2002">
                  <c:v>7.7175</c:v>
                </c:pt>
                <c:pt idx="2003">
                  <c:v>7.7745</c:v>
                </c:pt>
                <c:pt idx="2004">
                  <c:v>7.8115</c:v>
                </c:pt>
                <c:pt idx="2005">
                  <c:v>7.749</c:v>
                </c:pt>
                <c:pt idx="2006">
                  <c:v>7.665</c:v>
                </c:pt>
                <c:pt idx="2007">
                  <c:v>7.6635</c:v>
                </c:pt>
                <c:pt idx="2008">
                  <c:v>7.7611</c:v>
                </c:pt>
                <c:pt idx="2009">
                  <c:v>7.7783</c:v>
                </c:pt>
                <c:pt idx="2010">
                  <c:v>7.7055</c:v>
                </c:pt>
                <c:pt idx="2011">
                  <c:v>7.875</c:v>
                </c:pt>
                <c:pt idx="2012">
                  <c:v>7.8619</c:v>
                </c:pt>
                <c:pt idx="2013">
                  <c:v>7.877</c:v>
                </c:pt>
                <c:pt idx="2014">
                  <c:v>7.8437</c:v>
                </c:pt>
                <c:pt idx="2015">
                  <c:v>7.7633</c:v>
                </c:pt>
                <c:pt idx="2016">
                  <c:v>7.7105</c:v>
                </c:pt>
                <c:pt idx="2017">
                  <c:v>7.4855</c:v>
                </c:pt>
                <c:pt idx="2018">
                  <c:v>7.4288</c:v>
                </c:pt>
                <c:pt idx="2019">
                  <c:v>7.3859</c:v>
                </c:pt>
                <c:pt idx="2020">
                  <c:v>7.2463</c:v>
                </c:pt>
                <c:pt idx="2021">
                  <c:v>7.2563</c:v>
                </c:pt>
                <c:pt idx="2022">
                  <c:v>7.3441</c:v>
                </c:pt>
                <c:pt idx="2023">
                  <c:v>7.391199999999999</c:v>
                </c:pt>
                <c:pt idx="2024">
                  <c:v>7.3834</c:v>
                </c:pt>
                <c:pt idx="2025">
                  <c:v>7.5175</c:v>
                </c:pt>
                <c:pt idx="2026">
                  <c:v>7.5722</c:v>
                </c:pt>
                <c:pt idx="2027">
                  <c:v>7.6718</c:v>
                </c:pt>
                <c:pt idx="2028">
                  <c:v>7.5525</c:v>
                </c:pt>
                <c:pt idx="2029">
                  <c:v>7.5075</c:v>
                </c:pt>
                <c:pt idx="2030">
                  <c:v>7.5766</c:v>
                </c:pt>
                <c:pt idx="2031">
                  <c:v>7.6322</c:v>
                </c:pt>
                <c:pt idx="2032">
                  <c:v>7.54</c:v>
                </c:pt>
                <c:pt idx="2033">
                  <c:v>7.6239</c:v>
                </c:pt>
                <c:pt idx="2034">
                  <c:v>7.6533</c:v>
                </c:pt>
                <c:pt idx="2035">
                  <c:v>7.6479</c:v>
                </c:pt>
                <c:pt idx="2036">
                  <c:v>7.6962</c:v>
                </c:pt>
                <c:pt idx="2037">
                  <c:v>7.716</c:v>
                </c:pt>
                <c:pt idx="2038">
                  <c:v>7.687</c:v>
                </c:pt>
                <c:pt idx="2039">
                  <c:v>7.7589</c:v>
                </c:pt>
                <c:pt idx="2040">
                  <c:v>7.7505</c:v>
                </c:pt>
                <c:pt idx="2041">
                  <c:v>7.7427</c:v>
                </c:pt>
                <c:pt idx="2042">
                  <c:v>7.7555</c:v>
                </c:pt>
                <c:pt idx="2043">
                  <c:v>7.8366</c:v>
                </c:pt>
                <c:pt idx="2044">
                  <c:v>7.9105</c:v>
                </c:pt>
                <c:pt idx="2045">
                  <c:v>7.8196</c:v>
                </c:pt>
                <c:pt idx="2046">
                  <c:v>7.9055</c:v>
                </c:pt>
                <c:pt idx="2047">
                  <c:v>7.9246</c:v>
                </c:pt>
                <c:pt idx="2048">
                  <c:v>7.9035</c:v>
                </c:pt>
                <c:pt idx="2049">
                  <c:v>7.9999</c:v>
                </c:pt>
                <c:pt idx="2050">
                  <c:v>8.0727</c:v>
                </c:pt>
                <c:pt idx="2051">
                  <c:v>7.9969</c:v>
                </c:pt>
                <c:pt idx="2052">
                  <c:v>7.9677</c:v>
                </c:pt>
                <c:pt idx="2053">
                  <c:v>8.025</c:v>
                </c:pt>
                <c:pt idx="2054">
                  <c:v>8.0134</c:v>
                </c:pt>
                <c:pt idx="2055">
                  <c:v>8.1013</c:v>
                </c:pt>
                <c:pt idx="2056">
                  <c:v>8.1142</c:v>
                </c:pt>
                <c:pt idx="2057">
                  <c:v>8.1155</c:v>
                </c:pt>
                <c:pt idx="2058">
                  <c:v>8.0086</c:v>
                </c:pt>
                <c:pt idx="2059">
                  <c:v>7.948</c:v>
                </c:pt>
                <c:pt idx="2060">
                  <c:v>7.8749</c:v>
                </c:pt>
                <c:pt idx="2061">
                  <c:v>7.8514</c:v>
                </c:pt>
                <c:pt idx="2062">
                  <c:v>7.8548</c:v>
                </c:pt>
                <c:pt idx="2063">
                  <c:v>7.774599999999999</c:v>
                </c:pt>
                <c:pt idx="2064">
                  <c:v>7.7061</c:v>
                </c:pt>
                <c:pt idx="2065">
                  <c:v>7.7412</c:v>
                </c:pt>
                <c:pt idx="2066">
                  <c:v>7.5992</c:v>
                </c:pt>
                <c:pt idx="2067">
                  <c:v>7.5673</c:v>
                </c:pt>
                <c:pt idx="2068">
                  <c:v>7.685</c:v>
                </c:pt>
                <c:pt idx="2069">
                  <c:v>7.7595</c:v>
                </c:pt>
                <c:pt idx="2070">
                  <c:v>7.6994</c:v>
                </c:pt>
                <c:pt idx="2071">
                  <c:v>7.6529</c:v>
                </c:pt>
                <c:pt idx="2072">
                  <c:v>7.6711</c:v>
                </c:pt>
                <c:pt idx="2073">
                  <c:v>7.6443</c:v>
                </c:pt>
                <c:pt idx="2074">
                  <c:v>7.6355</c:v>
                </c:pt>
                <c:pt idx="2075">
                  <c:v>7.4879</c:v>
                </c:pt>
                <c:pt idx="2076">
                  <c:v>7.4697</c:v>
                </c:pt>
                <c:pt idx="2077">
                  <c:v>7.5695</c:v>
                </c:pt>
                <c:pt idx="2078">
                  <c:v>7.6484</c:v>
                </c:pt>
                <c:pt idx="2079">
                  <c:v>7.5804</c:v>
                </c:pt>
                <c:pt idx="2080">
                  <c:v>7.6163</c:v>
                </c:pt>
                <c:pt idx="2081">
                  <c:v>7.7189</c:v>
                </c:pt>
                <c:pt idx="2082">
                  <c:v>7.5865</c:v>
                </c:pt>
                <c:pt idx="2083">
                  <c:v>7.505</c:v>
                </c:pt>
                <c:pt idx="2084">
                  <c:v>7.5294</c:v>
                </c:pt>
                <c:pt idx="2085">
                  <c:v>7.5713</c:v>
                </c:pt>
                <c:pt idx="2086">
                  <c:v>7.5679</c:v>
                </c:pt>
                <c:pt idx="2087">
                  <c:v>7.6375</c:v>
                </c:pt>
                <c:pt idx="2088">
                  <c:v>7.5648</c:v>
                </c:pt>
                <c:pt idx="2089">
                  <c:v>7.5908</c:v>
                </c:pt>
                <c:pt idx="2090">
                  <c:v>7.5325</c:v>
                </c:pt>
                <c:pt idx="2091">
                  <c:v>7.6056</c:v>
                </c:pt>
                <c:pt idx="2092">
                  <c:v>7.6894</c:v>
                </c:pt>
                <c:pt idx="2093">
                  <c:v>7.6737</c:v>
                </c:pt>
                <c:pt idx="2094">
                  <c:v>7.6525</c:v>
                </c:pt>
                <c:pt idx="2095">
                  <c:v>7.7558</c:v>
                </c:pt>
                <c:pt idx="2096">
                  <c:v>7.7551</c:v>
                </c:pt>
                <c:pt idx="2097">
                  <c:v>7.8087</c:v>
                </c:pt>
                <c:pt idx="2098">
                  <c:v>7.901</c:v>
                </c:pt>
                <c:pt idx="2099">
                  <c:v>7.9428</c:v>
                </c:pt>
                <c:pt idx="2100">
                  <c:v>7.8675</c:v>
                </c:pt>
                <c:pt idx="2101">
                  <c:v>7.81</c:v>
                </c:pt>
                <c:pt idx="2102">
                  <c:v>7.806</c:v>
                </c:pt>
                <c:pt idx="2103">
                  <c:v>7.8525</c:v>
                </c:pt>
                <c:pt idx="2104">
                  <c:v>7.7783</c:v>
                </c:pt>
                <c:pt idx="2105">
                  <c:v>7.7449</c:v>
                </c:pt>
                <c:pt idx="2106">
                  <c:v>7.8146</c:v>
                </c:pt>
                <c:pt idx="2107">
                  <c:v>7.7463</c:v>
                </c:pt>
                <c:pt idx="2108">
                  <c:v>7.8191</c:v>
                </c:pt>
                <c:pt idx="2109">
                  <c:v>8.028700000000001</c:v>
                </c:pt>
                <c:pt idx="2110">
                  <c:v>8.130100000000001</c:v>
                </c:pt>
                <c:pt idx="2111">
                  <c:v>8.1211</c:v>
                </c:pt>
                <c:pt idx="2112">
                  <c:v>7.975</c:v>
                </c:pt>
                <c:pt idx="2113">
                  <c:v>8.065</c:v>
                </c:pt>
                <c:pt idx="2114">
                  <c:v>8.0253</c:v>
                </c:pt>
                <c:pt idx="2115">
                  <c:v>8.116300000000001</c:v>
                </c:pt>
                <c:pt idx="2116">
                  <c:v>8.1587</c:v>
                </c:pt>
                <c:pt idx="2117">
                  <c:v>8.1888</c:v>
                </c:pt>
                <c:pt idx="2118">
                  <c:v>8.076</c:v>
                </c:pt>
                <c:pt idx="2119">
                  <c:v>8.0095</c:v>
                </c:pt>
                <c:pt idx="2120">
                  <c:v>8.1563</c:v>
                </c:pt>
                <c:pt idx="2121">
                  <c:v>7.942</c:v>
                </c:pt>
                <c:pt idx="2122">
                  <c:v>7.8994</c:v>
                </c:pt>
                <c:pt idx="2123">
                  <c:v>7.8663</c:v>
                </c:pt>
                <c:pt idx="2124">
                  <c:v>7.8476</c:v>
                </c:pt>
                <c:pt idx="2125">
                  <c:v>8.0325</c:v>
                </c:pt>
                <c:pt idx="2126">
                  <c:v>7.9825</c:v>
                </c:pt>
                <c:pt idx="2127">
                  <c:v>7.95</c:v>
                </c:pt>
                <c:pt idx="2128">
                  <c:v>7.7667</c:v>
                </c:pt>
                <c:pt idx="2129">
                  <c:v>7.9263</c:v>
                </c:pt>
                <c:pt idx="2130">
                  <c:v>7.766</c:v>
                </c:pt>
                <c:pt idx="2131">
                  <c:v>7.7569</c:v>
                </c:pt>
                <c:pt idx="2132">
                  <c:v>7.5575</c:v>
                </c:pt>
                <c:pt idx="2133">
                  <c:v>7.4556</c:v>
                </c:pt>
                <c:pt idx="2134">
                  <c:v>7.5433</c:v>
                </c:pt>
                <c:pt idx="2135">
                  <c:v>7.6943</c:v>
                </c:pt>
                <c:pt idx="2136">
                  <c:v>7.7545</c:v>
                </c:pt>
                <c:pt idx="2137">
                  <c:v>7.7834</c:v>
                </c:pt>
                <c:pt idx="2138">
                  <c:v>7.8875</c:v>
                </c:pt>
                <c:pt idx="2139">
                  <c:v>7.6827</c:v>
                </c:pt>
                <c:pt idx="2140">
                  <c:v>7.605</c:v>
                </c:pt>
                <c:pt idx="2141">
                  <c:v>7.6735</c:v>
                </c:pt>
                <c:pt idx="2142">
                  <c:v>7.6926</c:v>
                </c:pt>
                <c:pt idx="2143">
                  <c:v>7.724</c:v>
                </c:pt>
                <c:pt idx="2144">
                  <c:v>7.704</c:v>
                </c:pt>
                <c:pt idx="2145">
                  <c:v>7.749</c:v>
                </c:pt>
                <c:pt idx="2146">
                  <c:v>7.802</c:v>
                </c:pt>
                <c:pt idx="2147">
                  <c:v>7.682</c:v>
                </c:pt>
                <c:pt idx="2148">
                  <c:v>7.6658</c:v>
                </c:pt>
                <c:pt idx="2149">
                  <c:v>7.665</c:v>
                </c:pt>
                <c:pt idx="2150">
                  <c:v>7.4376</c:v>
                </c:pt>
                <c:pt idx="2151">
                  <c:v>7.4175</c:v>
                </c:pt>
                <c:pt idx="2152">
                  <c:v>7.477</c:v>
                </c:pt>
                <c:pt idx="2153">
                  <c:v>7.318</c:v>
                </c:pt>
                <c:pt idx="2154">
                  <c:v>7.2073</c:v>
                </c:pt>
                <c:pt idx="2155">
                  <c:v>7.2035</c:v>
                </c:pt>
                <c:pt idx="2156">
                  <c:v>7.1425</c:v>
                </c:pt>
                <c:pt idx="2157">
                  <c:v>7.03</c:v>
                </c:pt>
                <c:pt idx="2158">
                  <c:v>7.1709</c:v>
                </c:pt>
                <c:pt idx="2159">
                  <c:v>7.1008</c:v>
                </c:pt>
                <c:pt idx="2160">
                  <c:v>7.2161</c:v>
                </c:pt>
                <c:pt idx="2161">
                  <c:v>7.0726</c:v>
                </c:pt>
                <c:pt idx="2162">
                  <c:v>7.0255</c:v>
                </c:pt>
                <c:pt idx="2163">
                  <c:v>6.955</c:v>
                </c:pt>
                <c:pt idx="2164">
                  <c:v>6.830999999999999</c:v>
                </c:pt>
                <c:pt idx="2165">
                  <c:v>6.7505</c:v>
                </c:pt>
                <c:pt idx="2166">
                  <c:v>6.7635</c:v>
                </c:pt>
                <c:pt idx="2167">
                  <c:v>6.8332</c:v>
                </c:pt>
                <c:pt idx="2168">
                  <c:v>6.8876</c:v>
                </c:pt>
                <c:pt idx="2169">
                  <c:v>6.8742</c:v>
                </c:pt>
                <c:pt idx="2170">
                  <c:v>6.9128</c:v>
                </c:pt>
                <c:pt idx="2171">
                  <c:v>6.8726</c:v>
                </c:pt>
                <c:pt idx="2172">
                  <c:v>6.8443</c:v>
                </c:pt>
                <c:pt idx="2173">
                  <c:v>6.8375</c:v>
                </c:pt>
                <c:pt idx="2174">
                  <c:v>6.845</c:v>
                </c:pt>
                <c:pt idx="2175">
                  <c:v>6.8615</c:v>
                </c:pt>
                <c:pt idx="2176">
                  <c:v>6.8273</c:v>
                </c:pt>
                <c:pt idx="2177">
                  <c:v>6.8533</c:v>
                </c:pt>
                <c:pt idx="2178">
                  <c:v>6.9835</c:v>
                </c:pt>
                <c:pt idx="2179">
                  <c:v>6.9745</c:v>
                </c:pt>
                <c:pt idx="2180">
                  <c:v>6.9788</c:v>
                </c:pt>
                <c:pt idx="2181">
                  <c:v>7.0224</c:v>
                </c:pt>
                <c:pt idx="2182">
                  <c:v>7.0439</c:v>
                </c:pt>
                <c:pt idx="2183">
                  <c:v>6.9395</c:v>
                </c:pt>
                <c:pt idx="2184">
                  <c:v>6.9213</c:v>
                </c:pt>
                <c:pt idx="2185">
                  <c:v>6.9135</c:v>
                </c:pt>
                <c:pt idx="2186">
                  <c:v>6.875</c:v>
                </c:pt>
                <c:pt idx="2187">
                  <c:v>6.7599</c:v>
                </c:pt>
                <c:pt idx="2188">
                  <c:v>6.7268</c:v>
                </c:pt>
                <c:pt idx="2189">
                  <c:v>6.7048</c:v>
                </c:pt>
                <c:pt idx="2190">
                  <c:v>6.6735</c:v>
                </c:pt>
                <c:pt idx="2191">
                  <c:v>6.7225</c:v>
                </c:pt>
                <c:pt idx="2192">
                  <c:v>6.7433</c:v>
                </c:pt>
                <c:pt idx="2193">
                  <c:v>6.765</c:v>
                </c:pt>
                <c:pt idx="2194">
                  <c:v>6.8033</c:v>
                </c:pt>
                <c:pt idx="2195">
                  <c:v>6.806599999999999</c:v>
                </c:pt>
                <c:pt idx="2196">
                  <c:v>6.805</c:v>
                </c:pt>
                <c:pt idx="2197">
                  <c:v>6.8351</c:v>
                </c:pt>
                <c:pt idx="2198">
                  <c:v>6.8788</c:v>
                </c:pt>
                <c:pt idx="2199">
                  <c:v>7.0088</c:v>
                </c:pt>
                <c:pt idx="2200">
                  <c:v>6.9363</c:v>
                </c:pt>
                <c:pt idx="2201">
                  <c:v>6.8185</c:v>
                </c:pt>
                <c:pt idx="2202">
                  <c:v>6.7893</c:v>
                </c:pt>
                <c:pt idx="2203">
                  <c:v>6.8108</c:v>
                </c:pt>
                <c:pt idx="2204">
                  <c:v>6.7117</c:v>
                </c:pt>
                <c:pt idx="2205">
                  <c:v>6.7613</c:v>
                </c:pt>
                <c:pt idx="2206">
                  <c:v>6.6814</c:v>
                </c:pt>
                <c:pt idx="2207">
                  <c:v>6.7128</c:v>
                </c:pt>
                <c:pt idx="2208">
                  <c:v>6.569</c:v>
                </c:pt>
                <c:pt idx="2209">
                  <c:v>6.7208</c:v>
                </c:pt>
                <c:pt idx="2210">
                  <c:v>6.7925</c:v>
                </c:pt>
                <c:pt idx="2211">
                  <c:v>6.6437</c:v>
                </c:pt>
                <c:pt idx="2212">
                  <c:v>6.5284</c:v>
                </c:pt>
                <c:pt idx="2213">
                  <c:v>6.476</c:v>
                </c:pt>
                <c:pt idx="2214">
                  <c:v>6.5285</c:v>
                </c:pt>
                <c:pt idx="2215">
                  <c:v>6.5737</c:v>
                </c:pt>
                <c:pt idx="2216">
                  <c:v>6.5635</c:v>
                </c:pt>
                <c:pt idx="2217">
                  <c:v>6.5849</c:v>
                </c:pt>
                <c:pt idx="2218">
                  <c:v>6.5353</c:v>
                </c:pt>
                <c:pt idx="2219">
                  <c:v>6.5465</c:v>
                </c:pt>
                <c:pt idx="2220">
                  <c:v>6.5438</c:v>
                </c:pt>
                <c:pt idx="2221">
                  <c:v>6.5044</c:v>
                </c:pt>
                <c:pt idx="2222">
                  <c:v>6.571</c:v>
                </c:pt>
                <c:pt idx="2223">
                  <c:v>6.6689</c:v>
                </c:pt>
                <c:pt idx="2224">
                  <c:v>6.7128</c:v>
                </c:pt>
                <c:pt idx="2225">
                  <c:v>6.8675</c:v>
                </c:pt>
                <c:pt idx="2226">
                  <c:v>6.7932</c:v>
                </c:pt>
                <c:pt idx="2227">
                  <c:v>6.8037</c:v>
                </c:pt>
                <c:pt idx="2228">
                  <c:v>6.838</c:v>
                </c:pt>
                <c:pt idx="2229">
                  <c:v>6.8617</c:v>
                </c:pt>
                <c:pt idx="2230">
                  <c:v>6.848</c:v>
                </c:pt>
                <c:pt idx="2231">
                  <c:v>6.75</c:v>
                </c:pt>
                <c:pt idx="2232">
                  <c:v>6.6914</c:v>
                </c:pt>
                <c:pt idx="2233">
                  <c:v>6.8648</c:v>
                </c:pt>
                <c:pt idx="2234">
                  <c:v>6.8566</c:v>
                </c:pt>
                <c:pt idx="2235">
                  <c:v>6.8575</c:v>
                </c:pt>
                <c:pt idx="2236">
                  <c:v>6.8173</c:v>
                </c:pt>
                <c:pt idx="2237">
                  <c:v>6.905</c:v>
                </c:pt>
                <c:pt idx="2238">
                  <c:v>6.9081</c:v>
                </c:pt>
                <c:pt idx="2239">
                  <c:v>6.9285</c:v>
                </c:pt>
                <c:pt idx="2240">
                  <c:v>6.867</c:v>
                </c:pt>
                <c:pt idx="2241">
                  <c:v>6.8776</c:v>
                </c:pt>
                <c:pt idx="2242">
                  <c:v>6.8833</c:v>
                </c:pt>
                <c:pt idx="2243">
                  <c:v>6.9378</c:v>
                </c:pt>
                <c:pt idx="2244">
                  <c:v>6.9795</c:v>
                </c:pt>
                <c:pt idx="2245">
                  <c:v>6.9713</c:v>
                </c:pt>
                <c:pt idx="2246">
                  <c:v>6.995</c:v>
                </c:pt>
                <c:pt idx="2247">
                  <c:v>7.041</c:v>
                </c:pt>
                <c:pt idx="2248">
                  <c:v>7.0715</c:v>
                </c:pt>
                <c:pt idx="2249">
                  <c:v>7.1763</c:v>
                </c:pt>
                <c:pt idx="2250">
                  <c:v>7.1962</c:v>
                </c:pt>
                <c:pt idx="2251">
                  <c:v>7.1667</c:v>
                </c:pt>
                <c:pt idx="2252">
                  <c:v>7.126</c:v>
                </c:pt>
                <c:pt idx="2253">
                  <c:v>7.135</c:v>
                </c:pt>
                <c:pt idx="2254">
                  <c:v>7.1821</c:v>
                </c:pt>
                <c:pt idx="2255">
                  <c:v>7.2425</c:v>
                </c:pt>
                <c:pt idx="2256">
                  <c:v>7.2358</c:v>
                </c:pt>
                <c:pt idx="2257">
                  <c:v>7.208</c:v>
                </c:pt>
                <c:pt idx="2258">
                  <c:v>7.2505</c:v>
                </c:pt>
                <c:pt idx="2259">
                  <c:v>7.2091</c:v>
                </c:pt>
                <c:pt idx="2260">
                  <c:v>7.2118</c:v>
                </c:pt>
                <c:pt idx="2261">
                  <c:v>7.1601</c:v>
                </c:pt>
                <c:pt idx="2262">
                  <c:v>7.128</c:v>
                </c:pt>
                <c:pt idx="2263">
                  <c:v>7.2265</c:v>
                </c:pt>
                <c:pt idx="2264">
                  <c:v>7.2551</c:v>
                </c:pt>
                <c:pt idx="2265">
                  <c:v>7.2198</c:v>
                </c:pt>
                <c:pt idx="2266">
                  <c:v>7.2004</c:v>
                </c:pt>
                <c:pt idx="2267">
                  <c:v>7.2843</c:v>
                </c:pt>
                <c:pt idx="2268">
                  <c:v>7.2678</c:v>
                </c:pt>
                <c:pt idx="2269">
                  <c:v>7.3827</c:v>
                </c:pt>
                <c:pt idx="2270">
                  <c:v>7.4177</c:v>
                </c:pt>
                <c:pt idx="2271">
                  <c:v>7.4025</c:v>
                </c:pt>
                <c:pt idx="2272">
                  <c:v>7.5851</c:v>
                </c:pt>
                <c:pt idx="2273">
                  <c:v>7.379</c:v>
                </c:pt>
                <c:pt idx="2274">
                  <c:v>7.3102</c:v>
                </c:pt>
                <c:pt idx="2275">
                  <c:v>7.1888</c:v>
                </c:pt>
                <c:pt idx="2276">
                  <c:v>7.1932</c:v>
                </c:pt>
                <c:pt idx="2277">
                  <c:v>7.1425</c:v>
                </c:pt>
                <c:pt idx="2278">
                  <c:v>7.0288</c:v>
                </c:pt>
                <c:pt idx="2279">
                  <c:v>7.0795</c:v>
                </c:pt>
                <c:pt idx="2280">
                  <c:v>7.0724</c:v>
                </c:pt>
                <c:pt idx="2281">
                  <c:v>7.0915</c:v>
                </c:pt>
                <c:pt idx="2282">
                  <c:v>7.0875</c:v>
                </c:pt>
                <c:pt idx="2283">
                  <c:v>7.1415</c:v>
                </c:pt>
                <c:pt idx="2284">
                  <c:v>7.078</c:v>
                </c:pt>
                <c:pt idx="2285">
                  <c:v>7.1293</c:v>
                </c:pt>
                <c:pt idx="2286">
                  <c:v>7.0988</c:v>
                </c:pt>
                <c:pt idx="2287">
                  <c:v>7.036</c:v>
                </c:pt>
                <c:pt idx="2288">
                  <c:v>6.8993</c:v>
                </c:pt>
                <c:pt idx="2289">
                  <c:v>6.8283</c:v>
                </c:pt>
                <c:pt idx="2290">
                  <c:v>6.8085</c:v>
                </c:pt>
                <c:pt idx="2291">
                  <c:v>6.8933</c:v>
                </c:pt>
                <c:pt idx="2292">
                  <c:v>6.8715</c:v>
                </c:pt>
                <c:pt idx="2293">
                  <c:v>6.9689</c:v>
                </c:pt>
                <c:pt idx="2294">
                  <c:v>6.9699</c:v>
                </c:pt>
                <c:pt idx="2295">
                  <c:v>6.9635</c:v>
                </c:pt>
                <c:pt idx="2296">
                  <c:v>6.978</c:v>
                </c:pt>
                <c:pt idx="2297">
                  <c:v>6.9673</c:v>
                </c:pt>
                <c:pt idx="2298">
                  <c:v>7.038</c:v>
                </c:pt>
                <c:pt idx="2299">
                  <c:v>6.9948</c:v>
                </c:pt>
                <c:pt idx="2300">
                  <c:v>6.9612</c:v>
                </c:pt>
                <c:pt idx="2301">
                  <c:v>6.995</c:v>
                </c:pt>
                <c:pt idx="2302">
                  <c:v>7.013</c:v>
                </c:pt>
                <c:pt idx="2303">
                  <c:v>6.9598</c:v>
                </c:pt>
                <c:pt idx="2304">
                  <c:v>6.9865</c:v>
                </c:pt>
                <c:pt idx="2305">
                  <c:v>6.965</c:v>
                </c:pt>
                <c:pt idx="2306">
                  <c:v>7.0588</c:v>
                </c:pt>
                <c:pt idx="2307">
                  <c:v>7.076</c:v>
                </c:pt>
                <c:pt idx="2308">
                  <c:v>7.1765</c:v>
                </c:pt>
                <c:pt idx="2309">
                  <c:v>7.1733</c:v>
                </c:pt>
                <c:pt idx="2310">
                  <c:v>7.153</c:v>
                </c:pt>
                <c:pt idx="2311">
                  <c:v>7.1538</c:v>
                </c:pt>
                <c:pt idx="2312">
                  <c:v>7.1428</c:v>
                </c:pt>
                <c:pt idx="2313">
                  <c:v>7.1118</c:v>
                </c:pt>
                <c:pt idx="2314">
                  <c:v>7.069</c:v>
                </c:pt>
                <c:pt idx="2315">
                  <c:v>7.0845</c:v>
                </c:pt>
                <c:pt idx="2316">
                  <c:v>7.1346</c:v>
                </c:pt>
                <c:pt idx="2317">
                  <c:v>7.195</c:v>
                </c:pt>
                <c:pt idx="2318">
                  <c:v>7.2432</c:v>
                </c:pt>
                <c:pt idx="2319">
                  <c:v>7.229</c:v>
                </c:pt>
                <c:pt idx="2320">
                  <c:v>7.2214</c:v>
                </c:pt>
                <c:pt idx="2321">
                  <c:v>7.2944</c:v>
                </c:pt>
                <c:pt idx="2322">
                  <c:v>7.2231</c:v>
                </c:pt>
                <c:pt idx="2323">
                  <c:v>7.2094</c:v>
                </c:pt>
                <c:pt idx="2324">
                  <c:v>7.1713</c:v>
                </c:pt>
                <c:pt idx="2325">
                  <c:v>7.1215</c:v>
                </c:pt>
                <c:pt idx="2326">
                  <c:v>7.0958</c:v>
                </c:pt>
                <c:pt idx="2327">
                  <c:v>7.1252</c:v>
                </c:pt>
                <c:pt idx="2328">
                  <c:v>7.1698</c:v>
                </c:pt>
                <c:pt idx="2329">
                  <c:v>7.1463</c:v>
                </c:pt>
                <c:pt idx="2330">
                  <c:v>7.1</c:v>
                </c:pt>
                <c:pt idx="2331">
                  <c:v>7.1027</c:v>
                </c:pt>
                <c:pt idx="2332">
                  <c:v>7.147</c:v>
                </c:pt>
                <c:pt idx="2333">
                  <c:v>7.0596</c:v>
                </c:pt>
                <c:pt idx="2334">
                  <c:v>7.0575</c:v>
                </c:pt>
                <c:pt idx="2335">
                  <c:v>7.017</c:v>
                </c:pt>
                <c:pt idx="2336">
                  <c:v>7.0173</c:v>
                </c:pt>
                <c:pt idx="2337">
                  <c:v>7.0402</c:v>
                </c:pt>
                <c:pt idx="2338">
                  <c:v>6.9755</c:v>
                </c:pt>
                <c:pt idx="2339">
                  <c:v>6.8995</c:v>
                </c:pt>
                <c:pt idx="2340">
                  <c:v>6.93</c:v>
                </c:pt>
                <c:pt idx="2341">
                  <c:v>6.981</c:v>
                </c:pt>
                <c:pt idx="2342">
                  <c:v>7.0345</c:v>
                </c:pt>
                <c:pt idx="2343">
                  <c:v>6.893</c:v>
                </c:pt>
                <c:pt idx="2344">
                  <c:v>6.9104</c:v>
                </c:pt>
                <c:pt idx="2345">
                  <c:v>6.8805</c:v>
                </c:pt>
                <c:pt idx="2346">
                  <c:v>6.9415</c:v>
                </c:pt>
                <c:pt idx="2347">
                  <c:v>6.975</c:v>
                </c:pt>
                <c:pt idx="2348">
                  <c:v>7.0283</c:v>
                </c:pt>
                <c:pt idx="2349">
                  <c:v>7.0366</c:v>
                </c:pt>
                <c:pt idx="2350">
                  <c:v>7.0163</c:v>
                </c:pt>
                <c:pt idx="2351">
                  <c:v>7.0595</c:v>
                </c:pt>
                <c:pt idx="2352">
                  <c:v>6.9962</c:v>
                </c:pt>
                <c:pt idx="2353">
                  <c:v>6.981</c:v>
                </c:pt>
                <c:pt idx="2354">
                  <c:v>7.0498</c:v>
                </c:pt>
                <c:pt idx="2355">
                  <c:v>7.077</c:v>
                </c:pt>
                <c:pt idx="2356">
                  <c:v>7.0343</c:v>
                </c:pt>
                <c:pt idx="2357">
                  <c:v>7.0445</c:v>
                </c:pt>
                <c:pt idx="2358">
                  <c:v>7.06</c:v>
                </c:pt>
                <c:pt idx="2359">
                  <c:v>7.0647</c:v>
                </c:pt>
                <c:pt idx="2360">
                  <c:v>7.1064</c:v>
                </c:pt>
                <c:pt idx="2361">
                  <c:v>7.1981</c:v>
                </c:pt>
                <c:pt idx="2362">
                  <c:v>7.1718</c:v>
                </c:pt>
                <c:pt idx="2363">
                  <c:v>7.1335</c:v>
                </c:pt>
                <c:pt idx="2364">
                  <c:v>7.1329</c:v>
                </c:pt>
                <c:pt idx="2365">
                  <c:v>7.1208</c:v>
                </c:pt>
                <c:pt idx="2366">
                  <c:v>7.1335</c:v>
                </c:pt>
                <c:pt idx="2367">
                  <c:v>7.1343</c:v>
                </c:pt>
                <c:pt idx="2368">
                  <c:v>7.1697</c:v>
                </c:pt>
                <c:pt idx="2369">
                  <c:v>7.1722</c:v>
                </c:pt>
                <c:pt idx="2370">
                  <c:v>7.26</c:v>
                </c:pt>
                <c:pt idx="2371">
                  <c:v>7.2973</c:v>
                </c:pt>
                <c:pt idx="2372">
                  <c:v>7.2841</c:v>
                </c:pt>
                <c:pt idx="2373">
                  <c:v>7.3423</c:v>
                </c:pt>
                <c:pt idx="2374">
                  <c:v>7.2478</c:v>
                </c:pt>
                <c:pt idx="2375">
                  <c:v>7.2216</c:v>
                </c:pt>
                <c:pt idx="2376">
                  <c:v>7.2187</c:v>
                </c:pt>
                <c:pt idx="2377">
                  <c:v>7.1858</c:v>
                </c:pt>
                <c:pt idx="2378">
                  <c:v>7.3461</c:v>
                </c:pt>
                <c:pt idx="2379">
                  <c:v>7.3915</c:v>
                </c:pt>
                <c:pt idx="2380">
                  <c:v>7.4263</c:v>
                </c:pt>
                <c:pt idx="2381">
                  <c:v>7.4854</c:v>
                </c:pt>
                <c:pt idx="2382">
                  <c:v>7.4101</c:v>
                </c:pt>
                <c:pt idx="2383">
                  <c:v>7.4613</c:v>
                </c:pt>
                <c:pt idx="2384">
                  <c:v>7.4715</c:v>
                </c:pt>
                <c:pt idx="2385">
                  <c:v>7.3305</c:v>
                </c:pt>
                <c:pt idx="2386">
                  <c:v>7.3242</c:v>
                </c:pt>
                <c:pt idx="2387">
                  <c:v>7.38</c:v>
                </c:pt>
                <c:pt idx="2388">
                  <c:v>7.4295</c:v>
                </c:pt>
                <c:pt idx="2389">
                  <c:v>7.4166</c:v>
                </c:pt>
                <c:pt idx="2390">
                  <c:v>7.4651</c:v>
                </c:pt>
                <c:pt idx="2391">
                  <c:v>7.3928</c:v>
                </c:pt>
                <c:pt idx="2392">
                  <c:v>7.2985</c:v>
                </c:pt>
                <c:pt idx="2393">
                  <c:v>7.2515</c:v>
                </c:pt>
                <c:pt idx="2394">
                  <c:v>7.2137</c:v>
                </c:pt>
                <c:pt idx="2395">
                  <c:v>7.0817</c:v>
                </c:pt>
                <c:pt idx="2396">
                  <c:v>7.0651</c:v>
                </c:pt>
                <c:pt idx="2397">
                  <c:v>7.0703</c:v>
                </c:pt>
                <c:pt idx="2398">
                  <c:v>7.108</c:v>
                </c:pt>
                <c:pt idx="2399">
                  <c:v>7.1239</c:v>
                </c:pt>
                <c:pt idx="2400">
                  <c:v>7.107</c:v>
                </c:pt>
                <c:pt idx="2401">
                  <c:v>7.17</c:v>
                </c:pt>
                <c:pt idx="2402">
                  <c:v>7.2118</c:v>
                </c:pt>
                <c:pt idx="2403">
                  <c:v>7.1935</c:v>
                </c:pt>
                <c:pt idx="2404">
                  <c:v>7.2438</c:v>
                </c:pt>
                <c:pt idx="2405">
                  <c:v>7.2678</c:v>
                </c:pt>
                <c:pt idx="2406">
                  <c:v>7.1605</c:v>
                </c:pt>
                <c:pt idx="2407">
                  <c:v>7.1511</c:v>
                </c:pt>
                <c:pt idx="2408">
                  <c:v>7.1688</c:v>
                </c:pt>
                <c:pt idx="2409">
                  <c:v>7.1968</c:v>
                </c:pt>
                <c:pt idx="2410">
                  <c:v>7.207</c:v>
                </c:pt>
                <c:pt idx="2411">
                  <c:v>7.1951</c:v>
                </c:pt>
                <c:pt idx="2412">
                  <c:v>7.1868</c:v>
                </c:pt>
                <c:pt idx="2413">
                  <c:v>7.2255</c:v>
                </c:pt>
                <c:pt idx="2414">
                  <c:v>7.2964</c:v>
                </c:pt>
                <c:pt idx="2415">
                  <c:v>7.3163</c:v>
                </c:pt>
                <c:pt idx="2416">
                  <c:v>7.2833</c:v>
                </c:pt>
                <c:pt idx="2417">
                  <c:v>7.2408</c:v>
                </c:pt>
                <c:pt idx="2418">
                  <c:v>7.155</c:v>
                </c:pt>
                <c:pt idx="2419">
                  <c:v>7.1226</c:v>
                </c:pt>
                <c:pt idx="2420">
                  <c:v>7.138</c:v>
                </c:pt>
                <c:pt idx="2421">
                  <c:v>7.1471</c:v>
                </c:pt>
                <c:pt idx="2422">
                  <c:v>7.1412</c:v>
                </c:pt>
                <c:pt idx="2423">
                  <c:v>7.1588</c:v>
                </c:pt>
                <c:pt idx="2424">
                  <c:v>7.2315</c:v>
                </c:pt>
                <c:pt idx="2425">
                  <c:v>7.2149</c:v>
                </c:pt>
                <c:pt idx="2426">
                  <c:v>7.2267</c:v>
                </c:pt>
                <c:pt idx="2427">
                  <c:v>7.2633</c:v>
                </c:pt>
                <c:pt idx="2428">
                  <c:v>7.3225</c:v>
                </c:pt>
                <c:pt idx="2429">
                  <c:v>7.3223</c:v>
                </c:pt>
                <c:pt idx="2430">
                  <c:v>7.2418</c:v>
                </c:pt>
                <c:pt idx="2431">
                  <c:v>7.2127</c:v>
                </c:pt>
                <c:pt idx="2432">
                  <c:v>7.0906</c:v>
                </c:pt>
                <c:pt idx="2433">
                  <c:v>6.9448</c:v>
                </c:pt>
                <c:pt idx="2434">
                  <c:v>6.9</c:v>
                </c:pt>
                <c:pt idx="2435">
                  <c:v>7.0061</c:v>
                </c:pt>
                <c:pt idx="2436">
                  <c:v>6.9879</c:v>
                </c:pt>
                <c:pt idx="2437">
                  <c:v>7.0108</c:v>
                </c:pt>
                <c:pt idx="2438">
                  <c:v>7.0888</c:v>
                </c:pt>
                <c:pt idx="2439">
                  <c:v>7.0627</c:v>
                </c:pt>
                <c:pt idx="2440">
                  <c:v>7.039</c:v>
                </c:pt>
                <c:pt idx="2441">
                  <c:v>7.035</c:v>
                </c:pt>
                <c:pt idx="2442">
                  <c:v>7.02</c:v>
                </c:pt>
                <c:pt idx="2443">
                  <c:v>6.9205</c:v>
                </c:pt>
                <c:pt idx="2444">
                  <c:v>7.0208</c:v>
                </c:pt>
                <c:pt idx="2445">
                  <c:v>7.0338</c:v>
                </c:pt>
                <c:pt idx="2446">
                  <c:v>7.0065</c:v>
                </c:pt>
                <c:pt idx="2447">
                  <c:v>6.97</c:v>
                </c:pt>
                <c:pt idx="2448">
                  <c:v>6.9888</c:v>
                </c:pt>
                <c:pt idx="2449">
                  <c:v>7.0068</c:v>
                </c:pt>
                <c:pt idx="2450">
                  <c:v>7.0278</c:v>
                </c:pt>
                <c:pt idx="2451">
                  <c:v>7.0597</c:v>
                </c:pt>
                <c:pt idx="2452">
                  <c:v>7.0244</c:v>
                </c:pt>
                <c:pt idx="2453">
                  <c:v>7.0868</c:v>
                </c:pt>
                <c:pt idx="2454">
                  <c:v>7.1063</c:v>
                </c:pt>
                <c:pt idx="2455">
                  <c:v>7.164</c:v>
                </c:pt>
                <c:pt idx="2456">
                  <c:v>7.1588</c:v>
                </c:pt>
                <c:pt idx="2457">
                  <c:v>7.1513</c:v>
                </c:pt>
                <c:pt idx="2458">
                  <c:v>7.1395</c:v>
                </c:pt>
                <c:pt idx="2459">
                  <c:v>7.165</c:v>
                </c:pt>
                <c:pt idx="2460">
                  <c:v>7.1298</c:v>
                </c:pt>
                <c:pt idx="2461">
                  <c:v>7.1635</c:v>
                </c:pt>
                <c:pt idx="2462">
                  <c:v>7.205</c:v>
                </c:pt>
                <c:pt idx="2463">
                  <c:v>7.1538</c:v>
                </c:pt>
                <c:pt idx="2464">
                  <c:v>7.2065</c:v>
                </c:pt>
                <c:pt idx="2465">
                  <c:v>7.233</c:v>
                </c:pt>
                <c:pt idx="2466">
                  <c:v>7.2826</c:v>
                </c:pt>
                <c:pt idx="2467">
                  <c:v>7.2235</c:v>
                </c:pt>
                <c:pt idx="2468">
                  <c:v>7.2555</c:v>
                </c:pt>
                <c:pt idx="2469">
                  <c:v>7.2688</c:v>
                </c:pt>
                <c:pt idx="2470">
                  <c:v>7.26</c:v>
                </c:pt>
                <c:pt idx="2471">
                  <c:v>7.2159</c:v>
                </c:pt>
                <c:pt idx="2472">
                  <c:v>7.2318</c:v>
                </c:pt>
                <c:pt idx="2473">
                  <c:v>7.3155</c:v>
                </c:pt>
                <c:pt idx="2474">
                  <c:v>7.3063</c:v>
                </c:pt>
                <c:pt idx="2475">
                  <c:v>7.381</c:v>
                </c:pt>
                <c:pt idx="2476">
                  <c:v>7.3768</c:v>
                </c:pt>
                <c:pt idx="2477">
                  <c:v>7.4324</c:v>
                </c:pt>
                <c:pt idx="2478">
                  <c:v>7.3963</c:v>
                </c:pt>
                <c:pt idx="2479">
                  <c:v>7.3865</c:v>
                </c:pt>
                <c:pt idx="2480">
                  <c:v>7.5065</c:v>
                </c:pt>
                <c:pt idx="2481">
                  <c:v>7.43</c:v>
                </c:pt>
                <c:pt idx="2482">
                  <c:v>7.5006</c:v>
                </c:pt>
                <c:pt idx="2483">
                  <c:v>7.5915</c:v>
                </c:pt>
                <c:pt idx="2484">
                  <c:v>7.7095</c:v>
                </c:pt>
                <c:pt idx="2485">
                  <c:v>7.6763</c:v>
                </c:pt>
                <c:pt idx="2486">
                  <c:v>7.5378</c:v>
                </c:pt>
                <c:pt idx="2487">
                  <c:v>7.52</c:v>
                </c:pt>
                <c:pt idx="2488">
                  <c:v>7.5959</c:v>
                </c:pt>
                <c:pt idx="2489">
                  <c:v>7.6099</c:v>
                </c:pt>
                <c:pt idx="2490">
                  <c:v>7.5175</c:v>
                </c:pt>
                <c:pt idx="2491">
                  <c:v>7.4713</c:v>
                </c:pt>
                <c:pt idx="2492">
                  <c:v>7.526</c:v>
                </c:pt>
                <c:pt idx="2493">
                  <c:v>7.669</c:v>
                </c:pt>
                <c:pt idx="2494">
                  <c:v>7.7665</c:v>
                </c:pt>
                <c:pt idx="2495">
                  <c:v>7.8338</c:v>
                </c:pt>
                <c:pt idx="2496">
                  <c:v>7.817</c:v>
                </c:pt>
                <c:pt idx="2497">
                  <c:v>7.806</c:v>
                </c:pt>
                <c:pt idx="2498">
                  <c:v>7.9125</c:v>
                </c:pt>
                <c:pt idx="2499">
                  <c:v>7.884</c:v>
                </c:pt>
                <c:pt idx="2500">
                  <c:v>7.7235</c:v>
                </c:pt>
                <c:pt idx="2501">
                  <c:v>7.7613</c:v>
                </c:pt>
                <c:pt idx="2502">
                  <c:v>7.678</c:v>
                </c:pt>
                <c:pt idx="2503">
                  <c:v>7.6268</c:v>
                </c:pt>
                <c:pt idx="2504">
                  <c:v>7.6563</c:v>
                </c:pt>
                <c:pt idx="2505">
                  <c:v>7.7005</c:v>
                </c:pt>
                <c:pt idx="2506">
                  <c:v>7.6225</c:v>
                </c:pt>
                <c:pt idx="2507">
                  <c:v>7.5835</c:v>
                </c:pt>
                <c:pt idx="2508">
                  <c:v>7.3865</c:v>
                </c:pt>
                <c:pt idx="2509">
                  <c:v>7.367</c:v>
                </c:pt>
                <c:pt idx="2510">
                  <c:v>7.283</c:v>
                </c:pt>
                <c:pt idx="2511">
                  <c:v>7.397</c:v>
                </c:pt>
                <c:pt idx="2512">
                  <c:v>7.4047</c:v>
                </c:pt>
                <c:pt idx="2513">
                  <c:v>7.318</c:v>
                </c:pt>
                <c:pt idx="2514">
                  <c:v>7.3453</c:v>
                </c:pt>
                <c:pt idx="2515">
                  <c:v>7.4085</c:v>
                </c:pt>
                <c:pt idx="2516">
                  <c:v>7.373</c:v>
                </c:pt>
                <c:pt idx="2517">
                  <c:v>7.3475</c:v>
                </c:pt>
                <c:pt idx="2518">
                  <c:v>7.313</c:v>
                </c:pt>
                <c:pt idx="2519">
                  <c:v>7.1887</c:v>
                </c:pt>
                <c:pt idx="2520">
                  <c:v>7.161</c:v>
                </c:pt>
                <c:pt idx="2521">
                  <c:v>7.2088</c:v>
                </c:pt>
                <c:pt idx="2522">
                  <c:v>7.209</c:v>
                </c:pt>
                <c:pt idx="2523">
                  <c:v>7.102</c:v>
                </c:pt>
                <c:pt idx="2524">
                  <c:v>7.1448</c:v>
                </c:pt>
                <c:pt idx="2525">
                  <c:v>7.1833</c:v>
                </c:pt>
                <c:pt idx="2526">
                  <c:v>7.1436</c:v>
                </c:pt>
                <c:pt idx="2527">
                  <c:v>7.1675</c:v>
                </c:pt>
                <c:pt idx="2528">
                  <c:v>7.1398</c:v>
                </c:pt>
                <c:pt idx="2529">
                  <c:v>7.1185</c:v>
                </c:pt>
                <c:pt idx="2530">
                  <c:v>7.0315</c:v>
                </c:pt>
                <c:pt idx="2531">
                  <c:v>6.989</c:v>
                </c:pt>
                <c:pt idx="2532">
                  <c:v>6.7925</c:v>
                </c:pt>
                <c:pt idx="2533">
                  <c:v>6.7445</c:v>
                </c:pt>
                <c:pt idx="2534">
                  <c:v>6.8715</c:v>
                </c:pt>
                <c:pt idx="2535">
                  <c:v>6.8535</c:v>
                </c:pt>
                <c:pt idx="2536">
                  <c:v>6.7925</c:v>
                </c:pt>
                <c:pt idx="2537">
                  <c:v>6.8038</c:v>
                </c:pt>
                <c:pt idx="2538">
                  <c:v>6.7315</c:v>
                </c:pt>
                <c:pt idx="2539">
                  <c:v>6.832</c:v>
                </c:pt>
                <c:pt idx="2540">
                  <c:v>6.7914</c:v>
                </c:pt>
                <c:pt idx="2541">
                  <c:v>6.8168</c:v>
                </c:pt>
                <c:pt idx="2542">
                  <c:v>6.853</c:v>
                </c:pt>
                <c:pt idx="2543">
                  <c:v>6.8925</c:v>
                </c:pt>
                <c:pt idx="2544">
                  <c:v>6.9689</c:v>
                </c:pt>
                <c:pt idx="2545">
                  <c:v>6.9245</c:v>
                </c:pt>
                <c:pt idx="2546">
                  <c:v>6.877</c:v>
                </c:pt>
                <c:pt idx="2547">
                  <c:v>6.82</c:v>
                </c:pt>
                <c:pt idx="2548">
                  <c:v>6.9738</c:v>
                </c:pt>
                <c:pt idx="2549">
                  <c:v>7.013</c:v>
                </c:pt>
                <c:pt idx="2550">
                  <c:v>7.0181</c:v>
                </c:pt>
                <c:pt idx="2551">
                  <c:v>7.0392</c:v>
                </c:pt>
                <c:pt idx="2552">
                  <c:v>6.9693</c:v>
                </c:pt>
                <c:pt idx="2553">
                  <c:v>7.0547</c:v>
                </c:pt>
                <c:pt idx="2554">
                  <c:v>7.1876</c:v>
                </c:pt>
                <c:pt idx="2555">
                  <c:v>7.2225</c:v>
                </c:pt>
                <c:pt idx="2556">
                  <c:v>7.2087</c:v>
                </c:pt>
                <c:pt idx="2557">
                  <c:v>7.1642</c:v>
                </c:pt>
                <c:pt idx="2558">
                  <c:v>7.143</c:v>
                </c:pt>
                <c:pt idx="2559">
                  <c:v>7.1129</c:v>
                </c:pt>
                <c:pt idx="2560">
                  <c:v>7.1214</c:v>
                </c:pt>
                <c:pt idx="2561">
                  <c:v>7.1005</c:v>
                </c:pt>
                <c:pt idx="2562">
                  <c:v>7.1633</c:v>
                </c:pt>
                <c:pt idx="2563">
                  <c:v>7.2288</c:v>
                </c:pt>
                <c:pt idx="2564">
                  <c:v>7.0385</c:v>
                </c:pt>
                <c:pt idx="2565">
                  <c:v>7.0563</c:v>
                </c:pt>
                <c:pt idx="2566">
                  <c:v>7.164</c:v>
                </c:pt>
                <c:pt idx="2567">
                  <c:v>7.2925</c:v>
                </c:pt>
                <c:pt idx="2568">
                  <c:v>7.2423</c:v>
                </c:pt>
                <c:pt idx="2569">
                  <c:v>7.3025</c:v>
                </c:pt>
                <c:pt idx="2570">
                  <c:v>7.3775</c:v>
                </c:pt>
                <c:pt idx="2571">
                  <c:v>7.4463</c:v>
                </c:pt>
                <c:pt idx="2572">
                  <c:v>7.314</c:v>
                </c:pt>
                <c:pt idx="2573">
                  <c:v>7.147</c:v>
                </c:pt>
                <c:pt idx="2574">
                  <c:v>7.0903</c:v>
                </c:pt>
                <c:pt idx="2575">
                  <c:v>6.982</c:v>
                </c:pt>
                <c:pt idx="2576">
                  <c:v>6.893</c:v>
                </c:pt>
                <c:pt idx="2577">
                  <c:v>6.9335</c:v>
                </c:pt>
                <c:pt idx="2578">
                  <c:v>6.846</c:v>
                </c:pt>
                <c:pt idx="2579">
                  <c:v>6.844</c:v>
                </c:pt>
                <c:pt idx="2580">
                  <c:v>6.7723</c:v>
                </c:pt>
                <c:pt idx="2581">
                  <c:v>6.7213</c:v>
                </c:pt>
                <c:pt idx="2582">
                  <c:v>6.7875</c:v>
                </c:pt>
                <c:pt idx="2583">
                  <c:v>6.7125</c:v>
                </c:pt>
                <c:pt idx="2584">
                  <c:v>6.7778</c:v>
                </c:pt>
                <c:pt idx="2585">
                  <c:v>6.6395</c:v>
                </c:pt>
                <c:pt idx="2586">
                  <c:v>6.6515</c:v>
                </c:pt>
                <c:pt idx="2587">
                  <c:v>6.6787</c:v>
                </c:pt>
                <c:pt idx="2588">
                  <c:v>6.7085</c:v>
                </c:pt>
                <c:pt idx="2589">
                  <c:v>6.5843</c:v>
                </c:pt>
                <c:pt idx="2590">
                  <c:v>6.513</c:v>
                </c:pt>
                <c:pt idx="2591">
                  <c:v>6.5385</c:v>
                </c:pt>
                <c:pt idx="2592">
                  <c:v>6.564999999999999</c:v>
                </c:pt>
                <c:pt idx="2593">
                  <c:v>6.6789</c:v>
                </c:pt>
                <c:pt idx="2594">
                  <c:v>6.507</c:v>
                </c:pt>
                <c:pt idx="2595">
                  <c:v>6.59</c:v>
                </c:pt>
                <c:pt idx="2596">
                  <c:v>6.5258</c:v>
                </c:pt>
                <c:pt idx="2597">
                  <c:v>6.4858</c:v>
                </c:pt>
                <c:pt idx="2598">
                  <c:v>6.4</c:v>
                </c:pt>
                <c:pt idx="2599">
                  <c:v>6.3698</c:v>
                </c:pt>
                <c:pt idx="2600">
                  <c:v>6.4143</c:v>
                </c:pt>
                <c:pt idx="2601">
                  <c:v>6.2385</c:v>
                </c:pt>
                <c:pt idx="2602">
                  <c:v>6.063</c:v>
                </c:pt>
                <c:pt idx="2603">
                  <c:v>6.0703</c:v>
                </c:pt>
                <c:pt idx="2604">
                  <c:v>6.0498</c:v>
                </c:pt>
                <c:pt idx="2605">
                  <c:v>6.0585</c:v>
                </c:pt>
                <c:pt idx="2606">
                  <c:v>6.0595</c:v>
                </c:pt>
              </c:numCache>
            </c:numRef>
          </c:val>
          <c:smooth val="0"/>
        </c:ser>
        <c:dLbls>
          <c:showLegendKey val="0"/>
          <c:showVal val="0"/>
          <c:showCatName val="0"/>
          <c:showSerName val="0"/>
          <c:showPercent val="0"/>
          <c:showBubbleSize val="0"/>
        </c:dLbls>
        <c:marker val="1"/>
        <c:smooth val="0"/>
        <c:axId val="-2125201784"/>
        <c:axId val="-2125215224"/>
      </c:lineChart>
      <c:dateAx>
        <c:axId val="-2125201784"/>
        <c:scaling>
          <c:orientation val="minMax"/>
        </c:scaling>
        <c:delete val="0"/>
        <c:axPos val="b"/>
        <c:numFmt formatCode="m/d/yy" sourceLinked="1"/>
        <c:majorTickMark val="out"/>
        <c:minorTickMark val="none"/>
        <c:tickLblPos val="nextTo"/>
        <c:crossAx val="-2125215224"/>
        <c:crosses val="autoZero"/>
        <c:auto val="1"/>
        <c:lblOffset val="100"/>
        <c:baseTimeUnit val="days"/>
      </c:dateAx>
      <c:valAx>
        <c:axId val="-2125215224"/>
        <c:scaling>
          <c:orientation val="minMax"/>
        </c:scaling>
        <c:delete val="0"/>
        <c:axPos val="l"/>
        <c:majorGridlines/>
        <c:numFmt formatCode="0.00" sourceLinked="1"/>
        <c:majorTickMark val="out"/>
        <c:minorTickMark val="none"/>
        <c:tickLblPos val="nextTo"/>
        <c:crossAx val="-2125201784"/>
        <c:crosses val="autoZero"/>
        <c:crossBetween val="between"/>
      </c:valAx>
    </c:plotArea>
    <c:legend>
      <c:legendPos val="r"/>
      <c:overlay val="0"/>
    </c:legend>
    <c:plotVisOnly val="1"/>
    <c:dispBlanksAs val="gap"/>
    <c:showDLblsOverMax val="0"/>
  </c:chart>
  <c:printSettings>
    <c:headerFooter/>
    <c:pageMargins b="1.0" l="0.75" r="0.75" t="1.0"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Exchange Rate USD/ZAR</a:t>
            </a:r>
          </a:p>
        </c:rich>
      </c:tx>
      <c:layout/>
      <c:overlay val="0"/>
    </c:title>
    <c:autoTitleDeleted val="0"/>
    <c:plotArea>
      <c:layout/>
      <c:lineChart>
        <c:grouping val="standard"/>
        <c:varyColors val="0"/>
        <c:ser>
          <c:idx val="0"/>
          <c:order val="0"/>
          <c:spPr>
            <a:ln w="12700">
              <a:solidFill>
                <a:schemeClr val="tx2">
                  <a:lumMod val="50000"/>
                </a:schemeClr>
              </a:solidFill>
            </a:ln>
          </c:spPr>
          <c:marker>
            <c:symbol val="none"/>
          </c:marker>
          <c:cat>
            <c:numRef>
              <c:f>'3f. Exchange Rate USDZAR'!$A$10:$A$2616</c:f>
              <c:numCache>
                <c:formatCode>m/d/yy</c:formatCode>
                <c:ptCount val="2607"/>
                <c:pt idx="0">
                  <c:v>42494.0</c:v>
                </c:pt>
                <c:pt idx="1">
                  <c:v>42493.0</c:v>
                </c:pt>
                <c:pt idx="2">
                  <c:v>42492.0</c:v>
                </c:pt>
                <c:pt idx="3">
                  <c:v>42489.0</c:v>
                </c:pt>
                <c:pt idx="4">
                  <c:v>42488.0</c:v>
                </c:pt>
                <c:pt idx="5">
                  <c:v>42487.0</c:v>
                </c:pt>
                <c:pt idx="6">
                  <c:v>42486.0</c:v>
                </c:pt>
                <c:pt idx="7">
                  <c:v>42485.0</c:v>
                </c:pt>
                <c:pt idx="8">
                  <c:v>42482.0</c:v>
                </c:pt>
                <c:pt idx="9">
                  <c:v>42481.0</c:v>
                </c:pt>
                <c:pt idx="10">
                  <c:v>42480.0</c:v>
                </c:pt>
                <c:pt idx="11">
                  <c:v>42479.0</c:v>
                </c:pt>
                <c:pt idx="12">
                  <c:v>42478.0</c:v>
                </c:pt>
                <c:pt idx="13">
                  <c:v>42475.0</c:v>
                </c:pt>
                <c:pt idx="14">
                  <c:v>42474.0</c:v>
                </c:pt>
                <c:pt idx="15">
                  <c:v>42473.0</c:v>
                </c:pt>
                <c:pt idx="16">
                  <c:v>42472.0</c:v>
                </c:pt>
                <c:pt idx="17">
                  <c:v>42471.0</c:v>
                </c:pt>
                <c:pt idx="18">
                  <c:v>42468.0</c:v>
                </c:pt>
                <c:pt idx="19">
                  <c:v>42467.0</c:v>
                </c:pt>
                <c:pt idx="20">
                  <c:v>42466.0</c:v>
                </c:pt>
                <c:pt idx="21">
                  <c:v>42465.0</c:v>
                </c:pt>
                <c:pt idx="22">
                  <c:v>42464.0</c:v>
                </c:pt>
                <c:pt idx="23">
                  <c:v>42461.0</c:v>
                </c:pt>
                <c:pt idx="24">
                  <c:v>42460.0</c:v>
                </c:pt>
                <c:pt idx="25">
                  <c:v>42459.0</c:v>
                </c:pt>
                <c:pt idx="26">
                  <c:v>42458.0</c:v>
                </c:pt>
                <c:pt idx="27">
                  <c:v>42457.0</c:v>
                </c:pt>
                <c:pt idx="28">
                  <c:v>42454.0</c:v>
                </c:pt>
                <c:pt idx="29">
                  <c:v>42453.0</c:v>
                </c:pt>
                <c:pt idx="30">
                  <c:v>42452.0</c:v>
                </c:pt>
                <c:pt idx="31">
                  <c:v>42451.0</c:v>
                </c:pt>
                <c:pt idx="32">
                  <c:v>42450.0</c:v>
                </c:pt>
                <c:pt idx="33">
                  <c:v>42447.0</c:v>
                </c:pt>
                <c:pt idx="34">
                  <c:v>42446.0</c:v>
                </c:pt>
                <c:pt idx="35">
                  <c:v>42445.0</c:v>
                </c:pt>
                <c:pt idx="36">
                  <c:v>42444.0</c:v>
                </c:pt>
                <c:pt idx="37">
                  <c:v>42443.0</c:v>
                </c:pt>
                <c:pt idx="38">
                  <c:v>42440.0</c:v>
                </c:pt>
                <c:pt idx="39">
                  <c:v>42439.0</c:v>
                </c:pt>
                <c:pt idx="40">
                  <c:v>42438.0</c:v>
                </c:pt>
                <c:pt idx="41">
                  <c:v>42437.0</c:v>
                </c:pt>
                <c:pt idx="42">
                  <c:v>42436.0</c:v>
                </c:pt>
                <c:pt idx="43">
                  <c:v>42433.0</c:v>
                </c:pt>
                <c:pt idx="44">
                  <c:v>42432.0</c:v>
                </c:pt>
                <c:pt idx="45">
                  <c:v>42431.0</c:v>
                </c:pt>
                <c:pt idx="46">
                  <c:v>42430.0</c:v>
                </c:pt>
                <c:pt idx="47">
                  <c:v>42429.0</c:v>
                </c:pt>
                <c:pt idx="48">
                  <c:v>42426.0</c:v>
                </c:pt>
                <c:pt idx="49">
                  <c:v>42425.0</c:v>
                </c:pt>
                <c:pt idx="50">
                  <c:v>42424.0</c:v>
                </c:pt>
                <c:pt idx="51">
                  <c:v>42423.0</c:v>
                </c:pt>
                <c:pt idx="52">
                  <c:v>42422.0</c:v>
                </c:pt>
                <c:pt idx="53">
                  <c:v>42419.0</c:v>
                </c:pt>
                <c:pt idx="54">
                  <c:v>42418.0</c:v>
                </c:pt>
                <c:pt idx="55">
                  <c:v>42417.0</c:v>
                </c:pt>
                <c:pt idx="56">
                  <c:v>42416.0</c:v>
                </c:pt>
                <c:pt idx="57">
                  <c:v>42415.0</c:v>
                </c:pt>
                <c:pt idx="58">
                  <c:v>42412.0</c:v>
                </c:pt>
                <c:pt idx="59">
                  <c:v>42411.0</c:v>
                </c:pt>
                <c:pt idx="60">
                  <c:v>42410.0</c:v>
                </c:pt>
                <c:pt idx="61">
                  <c:v>42409.0</c:v>
                </c:pt>
                <c:pt idx="62">
                  <c:v>42408.0</c:v>
                </c:pt>
                <c:pt idx="63">
                  <c:v>42405.0</c:v>
                </c:pt>
                <c:pt idx="64">
                  <c:v>42404.0</c:v>
                </c:pt>
                <c:pt idx="65">
                  <c:v>42403.0</c:v>
                </c:pt>
                <c:pt idx="66">
                  <c:v>42402.0</c:v>
                </c:pt>
                <c:pt idx="67">
                  <c:v>42401.0</c:v>
                </c:pt>
                <c:pt idx="68">
                  <c:v>42398.0</c:v>
                </c:pt>
                <c:pt idx="69">
                  <c:v>42397.0</c:v>
                </c:pt>
                <c:pt idx="70">
                  <c:v>42396.0</c:v>
                </c:pt>
                <c:pt idx="71">
                  <c:v>42395.0</c:v>
                </c:pt>
                <c:pt idx="72">
                  <c:v>42394.0</c:v>
                </c:pt>
                <c:pt idx="73">
                  <c:v>42391.0</c:v>
                </c:pt>
                <c:pt idx="74">
                  <c:v>42390.0</c:v>
                </c:pt>
                <c:pt idx="75">
                  <c:v>42389.0</c:v>
                </c:pt>
                <c:pt idx="76">
                  <c:v>42388.0</c:v>
                </c:pt>
                <c:pt idx="77">
                  <c:v>42387.0</c:v>
                </c:pt>
                <c:pt idx="78">
                  <c:v>42384.0</c:v>
                </c:pt>
                <c:pt idx="79">
                  <c:v>42383.0</c:v>
                </c:pt>
                <c:pt idx="80">
                  <c:v>42382.0</c:v>
                </c:pt>
                <c:pt idx="81">
                  <c:v>42381.0</c:v>
                </c:pt>
                <c:pt idx="82">
                  <c:v>42380.0</c:v>
                </c:pt>
                <c:pt idx="83">
                  <c:v>42377.0</c:v>
                </c:pt>
                <c:pt idx="84">
                  <c:v>42376.0</c:v>
                </c:pt>
                <c:pt idx="85">
                  <c:v>42375.0</c:v>
                </c:pt>
                <c:pt idx="86">
                  <c:v>42374.0</c:v>
                </c:pt>
                <c:pt idx="87">
                  <c:v>42373.0</c:v>
                </c:pt>
                <c:pt idx="88">
                  <c:v>42370.0</c:v>
                </c:pt>
                <c:pt idx="89">
                  <c:v>42369.0</c:v>
                </c:pt>
                <c:pt idx="90">
                  <c:v>42368.0</c:v>
                </c:pt>
                <c:pt idx="91">
                  <c:v>42367.0</c:v>
                </c:pt>
                <c:pt idx="92">
                  <c:v>42366.0</c:v>
                </c:pt>
                <c:pt idx="93">
                  <c:v>42363.0</c:v>
                </c:pt>
                <c:pt idx="94">
                  <c:v>42362.0</c:v>
                </c:pt>
                <c:pt idx="95">
                  <c:v>42361.0</c:v>
                </c:pt>
                <c:pt idx="96">
                  <c:v>42360.0</c:v>
                </c:pt>
                <c:pt idx="97">
                  <c:v>42359.0</c:v>
                </c:pt>
                <c:pt idx="98">
                  <c:v>42356.0</c:v>
                </c:pt>
                <c:pt idx="99">
                  <c:v>42355.0</c:v>
                </c:pt>
                <c:pt idx="100">
                  <c:v>42354.0</c:v>
                </c:pt>
                <c:pt idx="101">
                  <c:v>42353.0</c:v>
                </c:pt>
                <c:pt idx="102">
                  <c:v>42352.0</c:v>
                </c:pt>
                <c:pt idx="103">
                  <c:v>42349.0</c:v>
                </c:pt>
                <c:pt idx="104">
                  <c:v>42348.0</c:v>
                </c:pt>
                <c:pt idx="105">
                  <c:v>42347.0</c:v>
                </c:pt>
                <c:pt idx="106">
                  <c:v>42346.0</c:v>
                </c:pt>
                <c:pt idx="107">
                  <c:v>42345.0</c:v>
                </c:pt>
                <c:pt idx="108">
                  <c:v>42342.0</c:v>
                </c:pt>
                <c:pt idx="109">
                  <c:v>42341.0</c:v>
                </c:pt>
                <c:pt idx="110">
                  <c:v>42340.0</c:v>
                </c:pt>
                <c:pt idx="111">
                  <c:v>42339.0</c:v>
                </c:pt>
                <c:pt idx="112">
                  <c:v>42338.0</c:v>
                </c:pt>
                <c:pt idx="113">
                  <c:v>42335.0</c:v>
                </c:pt>
                <c:pt idx="114">
                  <c:v>42333.0</c:v>
                </c:pt>
                <c:pt idx="115">
                  <c:v>42332.0</c:v>
                </c:pt>
                <c:pt idx="116">
                  <c:v>42331.0</c:v>
                </c:pt>
                <c:pt idx="117">
                  <c:v>42328.0</c:v>
                </c:pt>
                <c:pt idx="118">
                  <c:v>42327.0</c:v>
                </c:pt>
                <c:pt idx="119">
                  <c:v>42326.0</c:v>
                </c:pt>
                <c:pt idx="120">
                  <c:v>42325.0</c:v>
                </c:pt>
                <c:pt idx="121">
                  <c:v>42324.0</c:v>
                </c:pt>
                <c:pt idx="122">
                  <c:v>42321.0</c:v>
                </c:pt>
                <c:pt idx="123">
                  <c:v>42319.0</c:v>
                </c:pt>
                <c:pt idx="124">
                  <c:v>42318.0</c:v>
                </c:pt>
                <c:pt idx="125">
                  <c:v>42317.0</c:v>
                </c:pt>
                <c:pt idx="126">
                  <c:v>42314.0</c:v>
                </c:pt>
                <c:pt idx="127">
                  <c:v>42313.0</c:v>
                </c:pt>
                <c:pt idx="128">
                  <c:v>42312.0</c:v>
                </c:pt>
                <c:pt idx="129">
                  <c:v>42311.0</c:v>
                </c:pt>
                <c:pt idx="130">
                  <c:v>42310.0</c:v>
                </c:pt>
                <c:pt idx="131">
                  <c:v>42307.0</c:v>
                </c:pt>
                <c:pt idx="132">
                  <c:v>42306.0</c:v>
                </c:pt>
                <c:pt idx="133">
                  <c:v>42305.0</c:v>
                </c:pt>
                <c:pt idx="134">
                  <c:v>42304.0</c:v>
                </c:pt>
                <c:pt idx="135">
                  <c:v>42303.0</c:v>
                </c:pt>
                <c:pt idx="136">
                  <c:v>42300.0</c:v>
                </c:pt>
                <c:pt idx="137">
                  <c:v>42299.0</c:v>
                </c:pt>
                <c:pt idx="138">
                  <c:v>42298.0</c:v>
                </c:pt>
                <c:pt idx="139">
                  <c:v>42297.0</c:v>
                </c:pt>
                <c:pt idx="140">
                  <c:v>42296.0</c:v>
                </c:pt>
                <c:pt idx="141">
                  <c:v>42293.0</c:v>
                </c:pt>
                <c:pt idx="142">
                  <c:v>42292.0</c:v>
                </c:pt>
                <c:pt idx="143">
                  <c:v>42291.0</c:v>
                </c:pt>
                <c:pt idx="144">
                  <c:v>42290.0</c:v>
                </c:pt>
                <c:pt idx="145">
                  <c:v>42289.0</c:v>
                </c:pt>
                <c:pt idx="146">
                  <c:v>42286.0</c:v>
                </c:pt>
                <c:pt idx="147">
                  <c:v>42285.0</c:v>
                </c:pt>
                <c:pt idx="148">
                  <c:v>42284.0</c:v>
                </c:pt>
                <c:pt idx="149">
                  <c:v>42283.0</c:v>
                </c:pt>
                <c:pt idx="150">
                  <c:v>42282.0</c:v>
                </c:pt>
                <c:pt idx="151">
                  <c:v>42279.0</c:v>
                </c:pt>
                <c:pt idx="152">
                  <c:v>42278.0</c:v>
                </c:pt>
                <c:pt idx="153">
                  <c:v>42277.0</c:v>
                </c:pt>
                <c:pt idx="154">
                  <c:v>42276.0</c:v>
                </c:pt>
                <c:pt idx="155">
                  <c:v>42275.0</c:v>
                </c:pt>
                <c:pt idx="156">
                  <c:v>42272.0</c:v>
                </c:pt>
                <c:pt idx="157">
                  <c:v>42271.0</c:v>
                </c:pt>
                <c:pt idx="158">
                  <c:v>42270.0</c:v>
                </c:pt>
                <c:pt idx="159">
                  <c:v>42269.0</c:v>
                </c:pt>
                <c:pt idx="160">
                  <c:v>42268.0</c:v>
                </c:pt>
                <c:pt idx="161">
                  <c:v>42265.0</c:v>
                </c:pt>
                <c:pt idx="162">
                  <c:v>42264.0</c:v>
                </c:pt>
                <c:pt idx="163">
                  <c:v>42263.0</c:v>
                </c:pt>
                <c:pt idx="164">
                  <c:v>42262.0</c:v>
                </c:pt>
                <c:pt idx="165">
                  <c:v>42261.0</c:v>
                </c:pt>
                <c:pt idx="166">
                  <c:v>42258.0</c:v>
                </c:pt>
                <c:pt idx="167">
                  <c:v>42257.0</c:v>
                </c:pt>
                <c:pt idx="168">
                  <c:v>42256.0</c:v>
                </c:pt>
                <c:pt idx="169">
                  <c:v>42255.0</c:v>
                </c:pt>
                <c:pt idx="170">
                  <c:v>42254.0</c:v>
                </c:pt>
                <c:pt idx="171">
                  <c:v>42251.0</c:v>
                </c:pt>
                <c:pt idx="172">
                  <c:v>42250.0</c:v>
                </c:pt>
                <c:pt idx="173">
                  <c:v>42249.0</c:v>
                </c:pt>
                <c:pt idx="174">
                  <c:v>42248.0</c:v>
                </c:pt>
                <c:pt idx="175">
                  <c:v>42247.0</c:v>
                </c:pt>
                <c:pt idx="176">
                  <c:v>42244.0</c:v>
                </c:pt>
                <c:pt idx="177">
                  <c:v>42243.0</c:v>
                </c:pt>
                <c:pt idx="178">
                  <c:v>42242.0</c:v>
                </c:pt>
                <c:pt idx="179">
                  <c:v>42241.0</c:v>
                </c:pt>
                <c:pt idx="180">
                  <c:v>42240.0</c:v>
                </c:pt>
                <c:pt idx="181">
                  <c:v>42237.0</c:v>
                </c:pt>
                <c:pt idx="182">
                  <c:v>42236.0</c:v>
                </c:pt>
                <c:pt idx="183">
                  <c:v>42235.0</c:v>
                </c:pt>
                <c:pt idx="184">
                  <c:v>42234.0</c:v>
                </c:pt>
                <c:pt idx="185">
                  <c:v>42233.0</c:v>
                </c:pt>
                <c:pt idx="186">
                  <c:v>42230.0</c:v>
                </c:pt>
                <c:pt idx="187">
                  <c:v>42229.0</c:v>
                </c:pt>
                <c:pt idx="188">
                  <c:v>42228.0</c:v>
                </c:pt>
                <c:pt idx="189">
                  <c:v>42227.0</c:v>
                </c:pt>
                <c:pt idx="190">
                  <c:v>42226.0</c:v>
                </c:pt>
                <c:pt idx="191">
                  <c:v>42223.0</c:v>
                </c:pt>
                <c:pt idx="192">
                  <c:v>42222.0</c:v>
                </c:pt>
                <c:pt idx="193">
                  <c:v>42221.0</c:v>
                </c:pt>
                <c:pt idx="194">
                  <c:v>42220.0</c:v>
                </c:pt>
                <c:pt idx="195">
                  <c:v>42219.0</c:v>
                </c:pt>
                <c:pt idx="196">
                  <c:v>42216.0</c:v>
                </c:pt>
                <c:pt idx="197">
                  <c:v>42215.0</c:v>
                </c:pt>
                <c:pt idx="198">
                  <c:v>42214.0</c:v>
                </c:pt>
                <c:pt idx="199">
                  <c:v>42213.0</c:v>
                </c:pt>
                <c:pt idx="200">
                  <c:v>42212.0</c:v>
                </c:pt>
                <c:pt idx="201">
                  <c:v>42209.0</c:v>
                </c:pt>
                <c:pt idx="202">
                  <c:v>42208.0</c:v>
                </c:pt>
                <c:pt idx="203">
                  <c:v>42207.0</c:v>
                </c:pt>
                <c:pt idx="204">
                  <c:v>42206.0</c:v>
                </c:pt>
                <c:pt idx="205">
                  <c:v>42205.0</c:v>
                </c:pt>
                <c:pt idx="206">
                  <c:v>42202.0</c:v>
                </c:pt>
                <c:pt idx="207">
                  <c:v>42201.0</c:v>
                </c:pt>
                <c:pt idx="208">
                  <c:v>42200.0</c:v>
                </c:pt>
                <c:pt idx="209">
                  <c:v>42199.0</c:v>
                </c:pt>
                <c:pt idx="210">
                  <c:v>42198.0</c:v>
                </c:pt>
                <c:pt idx="211">
                  <c:v>42195.0</c:v>
                </c:pt>
                <c:pt idx="212">
                  <c:v>42194.0</c:v>
                </c:pt>
                <c:pt idx="213">
                  <c:v>42193.0</c:v>
                </c:pt>
                <c:pt idx="214">
                  <c:v>42192.0</c:v>
                </c:pt>
                <c:pt idx="215">
                  <c:v>42191.0</c:v>
                </c:pt>
                <c:pt idx="216">
                  <c:v>42188.0</c:v>
                </c:pt>
                <c:pt idx="217">
                  <c:v>42187.0</c:v>
                </c:pt>
                <c:pt idx="218">
                  <c:v>42186.0</c:v>
                </c:pt>
                <c:pt idx="219">
                  <c:v>42185.0</c:v>
                </c:pt>
                <c:pt idx="220">
                  <c:v>42184.0</c:v>
                </c:pt>
                <c:pt idx="221">
                  <c:v>42181.0</c:v>
                </c:pt>
                <c:pt idx="222">
                  <c:v>42180.0</c:v>
                </c:pt>
                <c:pt idx="223">
                  <c:v>42179.0</c:v>
                </c:pt>
                <c:pt idx="224">
                  <c:v>42178.0</c:v>
                </c:pt>
                <c:pt idx="225">
                  <c:v>42177.0</c:v>
                </c:pt>
                <c:pt idx="226">
                  <c:v>42174.0</c:v>
                </c:pt>
                <c:pt idx="227">
                  <c:v>42173.0</c:v>
                </c:pt>
                <c:pt idx="228">
                  <c:v>42172.0</c:v>
                </c:pt>
                <c:pt idx="229">
                  <c:v>42171.0</c:v>
                </c:pt>
                <c:pt idx="230">
                  <c:v>42170.0</c:v>
                </c:pt>
                <c:pt idx="231">
                  <c:v>42167.0</c:v>
                </c:pt>
                <c:pt idx="232">
                  <c:v>42166.0</c:v>
                </c:pt>
                <c:pt idx="233">
                  <c:v>42165.0</c:v>
                </c:pt>
                <c:pt idx="234">
                  <c:v>42164.0</c:v>
                </c:pt>
                <c:pt idx="235">
                  <c:v>42163.0</c:v>
                </c:pt>
                <c:pt idx="236">
                  <c:v>42160.0</c:v>
                </c:pt>
                <c:pt idx="237">
                  <c:v>42159.0</c:v>
                </c:pt>
                <c:pt idx="238">
                  <c:v>42158.0</c:v>
                </c:pt>
                <c:pt idx="239">
                  <c:v>42157.0</c:v>
                </c:pt>
                <c:pt idx="240">
                  <c:v>42156.0</c:v>
                </c:pt>
                <c:pt idx="241">
                  <c:v>42153.0</c:v>
                </c:pt>
                <c:pt idx="242">
                  <c:v>42152.0</c:v>
                </c:pt>
                <c:pt idx="243">
                  <c:v>42151.0</c:v>
                </c:pt>
                <c:pt idx="244">
                  <c:v>42150.0</c:v>
                </c:pt>
                <c:pt idx="245">
                  <c:v>42149.0</c:v>
                </c:pt>
                <c:pt idx="246">
                  <c:v>42146.0</c:v>
                </c:pt>
                <c:pt idx="247">
                  <c:v>42145.0</c:v>
                </c:pt>
                <c:pt idx="248">
                  <c:v>42144.0</c:v>
                </c:pt>
                <c:pt idx="249">
                  <c:v>42143.0</c:v>
                </c:pt>
                <c:pt idx="250">
                  <c:v>42142.0</c:v>
                </c:pt>
                <c:pt idx="251">
                  <c:v>42139.0</c:v>
                </c:pt>
                <c:pt idx="252">
                  <c:v>42138.0</c:v>
                </c:pt>
                <c:pt idx="253">
                  <c:v>42137.0</c:v>
                </c:pt>
                <c:pt idx="254">
                  <c:v>42136.0</c:v>
                </c:pt>
                <c:pt idx="255">
                  <c:v>42135.0</c:v>
                </c:pt>
                <c:pt idx="256">
                  <c:v>42132.0</c:v>
                </c:pt>
                <c:pt idx="257">
                  <c:v>42131.0</c:v>
                </c:pt>
                <c:pt idx="258">
                  <c:v>42130.0</c:v>
                </c:pt>
                <c:pt idx="259">
                  <c:v>42129.0</c:v>
                </c:pt>
                <c:pt idx="260">
                  <c:v>42128.0</c:v>
                </c:pt>
                <c:pt idx="261">
                  <c:v>42125.0</c:v>
                </c:pt>
                <c:pt idx="262">
                  <c:v>42124.0</c:v>
                </c:pt>
                <c:pt idx="263">
                  <c:v>42123.0</c:v>
                </c:pt>
                <c:pt idx="264">
                  <c:v>42122.0</c:v>
                </c:pt>
                <c:pt idx="265">
                  <c:v>42121.0</c:v>
                </c:pt>
                <c:pt idx="266">
                  <c:v>42118.0</c:v>
                </c:pt>
                <c:pt idx="267">
                  <c:v>42117.0</c:v>
                </c:pt>
                <c:pt idx="268">
                  <c:v>42116.0</c:v>
                </c:pt>
                <c:pt idx="269">
                  <c:v>42115.0</c:v>
                </c:pt>
                <c:pt idx="270">
                  <c:v>42114.0</c:v>
                </c:pt>
                <c:pt idx="271">
                  <c:v>42111.0</c:v>
                </c:pt>
                <c:pt idx="272">
                  <c:v>42110.0</c:v>
                </c:pt>
                <c:pt idx="273">
                  <c:v>42109.0</c:v>
                </c:pt>
                <c:pt idx="274">
                  <c:v>42108.0</c:v>
                </c:pt>
                <c:pt idx="275">
                  <c:v>42107.0</c:v>
                </c:pt>
                <c:pt idx="276">
                  <c:v>42104.0</c:v>
                </c:pt>
                <c:pt idx="277">
                  <c:v>42103.0</c:v>
                </c:pt>
                <c:pt idx="278">
                  <c:v>42102.0</c:v>
                </c:pt>
                <c:pt idx="279">
                  <c:v>42101.0</c:v>
                </c:pt>
                <c:pt idx="280">
                  <c:v>42100.0</c:v>
                </c:pt>
                <c:pt idx="281">
                  <c:v>42097.0</c:v>
                </c:pt>
                <c:pt idx="282">
                  <c:v>42096.0</c:v>
                </c:pt>
                <c:pt idx="283">
                  <c:v>42095.0</c:v>
                </c:pt>
                <c:pt idx="284">
                  <c:v>42094.0</c:v>
                </c:pt>
                <c:pt idx="285">
                  <c:v>42093.0</c:v>
                </c:pt>
                <c:pt idx="286">
                  <c:v>42090.0</c:v>
                </c:pt>
                <c:pt idx="287">
                  <c:v>42089.0</c:v>
                </c:pt>
                <c:pt idx="288">
                  <c:v>42088.0</c:v>
                </c:pt>
                <c:pt idx="289">
                  <c:v>42087.0</c:v>
                </c:pt>
                <c:pt idx="290">
                  <c:v>42086.0</c:v>
                </c:pt>
                <c:pt idx="291">
                  <c:v>42083.0</c:v>
                </c:pt>
                <c:pt idx="292">
                  <c:v>42082.0</c:v>
                </c:pt>
                <c:pt idx="293">
                  <c:v>42081.0</c:v>
                </c:pt>
                <c:pt idx="294">
                  <c:v>42080.0</c:v>
                </c:pt>
                <c:pt idx="295">
                  <c:v>42079.0</c:v>
                </c:pt>
                <c:pt idx="296">
                  <c:v>42076.0</c:v>
                </c:pt>
                <c:pt idx="297">
                  <c:v>42075.0</c:v>
                </c:pt>
                <c:pt idx="298">
                  <c:v>42074.0</c:v>
                </c:pt>
                <c:pt idx="299">
                  <c:v>42073.0</c:v>
                </c:pt>
                <c:pt idx="300">
                  <c:v>42072.0</c:v>
                </c:pt>
                <c:pt idx="301">
                  <c:v>42069.0</c:v>
                </c:pt>
                <c:pt idx="302">
                  <c:v>42068.0</c:v>
                </c:pt>
                <c:pt idx="303">
                  <c:v>42067.0</c:v>
                </c:pt>
                <c:pt idx="304">
                  <c:v>42066.0</c:v>
                </c:pt>
                <c:pt idx="305">
                  <c:v>42065.0</c:v>
                </c:pt>
                <c:pt idx="306">
                  <c:v>42062.0</c:v>
                </c:pt>
                <c:pt idx="307">
                  <c:v>42061.0</c:v>
                </c:pt>
                <c:pt idx="308">
                  <c:v>42060.0</c:v>
                </c:pt>
                <c:pt idx="309">
                  <c:v>42059.0</c:v>
                </c:pt>
                <c:pt idx="310">
                  <c:v>42058.0</c:v>
                </c:pt>
                <c:pt idx="311">
                  <c:v>42055.0</c:v>
                </c:pt>
                <c:pt idx="312">
                  <c:v>42054.0</c:v>
                </c:pt>
                <c:pt idx="313">
                  <c:v>42053.0</c:v>
                </c:pt>
                <c:pt idx="314">
                  <c:v>42052.0</c:v>
                </c:pt>
                <c:pt idx="315">
                  <c:v>42051.0</c:v>
                </c:pt>
                <c:pt idx="316">
                  <c:v>42048.0</c:v>
                </c:pt>
                <c:pt idx="317">
                  <c:v>42047.0</c:v>
                </c:pt>
                <c:pt idx="318">
                  <c:v>42046.0</c:v>
                </c:pt>
                <c:pt idx="319">
                  <c:v>42045.0</c:v>
                </c:pt>
                <c:pt idx="320">
                  <c:v>42044.0</c:v>
                </c:pt>
                <c:pt idx="321">
                  <c:v>42041.0</c:v>
                </c:pt>
                <c:pt idx="322">
                  <c:v>42040.0</c:v>
                </c:pt>
                <c:pt idx="323">
                  <c:v>42039.0</c:v>
                </c:pt>
                <c:pt idx="324">
                  <c:v>42038.0</c:v>
                </c:pt>
                <c:pt idx="325">
                  <c:v>42037.0</c:v>
                </c:pt>
                <c:pt idx="326">
                  <c:v>42034.0</c:v>
                </c:pt>
                <c:pt idx="327">
                  <c:v>42033.0</c:v>
                </c:pt>
                <c:pt idx="328">
                  <c:v>42032.0</c:v>
                </c:pt>
                <c:pt idx="329">
                  <c:v>42031.0</c:v>
                </c:pt>
                <c:pt idx="330">
                  <c:v>42030.0</c:v>
                </c:pt>
                <c:pt idx="331">
                  <c:v>42027.0</c:v>
                </c:pt>
                <c:pt idx="332">
                  <c:v>42026.0</c:v>
                </c:pt>
                <c:pt idx="333">
                  <c:v>42025.0</c:v>
                </c:pt>
                <c:pt idx="334">
                  <c:v>42024.0</c:v>
                </c:pt>
                <c:pt idx="335">
                  <c:v>42023.0</c:v>
                </c:pt>
                <c:pt idx="336">
                  <c:v>42020.0</c:v>
                </c:pt>
                <c:pt idx="337">
                  <c:v>42019.0</c:v>
                </c:pt>
                <c:pt idx="338">
                  <c:v>42018.0</c:v>
                </c:pt>
                <c:pt idx="339">
                  <c:v>42017.0</c:v>
                </c:pt>
                <c:pt idx="340">
                  <c:v>42016.0</c:v>
                </c:pt>
                <c:pt idx="341">
                  <c:v>42013.0</c:v>
                </c:pt>
                <c:pt idx="342">
                  <c:v>42012.0</c:v>
                </c:pt>
                <c:pt idx="343">
                  <c:v>42011.0</c:v>
                </c:pt>
                <c:pt idx="344">
                  <c:v>42010.0</c:v>
                </c:pt>
                <c:pt idx="345">
                  <c:v>42009.0</c:v>
                </c:pt>
                <c:pt idx="346">
                  <c:v>42006.0</c:v>
                </c:pt>
                <c:pt idx="347">
                  <c:v>42005.0</c:v>
                </c:pt>
                <c:pt idx="348">
                  <c:v>42004.0</c:v>
                </c:pt>
                <c:pt idx="349">
                  <c:v>42003.0</c:v>
                </c:pt>
                <c:pt idx="350">
                  <c:v>42002.0</c:v>
                </c:pt>
                <c:pt idx="351">
                  <c:v>41999.0</c:v>
                </c:pt>
                <c:pt idx="352">
                  <c:v>41998.0</c:v>
                </c:pt>
                <c:pt idx="353">
                  <c:v>41997.0</c:v>
                </c:pt>
                <c:pt idx="354">
                  <c:v>41996.0</c:v>
                </c:pt>
                <c:pt idx="355">
                  <c:v>41995.0</c:v>
                </c:pt>
                <c:pt idx="356">
                  <c:v>41992.0</c:v>
                </c:pt>
                <c:pt idx="357">
                  <c:v>41991.0</c:v>
                </c:pt>
                <c:pt idx="358">
                  <c:v>41990.0</c:v>
                </c:pt>
                <c:pt idx="359">
                  <c:v>41989.0</c:v>
                </c:pt>
                <c:pt idx="360">
                  <c:v>41988.0</c:v>
                </c:pt>
                <c:pt idx="361">
                  <c:v>41985.0</c:v>
                </c:pt>
                <c:pt idx="362">
                  <c:v>41984.0</c:v>
                </c:pt>
                <c:pt idx="363">
                  <c:v>41983.0</c:v>
                </c:pt>
                <c:pt idx="364">
                  <c:v>41982.0</c:v>
                </c:pt>
                <c:pt idx="365">
                  <c:v>41981.0</c:v>
                </c:pt>
                <c:pt idx="366">
                  <c:v>41978.0</c:v>
                </c:pt>
                <c:pt idx="367">
                  <c:v>41977.0</c:v>
                </c:pt>
                <c:pt idx="368">
                  <c:v>41976.0</c:v>
                </c:pt>
                <c:pt idx="369">
                  <c:v>41975.0</c:v>
                </c:pt>
                <c:pt idx="370">
                  <c:v>41974.0</c:v>
                </c:pt>
                <c:pt idx="371">
                  <c:v>41971.0</c:v>
                </c:pt>
                <c:pt idx="372">
                  <c:v>41970.0</c:v>
                </c:pt>
                <c:pt idx="373">
                  <c:v>41969.0</c:v>
                </c:pt>
                <c:pt idx="374">
                  <c:v>41968.0</c:v>
                </c:pt>
                <c:pt idx="375">
                  <c:v>41967.0</c:v>
                </c:pt>
                <c:pt idx="376">
                  <c:v>41964.0</c:v>
                </c:pt>
                <c:pt idx="377">
                  <c:v>41963.0</c:v>
                </c:pt>
                <c:pt idx="378">
                  <c:v>41962.0</c:v>
                </c:pt>
                <c:pt idx="379">
                  <c:v>41961.0</c:v>
                </c:pt>
                <c:pt idx="380">
                  <c:v>41960.0</c:v>
                </c:pt>
                <c:pt idx="381">
                  <c:v>41957.0</c:v>
                </c:pt>
                <c:pt idx="382">
                  <c:v>41956.0</c:v>
                </c:pt>
                <c:pt idx="383">
                  <c:v>41955.0</c:v>
                </c:pt>
                <c:pt idx="384">
                  <c:v>41954.0</c:v>
                </c:pt>
                <c:pt idx="385">
                  <c:v>41953.0</c:v>
                </c:pt>
                <c:pt idx="386">
                  <c:v>41950.0</c:v>
                </c:pt>
                <c:pt idx="387">
                  <c:v>41949.0</c:v>
                </c:pt>
                <c:pt idx="388">
                  <c:v>41948.0</c:v>
                </c:pt>
                <c:pt idx="389">
                  <c:v>41947.0</c:v>
                </c:pt>
                <c:pt idx="390">
                  <c:v>41946.0</c:v>
                </c:pt>
                <c:pt idx="391">
                  <c:v>41943.0</c:v>
                </c:pt>
                <c:pt idx="392">
                  <c:v>41942.0</c:v>
                </c:pt>
                <c:pt idx="393">
                  <c:v>41941.0</c:v>
                </c:pt>
                <c:pt idx="394">
                  <c:v>41940.0</c:v>
                </c:pt>
                <c:pt idx="395">
                  <c:v>41939.0</c:v>
                </c:pt>
                <c:pt idx="396">
                  <c:v>41936.0</c:v>
                </c:pt>
                <c:pt idx="397">
                  <c:v>41935.0</c:v>
                </c:pt>
                <c:pt idx="398">
                  <c:v>41934.0</c:v>
                </c:pt>
                <c:pt idx="399">
                  <c:v>41933.0</c:v>
                </c:pt>
                <c:pt idx="400">
                  <c:v>41932.0</c:v>
                </c:pt>
                <c:pt idx="401">
                  <c:v>41929.0</c:v>
                </c:pt>
                <c:pt idx="402">
                  <c:v>41928.0</c:v>
                </c:pt>
                <c:pt idx="403">
                  <c:v>41927.0</c:v>
                </c:pt>
                <c:pt idx="404">
                  <c:v>41926.0</c:v>
                </c:pt>
                <c:pt idx="405">
                  <c:v>41925.0</c:v>
                </c:pt>
                <c:pt idx="406">
                  <c:v>41922.0</c:v>
                </c:pt>
                <c:pt idx="407">
                  <c:v>41921.0</c:v>
                </c:pt>
                <c:pt idx="408">
                  <c:v>41920.0</c:v>
                </c:pt>
                <c:pt idx="409">
                  <c:v>41919.0</c:v>
                </c:pt>
                <c:pt idx="410">
                  <c:v>41918.0</c:v>
                </c:pt>
                <c:pt idx="411">
                  <c:v>41915.0</c:v>
                </c:pt>
                <c:pt idx="412">
                  <c:v>41914.0</c:v>
                </c:pt>
                <c:pt idx="413">
                  <c:v>41913.0</c:v>
                </c:pt>
                <c:pt idx="414">
                  <c:v>41912.0</c:v>
                </c:pt>
                <c:pt idx="415">
                  <c:v>41911.0</c:v>
                </c:pt>
                <c:pt idx="416">
                  <c:v>41908.0</c:v>
                </c:pt>
                <c:pt idx="417">
                  <c:v>41907.0</c:v>
                </c:pt>
                <c:pt idx="418">
                  <c:v>41906.0</c:v>
                </c:pt>
                <c:pt idx="419">
                  <c:v>41905.0</c:v>
                </c:pt>
                <c:pt idx="420">
                  <c:v>41904.0</c:v>
                </c:pt>
                <c:pt idx="421">
                  <c:v>41901.0</c:v>
                </c:pt>
                <c:pt idx="422">
                  <c:v>41900.0</c:v>
                </c:pt>
                <c:pt idx="423">
                  <c:v>41899.0</c:v>
                </c:pt>
                <c:pt idx="424">
                  <c:v>41898.0</c:v>
                </c:pt>
                <c:pt idx="425">
                  <c:v>41897.0</c:v>
                </c:pt>
                <c:pt idx="426">
                  <c:v>41894.0</c:v>
                </c:pt>
                <c:pt idx="427">
                  <c:v>41893.0</c:v>
                </c:pt>
                <c:pt idx="428">
                  <c:v>41892.0</c:v>
                </c:pt>
                <c:pt idx="429">
                  <c:v>41891.0</c:v>
                </c:pt>
                <c:pt idx="430">
                  <c:v>41890.0</c:v>
                </c:pt>
                <c:pt idx="431">
                  <c:v>41887.0</c:v>
                </c:pt>
                <c:pt idx="432">
                  <c:v>41886.0</c:v>
                </c:pt>
                <c:pt idx="433">
                  <c:v>41885.0</c:v>
                </c:pt>
                <c:pt idx="434">
                  <c:v>41884.0</c:v>
                </c:pt>
                <c:pt idx="435">
                  <c:v>41883.0</c:v>
                </c:pt>
                <c:pt idx="436">
                  <c:v>41880.0</c:v>
                </c:pt>
                <c:pt idx="437">
                  <c:v>41879.0</c:v>
                </c:pt>
                <c:pt idx="438">
                  <c:v>41878.0</c:v>
                </c:pt>
                <c:pt idx="439">
                  <c:v>41877.0</c:v>
                </c:pt>
                <c:pt idx="440">
                  <c:v>41876.0</c:v>
                </c:pt>
                <c:pt idx="441">
                  <c:v>41873.0</c:v>
                </c:pt>
                <c:pt idx="442">
                  <c:v>41872.0</c:v>
                </c:pt>
                <c:pt idx="443">
                  <c:v>41871.0</c:v>
                </c:pt>
                <c:pt idx="444">
                  <c:v>41870.0</c:v>
                </c:pt>
                <c:pt idx="445">
                  <c:v>41869.0</c:v>
                </c:pt>
                <c:pt idx="446">
                  <c:v>41866.0</c:v>
                </c:pt>
                <c:pt idx="447">
                  <c:v>41865.0</c:v>
                </c:pt>
                <c:pt idx="448">
                  <c:v>41864.0</c:v>
                </c:pt>
                <c:pt idx="449">
                  <c:v>41863.0</c:v>
                </c:pt>
                <c:pt idx="450">
                  <c:v>41862.0</c:v>
                </c:pt>
                <c:pt idx="451">
                  <c:v>41859.0</c:v>
                </c:pt>
                <c:pt idx="452">
                  <c:v>41858.0</c:v>
                </c:pt>
                <c:pt idx="453">
                  <c:v>41857.0</c:v>
                </c:pt>
                <c:pt idx="454">
                  <c:v>41856.0</c:v>
                </c:pt>
                <c:pt idx="455">
                  <c:v>41855.0</c:v>
                </c:pt>
                <c:pt idx="456">
                  <c:v>41852.0</c:v>
                </c:pt>
                <c:pt idx="457">
                  <c:v>41851.0</c:v>
                </c:pt>
                <c:pt idx="458">
                  <c:v>41850.0</c:v>
                </c:pt>
                <c:pt idx="459">
                  <c:v>41849.0</c:v>
                </c:pt>
                <c:pt idx="460">
                  <c:v>41848.0</c:v>
                </c:pt>
                <c:pt idx="461">
                  <c:v>41845.0</c:v>
                </c:pt>
                <c:pt idx="462">
                  <c:v>41844.0</c:v>
                </c:pt>
                <c:pt idx="463">
                  <c:v>41843.0</c:v>
                </c:pt>
                <c:pt idx="464">
                  <c:v>41842.0</c:v>
                </c:pt>
                <c:pt idx="465">
                  <c:v>41841.0</c:v>
                </c:pt>
                <c:pt idx="466">
                  <c:v>41838.0</c:v>
                </c:pt>
                <c:pt idx="467">
                  <c:v>41837.0</c:v>
                </c:pt>
                <c:pt idx="468">
                  <c:v>41836.0</c:v>
                </c:pt>
                <c:pt idx="469">
                  <c:v>41835.0</c:v>
                </c:pt>
                <c:pt idx="470">
                  <c:v>41834.0</c:v>
                </c:pt>
                <c:pt idx="471">
                  <c:v>41831.0</c:v>
                </c:pt>
                <c:pt idx="472">
                  <c:v>41830.0</c:v>
                </c:pt>
                <c:pt idx="473">
                  <c:v>41829.0</c:v>
                </c:pt>
                <c:pt idx="474">
                  <c:v>41828.0</c:v>
                </c:pt>
                <c:pt idx="475">
                  <c:v>41827.0</c:v>
                </c:pt>
                <c:pt idx="476">
                  <c:v>41824.0</c:v>
                </c:pt>
                <c:pt idx="477">
                  <c:v>41823.0</c:v>
                </c:pt>
                <c:pt idx="478">
                  <c:v>41822.0</c:v>
                </c:pt>
                <c:pt idx="479">
                  <c:v>41821.0</c:v>
                </c:pt>
                <c:pt idx="480">
                  <c:v>41820.0</c:v>
                </c:pt>
                <c:pt idx="481">
                  <c:v>41817.0</c:v>
                </c:pt>
                <c:pt idx="482">
                  <c:v>41816.0</c:v>
                </c:pt>
                <c:pt idx="483">
                  <c:v>41815.0</c:v>
                </c:pt>
                <c:pt idx="484">
                  <c:v>41814.0</c:v>
                </c:pt>
                <c:pt idx="485">
                  <c:v>41813.0</c:v>
                </c:pt>
                <c:pt idx="486">
                  <c:v>41810.0</c:v>
                </c:pt>
                <c:pt idx="487">
                  <c:v>41809.0</c:v>
                </c:pt>
                <c:pt idx="488">
                  <c:v>41808.0</c:v>
                </c:pt>
                <c:pt idx="489">
                  <c:v>41807.0</c:v>
                </c:pt>
                <c:pt idx="490">
                  <c:v>41806.0</c:v>
                </c:pt>
                <c:pt idx="491">
                  <c:v>41803.0</c:v>
                </c:pt>
                <c:pt idx="492">
                  <c:v>41802.0</c:v>
                </c:pt>
                <c:pt idx="493">
                  <c:v>41801.0</c:v>
                </c:pt>
                <c:pt idx="494">
                  <c:v>41800.0</c:v>
                </c:pt>
                <c:pt idx="495">
                  <c:v>41799.0</c:v>
                </c:pt>
                <c:pt idx="496">
                  <c:v>41796.0</c:v>
                </c:pt>
                <c:pt idx="497">
                  <c:v>41795.0</c:v>
                </c:pt>
                <c:pt idx="498">
                  <c:v>41794.0</c:v>
                </c:pt>
                <c:pt idx="499">
                  <c:v>41793.0</c:v>
                </c:pt>
                <c:pt idx="500">
                  <c:v>41792.0</c:v>
                </c:pt>
                <c:pt idx="501">
                  <c:v>41789.0</c:v>
                </c:pt>
                <c:pt idx="502">
                  <c:v>41788.0</c:v>
                </c:pt>
                <c:pt idx="503">
                  <c:v>41787.0</c:v>
                </c:pt>
                <c:pt idx="504">
                  <c:v>41786.0</c:v>
                </c:pt>
                <c:pt idx="505">
                  <c:v>41785.0</c:v>
                </c:pt>
                <c:pt idx="506">
                  <c:v>41782.0</c:v>
                </c:pt>
                <c:pt idx="507">
                  <c:v>41781.0</c:v>
                </c:pt>
                <c:pt idx="508">
                  <c:v>41780.0</c:v>
                </c:pt>
                <c:pt idx="509">
                  <c:v>41779.0</c:v>
                </c:pt>
                <c:pt idx="510">
                  <c:v>41778.0</c:v>
                </c:pt>
                <c:pt idx="511">
                  <c:v>41775.0</c:v>
                </c:pt>
                <c:pt idx="512">
                  <c:v>41774.0</c:v>
                </c:pt>
                <c:pt idx="513">
                  <c:v>41773.0</c:v>
                </c:pt>
                <c:pt idx="514">
                  <c:v>41772.0</c:v>
                </c:pt>
                <c:pt idx="515">
                  <c:v>41771.0</c:v>
                </c:pt>
                <c:pt idx="516">
                  <c:v>41768.0</c:v>
                </c:pt>
                <c:pt idx="517">
                  <c:v>41767.0</c:v>
                </c:pt>
                <c:pt idx="518">
                  <c:v>41766.0</c:v>
                </c:pt>
                <c:pt idx="519">
                  <c:v>41765.0</c:v>
                </c:pt>
                <c:pt idx="520">
                  <c:v>41764.0</c:v>
                </c:pt>
                <c:pt idx="521">
                  <c:v>41761.0</c:v>
                </c:pt>
                <c:pt idx="522">
                  <c:v>41760.0</c:v>
                </c:pt>
                <c:pt idx="523">
                  <c:v>41759.0</c:v>
                </c:pt>
                <c:pt idx="524">
                  <c:v>41758.0</c:v>
                </c:pt>
                <c:pt idx="525">
                  <c:v>41757.0</c:v>
                </c:pt>
                <c:pt idx="526">
                  <c:v>41754.0</c:v>
                </c:pt>
                <c:pt idx="527">
                  <c:v>41753.0</c:v>
                </c:pt>
                <c:pt idx="528">
                  <c:v>41752.0</c:v>
                </c:pt>
                <c:pt idx="529">
                  <c:v>41751.0</c:v>
                </c:pt>
                <c:pt idx="530">
                  <c:v>41750.0</c:v>
                </c:pt>
                <c:pt idx="531">
                  <c:v>41747.0</c:v>
                </c:pt>
                <c:pt idx="532">
                  <c:v>41746.0</c:v>
                </c:pt>
                <c:pt idx="533">
                  <c:v>41745.0</c:v>
                </c:pt>
                <c:pt idx="534">
                  <c:v>41744.0</c:v>
                </c:pt>
                <c:pt idx="535">
                  <c:v>41743.0</c:v>
                </c:pt>
                <c:pt idx="536">
                  <c:v>41740.0</c:v>
                </c:pt>
                <c:pt idx="537">
                  <c:v>41739.0</c:v>
                </c:pt>
                <c:pt idx="538">
                  <c:v>41738.0</c:v>
                </c:pt>
                <c:pt idx="539">
                  <c:v>41737.0</c:v>
                </c:pt>
                <c:pt idx="540">
                  <c:v>41736.0</c:v>
                </c:pt>
                <c:pt idx="541">
                  <c:v>41733.0</c:v>
                </c:pt>
                <c:pt idx="542">
                  <c:v>41732.0</c:v>
                </c:pt>
                <c:pt idx="543">
                  <c:v>41731.0</c:v>
                </c:pt>
                <c:pt idx="544">
                  <c:v>41730.0</c:v>
                </c:pt>
                <c:pt idx="545">
                  <c:v>41729.0</c:v>
                </c:pt>
                <c:pt idx="546">
                  <c:v>41726.0</c:v>
                </c:pt>
                <c:pt idx="547">
                  <c:v>41725.0</c:v>
                </c:pt>
                <c:pt idx="548">
                  <c:v>41724.0</c:v>
                </c:pt>
                <c:pt idx="549">
                  <c:v>41723.0</c:v>
                </c:pt>
                <c:pt idx="550">
                  <c:v>41722.0</c:v>
                </c:pt>
                <c:pt idx="551">
                  <c:v>41719.0</c:v>
                </c:pt>
                <c:pt idx="552">
                  <c:v>41718.0</c:v>
                </c:pt>
                <c:pt idx="553">
                  <c:v>41717.0</c:v>
                </c:pt>
                <c:pt idx="554">
                  <c:v>41716.0</c:v>
                </c:pt>
                <c:pt idx="555">
                  <c:v>41715.0</c:v>
                </c:pt>
                <c:pt idx="556">
                  <c:v>41712.0</c:v>
                </c:pt>
                <c:pt idx="557">
                  <c:v>41711.0</c:v>
                </c:pt>
                <c:pt idx="558">
                  <c:v>41710.0</c:v>
                </c:pt>
                <c:pt idx="559">
                  <c:v>41709.0</c:v>
                </c:pt>
                <c:pt idx="560">
                  <c:v>41708.0</c:v>
                </c:pt>
                <c:pt idx="561">
                  <c:v>41705.0</c:v>
                </c:pt>
                <c:pt idx="562">
                  <c:v>41704.0</c:v>
                </c:pt>
                <c:pt idx="563">
                  <c:v>41703.0</c:v>
                </c:pt>
                <c:pt idx="564">
                  <c:v>41702.0</c:v>
                </c:pt>
                <c:pt idx="565">
                  <c:v>41701.0</c:v>
                </c:pt>
                <c:pt idx="566">
                  <c:v>41698.0</c:v>
                </c:pt>
                <c:pt idx="567">
                  <c:v>41697.0</c:v>
                </c:pt>
                <c:pt idx="568">
                  <c:v>41696.0</c:v>
                </c:pt>
                <c:pt idx="569">
                  <c:v>41695.0</c:v>
                </c:pt>
                <c:pt idx="570">
                  <c:v>41694.0</c:v>
                </c:pt>
                <c:pt idx="571">
                  <c:v>41691.0</c:v>
                </c:pt>
                <c:pt idx="572">
                  <c:v>41690.0</c:v>
                </c:pt>
                <c:pt idx="573">
                  <c:v>41689.0</c:v>
                </c:pt>
                <c:pt idx="574">
                  <c:v>41688.0</c:v>
                </c:pt>
                <c:pt idx="575">
                  <c:v>41687.0</c:v>
                </c:pt>
                <c:pt idx="576">
                  <c:v>41684.0</c:v>
                </c:pt>
                <c:pt idx="577">
                  <c:v>41683.0</c:v>
                </c:pt>
                <c:pt idx="578">
                  <c:v>41682.0</c:v>
                </c:pt>
                <c:pt idx="579">
                  <c:v>41681.0</c:v>
                </c:pt>
                <c:pt idx="580">
                  <c:v>41680.0</c:v>
                </c:pt>
                <c:pt idx="581">
                  <c:v>41677.0</c:v>
                </c:pt>
                <c:pt idx="582">
                  <c:v>41676.0</c:v>
                </c:pt>
                <c:pt idx="583">
                  <c:v>41675.0</c:v>
                </c:pt>
                <c:pt idx="584">
                  <c:v>41674.0</c:v>
                </c:pt>
                <c:pt idx="585">
                  <c:v>41673.0</c:v>
                </c:pt>
                <c:pt idx="586">
                  <c:v>41670.0</c:v>
                </c:pt>
                <c:pt idx="587">
                  <c:v>41669.0</c:v>
                </c:pt>
                <c:pt idx="588">
                  <c:v>41668.0</c:v>
                </c:pt>
                <c:pt idx="589">
                  <c:v>41667.0</c:v>
                </c:pt>
                <c:pt idx="590">
                  <c:v>41666.0</c:v>
                </c:pt>
                <c:pt idx="591">
                  <c:v>41663.0</c:v>
                </c:pt>
                <c:pt idx="592">
                  <c:v>41662.0</c:v>
                </c:pt>
                <c:pt idx="593">
                  <c:v>41661.0</c:v>
                </c:pt>
                <c:pt idx="594">
                  <c:v>41660.0</c:v>
                </c:pt>
                <c:pt idx="595">
                  <c:v>41659.0</c:v>
                </c:pt>
                <c:pt idx="596">
                  <c:v>41656.0</c:v>
                </c:pt>
                <c:pt idx="597">
                  <c:v>41655.0</c:v>
                </c:pt>
                <c:pt idx="598">
                  <c:v>41654.0</c:v>
                </c:pt>
                <c:pt idx="599">
                  <c:v>41653.0</c:v>
                </c:pt>
                <c:pt idx="600">
                  <c:v>41652.0</c:v>
                </c:pt>
                <c:pt idx="601">
                  <c:v>41649.0</c:v>
                </c:pt>
                <c:pt idx="602">
                  <c:v>41648.0</c:v>
                </c:pt>
                <c:pt idx="603">
                  <c:v>41647.0</c:v>
                </c:pt>
                <c:pt idx="604">
                  <c:v>41646.0</c:v>
                </c:pt>
                <c:pt idx="605">
                  <c:v>41645.0</c:v>
                </c:pt>
                <c:pt idx="606">
                  <c:v>41642.0</c:v>
                </c:pt>
                <c:pt idx="607">
                  <c:v>41641.0</c:v>
                </c:pt>
                <c:pt idx="608">
                  <c:v>41640.0</c:v>
                </c:pt>
                <c:pt idx="609">
                  <c:v>41639.0</c:v>
                </c:pt>
                <c:pt idx="610">
                  <c:v>41638.0</c:v>
                </c:pt>
                <c:pt idx="611">
                  <c:v>41635.0</c:v>
                </c:pt>
                <c:pt idx="612">
                  <c:v>41634.0</c:v>
                </c:pt>
                <c:pt idx="613">
                  <c:v>41633.0</c:v>
                </c:pt>
                <c:pt idx="614">
                  <c:v>41632.0</c:v>
                </c:pt>
                <c:pt idx="615">
                  <c:v>41631.0</c:v>
                </c:pt>
                <c:pt idx="616">
                  <c:v>41628.0</c:v>
                </c:pt>
                <c:pt idx="617">
                  <c:v>41627.0</c:v>
                </c:pt>
                <c:pt idx="618">
                  <c:v>41626.0</c:v>
                </c:pt>
                <c:pt idx="619">
                  <c:v>41625.0</c:v>
                </c:pt>
                <c:pt idx="620">
                  <c:v>41624.0</c:v>
                </c:pt>
                <c:pt idx="621">
                  <c:v>41621.0</c:v>
                </c:pt>
                <c:pt idx="622">
                  <c:v>41620.0</c:v>
                </c:pt>
                <c:pt idx="623">
                  <c:v>41619.0</c:v>
                </c:pt>
                <c:pt idx="624">
                  <c:v>41618.0</c:v>
                </c:pt>
                <c:pt idx="625">
                  <c:v>41617.0</c:v>
                </c:pt>
                <c:pt idx="626">
                  <c:v>41614.0</c:v>
                </c:pt>
                <c:pt idx="627">
                  <c:v>41613.0</c:v>
                </c:pt>
                <c:pt idx="628">
                  <c:v>41612.0</c:v>
                </c:pt>
                <c:pt idx="629">
                  <c:v>41611.0</c:v>
                </c:pt>
                <c:pt idx="630">
                  <c:v>41610.0</c:v>
                </c:pt>
                <c:pt idx="631">
                  <c:v>41607.0</c:v>
                </c:pt>
                <c:pt idx="632">
                  <c:v>41606.0</c:v>
                </c:pt>
                <c:pt idx="633">
                  <c:v>41605.0</c:v>
                </c:pt>
                <c:pt idx="634">
                  <c:v>41604.0</c:v>
                </c:pt>
                <c:pt idx="635">
                  <c:v>41603.0</c:v>
                </c:pt>
                <c:pt idx="636">
                  <c:v>41600.0</c:v>
                </c:pt>
                <c:pt idx="637">
                  <c:v>41599.0</c:v>
                </c:pt>
                <c:pt idx="638">
                  <c:v>41598.0</c:v>
                </c:pt>
                <c:pt idx="639">
                  <c:v>41597.0</c:v>
                </c:pt>
                <c:pt idx="640">
                  <c:v>41596.0</c:v>
                </c:pt>
                <c:pt idx="641">
                  <c:v>41593.0</c:v>
                </c:pt>
                <c:pt idx="642">
                  <c:v>41592.0</c:v>
                </c:pt>
                <c:pt idx="643">
                  <c:v>41591.0</c:v>
                </c:pt>
                <c:pt idx="644">
                  <c:v>41590.0</c:v>
                </c:pt>
                <c:pt idx="645">
                  <c:v>41589.0</c:v>
                </c:pt>
                <c:pt idx="646">
                  <c:v>41586.0</c:v>
                </c:pt>
                <c:pt idx="647">
                  <c:v>41585.0</c:v>
                </c:pt>
                <c:pt idx="648">
                  <c:v>41584.0</c:v>
                </c:pt>
                <c:pt idx="649">
                  <c:v>41583.0</c:v>
                </c:pt>
                <c:pt idx="650">
                  <c:v>41582.0</c:v>
                </c:pt>
                <c:pt idx="651">
                  <c:v>41579.0</c:v>
                </c:pt>
                <c:pt idx="652">
                  <c:v>41578.0</c:v>
                </c:pt>
                <c:pt idx="653">
                  <c:v>41577.0</c:v>
                </c:pt>
                <c:pt idx="654">
                  <c:v>41576.0</c:v>
                </c:pt>
                <c:pt idx="655">
                  <c:v>41575.0</c:v>
                </c:pt>
                <c:pt idx="656">
                  <c:v>41572.0</c:v>
                </c:pt>
                <c:pt idx="657">
                  <c:v>41571.0</c:v>
                </c:pt>
                <c:pt idx="658">
                  <c:v>41570.0</c:v>
                </c:pt>
                <c:pt idx="659">
                  <c:v>41569.0</c:v>
                </c:pt>
                <c:pt idx="660">
                  <c:v>41568.0</c:v>
                </c:pt>
                <c:pt idx="661">
                  <c:v>41565.0</c:v>
                </c:pt>
                <c:pt idx="662">
                  <c:v>41564.0</c:v>
                </c:pt>
                <c:pt idx="663">
                  <c:v>41563.0</c:v>
                </c:pt>
                <c:pt idx="664">
                  <c:v>41562.0</c:v>
                </c:pt>
                <c:pt idx="665">
                  <c:v>41561.0</c:v>
                </c:pt>
                <c:pt idx="666">
                  <c:v>41558.0</c:v>
                </c:pt>
                <c:pt idx="667">
                  <c:v>41557.0</c:v>
                </c:pt>
                <c:pt idx="668">
                  <c:v>41556.0</c:v>
                </c:pt>
                <c:pt idx="669">
                  <c:v>41555.0</c:v>
                </c:pt>
                <c:pt idx="670">
                  <c:v>41554.0</c:v>
                </c:pt>
                <c:pt idx="671">
                  <c:v>41551.0</c:v>
                </c:pt>
                <c:pt idx="672">
                  <c:v>41550.0</c:v>
                </c:pt>
                <c:pt idx="673">
                  <c:v>41549.0</c:v>
                </c:pt>
                <c:pt idx="674">
                  <c:v>41548.0</c:v>
                </c:pt>
                <c:pt idx="675">
                  <c:v>41547.0</c:v>
                </c:pt>
                <c:pt idx="676">
                  <c:v>41544.0</c:v>
                </c:pt>
                <c:pt idx="677">
                  <c:v>41543.0</c:v>
                </c:pt>
                <c:pt idx="678">
                  <c:v>41542.0</c:v>
                </c:pt>
                <c:pt idx="679">
                  <c:v>41541.0</c:v>
                </c:pt>
                <c:pt idx="680">
                  <c:v>41540.0</c:v>
                </c:pt>
                <c:pt idx="681">
                  <c:v>41537.0</c:v>
                </c:pt>
                <c:pt idx="682">
                  <c:v>41536.0</c:v>
                </c:pt>
                <c:pt idx="683">
                  <c:v>41535.0</c:v>
                </c:pt>
                <c:pt idx="684">
                  <c:v>41534.0</c:v>
                </c:pt>
                <c:pt idx="685">
                  <c:v>41533.0</c:v>
                </c:pt>
                <c:pt idx="686">
                  <c:v>41530.0</c:v>
                </c:pt>
                <c:pt idx="687">
                  <c:v>41529.0</c:v>
                </c:pt>
                <c:pt idx="688">
                  <c:v>41528.0</c:v>
                </c:pt>
                <c:pt idx="689">
                  <c:v>41527.0</c:v>
                </c:pt>
                <c:pt idx="690">
                  <c:v>41526.0</c:v>
                </c:pt>
                <c:pt idx="691">
                  <c:v>41523.0</c:v>
                </c:pt>
                <c:pt idx="692">
                  <c:v>41522.0</c:v>
                </c:pt>
                <c:pt idx="693">
                  <c:v>41521.0</c:v>
                </c:pt>
                <c:pt idx="694">
                  <c:v>41520.0</c:v>
                </c:pt>
                <c:pt idx="695">
                  <c:v>41519.0</c:v>
                </c:pt>
                <c:pt idx="696">
                  <c:v>41516.0</c:v>
                </c:pt>
                <c:pt idx="697">
                  <c:v>41515.0</c:v>
                </c:pt>
                <c:pt idx="698">
                  <c:v>41514.0</c:v>
                </c:pt>
                <c:pt idx="699">
                  <c:v>41513.0</c:v>
                </c:pt>
                <c:pt idx="700">
                  <c:v>41512.0</c:v>
                </c:pt>
                <c:pt idx="701">
                  <c:v>41509.0</c:v>
                </c:pt>
                <c:pt idx="702">
                  <c:v>41508.0</c:v>
                </c:pt>
                <c:pt idx="703">
                  <c:v>41507.0</c:v>
                </c:pt>
                <c:pt idx="704">
                  <c:v>41506.0</c:v>
                </c:pt>
                <c:pt idx="705">
                  <c:v>41505.0</c:v>
                </c:pt>
                <c:pt idx="706">
                  <c:v>41502.0</c:v>
                </c:pt>
                <c:pt idx="707">
                  <c:v>41501.0</c:v>
                </c:pt>
                <c:pt idx="708">
                  <c:v>41500.0</c:v>
                </c:pt>
                <c:pt idx="709">
                  <c:v>41499.0</c:v>
                </c:pt>
                <c:pt idx="710">
                  <c:v>41498.0</c:v>
                </c:pt>
                <c:pt idx="711">
                  <c:v>41495.0</c:v>
                </c:pt>
                <c:pt idx="712">
                  <c:v>41494.0</c:v>
                </c:pt>
                <c:pt idx="713">
                  <c:v>41493.0</c:v>
                </c:pt>
                <c:pt idx="714">
                  <c:v>41492.0</c:v>
                </c:pt>
                <c:pt idx="715">
                  <c:v>41491.0</c:v>
                </c:pt>
                <c:pt idx="716">
                  <c:v>41488.0</c:v>
                </c:pt>
                <c:pt idx="717">
                  <c:v>41487.0</c:v>
                </c:pt>
                <c:pt idx="718">
                  <c:v>41486.0</c:v>
                </c:pt>
                <c:pt idx="719">
                  <c:v>41485.0</c:v>
                </c:pt>
                <c:pt idx="720">
                  <c:v>41484.0</c:v>
                </c:pt>
                <c:pt idx="721">
                  <c:v>41481.0</c:v>
                </c:pt>
                <c:pt idx="722">
                  <c:v>41480.0</c:v>
                </c:pt>
                <c:pt idx="723">
                  <c:v>41479.0</c:v>
                </c:pt>
                <c:pt idx="724">
                  <c:v>41478.0</c:v>
                </c:pt>
                <c:pt idx="725">
                  <c:v>41477.0</c:v>
                </c:pt>
                <c:pt idx="726">
                  <c:v>41474.0</c:v>
                </c:pt>
                <c:pt idx="727">
                  <c:v>41473.0</c:v>
                </c:pt>
                <c:pt idx="728">
                  <c:v>41472.0</c:v>
                </c:pt>
                <c:pt idx="729">
                  <c:v>41471.0</c:v>
                </c:pt>
                <c:pt idx="730">
                  <c:v>41470.0</c:v>
                </c:pt>
                <c:pt idx="731">
                  <c:v>41467.0</c:v>
                </c:pt>
                <c:pt idx="732">
                  <c:v>41466.0</c:v>
                </c:pt>
                <c:pt idx="733">
                  <c:v>41465.0</c:v>
                </c:pt>
                <c:pt idx="734">
                  <c:v>41464.0</c:v>
                </c:pt>
                <c:pt idx="735">
                  <c:v>41463.0</c:v>
                </c:pt>
                <c:pt idx="736">
                  <c:v>41460.0</c:v>
                </c:pt>
                <c:pt idx="737">
                  <c:v>41459.0</c:v>
                </c:pt>
                <c:pt idx="738">
                  <c:v>41458.0</c:v>
                </c:pt>
                <c:pt idx="739">
                  <c:v>41457.0</c:v>
                </c:pt>
                <c:pt idx="740">
                  <c:v>41456.0</c:v>
                </c:pt>
                <c:pt idx="741">
                  <c:v>41453.0</c:v>
                </c:pt>
                <c:pt idx="742">
                  <c:v>41452.0</c:v>
                </c:pt>
                <c:pt idx="743">
                  <c:v>41451.0</c:v>
                </c:pt>
                <c:pt idx="744">
                  <c:v>41450.0</c:v>
                </c:pt>
                <c:pt idx="745">
                  <c:v>41449.0</c:v>
                </c:pt>
                <c:pt idx="746">
                  <c:v>41446.0</c:v>
                </c:pt>
                <c:pt idx="747">
                  <c:v>41445.0</c:v>
                </c:pt>
                <c:pt idx="748">
                  <c:v>41444.0</c:v>
                </c:pt>
                <c:pt idx="749">
                  <c:v>41443.0</c:v>
                </c:pt>
                <c:pt idx="750">
                  <c:v>41442.0</c:v>
                </c:pt>
                <c:pt idx="751">
                  <c:v>41439.0</c:v>
                </c:pt>
                <c:pt idx="752">
                  <c:v>41438.0</c:v>
                </c:pt>
                <c:pt idx="753">
                  <c:v>41437.0</c:v>
                </c:pt>
                <c:pt idx="754">
                  <c:v>41436.0</c:v>
                </c:pt>
                <c:pt idx="755">
                  <c:v>41435.0</c:v>
                </c:pt>
                <c:pt idx="756">
                  <c:v>41432.0</c:v>
                </c:pt>
                <c:pt idx="757">
                  <c:v>41431.0</c:v>
                </c:pt>
                <c:pt idx="758">
                  <c:v>41430.0</c:v>
                </c:pt>
                <c:pt idx="759">
                  <c:v>41429.0</c:v>
                </c:pt>
                <c:pt idx="760">
                  <c:v>41428.0</c:v>
                </c:pt>
                <c:pt idx="761">
                  <c:v>41425.0</c:v>
                </c:pt>
                <c:pt idx="762">
                  <c:v>41424.0</c:v>
                </c:pt>
                <c:pt idx="763">
                  <c:v>41423.0</c:v>
                </c:pt>
                <c:pt idx="764">
                  <c:v>41422.0</c:v>
                </c:pt>
                <c:pt idx="765">
                  <c:v>41421.0</c:v>
                </c:pt>
                <c:pt idx="766">
                  <c:v>41418.0</c:v>
                </c:pt>
                <c:pt idx="767">
                  <c:v>41417.0</c:v>
                </c:pt>
                <c:pt idx="768">
                  <c:v>41416.0</c:v>
                </c:pt>
                <c:pt idx="769">
                  <c:v>41415.0</c:v>
                </c:pt>
                <c:pt idx="770">
                  <c:v>41414.0</c:v>
                </c:pt>
                <c:pt idx="771">
                  <c:v>41411.0</c:v>
                </c:pt>
                <c:pt idx="772">
                  <c:v>41410.0</c:v>
                </c:pt>
                <c:pt idx="773">
                  <c:v>41409.0</c:v>
                </c:pt>
                <c:pt idx="774">
                  <c:v>41408.0</c:v>
                </c:pt>
                <c:pt idx="775">
                  <c:v>41407.0</c:v>
                </c:pt>
                <c:pt idx="776">
                  <c:v>41404.0</c:v>
                </c:pt>
                <c:pt idx="777">
                  <c:v>41403.0</c:v>
                </c:pt>
                <c:pt idx="778">
                  <c:v>41402.0</c:v>
                </c:pt>
                <c:pt idx="779">
                  <c:v>41401.0</c:v>
                </c:pt>
                <c:pt idx="780">
                  <c:v>41400.0</c:v>
                </c:pt>
                <c:pt idx="781">
                  <c:v>41397.0</c:v>
                </c:pt>
                <c:pt idx="782">
                  <c:v>41396.0</c:v>
                </c:pt>
                <c:pt idx="783">
                  <c:v>41395.0</c:v>
                </c:pt>
                <c:pt idx="784">
                  <c:v>41394.0</c:v>
                </c:pt>
                <c:pt idx="785">
                  <c:v>41393.0</c:v>
                </c:pt>
                <c:pt idx="786">
                  <c:v>41390.0</c:v>
                </c:pt>
                <c:pt idx="787">
                  <c:v>41389.0</c:v>
                </c:pt>
                <c:pt idx="788">
                  <c:v>41388.0</c:v>
                </c:pt>
                <c:pt idx="789">
                  <c:v>41387.0</c:v>
                </c:pt>
                <c:pt idx="790">
                  <c:v>41386.0</c:v>
                </c:pt>
                <c:pt idx="791">
                  <c:v>41383.0</c:v>
                </c:pt>
                <c:pt idx="792">
                  <c:v>41382.0</c:v>
                </c:pt>
                <c:pt idx="793">
                  <c:v>41381.0</c:v>
                </c:pt>
                <c:pt idx="794">
                  <c:v>41380.0</c:v>
                </c:pt>
                <c:pt idx="795">
                  <c:v>41379.0</c:v>
                </c:pt>
                <c:pt idx="796">
                  <c:v>41376.0</c:v>
                </c:pt>
                <c:pt idx="797">
                  <c:v>41375.0</c:v>
                </c:pt>
                <c:pt idx="798">
                  <c:v>41374.0</c:v>
                </c:pt>
                <c:pt idx="799">
                  <c:v>41373.0</c:v>
                </c:pt>
                <c:pt idx="800">
                  <c:v>41372.0</c:v>
                </c:pt>
                <c:pt idx="801">
                  <c:v>41369.0</c:v>
                </c:pt>
                <c:pt idx="802">
                  <c:v>41368.0</c:v>
                </c:pt>
                <c:pt idx="803">
                  <c:v>41367.0</c:v>
                </c:pt>
                <c:pt idx="804">
                  <c:v>41366.0</c:v>
                </c:pt>
                <c:pt idx="805">
                  <c:v>41365.0</c:v>
                </c:pt>
                <c:pt idx="806">
                  <c:v>41362.0</c:v>
                </c:pt>
                <c:pt idx="807">
                  <c:v>41361.0</c:v>
                </c:pt>
                <c:pt idx="808">
                  <c:v>41360.0</c:v>
                </c:pt>
                <c:pt idx="809">
                  <c:v>41359.0</c:v>
                </c:pt>
                <c:pt idx="810">
                  <c:v>41358.0</c:v>
                </c:pt>
                <c:pt idx="811">
                  <c:v>41355.0</c:v>
                </c:pt>
                <c:pt idx="812">
                  <c:v>41354.0</c:v>
                </c:pt>
                <c:pt idx="813">
                  <c:v>41353.0</c:v>
                </c:pt>
                <c:pt idx="814">
                  <c:v>41352.0</c:v>
                </c:pt>
                <c:pt idx="815">
                  <c:v>41351.0</c:v>
                </c:pt>
                <c:pt idx="816">
                  <c:v>41348.0</c:v>
                </c:pt>
                <c:pt idx="817">
                  <c:v>41347.0</c:v>
                </c:pt>
                <c:pt idx="818">
                  <c:v>41346.0</c:v>
                </c:pt>
                <c:pt idx="819">
                  <c:v>41345.0</c:v>
                </c:pt>
                <c:pt idx="820">
                  <c:v>41344.0</c:v>
                </c:pt>
                <c:pt idx="821">
                  <c:v>41341.0</c:v>
                </c:pt>
                <c:pt idx="822">
                  <c:v>41340.0</c:v>
                </c:pt>
                <c:pt idx="823">
                  <c:v>41339.0</c:v>
                </c:pt>
                <c:pt idx="824">
                  <c:v>41338.0</c:v>
                </c:pt>
                <c:pt idx="825">
                  <c:v>41337.0</c:v>
                </c:pt>
                <c:pt idx="826">
                  <c:v>41334.0</c:v>
                </c:pt>
                <c:pt idx="827">
                  <c:v>41333.0</c:v>
                </c:pt>
                <c:pt idx="828">
                  <c:v>41332.0</c:v>
                </c:pt>
                <c:pt idx="829">
                  <c:v>41331.0</c:v>
                </c:pt>
                <c:pt idx="830">
                  <c:v>41330.0</c:v>
                </c:pt>
                <c:pt idx="831">
                  <c:v>41327.0</c:v>
                </c:pt>
                <c:pt idx="832">
                  <c:v>41326.0</c:v>
                </c:pt>
                <c:pt idx="833">
                  <c:v>41325.0</c:v>
                </c:pt>
                <c:pt idx="834">
                  <c:v>41324.0</c:v>
                </c:pt>
                <c:pt idx="835">
                  <c:v>41323.0</c:v>
                </c:pt>
                <c:pt idx="836">
                  <c:v>41320.0</c:v>
                </c:pt>
                <c:pt idx="837">
                  <c:v>41319.0</c:v>
                </c:pt>
                <c:pt idx="838">
                  <c:v>41318.0</c:v>
                </c:pt>
                <c:pt idx="839">
                  <c:v>41317.0</c:v>
                </c:pt>
                <c:pt idx="840">
                  <c:v>41316.0</c:v>
                </c:pt>
                <c:pt idx="841">
                  <c:v>41313.0</c:v>
                </c:pt>
                <c:pt idx="842">
                  <c:v>41312.0</c:v>
                </c:pt>
                <c:pt idx="843">
                  <c:v>41311.0</c:v>
                </c:pt>
                <c:pt idx="844">
                  <c:v>41310.0</c:v>
                </c:pt>
                <c:pt idx="845">
                  <c:v>41309.0</c:v>
                </c:pt>
                <c:pt idx="846">
                  <c:v>41306.0</c:v>
                </c:pt>
                <c:pt idx="847">
                  <c:v>41305.0</c:v>
                </c:pt>
                <c:pt idx="848">
                  <c:v>41304.0</c:v>
                </c:pt>
                <c:pt idx="849">
                  <c:v>41303.0</c:v>
                </c:pt>
                <c:pt idx="850">
                  <c:v>41302.0</c:v>
                </c:pt>
                <c:pt idx="851">
                  <c:v>41299.0</c:v>
                </c:pt>
                <c:pt idx="852">
                  <c:v>41298.0</c:v>
                </c:pt>
                <c:pt idx="853">
                  <c:v>41297.0</c:v>
                </c:pt>
                <c:pt idx="854">
                  <c:v>41296.0</c:v>
                </c:pt>
                <c:pt idx="855">
                  <c:v>41295.0</c:v>
                </c:pt>
                <c:pt idx="856">
                  <c:v>41292.0</c:v>
                </c:pt>
                <c:pt idx="857">
                  <c:v>41291.0</c:v>
                </c:pt>
                <c:pt idx="858">
                  <c:v>41290.0</c:v>
                </c:pt>
                <c:pt idx="859">
                  <c:v>41289.0</c:v>
                </c:pt>
                <c:pt idx="860">
                  <c:v>41288.0</c:v>
                </c:pt>
                <c:pt idx="861">
                  <c:v>41285.0</c:v>
                </c:pt>
                <c:pt idx="862">
                  <c:v>41284.0</c:v>
                </c:pt>
                <c:pt idx="863">
                  <c:v>41283.0</c:v>
                </c:pt>
                <c:pt idx="864">
                  <c:v>41282.0</c:v>
                </c:pt>
                <c:pt idx="865">
                  <c:v>41281.0</c:v>
                </c:pt>
                <c:pt idx="866">
                  <c:v>41278.0</c:v>
                </c:pt>
                <c:pt idx="867">
                  <c:v>41277.0</c:v>
                </c:pt>
                <c:pt idx="868">
                  <c:v>41276.0</c:v>
                </c:pt>
                <c:pt idx="869">
                  <c:v>41275.0</c:v>
                </c:pt>
                <c:pt idx="870">
                  <c:v>41274.0</c:v>
                </c:pt>
                <c:pt idx="871">
                  <c:v>41271.0</c:v>
                </c:pt>
                <c:pt idx="872">
                  <c:v>41270.0</c:v>
                </c:pt>
                <c:pt idx="873">
                  <c:v>41269.0</c:v>
                </c:pt>
                <c:pt idx="874">
                  <c:v>41268.0</c:v>
                </c:pt>
                <c:pt idx="875">
                  <c:v>41267.0</c:v>
                </c:pt>
                <c:pt idx="876">
                  <c:v>41264.0</c:v>
                </c:pt>
                <c:pt idx="877">
                  <c:v>41263.0</c:v>
                </c:pt>
                <c:pt idx="878">
                  <c:v>41262.0</c:v>
                </c:pt>
                <c:pt idx="879">
                  <c:v>41261.0</c:v>
                </c:pt>
                <c:pt idx="880">
                  <c:v>41260.0</c:v>
                </c:pt>
                <c:pt idx="881">
                  <c:v>41257.0</c:v>
                </c:pt>
                <c:pt idx="882">
                  <c:v>41256.0</c:v>
                </c:pt>
                <c:pt idx="883">
                  <c:v>41255.0</c:v>
                </c:pt>
                <c:pt idx="884">
                  <c:v>41254.0</c:v>
                </c:pt>
                <c:pt idx="885">
                  <c:v>41253.0</c:v>
                </c:pt>
                <c:pt idx="886">
                  <c:v>41250.0</c:v>
                </c:pt>
                <c:pt idx="887">
                  <c:v>41249.0</c:v>
                </c:pt>
                <c:pt idx="888">
                  <c:v>41248.0</c:v>
                </c:pt>
                <c:pt idx="889">
                  <c:v>41247.0</c:v>
                </c:pt>
                <c:pt idx="890">
                  <c:v>41246.0</c:v>
                </c:pt>
                <c:pt idx="891">
                  <c:v>41243.0</c:v>
                </c:pt>
                <c:pt idx="892">
                  <c:v>41242.0</c:v>
                </c:pt>
                <c:pt idx="893">
                  <c:v>41241.0</c:v>
                </c:pt>
                <c:pt idx="894">
                  <c:v>41240.0</c:v>
                </c:pt>
                <c:pt idx="895">
                  <c:v>41239.0</c:v>
                </c:pt>
                <c:pt idx="896">
                  <c:v>41236.0</c:v>
                </c:pt>
                <c:pt idx="897">
                  <c:v>41235.0</c:v>
                </c:pt>
                <c:pt idx="898">
                  <c:v>41234.0</c:v>
                </c:pt>
                <c:pt idx="899">
                  <c:v>41233.0</c:v>
                </c:pt>
                <c:pt idx="900">
                  <c:v>41232.0</c:v>
                </c:pt>
                <c:pt idx="901">
                  <c:v>41229.0</c:v>
                </c:pt>
                <c:pt idx="902">
                  <c:v>41228.0</c:v>
                </c:pt>
                <c:pt idx="903">
                  <c:v>41227.0</c:v>
                </c:pt>
                <c:pt idx="904">
                  <c:v>41226.0</c:v>
                </c:pt>
                <c:pt idx="905">
                  <c:v>41225.0</c:v>
                </c:pt>
                <c:pt idx="906">
                  <c:v>41222.0</c:v>
                </c:pt>
                <c:pt idx="907">
                  <c:v>41221.0</c:v>
                </c:pt>
                <c:pt idx="908">
                  <c:v>41220.0</c:v>
                </c:pt>
                <c:pt idx="909">
                  <c:v>41219.0</c:v>
                </c:pt>
                <c:pt idx="910">
                  <c:v>41218.0</c:v>
                </c:pt>
                <c:pt idx="911">
                  <c:v>41215.0</c:v>
                </c:pt>
                <c:pt idx="912">
                  <c:v>41214.0</c:v>
                </c:pt>
                <c:pt idx="913">
                  <c:v>41213.0</c:v>
                </c:pt>
                <c:pt idx="914">
                  <c:v>41212.0</c:v>
                </c:pt>
                <c:pt idx="915">
                  <c:v>41211.0</c:v>
                </c:pt>
                <c:pt idx="916">
                  <c:v>41208.0</c:v>
                </c:pt>
                <c:pt idx="917">
                  <c:v>41207.0</c:v>
                </c:pt>
                <c:pt idx="918">
                  <c:v>41206.0</c:v>
                </c:pt>
                <c:pt idx="919">
                  <c:v>41205.0</c:v>
                </c:pt>
                <c:pt idx="920">
                  <c:v>41204.0</c:v>
                </c:pt>
                <c:pt idx="921">
                  <c:v>41201.0</c:v>
                </c:pt>
                <c:pt idx="922">
                  <c:v>41200.0</c:v>
                </c:pt>
                <c:pt idx="923">
                  <c:v>41199.0</c:v>
                </c:pt>
                <c:pt idx="924">
                  <c:v>41198.0</c:v>
                </c:pt>
                <c:pt idx="925">
                  <c:v>41197.0</c:v>
                </c:pt>
                <c:pt idx="926">
                  <c:v>41194.0</c:v>
                </c:pt>
                <c:pt idx="927">
                  <c:v>41193.0</c:v>
                </c:pt>
                <c:pt idx="928">
                  <c:v>41192.0</c:v>
                </c:pt>
                <c:pt idx="929">
                  <c:v>41191.0</c:v>
                </c:pt>
                <c:pt idx="930">
                  <c:v>41190.0</c:v>
                </c:pt>
                <c:pt idx="931">
                  <c:v>41187.0</c:v>
                </c:pt>
                <c:pt idx="932">
                  <c:v>41186.0</c:v>
                </c:pt>
                <c:pt idx="933">
                  <c:v>41185.0</c:v>
                </c:pt>
                <c:pt idx="934">
                  <c:v>41184.0</c:v>
                </c:pt>
                <c:pt idx="935">
                  <c:v>41183.0</c:v>
                </c:pt>
                <c:pt idx="936">
                  <c:v>41180.0</c:v>
                </c:pt>
                <c:pt idx="937">
                  <c:v>41179.0</c:v>
                </c:pt>
                <c:pt idx="938">
                  <c:v>41178.0</c:v>
                </c:pt>
                <c:pt idx="939">
                  <c:v>41177.0</c:v>
                </c:pt>
                <c:pt idx="940">
                  <c:v>41176.0</c:v>
                </c:pt>
                <c:pt idx="941">
                  <c:v>41173.0</c:v>
                </c:pt>
                <c:pt idx="942">
                  <c:v>41172.0</c:v>
                </c:pt>
                <c:pt idx="943">
                  <c:v>41171.0</c:v>
                </c:pt>
                <c:pt idx="944">
                  <c:v>41170.0</c:v>
                </c:pt>
                <c:pt idx="945">
                  <c:v>41169.0</c:v>
                </c:pt>
                <c:pt idx="946">
                  <c:v>41166.0</c:v>
                </c:pt>
                <c:pt idx="947">
                  <c:v>41165.0</c:v>
                </c:pt>
                <c:pt idx="948">
                  <c:v>41164.0</c:v>
                </c:pt>
                <c:pt idx="949">
                  <c:v>41163.0</c:v>
                </c:pt>
                <c:pt idx="950">
                  <c:v>41162.0</c:v>
                </c:pt>
                <c:pt idx="951">
                  <c:v>41159.0</c:v>
                </c:pt>
                <c:pt idx="952">
                  <c:v>41158.0</c:v>
                </c:pt>
                <c:pt idx="953">
                  <c:v>41157.0</c:v>
                </c:pt>
                <c:pt idx="954">
                  <c:v>41156.0</c:v>
                </c:pt>
                <c:pt idx="955">
                  <c:v>41155.0</c:v>
                </c:pt>
                <c:pt idx="956">
                  <c:v>41152.0</c:v>
                </c:pt>
                <c:pt idx="957">
                  <c:v>41151.0</c:v>
                </c:pt>
                <c:pt idx="958">
                  <c:v>41150.0</c:v>
                </c:pt>
                <c:pt idx="959">
                  <c:v>41149.0</c:v>
                </c:pt>
                <c:pt idx="960">
                  <c:v>41148.0</c:v>
                </c:pt>
                <c:pt idx="961">
                  <c:v>41145.0</c:v>
                </c:pt>
                <c:pt idx="962">
                  <c:v>41144.0</c:v>
                </c:pt>
                <c:pt idx="963">
                  <c:v>41143.0</c:v>
                </c:pt>
                <c:pt idx="964">
                  <c:v>41142.0</c:v>
                </c:pt>
                <c:pt idx="965">
                  <c:v>41141.0</c:v>
                </c:pt>
                <c:pt idx="966">
                  <c:v>41138.0</c:v>
                </c:pt>
                <c:pt idx="967">
                  <c:v>41137.0</c:v>
                </c:pt>
                <c:pt idx="968">
                  <c:v>41136.0</c:v>
                </c:pt>
                <c:pt idx="969">
                  <c:v>41135.0</c:v>
                </c:pt>
                <c:pt idx="970">
                  <c:v>41134.0</c:v>
                </c:pt>
                <c:pt idx="971">
                  <c:v>41131.0</c:v>
                </c:pt>
                <c:pt idx="972">
                  <c:v>41130.0</c:v>
                </c:pt>
                <c:pt idx="973">
                  <c:v>41129.0</c:v>
                </c:pt>
                <c:pt idx="974">
                  <c:v>41128.0</c:v>
                </c:pt>
                <c:pt idx="975">
                  <c:v>41127.0</c:v>
                </c:pt>
                <c:pt idx="976">
                  <c:v>41124.0</c:v>
                </c:pt>
                <c:pt idx="977">
                  <c:v>41123.0</c:v>
                </c:pt>
                <c:pt idx="978">
                  <c:v>41122.0</c:v>
                </c:pt>
                <c:pt idx="979">
                  <c:v>41121.0</c:v>
                </c:pt>
                <c:pt idx="980">
                  <c:v>41120.0</c:v>
                </c:pt>
                <c:pt idx="981">
                  <c:v>41117.0</c:v>
                </c:pt>
                <c:pt idx="982">
                  <c:v>41116.0</c:v>
                </c:pt>
                <c:pt idx="983">
                  <c:v>41115.0</c:v>
                </c:pt>
                <c:pt idx="984">
                  <c:v>41114.0</c:v>
                </c:pt>
                <c:pt idx="985">
                  <c:v>41113.0</c:v>
                </c:pt>
                <c:pt idx="986">
                  <c:v>41110.0</c:v>
                </c:pt>
                <c:pt idx="987">
                  <c:v>41109.0</c:v>
                </c:pt>
                <c:pt idx="988">
                  <c:v>41108.0</c:v>
                </c:pt>
                <c:pt idx="989">
                  <c:v>41107.0</c:v>
                </c:pt>
                <c:pt idx="990">
                  <c:v>41106.0</c:v>
                </c:pt>
                <c:pt idx="991">
                  <c:v>41103.0</c:v>
                </c:pt>
                <c:pt idx="992">
                  <c:v>41102.0</c:v>
                </c:pt>
                <c:pt idx="993">
                  <c:v>41101.0</c:v>
                </c:pt>
                <c:pt idx="994">
                  <c:v>41100.0</c:v>
                </c:pt>
                <c:pt idx="995">
                  <c:v>41099.0</c:v>
                </c:pt>
                <c:pt idx="996">
                  <c:v>41096.0</c:v>
                </c:pt>
                <c:pt idx="997">
                  <c:v>41095.0</c:v>
                </c:pt>
                <c:pt idx="998">
                  <c:v>41094.0</c:v>
                </c:pt>
                <c:pt idx="999">
                  <c:v>41093.0</c:v>
                </c:pt>
                <c:pt idx="1000">
                  <c:v>41092.0</c:v>
                </c:pt>
                <c:pt idx="1001">
                  <c:v>41089.0</c:v>
                </c:pt>
                <c:pt idx="1002">
                  <c:v>41088.0</c:v>
                </c:pt>
                <c:pt idx="1003">
                  <c:v>41087.0</c:v>
                </c:pt>
                <c:pt idx="1004">
                  <c:v>41086.0</c:v>
                </c:pt>
                <c:pt idx="1005">
                  <c:v>41085.0</c:v>
                </c:pt>
                <c:pt idx="1006">
                  <c:v>41082.0</c:v>
                </c:pt>
                <c:pt idx="1007">
                  <c:v>41081.0</c:v>
                </c:pt>
                <c:pt idx="1008">
                  <c:v>41080.0</c:v>
                </c:pt>
                <c:pt idx="1009">
                  <c:v>41079.0</c:v>
                </c:pt>
                <c:pt idx="1010">
                  <c:v>41078.0</c:v>
                </c:pt>
                <c:pt idx="1011">
                  <c:v>41075.0</c:v>
                </c:pt>
                <c:pt idx="1012">
                  <c:v>41074.0</c:v>
                </c:pt>
                <c:pt idx="1013">
                  <c:v>41073.0</c:v>
                </c:pt>
                <c:pt idx="1014">
                  <c:v>41072.0</c:v>
                </c:pt>
                <c:pt idx="1015">
                  <c:v>41071.0</c:v>
                </c:pt>
                <c:pt idx="1016">
                  <c:v>41068.0</c:v>
                </c:pt>
                <c:pt idx="1017">
                  <c:v>41067.0</c:v>
                </c:pt>
                <c:pt idx="1018">
                  <c:v>41066.0</c:v>
                </c:pt>
                <c:pt idx="1019">
                  <c:v>41065.0</c:v>
                </c:pt>
                <c:pt idx="1020">
                  <c:v>41064.0</c:v>
                </c:pt>
                <c:pt idx="1021">
                  <c:v>41061.0</c:v>
                </c:pt>
                <c:pt idx="1022">
                  <c:v>41060.0</c:v>
                </c:pt>
                <c:pt idx="1023">
                  <c:v>41059.0</c:v>
                </c:pt>
                <c:pt idx="1024">
                  <c:v>41058.0</c:v>
                </c:pt>
                <c:pt idx="1025">
                  <c:v>41057.0</c:v>
                </c:pt>
                <c:pt idx="1026">
                  <c:v>41054.0</c:v>
                </c:pt>
                <c:pt idx="1027">
                  <c:v>41053.0</c:v>
                </c:pt>
                <c:pt idx="1028">
                  <c:v>41052.0</c:v>
                </c:pt>
                <c:pt idx="1029">
                  <c:v>41051.0</c:v>
                </c:pt>
                <c:pt idx="1030">
                  <c:v>41050.0</c:v>
                </c:pt>
                <c:pt idx="1031">
                  <c:v>41047.0</c:v>
                </c:pt>
                <c:pt idx="1032">
                  <c:v>41046.0</c:v>
                </c:pt>
                <c:pt idx="1033">
                  <c:v>41045.0</c:v>
                </c:pt>
                <c:pt idx="1034">
                  <c:v>41044.0</c:v>
                </c:pt>
                <c:pt idx="1035">
                  <c:v>41043.0</c:v>
                </c:pt>
                <c:pt idx="1036">
                  <c:v>41040.0</c:v>
                </c:pt>
                <c:pt idx="1037">
                  <c:v>41039.0</c:v>
                </c:pt>
                <c:pt idx="1038">
                  <c:v>41038.0</c:v>
                </c:pt>
                <c:pt idx="1039">
                  <c:v>41037.0</c:v>
                </c:pt>
                <c:pt idx="1040">
                  <c:v>41036.0</c:v>
                </c:pt>
                <c:pt idx="1041">
                  <c:v>41033.0</c:v>
                </c:pt>
                <c:pt idx="1042">
                  <c:v>41032.0</c:v>
                </c:pt>
                <c:pt idx="1043">
                  <c:v>41031.0</c:v>
                </c:pt>
                <c:pt idx="1044">
                  <c:v>41030.0</c:v>
                </c:pt>
                <c:pt idx="1045">
                  <c:v>41029.0</c:v>
                </c:pt>
                <c:pt idx="1046">
                  <c:v>41026.0</c:v>
                </c:pt>
                <c:pt idx="1047">
                  <c:v>41025.0</c:v>
                </c:pt>
                <c:pt idx="1048">
                  <c:v>41024.0</c:v>
                </c:pt>
                <c:pt idx="1049">
                  <c:v>41023.0</c:v>
                </c:pt>
                <c:pt idx="1050">
                  <c:v>41022.0</c:v>
                </c:pt>
                <c:pt idx="1051">
                  <c:v>41019.0</c:v>
                </c:pt>
                <c:pt idx="1052">
                  <c:v>41018.0</c:v>
                </c:pt>
                <c:pt idx="1053">
                  <c:v>41017.0</c:v>
                </c:pt>
                <c:pt idx="1054">
                  <c:v>41016.0</c:v>
                </c:pt>
                <c:pt idx="1055">
                  <c:v>41015.0</c:v>
                </c:pt>
                <c:pt idx="1056">
                  <c:v>41012.0</c:v>
                </c:pt>
                <c:pt idx="1057">
                  <c:v>41011.0</c:v>
                </c:pt>
                <c:pt idx="1058">
                  <c:v>41010.0</c:v>
                </c:pt>
                <c:pt idx="1059">
                  <c:v>41009.0</c:v>
                </c:pt>
                <c:pt idx="1060">
                  <c:v>41008.0</c:v>
                </c:pt>
                <c:pt idx="1061">
                  <c:v>41005.0</c:v>
                </c:pt>
                <c:pt idx="1062">
                  <c:v>41004.0</c:v>
                </c:pt>
                <c:pt idx="1063">
                  <c:v>41003.0</c:v>
                </c:pt>
                <c:pt idx="1064">
                  <c:v>41002.0</c:v>
                </c:pt>
                <c:pt idx="1065">
                  <c:v>41001.0</c:v>
                </c:pt>
                <c:pt idx="1066">
                  <c:v>40998.0</c:v>
                </c:pt>
                <c:pt idx="1067">
                  <c:v>40997.0</c:v>
                </c:pt>
                <c:pt idx="1068">
                  <c:v>40996.0</c:v>
                </c:pt>
                <c:pt idx="1069">
                  <c:v>40995.0</c:v>
                </c:pt>
                <c:pt idx="1070">
                  <c:v>40994.0</c:v>
                </c:pt>
                <c:pt idx="1071">
                  <c:v>40991.0</c:v>
                </c:pt>
                <c:pt idx="1072">
                  <c:v>40990.0</c:v>
                </c:pt>
                <c:pt idx="1073">
                  <c:v>40989.0</c:v>
                </c:pt>
                <c:pt idx="1074">
                  <c:v>40988.0</c:v>
                </c:pt>
                <c:pt idx="1075">
                  <c:v>40987.0</c:v>
                </c:pt>
                <c:pt idx="1076">
                  <c:v>40984.0</c:v>
                </c:pt>
                <c:pt idx="1077">
                  <c:v>40983.0</c:v>
                </c:pt>
                <c:pt idx="1078">
                  <c:v>40982.0</c:v>
                </c:pt>
                <c:pt idx="1079">
                  <c:v>40981.0</c:v>
                </c:pt>
                <c:pt idx="1080">
                  <c:v>40980.0</c:v>
                </c:pt>
                <c:pt idx="1081">
                  <c:v>40977.0</c:v>
                </c:pt>
                <c:pt idx="1082">
                  <c:v>40976.0</c:v>
                </c:pt>
                <c:pt idx="1083">
                  <c:v>40975.0</c:v>
                </c:pt>
                <c:pt idx="1084">
                  <c:v>40974.0</c:v>
                </c:pt>
                <c:pt idx="1085">
                  <c:v>40973.0</c:v>
                </c:pt>
                <c:pt idx="1086">
                  <c:v>40970.0</c:v>
                </c:pt>
                <c:pt idx="1087">
                  <c:v>40969.0</c:v>
                </c:pt>
                <c:pt idx="1088">
                  <c:v>40968.0</c:v>
                </c:pt>
                <c:pt idx="1089">
                  <c:v>40967.0</c:v>
                </c:pt>
                <c:pt idx="1090">
                  <c:v>40966.0</c:v>
                </c:pt>
                <c:pt idx="1091">
                  <c:v>40963.0</c:v>
                </c:pt>
                <c:pt idx="1092">
                  <c:v>40962.0</c:v>
                </c:pt>
                <c:pt idx="1093">
                  <c:v>40961.0</c:v>
                </c:pt>
                <c:pt idx="1094">
                  <c:v>40960.0</c:v>
                </c:pt>
                <c:pt idx="1095">
                  <c:v>40959.0</c:v>
                </c:pt>
                <c:pt idx="1096">
                  <c:v>40956.0</c:v>
                </c:pt>
                <c:pt idx="1097">
                  <c:v>40955.0</c:v>
                </c:pt>
                <c:pt idx="1098">
                  <c:v>40954.0</c:v>
                </c:pt>
                <c:pt idx="1099">
                  <c:v>40953.0</c:v>
                </c:pt>
                <c:pt idx="1100">
                  <c:v>40952.0</c:v>
                </c:pt>
                <c:pt idx="1101">
                  <c:v>40949.0</c:v>
                </c:pt>
                <c:pt idx="1102">
                  <c:v>40948.0</c:v>
                </c:pt>
                <c:pt idx="1103">
                  <c:v>40947.0</c:v>
                </c:pt>
                <c:pt idx="1104">
                  <c:v>40946.0</c:v>
                </c:pt>
                <c:pt idx="1105">
                  <c:v>40945.0</c:v>
                </c:pt>
                <c:pt idx="1106">
                  <c:v>40942.0</c:v>
                </c:pt>
                <c:pt idx="1107">
                  <c:v>40941.0</c:v>
                </c:pt>
                <c:pt idx="1108">
                  <c:v>40940.0</c:v>
                </c:pt>
                <c:pt idx="1109">
                  <c:v>40939.0</c:v>
                </c:pt>
                <c:pt idx="1110">
                  <c:v>40938.0</c:v>
                </c:pt>
                <c:pt idx="1111">
                  <c:v>40935.0</c:v>
                </c:pt>
                <c:pt idx="1112">
                  <c:v>40934.0</c:v>
                </c:pt>
                <c:pt idx="1113">
                  <c:v>40933.0</c:v>
                </c:pt>
                <c:pt idx="1114">
                  <c:v>40932.0</c:v>
                </c:pt>
                <c:pt idx="1115">
                  <c:v>40931.0</c:v>
                </c:pt>
                <c:pt idx="1116">
                  <c:v>40928.0</c:v>
                </c:pt>
                <c:pt idx="1117">
                  <c:v>40927.0</c:v>
                </c:pt>
                <c:pt idx="1118">
                  <c:v>40926.0</c:v>
                </c:pt>
                <c:pt idx="1119">
                  <c:v>40925.0</c:v>
                </c:pt>
                <c:pt idx="1120">
                  <c:v>40924.0</c:v>
                </c:pt>
                <c:pt idx="1121">
                  <c:v>40921.0</c:v>
                </c:pt>
                <c:pt idx="1122">
                  <c:v>40920.0</c:v>
                </c:pt>
                <c:pt idx="1123">
                  <c:v>40919.0</c:v>
                </c:pt>
                <c:pt idx="1124">
                  <c:v>40918.0</c:v>
                </c:pt>
                <c:pt idx="1125">
                  <c:v>40917.0</c:v>
                </c:pt>
                <c:pt idx="1126">
                  <c:v>40914.0</c:v>
                </c:pt>
                <c:pt idx="1127">
                  <c:v>40913.0</c:v>
                </c:pt>
                <c:pt idx="1128">
                  <c:v>40912.0</c:v>
                </c:pt>
                <c:pt idx="1129">
                  <c:v>40911.0</c:v>
                </c:pt>
                <c:pt idx="1130">
                  <c:v>40910.0</c:v>
                </c:pt>
                <c:pt idx="1131">
                  <c:v>40907.0</c:v>
                </c:pt>
                <c:pt idx="1132">
                  <c:v>40906.0</c:v>
                </c:pt>
                <c:pt idx="1133">
                  <c:v>40905.0</c:v>
                </c:pt>
                <c:pt idx="1134">
                  <c:v>40904.0</c:v>
                </c:pt>
                <c:pt idx="1135">
                  <c:v>40903.0</c:v>
                </c:pt>
                <c:pt idx="1136">
                  <c:v>40900.0</c:v>
                </c:pt>
                <c:pt idx="1137">
                  <c:v>40899.0</c:v>
                </c:pt>
                <c:pt idx="1138">
                  <c:v>40898.0</c:v>
                </c:pt>
                <c:pt idx="1139">
                  <c:v>40897.0</c:v>
                </c:pt>
                <c:pt idx="1140">
                  <c:v>40896.0</c:v>
                </c:pt>
                <c:pt idx="1141">
                  <c:v>40893.0</c:v>
                </c:pt>
                <c:pt idx="1142">
                  <c:v>40892.0</c:v>
                </c:pt>
                <c:pt idx="1143">
                  <c:v>40891.0</c:v>
                </c:pt>
                <c:pt idx="1144">
                  <c:v>40890.0</c:v>
                </c:pt>
                <c:pt idx="1145">
                  <c:v>40889.0</c:v>
                </c:pt>
                <c:pt idx="1146">
                  <c:v>40886.0</c:v>
                </c:pt>
                <c:pt idx="1147">
                  <c:v>40885.0</c:v>
                </c:pt>
                <c:pt idx="1148">
                  <c:v>40884.0</c:v>
                </c:pt>
                <c:pt idx="1149">
                  <c:v>40883.0</c:v>
                </c:pt>
                <c:pt idx="1150">
                  <c:v>40882.0</c:v>
                </c:pt>
                <c:pt idx="1151">
                  <c:v>40879.0</c:v>
                </c:pt>
                <c:pt idx="1152">
                  <c:v>40878.0</c:v>
                </c:pt>
                <c:pt idx="1153">
                  <c:v>40877.0</c:v>
                </c:pt>
                <c:pt idx="1154">
                  <c:v>40876.0</c:v>
                </c:pt>
                <c:pt idx="1155">
                  <c:v>40875.0</c:v>
                </c:pt>
                <c:pt idx="1156">
                  <c:v>40872.0</c:v>
                </c:pt>
                <c:pt idx="1157">
                  <c:v>40871.0</c:v>
                </c:pt>
                <c:pt idx="1158">
                  <c:v>40870.0</c:v>
                </c:pt>
                <c:pt idx="1159">
                  <c:v>40869.0</c:v>
                </c:pt>
                <c:pt idx="1160">
                  <c:v>40868.0</c:v>
                </c:pt>
                <c:pt idx="1161">
                  <c:v>40865.0</c:v>
                </c:pt>
                <c:pt idx="1162">
                  <c:v>40864.0</c:v>
                </c:pt>
                <c:pt idx="1163">
                  <c:v>40863.0</c:v>
                </c:pt>
                <c:pt idx="1164">
                  <c:v>40862.0</c:v>
                </c:pt>
                <c:pt idx="1165">
                  <c:v>40861.0</c:v>
                </c:pt>
                <c:pt idx="1166">
                  <c:v>40858.0</c:v>
                </c:pt>
                <c:pt idx="1167">
                  <c:v>40857.0</c:v>
                </c:pt>
                <c:pt idx="1168">
                  <c:v>40856.0</c:v>
                </c:pt>
                <c:pt idx="1169">
                  <c:v>40855.0</c:v>
                </c:pt>
                <c:pt idx="1170">
                  <c:v>40854.0</c:v>
                </c:pt>
                <c:pt idx="1171">
                  <c:v>40851.0</c:v>
                </c:pt>
                <c:pt idx="1172">
                  <c:v>40850.0</c:v>
                </c:pt>
                <c:pt idx="1173">
                  <c:v>40849.0</c:v>
                </c:pt>
                <c:pt idx="1174">
                  <c:v>40848.0</c:v>
                </c:pt>
                <c:pt idx="1175">
                  <c:v>40847.0</c:v>
                </c:pt>
                <c:pt idx="1176">
                  <c:v>40844.0</c:v>
                </c:pt>
                <c:pt idx="1177">
                  <c:v>40843.0</c:v>
                </c:pt>
                <c:pt idx="1178">
                  <c:v>40842.0</c:v>
                </c:pt>
                <c:pt idx="1179">
                  <c:v>40841.0</c:v>
                </c:pt>
                <c:pt idx="1180">
                  <c:v>40840.0</c:v>
                </c:pt>
                <c:pt idx="1181">
                  <c:v>40837.0</c:v>
                </c:pt>
                <c:pt idx="1182">
                  <c:v>40836.0</c:v>
                </c:pt>
                <c:pt idx="1183">
                  <c:v>40835.0</c:v>
                </c:pt>
                <c:pt idx="1184">
                  <c:v>40834.0</c:v>
                </c:pt>
                <c:pt idx="1185">
                  <c:v>40833.0</c:v>
                </c:pt>
                <c:pt idx="1186">
                  <c:v>40830.0</c:v>
                </c:pt>
                <c:pt idx="1187">
                  <c:v>40829.0</c:v>
                </c:pt>
                <c:pt idx="1188">
                  <c:v>40828.0</c:v>
                </c:pt>
                <c:pt idx="1189">
                  <c:v>40827.0</c:v>
                </c:pt>
                <c:pt idx="1190">
                  <c:v>40826.0</c:v>
                </c:pt>
                <c:pt idx="1191">
                  <c:v>40823.0</c:v>
                </c:pt>
                <c:pt idx="1192">
                  <c:v>40822.0</c:v>
                </c:pt>
                <c:pt idx="1193">
                  <c:v>40821.0</c:v>
                </c:pt>
                <c:pt idx="1194">
                  <c:v>40820.0</c:v>
                </c:pt>
                <c:pt idx="1195">
                  <c:v>40819.0</c:v>
                </c:pt>
                <c:pt idx="1196">
                  <c:v>40816.0</c:v>
                </c:pt>
                <c:pt idx="1197">
                  <c:v>40815.0</c:v>
                </c:pt>
                <c:pt idx="1198">
                  <c:v>40814.0</c:v>
                </c:pt>
                <c:pt idx="1199">
                  <c:v>40813.0</c:v>
                </c:pt>
                <c:pt idx="1200">
                  <c:v>40812.0</c:v>
                </c:pt>
                <c:pt idx="1201">
                  <c:v>40809.0</c:v>
                </c:pt>
                <c:pt idx="1202">
                  <c:v>40808.0</c:v>
                </c:pt>
                <c:pt idx="1203">
                  <c:v>40807.0</c:v>
                </c:pt>
                <c:pt idx="1204">
                  <c:v>40806.0</c:v>
                </c:pt>
                <c:pt idx="1205">
                  <c:v>40805.0</c:v>
                </c:pt>
                <c:pt idx="1206">
                  <c:v>40802.0</c:v>
                </c:pt>
                <c:pt idx="1207">
                  <c:v>40801.0</c:v>
                </c:pt>
                <c:pt idx="1208">
                  <c:v>40800.0</c:v>
                </c:pt>
                <c:pt idx="1209">
                  <c:v>40799.0</c:v>
                </c:pt>
                <c:pt idx="1210">
                  <c:v>40798.0</c:v>
                </c:pt>
                <c:pt idx="1211">
                  <c:v>40795.0</c:v>
                </c:pt>
                <c:pt idx="1212">
                  <c:v>40794.0</c:v>
                </c:pt>
                <c:pt idx="1213">
                  <c:v>40793.0</c:v>
                </c:pt>
                <c:pt idx="1214">
                  <c:v>40792.0</c:v>
                </c:pt>
                <c:pt idx="1215">
                  <c:v>40791.0</c:v>
                </c:pt>
                <c:pt idx="1216">
                  <c:v>40788.0</c:v>
                </c:pt>
                <c:pt idx="1217">
                  <c:v>40787.0</c:v>
                </c:pt>
                <c:pt idx="1218">
                  <c:v>40786.0</c:v>
                </c:pt>
                <c:pt idx="1219">
                  <c:v>40785.0</c:v>
                </c:pt>
                <c:pt idx="1220">
                  <c:v>40784.0</c:v>
                </c:pt>
                <c:pt idx="1221">
                  <c:v>40781.0</c:v>
                </c:pt>
                <c:pt idx="1222">
                  <c:v>40780.0</c:v>
                </c:pt>
                <c:pt idx="1223">
                  <c:v>40779.0</c:v>
                </c:pt>
                <c:pt idx="1224">
                  <c:v>40778.0</c:v>
                </c:pt>
                <c:pt idx="1225">
                  <c:v>40777.0</c:v>
                </c:pt>
                <c:pt idx="1226">
                  <c:v>40774.0</c:v>
                </c:pt>
                <c:pt idx="1227">
                  <c:v>40773.0</c:v>
                </c:pt>
                <c:pt idx="1228">
                  <c:v>40772.0</c:v>
                </c:pt>
                <c:pt idx="1229">
                  <c:v>40771.0</c:v>
                </c:pt>
                <c:pt idx="1230">
                  <c:v>40770.0</c:v>
                </c:pt>
                <c:pt idx="1231">
                  <c:v>40767.0</c:v>
                </c:pt>
                <c:pt idx="1232">
                  <c:v>40766.0</c:v>
                </c:pt>
                <c:pt idx="1233">
                  <c:v>40765.0</c:v>
                </c:pt>
                <c:pt idx="1234">
                  <c:v>40764.0</c:v>
                </c:pt>
                <c:pt idx="1235">
                  <c:v>40763.0</c:v>
                </c:pt>
                <c:pt idx="1236">
                  <c:v>40760.0</c:v>
                </c:pt>
                <c:pt idx="1237">
                  <c:v>40759.0</c:v>
                </c:pt>
                <c:pt idx="1238">
                  <c:v>40758.0</c:v>
                </c:pt>
                <c:pt idx="1239">
                  <c:v>40757.0</c:v>
                </c:pt>
                <c:pt idx="1240">
                  <c:v>40756.0</c:v>
                </c:pt>
                <c:pt idx="1241">
                  <c:v>40753.0</c:v>
                </c:pt>
                <c:pt idx="1242">
                  <c:v>40752.0</c:v>
                </c:pt>
                <c:pt idx="1243">
                  <c:v>40751.0</c:v>
                </c:pt>
                <c:pt idx="1244">
                  <c:v>40750.0</c:v>
                </c:pt>
                <c:pt idx="1245">
                  <c:v>40749.0</c:v>
                </c:pt>
                <c:pt idx="1246">
                  <c:v>40746.0</c:v>
                </c:pt>
                <c:pt idx="1247">
                  <c:v>40745.0</c:v>
                </c:pt>
                <c:pt idx="1248">
                  <c:v>40744.0</c:v>
                </c:pt>
                <c:pt idx="1249">
                  <c:v>40743.0</c:v>
                </c:pt>
                <c:pt idx="1250">
                  <c:v>40742.0</c:v>
                </c:pt>
                <c:pt idx="1251">
                  <c:v>40739.0</c:v>
                </c:pt>
                <c:pt idx="1252">
                  <c:v>40738.0</c:v>
                </c:pt>
                <c:pt idx="1253">
                  <c:v>40737.0</c:v>
                </c:pt>
                <c:pt idx="1254">
                  <c:v>40736.0</c:v>
                </c:pt>
                <c:pt idx="1255">
                  <c:v>40735.0</c:v>
                </c:pt>
                <c:pt idx="1256">
                  <c:v>40732.0</c:v>
                </c:pt>
                <c:pt idx="1257">
                  <c:v>40731.0</c:v>
                </c:pt>
                <c:pt idx="1258">
                  <c:v>40730.0</c:v>
                </c:pt>
                <c:pt idx="1259">
                  <c:v>40729.0</c:v>
                </c:pt>
                <c:pt idx="1260">
                  <c:v>40728.0</c:v>
                </c:pt>
                <c:pt idx="1261">
                  <c:v>40725.0</c:v>
                </c:pt>
                <c:pt idx="1262">
                  <c:v>40724.0</c:v>
                </c:pt>
                <c:pt idx="1263">
                  <c:v>40723.0</c:v>
                </c:pt>
                <c:pt idx="1264">
                  <c:v>40722.0</c:v>
                </c:pt>
                <c:pt idx="1265">
                  <c:v>40721.0</c:v>
                </c:pt>
                <c:pt idx="1266">
                  <c:v>40718.0</c:v>
                </c:pt>
                <c:pt idx="1267">
                  <c:v>40717.0</c:v>
                </c:pt>
                <c:pt idx="1268">
                  <c:v>40716.0</c:v>
                </c:pt>
                <c:pt idx="1269">
                  <c:v>40715.0</c:v>
                </c:pt>
                <c:pt idx="1270">
                  <c:v>40714.0</c:v>
                </c:pt>
                <c:pt idx="1271">
                  <c:v>40711.0</c:v>
                </c:pt>
                <c:pt idx="1272">
                  <c:v>40710.0</c:v>
                </c:pt>
                <c:pt idx="1273">
                  <c:v>40709.0</c:v>
                </c:pt>
                <c:pt idx="1274">
                  <c:v>40708.0</c:v>
                </c:pt>
                <c:pt idx="1275">
                  <c:v>40707.0</c:v>
                </c:pt>
                <c:pt idx="1276">
                  <c:v>40704.0</c:v>
                </c:pt>
                <c:pt idx="1277">
                  <c:v>40703.0</c:v>
                </c:pt>
                <c:pt idx="1278">
                  <c:v>40702.0</c:v>
                </c:pt>
                <c:pt idx="1279">
                  <c:v>40701.0</c:v>
                </c:pt>
                <c:pt idx="1280">
                  <c:v>40700.0</c:v>
                </c:pt>
                <c:pt idx="1281">
                  <c:v>40697.0</c:v>
                </c:pt>
                <c:pt idx="1282">
                  <c:v>40696.0</c:v>
                </c:pt>
                <c:pt idx="1283">
                  <c:v>40695.0</c:v>
                </c:pt>
                <c:pt idx="1284">
                  <c:v>40694.0</c:v>
                </c:pt>
                <c:pt idx="1285">
                  <c:v>40693.0</c:v>
                </c:pt>
                <c:pt idx="1286">
                  <c:v>40690.0</c:v>
                </c:pt>
                <c:pt idx="1287">
                  <c:v>40689.0</c:v>
                </c:pt>
                <c:pt idx="1288">
                  <c:v>40688.0</c:v>
                </c:pt>
                <c:pt idx="1289">
                  <c:v>40687.0</c:v>
                </c:pt>
                <c:pt idx="1290">
                  <c:v>40686.0</c:v>
                </c:pt>
                <c:pt idx="1291">
                  <c:v>40683.0</c:v>
                </c:pt>
                <c:pt idx="1292">
                  <c:v>40682.0</c:v>
                </c:pt>
                <c:pt idx="1293">
                  <c:v>40681.0</c:v>
                </c:pt>
                <c:pt idx="1294">
                  <c:v>40680.0</c:v>
                </c:pt>
                <c:pt idx="1295">
                  <c:v>40679.0</c:v>
                </c:pt>
                <c:pt idx="1296">
                  <c:v>40676.0</c:v>
                </c:pt>
                <c:pt idx="1297">
                  <c:v>40675.0</c:v>
                </c:pt>
                <c:pt idx="1298">
                  <c:v>40674.0</c:v>
                </c:pt>
                <c:pt idx="1299">
                  <c:v>40673.0</c:v>
                </c:pt>
                <c:pt idx="1300">
                  <c:v>40672.0</c:v>
                </c:pt>
                <c:pt idx="1301">
                  <c:v>40669.0</c:v>
                </c:pt>
                <c:pt idx="1302">
                  <c:v>40668.0</c:v>
                </c:pt>
                <c:pt idx="1303">
                  <c:v>40667.0</c:v>
                </c:pt>
                <c:pt idx="1304">
                  <c:v>40666.0</c:v>
                </c:pt>
                <c:pt idx="1305">
                  <c:v>40665.0</c:v>
                </c:pt>
                <c:pt idx="1306">
                  <c:v>40662.0</c:v>
                </c:pt>
                <c:pt idx="1307">
                  <c:v>40661.0</c:v>
                </c:pt>
                <c:pt idx="1308">
                  <c:v>40660.0</c:v>
                </c:pt>
                <c:pt idx="1309">
                  <c:v>40659.0</c:v>
                </c:pt>
                <c:pt idx="1310">
                  <c:v>40658.0</c:v>
                </c:pt>
                <c:pt idx="1311">
                  <c:v>40655.0</c:v>
                </c:pt>
                <c:pt idx="1312">
                  <c:v>40654.0</c:v>
                </c:pt>
                <c:pt idx="1313">
                  <c:v>40653.0</c:v>
                </c:pt>
                <c:pt idx="1314">
                  <c:v>40652.0</c:v>
                </c:pt>
                <c:pt idx="1315">
                  <c:v>40651.0</c:v>
                </c:pt>
                <c:pt idx="1316">
                  <c:v>40648.0</c:v>
                </c:pt>
                <c:pt idx="1317">
                  <c:v>40647.0</c:v>
                </c:pt>
                <c:pt idx="1318">
                  <c:v>40646.0</c:v>
                </c:pt>
                <c:pt idx="1319">
                  <c:v>40645.0</c:v>
                </c:pt>
                <c:pt idx="1320">
                  <c:v>40644.0</c:v>
                </c:pt>
                <c:pt idx="1321">
                  <c:v>40641.0</c:v>
                </c:pt>
                <c:pt idx="1322">
                  <c:v>40640.0</c:v>
                </c:pt>
                <c:pt idx="1323">
                  <c:v>40639.0</c:v>
                </c:pt>
                <c:pt idx="1324">
                  <c:v>40638.0</c:v>
                </c:pt>
                <c:pt idx="1325">
                  <c:v>40637.0</c:v>
                </c:pt>
                <c:pt idx="1326">
                  <c:v>40634.0</c:v>
                </c:pt>
                <c:pt idx="1327">
                  <c:v>40633.0</c:v>
                </c:pt>
                <c:pt idx="1328">
                  <c:v>40632.0</c:v>
                </c:pt>
                <c:pt idx="1329">
                  <c:v>40631.0</c:v>
                </c:pt>
                <c:pt idx="1330">
                  <c:v>40630.0</c:v>
                </c:pt>
                <c:pt idx="1331">
                  <c:v>40627.0</c:v>
                </c:pt>
                <c:pt idx="1332">
                  <c:v>40626.0</c:v>
                </c:pt>
                <c:pt idx="1333">
                  <c:v>40625.0</c:v>
                </c:pt>
                <c:pt idx="1334">
                  <c:v>40624.0</c:v>
                </c:pt>
                <c:pt idx="1335">
                  <c:v>40623.0</c:v>
                </c:pt>
                <c:pt idx="1336">
                  <c:v>40620.0</c:v>
                </c:pt>
                <c:pt idx="1337">
                  <c:v>40619.0</c:v>
                </c:pt>
                <c:pt idx="1338">
                  <c:v>40618.0</c:v>
                </c:pt>
                <c:pt idx="1339">
                  <c:v>40617.0</c:v>
                </c:pt>
                <c:pt idx="1340">
                  <c:v>40616.0</c:v>
                </c:pt>
                <c:pt idx="1341">
                  <c:v>40613.0</c:v>
                </c:pt>
                <c:pt idx="1342">
                  <c:v>40612.0</c:v>
                </c:pt>
                <c:pt idx="1343">
                  <c:v>40611.0</c:v>
                </c:pt>
                <c:pt idx="1344">
                  <c:v>40610.0</c:v>
                </c:pt>
                <c:pt idx="1345">
                  <c:v>40609.0</c:v>
                </c:pt>
                <c:pt idx="1346">
                  <c:v>40606.0</c:v>
                </c:pt>
                <c:pt idx="1347">
                  <c:v>40605.0</c:v>
                </c:pt>
                <c:pt idx="1348">
                  <c:v>40604.0</c:v>
                </c:pt>
                <c:pt idx="1349">
                  <c:v>40603.0</c:v>
                </c:pt>
                <c:pt idx="1350">
                  <c:v>40602.0</c:v>
                </c:pt>
                <c:pt idx="1351">
                  <c:v>40599.0</c:v>
                </c:pt>
                <c:pt idx="1352">
                  <c:v>40598.0</c:v>
                </c:pt>
                <c:pt idx="1353">
                  <c:v>40597.0</c:v>
                </c:pt>
                <c:pt idx="1354">
                  <c:v>40596.0</c:v>
                </c:pt>
                <c:pt idx="1355">
                  <c:v>40595.0</c:v>
                </c:pt>
                <c:pt idx="1356">
                  <c:v>40592.0</c:v>
                </c:pt>
                <c:pt idx="1357">
                  <c:v>40591.0</c:v>
                </c:pt>
                <c:pt idx="1358">
                  <c:v>40590.0</c:v>
                </c:pt>
                <c:pt idx="1359">
                  <c:v>40589.0</c:v>
                </c:pt>
                <c:pt idx="1360">
                  <c:v>40588.0</c:v>
                </c:pt>
                <c:pt idx="1361">
                  <c:v>40585.0</c:v>
                </c:pt>
                <c:pt idx="1362">
                  <c:v>40584.0</c:v>
                </c:pt>
                <c:pt idx="1363">
                  <c:v>40583.0</c:v>
                </c:pt>
                <c:pt idx="1364">
                  <c:v>40582.0</c:v>
                </c:pt>
                <c:pt idx="1365">
                  <c:v>40581.0</c:v>
                </c:pt>
                <c:pt idx="1366">
                  <c:v>40578.0</c:v>
                </c:pt>
                <c:pt idx="1367">
                  <c:v>40577.0</c:v>
                </c:pt>
                <c:pt idx="1368">
                  <c:v>40576.0</c:v>
                </c:pt>
                <c:pt idx="1369">
                  <c:v>40575.0</c:v>
                </c:pt>
                <c:pt idx="1370">
                  <c:v>40574.0</c:v>
                </c:pt>
                <c:pt idx="1371">
                  <c:v>40571.0</c:v>
                </c:pt>
                <c:pt idx="1372">
                  <c:v>40570.0</c:v>
                </c:pt>
                <c:pt idx="1373">
                  <c:v>40569.0</c:v>
                </c:pt>
                <c:pt idx="1374">
                  <c:v>40568.0</c:v>
                </c:pt>
                <c:pt idx="1375">
                  <c:v>40567.0</c:v>
                </c:pt>
                <c:pt idx="1376">
                  <c:v>40564.0</c:v>
                </c:pt>
                <c:pt idx="1377">
                  <c:v>40563.0</c:v>
                </c:pt>
                <c:pt idx="1378">
                  <c:v>40562.0</c:v>
                </c:pt>
                <c:pt idx="1379">
                  <c:v>40561.0</c:v>
                </c:pt>
                <c:pt idx="1380">
                  <c:v>40560.0</c:v>
                </c:pt>
                <c:pt idx="1381">
                  <c:v>40557.0</c:v>
                </c:pt>
                <c:pt idx="1382">
                  <c:v>40556.0</c:v>
                </c:pt>
                <c:pt idx="1383">
                  <c:v>40555.0</c:v>
                </c:pt>
                <c:pt idx="1384">
                  <c:v>40554.0</c:v>
                </c:pt>
                <c:pt idx="1385">
                  <c:v>40553.0</c:v>
                </c:pt>
                <c:pt idx="1386">
                  <c:v>40550.0</c:v>
                </c:pt>
                <c:pt idx="1387">
                  <c:v>40549.0</c:v>
                </c:pt>
                <c:pt idx="1388">
                  <c:v>40548.0</c:v>
                </c:pt>
                <c:pt idx="1389">
                  <c:v>40547.0</c:v>
                </c:pt>
                <c:pt idx="1390">
                  <c:v>40546.0</c:v>
                </c:pt>
                <c:pt idx="1391">
                  <c:v>40543.0</c:v>
                </c:pt>
                <c:pt idx="1392">
                  <c:v>40542.0</c:v>
                </c:pt>
                <c:pt idx="1393">
                  <c:v>40541.0</c:v>
                </c:pt>
                <c:pt idx="1394">
                  <c:v>40540.0</c:v>
                </c:pt>
                <c:pt idx="1395">
                  <c:v>40539.0</c:v>
                </c:pt>
                <c:pt idx="1396">
                  <c:v>40536.0</c:v>
                </c:pt>
                <c:pt idx="1397">
                  <c:v>40535.0</c:v>
                </c:pt>
                <c:pt idx="1398">
                  <c:v>40534.0</c:v>
                </c:pt>
                <c:pt idx="1399">
                  <c:v>40533.0</c:v>
                </c:pt>
                <c:pt idx="1400">
                  <c:v>40532.0</c:v>
                </c:pt>
                <c:pt idx="1401">
                  <c:v>40529.0</c:v>
                </c:pt>
                <c:pt idx="1402">
                  <c:v>40528.0</c:v>
                </c:pt>
                <c:pt idx="1403">
                  <c:v>40527.0</c:v>
                </c:pt>
                <c:pt idx="1404">
                  <c:v>40526.0</c:v>
                </c:pt>
                <c:pt idx="1405">
                  <c:v>40525.0</c:v>
                </c:pt>
                <c:pt idx="1406">
                  <c:v>40522.0</c:v>
                </c:pt>
                <c:pt idx="1407">
                  <c:v>40521.0</c:v>
                </c:pt>
                <c:pt idx="1408">
                  <c:v>40520.0</c:v>
                </c:pt>
                <c:pt idx="1409">
                  <c:v>40519.0</c:v>
                </c:pt>
                <c:pt idx="1410">
                  <c:v>40518.0</c:v>
                </c:pt>
                <c:pt idx="1411">
                  <c:v>40515.0</c:v>
                </c:pt>
                <c:pt idx="1412">
                  <c:v>40514.0</c:v>
                </c:pt>
                <c:pt idx="1413">
                  <c:v>40513.0</c:v>
                </c:pt>
                <c:pt idx="1414">
                  <c:v>40512.0</c:v>
                </c:pt>
                <c:pt idx="1415">
                  <c:v>40511.0</c:v>
                </c:pt>
                <c:pt idx="1416">
                  <c:v>40508.0</c:v>
                </c:pt>
                <c:pt idx="1417">
                  <c:v>40507.0</c:v>
                </c:pt>
                <c:pt idx="1418">
                  <c:v>40506.0</c:v>
                </c:pt>
                <c:pt idx="1419">
                  <c:v>40505.0</c:v>
                </c:pt>
                <c:pt idx="1420">
                  <c:v>40504.0</c:v>
                </c:pt>
                <c:pt idx="1421">
                  <c:v>40501.0</c:v>
                </c:pt>
                <c:pt idx="1422">
                  <c:v>40500.0</c:v>
                </c:pt>
                <c:pt idx="1423">
                  <c:v>40499.0</c:v>
                </c:pt>
                <c:pt idx="1424">
                  <c:v>40498.0</c:v>
                </c:pt>
                <c:pt idx="1425">
                  <c:v>40497.0</c:v>
                </c:pt>
                <c:pt idx="1426">
                  <c:v>40494.0</c:v>
                </c:pt>
                <c:pt idx="1427">
                  <c:v>40493.0</c:v>
                </c:pt>
                <c:pt idx="1428">
                  <c:v>40492.0</c:v>
                </c:pt>
                <c:pt idx="1429">
                  <c:v>40491.0</c:v>
                </c:pt>
                <c:pt idx="1430">
                  <c:v>40490.0</c:v>
                </c:pt>
                <c:pt idx="1431">
                  <c:v>40487.0</c:v>
                </c:pt>
                <c:pt idx="1432">
                  <c:v>40486.0</c:v>
                </c:pt>
                <c:pt idx="1433">
                  <c:v>40485.0</c:v>
                </c:pt>
                <c:pt idx="1434">
                  <c:v>40484.0</c:v>
                </c:pt>
                <c:pt idx="1435">
                  <c:v>40483.0</c:v>
                </c:pt>
                <c:pt idx="1436">
                  <c:v>40480.0</c:v>
                </c:pt>
                <c:pt idx="1437">
                  <c:v>40479.0</c:v>
                </c:pt>
                <c:pt idx="1438">
                  <c:v>40478.0</c:v>
                </c:pt>
                <c:pt idx="1439">
                  <c:v>40477.0</c:v>
                </c:pt>
                <c:pt idx="1440">
                  <c:v>40476.0</c:v>
                </c:pt>
                <c:pt idx="1441">
                  <c:v>40473.0</c:v>
                </c:pt>
                <c:pt idx="1442">
                  <c:v>40472.0</c:v>
                </c:pt>
                <c:pt idx="1443">
                  <c:v>40471.0</c:v>
                </c:pt>
                <c:pt idx="1444">
                  <c:v>40470.0</c:v>
                </c:pt>
                <c:pt idx="1445">
                  <c:v>40469.0</c:v>
                </c:pt>
                <c:pt idx="1446">
                  <c:v>40466.0</c:v>
                </c:pt>
                <c:pt idx="1447">
                  <c:v>40465.0</c:v>
                </c:pt>
                <c:pt idx="1448">
                  <c:v>40464.0</c:v>
                </c:pt>
                <c:pt idx="1449">
                  <c:v>40463.0</c:v>
                </c:pt>
                <c:pt idx="1450">
                  <c:v>40462.0</c:v>
                </c:pt>
                <c:pt idx="1451">
                  <c:v>40459.0</c:v>
                </c:pt>
                <c:pt idx="1452">
                  <c:v>40458.0</c:v>
                </c:pt>
                <c:pt idx="1453">
                  <c:v>40457.0</c:v>
                </c:pt>
                <c:pt idx="1454">
                  <c:v>40456.0</c:v>
                </c:pt>
                <c:pt idx="1455">
                  <c:v>40455.0</c:v>
                </c:pt>
                <c:pt idx="1456">
                  <c:v>40452.0</c:v>
                </c:pt>
                <c:pt idx="1457">
                  <c:v>40451.0</c:v>
                </c:pt>
                <c:pt idx="1458">
                  <c:v>40450.0</c:v>
                </c:pt>
                <c:pt idx="1459">
                  <c:v>40449.0</c:v>
                </c:pt>
                <c:pt idx="1460">
                  <c:v>40448.0</c:v>
                </c:pt>
                <c:pt idx="1461">
                  <c:v>40445.0</c:v>
                </c:pt>
                <c:pt idx="1462">
                  <c:v>40444.0</c:v>
                </c:pt>
                <c:pt idx="1463">
                  <c:v>40443.0</c:v>
                </c:pt>
                <c:pt idx="1464">
                  <c:v>40442.0</c:v>
                </c:pt>
                <c:pt idx="1465">
                  <c:v>40441.0</c:v>
                </c:pt>
                <c:pt idx="1466">
                  <c:v>40438.0</c:v>
                </c:pt>
                <c:pt idx="1467">
                  <c:v>40437.0</c:v>
                </c:pt>
                <c:pt idx="1468">
                  <c:v>40436.0</c:v>
                </c:pt>
                <c:pt idx="1469">
                  <c:v>40435.0</c:v>
                </c:pt>
                <c:pt idx="1470">
                  <c:v>40434.0</c:v>
                </c:pt>
                <c:pt idx="1471">
                  <c:v>40431.0</c:v>
                </c:pt>
                <c:pt idx="1472">
                  <c:v>40430.0</c:v>
                </c:pt>
                <c:pt idx="1473">
                  <c:v>40429.0</c:v>
                </c:pt>
                <c:pt idx="1474">
                  <c:v>40428.0</c:v>
                </c:pt>
                <c:pt idx="1475">
                  <c:v>40427.0</c:v>
                </c:pt>
                <c:pt idx="1476">
                  <c:v>40424.0</c:v>
                </c:pt>
                <c:pt idx="1477">
                  <c:v>40423.0</c:v>
                </c:pt>
                <c:pt idx="1478">
                  <c:v>40422.0</c:v>
                </c:pt>
                <c:pt idx="1479">
                  <c:v>40421.0</c:v>
                </c:pt>
                <c:pt idx="1480">
                  <c:v>40420.0</c:v>
                </c:pt>
                <c:pt idx="1481">
                  <c:v>40417.0</c:v>
                </c:pt>
                <c:pt idx="1482">
                  <c:v>40416.0</c:v>
                </c:pt>
                <c:pt idx="1483">
                  <c:v>40415.0</c:v>
                </c:pt>
                <c:pt idx="1484">
                  <c:v>40414.0</c:v>
                </c:pt>
                <c:pt idx="1485">
                  <c:v>40413.0</c:v>
                </c:pt>
                <c:pt idx="1486">
                  <c:v>40410.0</c:v>
                </c:pt>
                <c:pt idx="1487">
                  <c:v>40409.0</c:v>
                </c:pt>
                <c:pt idx="1488">
                  <c:v>40408.0</c:v>
                </c:pt>
                <c:pt idx="1489">
                  <c:v>40407.0</c:v>
                </c:pt>
                <c:pt idx="1490">
                  <c:v>40406.0</c:v>
                </c:pt>
                <c:pt idx="1491">
                  <c:v>40403.0</c:v>
                </c:pt>
                <c:pt idx="1492">
                  <c:v>40402.0</c:v>
                </c:pt>
                <c:pt idx="1493">
                  <c:v>40401.0</c:v>
                </c:pt>
                <c:pt idx="1494">
                  <c:v>40400.0</c:v>
                </c:pt>
                <c:pt idx="1495">
                  <c:v>40399.0</c:v>
                </c:pt>
                <c:pt idx="1496">
                  <c:v>40396.0</c:v>
                </c:pt>
                <c:pt idx="1497">
                  <c:v>40395.0</c:v>
                </c:pt>
                <c:pt idx="1498">
                  <c:v>40394.0</c:v>
                </c:pt>
                <c:pt idx="1499">
                  <c:v>40393.0</c:v>
                </c:pt>
                <c:pt idx="1500">
                  <c:v>40392.0</c:v>
                </c:pt>
                <c:pt idx="1501">
                  <c:v>40389.0</c:v>
                </c:pt>
                <c:pt idx="1502">
                  <c:v>40388.0</c:v>
                </c:pt>
                <c:pt idx="1503">
                  <c:v>40387.0</c:v>
                </c:pt>
                <c:pt idx="1504">
                  <c:v>40386.0</c:v>
                </c:pt>
                <c:pt idx="1505">
                  <c:v>40385.0</c:v>
                </c:pt>
                <c:pt idx="1506">
                  <c:v>40382.0</c:v>
                </c:pt>
                <c:pt idx="1507">
                  <c:v>40381.0</c:v>
                </c:pt>
                <c:pt idx="1508">
                  <c:v>40380.0</c:v>
                </c:pt>
                <c:pt idx="1509">
                  <c:v>40379.0</c:v>
                </c:pt>
                <c:pt idx="1510">
                  <c:v>40378.0</c:v>
                </c:pt>
                <c:pt idx="1511">
                  <c:v>40375.0</c:v>
                </c:pt>
                <c:pt idx="1512">
                  <c:v>40374.0</c:v>
                </c:pt>
                <c:pt idx="1513">
                  <c:v>40373.0</c:v>
                </c:pt>
                <c:pt idx="1514">
                  <c:v>40372.0</c:v>
                </c:pt>
                <c:pt idx="1515">
                  <c:v>40371.0</c:v>
                </c:pt>
                <c:pt idx="1516">
                  <c:v>40368.0</c:v>
                </c:pt>
                <c:pt idx="1517">
                  <c:v>40367.0</c:v>
                </c:pt>
                <c:pt idx="1518">
                  <c:v>40366.0</c:v>
                </c:pt>
                <c:pt idx="1519">
                  <c:v>40365.0</c:v>
                </c:pt>
                <c:pt idx="1520">
                  <c:v>40364.0</c:v>
                </c:pt>
                <c:pt idx="1521">
                  <c:v>40361.0</c:v>
                </c:pt>
                <c:pt idx="1522">
                  <c:v>40360.0</c:v>
                </c:pt>
                <c:pt idx="1523">
                  <c:v>40359.0</c:v>
                </c:pt>
                <c:pt idx="1524">
                  <c:v>40358.0</c:v>
                </c:pt>
                <c:pt idx="1525">
                  <c:v>40357.0</c:v>
                </c:pt>
                <c:pt idx="1526">
                  <c:v>40354.0</c:v>
                </c:pt>
                <c:pt idx="1527">
                  <c:v>40353.0</c:v>
                </c:pt>
                <c:pt idx="1528">
                  <c:v>40352.0</c:v>
                </c:pt>
                <c:pt idx="1529">
                  <c:v>40351.0</c:v>
                </c:pt>
                <c:pt idx="1530">
                  <c:v>40350.0</c:v>
                </c:pt>
                <c:pt idx="1531">
                  <c:v>40347.0</c:v>
                </c:pt>
                <c:pt idx="1532">
                  <c:v>40346.0</c:v>
                </c:pt>
                <c:pt idx="1533">
                  <c:v>40345.0</c:v>
                </c:pt>
                <c:pt idx="1534">
                  <c:v>40344.0</c:v>
                </c:pt>
                <c:pt idx="1535">
                  <c:v>40343.0</c:v>
                </c:pt>
                <c:pt idx="1536">
                  <c:v>40340.0</c:v>
                </c:pt>
                <c:pt idx="1537">
                  <c:v>40339.0</c:v>
                </c:pt>
                <c:pt idx="1538">
                  <c:v>40338.0</c:v>
                </c:pt>
                <c:pt idx="1539">
                  <c:v>40337.0</c:v>
                </c:pt>
                <c:pt idx="1540">
                  <c:v>40336.0</c:v>
                </c:pt>
                <c:pt idx="1541">
                  <c:v>40333.0</c:v>
                </c:pt>
                <c:pt idx="1542">
                  <c:v>40332.0</c:v>
                </c:pt>
                <c:pt idx="1543">
                  <c:v>40331.0</c:v>
                </c:pt>
                <c:pt idx="1544">
                  <c:v>40330.0</c:v>
                </c:pt>
                <c:pt idx="1545">
                  <c:v>40329.0</c:v>
                </c:pt>
                <c:pt idx="1546">
                  <c:v>40326.0</c:v>
                </c:pt>
                <c:pt idx="1547">
                  <c:v>40325.0</c:v>
                </c:pt>
                <c:pt idx="1548">
                  <c:v>40324.0</c:v>
                </c:pt>
                <c:pt idx="1549">
                  <c:v>40323.0</c:v>
                </c:pt>
                <c:pt idx="1550">
                  <c:v>40322.0</c:v>
                </c:pt>
                <c:pt idx="1551">
                  <c:v>40319.0</c:v>
                </c:pt>
                <c:pt idx="1552">
                  <c:v>40318.0</c:v>
                </c:pt>
                <c:pt idx="1553">
                  <c:v>40317.0</c:v>
                </c:pt>
                <c:pt idx="1554">
                  <c:v>40316.0</c:v>
                </c:pt>
                <c:pt idx="1555">
                  <c:v>40315.0</c:v>
                </c:pt>
                <c:pt idx="1556">
                  <c:v>40312.0</c:v>
                </c:pt>
                <c:pt idx="1557">
                  <c:v>40311.0</c:v>
                </c:pt>
                <c:pt idx="1558">
                  <c:v>40310.0</c:v>
                </c:pt>
                <c:pt idx="1559">
                  <c:v>40309.0</c:v>
                </c:pt>
                <c:pt idx="1560">
                  <c:v>40308.0</c:v>
                </c:pt>
                <c:pt idx="1561">
                  <c:v>40305.0</c:v>
                </c:pt>
                <c:pt idx="1562">
                  <c:v>40304.0</c:v>
                </c:pt>
                <c:pt idx="1563">
                  <c:v>40303.0</c:v>
                </c:pt>
                <c:pt idx="1564">
                  <c:v>40302.0</c:v>
                </c:pt>
                <c:pt idx="1565">
                  <c:v>40301.0</c:v>
                </c:pt>
                <c:pt idx="1566">
                  <c:v>40298.0</c:v>
                </c:pt>
                <c:pt idx="1567">
                  <c:v>40297.0</c:v>
                </c:pt>
                <c:pt idx="1568">
                  <c:v>40296.0</c:v>
                </c:pt>
                <c:pt idx="1569">
                  <c:v>40295.0</c:v>
                </c:pt>
                <c:pt idx="1570">
                  <c:v>40294.0</c:v>
                </c:pt>
                <c:pt idx="1571">
                  <c:v>40291.0</c:v>
                </c:pt>
                <c:pt idx="1572">
                  <c:v>40290.0</c:v>
                </c:pt>
                <c:pt idx="1573">
                  <c:v>40289.0</c:v>
                </c:pt>
                <c:pt idx="1574">
                  <c:v>40288.0</c:v>
                </c:pt>
                <c:pt idx="1575">
                  <c:v>40287.0</c:v>
                </c:pt>
                <c:pt idx="1576">
                  <c:v>40284.0</c:v>
                </c:pt>
                <c:pt idx="1577">
                  <c:v>40283.0</c:v>
                </c:pt>
                <c:pt idx="1578">
                  <c:v>40282.0</c:v>
                </c:pt>
                <c:pt idx="1579">
                  <c:v>40281.0</c:v>
                </c:pt>
                <c:pt idx="1580">
                  <c:v>40280.0</c:v>
                </c:pt>
                <c:pt idx="1581">
                  <c:v>40277.0</c:v>
                </c:pt>
                <c:pt idx="1582">
                  <c:v>40276.0</c:v>
                </c:pt>
                <c:pt idx="1583">
                  <c:v>40275.0</c:v>
                </c:pt>
                <c:pt idx="1584">
                  <c:v>40274.0</c:v>
                </c:pt>
                <c:pt idx="1585">
                  <c:v>40273.0</c:v>
                </c:pt>
                <c:pt idx="1586">
                  <c:v>40270.0</c:v>
                </c:pt>
                <c:pt idx="1587">
                  <c:v>40269.0</c:v>
                </c:pt>
                <c:pt idx="1588">
                  <c:v>40268.0</c:v>
                </c:pt>
                <c:pt idx="1589">
                  <c:v>40267.0</c:v>
                </c:pt>
                <c:pt idx="1590">
                  <c:v>40266.0</c:v>
                </c:pt>
                <c:pt idx="1591">
                  <c:v>40263.0</c:v>
                </c:pt>
                <c:pt idx="1592">
                  <c:v>40262.0</c:v>
                </c:pt>
                <c:pt idx="1593">
                  <c:v>40261.0</c:v>
                </c:pt>
                <c:pt idx="1594">
                  <c:v>40260.0</c:v>
                </c:pt>
                <c:pt idx="1595">
                  <c:v>40259.0</c:v>
                </c:pt>
                <c:pt idx="1596">
                  <c:v>40256.0</c:v>
                </c:pt>
                <c:pt idx="1597">
                  <c:v>40255.0</c:v>
                </c:pt>
                <c:pt idx="1598">
                  <c:v>40254.0</c:v>
                </c:pt>
                <c:pt idx="1599">
                  <c:v>40253.0</c:v>
                </c:pt>
                <c:pt idx="1600">
                  <c:v>40252.0</c:v>
                </c:pt>
                <c:pt idx="1601">
                  <c:v>40249.0</c:v>
                </c:pt>
                <c:pt idx="1602">
                  <c:v>40248.0</c:v>
                </c:pt>
                <c:pt idx="1603">
                  <c:v>40247.0</c:v>
                </c:pt>
                <c:pt idx="1604">
                  <c:v>40246.0</c:v>
                </c:pt>
                <c:pt idx="1605">
                  <c:v>40245.0</c:v>
                </c:pt>
                <c:pt idx="1606">
                  <c:v>40242.0</c:v>
                </c:pt>
                <c:pt idx="1607">
                  <c:v>40241.0</c:v>
                </c:pt>
                <c:pt idx="1608">
                  <c:v>40240.0</c:v>
                </c:pt>
                <c:pt idx="1609">
                  <c:v>40239.0</c:v>
                </c:pt>
                <c:pt idx="1610">
                  <c:v>40238.0</c:v>
                </c:pt>
                <c:pt idx="1611">
                  <c:v>40235.0</c:v>
                </c:pt>
                <c:pt idx="1612">
                  <c:v>40234.0</c:v>
                </c:pt>
                <c:pt idx="1613">
                  <c:v>40233.0</c:v>
                </c:pt>
                <c:pt idx="1614">
                  <c:v>40232.0</c:v>
                </c:pt>
                <c:pt idx="1615">
                  <c:v>40231.0</c:v>
                </c:pt>
                <c:pt idx="1616">
                  <c:v>40228.0</c:v>
                </c:pt>
                <c:pt idx="1617">
                  <c:v>40227.0</c:v>
                </c:pt>
                <c:pt idx="1618">
                  <c:v>40226.0</c:v>
                </c:pt>
                <c:pt idx="1619">
                  <c:v>40225.0</c:v>
                </c:pt>
                <c:pt idx="1620">
                  <c:v>40224.0</c:v>
                </c:pt>
                <c:pt idx="1621">
                  <c:v>40221.0</c:v>
                </c:pt>
                <c:pt idx="1622">
                  <c:v>40220.0</c:v>
                </c:pt>
                <c:pt idx="1623">
                  <c:v>40219.0</c:v>
                </c:pt>
                <c:pt idx="1624">
                  <c:v>40218.0</c:v>
                </c:pt>
                <c:pt idx="1625">
                  <c:v>40217.0</c:v>
                </c:pt>
                <c:pt idx="1626">
                  <c:v>40214.0</c:v>
                </c:pt>
                <c:pt idx="1627">
                  <c:v>40213.0</c:v>
                </c:pt>
                <c:pt idx="1628">
                  <c:v>40212.0</c:v>
                </c:pt>
                <c:pt idx="1629">
                  <c:v>40211.0</c:v>
                </c:pt>
                <c:pt idx="1630">
                  <c:v>40210.0</c:v>
                </c:pt>
                <c:pt idx="1631">
                  <c:v>40207.0</c:v>
                </c:pt>
                <c:pt idx="1632">
                  <c:v>40206.0</c:v>
                </c:pt>
                <c:pt idx="1633">
                  <c:v>40205.0</c:v>
                </c:pt>
                <c:pt idx="1634">
                  <c:v>40204.0</c:v>
                </c:pt>
                <c:pt idx="1635">
                  <c:v>40203.0</c:v>
                </c:pt>
                <c:pt idx="1636">
                  <c:v>40200.0</c:v>
                </c:pt>
                <c:pt idx="1637">
                  <c:v>40199.0</c:v>
                </c:pt>
                <c:pt idx="1638">
                  <c:v>40198.0</c:v>
                </c:pt>
                <c:pt idx="1639">
                  <c:v>40197.0</c:v>
                </c:pt>
                <c:pt idx="1640">
                  <c:v>40196.0</c:v>
                </c:pt>
                <c:pt idx="1641">
                  <c:v>40193.0</c:v>
                </c:pt>
                <c:pt idx="1642">
                  <c:v>40192.0</c:v>
                </c:pt>
                <c:pt idx="1643">
                  <c:v>40191.0</c:v>
                </c:pt>
                <c:pt idx="1644">
                  <c:v>40190.0</c:v>
                </c:pt>
                <c:pt idx="1645">
                  <c:v>40189.0</c:v>
                </c:pt>
                <c:pt idx="1646">
                  <c:v>40186.0</c:v>
                </c:pt>
                <c:pt idx="1647">
                  <c:v>40185.0</c:v>
                </c:pt>
                <c:pt idx="1648">
                  <c:v>40184.0</c:v>
                </c:pt>
                <c:pt idx="1649">
                  <c:v>40183.0</c:v>
                </c:pt>
                <c:pt idx="1650">
                  <c:v>40182.0</c:v>
                </c:pt>
                <c:pt idx="1651">
                  <c:v>40179.0</c:v>
                </c:pt>
                <c:pt idx="1652">
                  <c:v>40178.0</c:v>
                </c:pt>
                <c:pt idx="1653">
                  <c:v>40177.0</c:v>
                </c:pt>
                <c:pt idx="1654">
                  <c:v>40176.0</c:v>
                </c:pt>
                <c:pt idx="1655">
                  <c:v>40175.0</c:v>
                </c:pt>
                <c:pt idx="1656">
                  <c:v>40172.0</c:v>
                </c:pt>
                <c:pt idx="1657">
                  <c:v>40171.0</c:v>
                </c:pt>
                <c:pt idx="1658">
                  <c:v>40170.0</c:v>
                </c:pt>
                <c:pt idx="1659">
                  <c:v>40169.0</c:v>
                </c:pt>
                <c:pt idx="1660">
                  <c:v>40168.0</c:v>
                </c:pt>
                <c:pt idx="1661">
                  <c:v>40165.0</c:v>
                </c:pt>
                <c:pt idx="1662">
                  <c:v>40164.0</c:v>
                </c:pt>
                <c:pt idx="1663">
                  <c:v>40163.0</c:v>
                </c:pt>
                <c:pt idx="1664">
                  <c:v>40162.0</c:v>
                </c:pt>
                <c:pt idx="1665">
                  <c:v>40161.0</c:v>
                </c:pt>
                <c:pt idx="1666">
                  <c:v>40158.0</c:v>
                </c:pt>
                <c:pt idx="1667">
                  <c:v>40157.0</c:v>
                </c:pt>
                <c:pt idx="1668">
                  <c:v>40156.0</c:v>
                </c:pt>
                <c:pt idx="1669">
                  <c:v>40155.0</c:v>
                </c:pt>
                <c:pt idx="1670">
                  <c:v>40154.0</c:v>
                </c:pt>
                <c:pt idx="1671">
                  <c:v>40151.0</c:v>
                </c:pt>
                <c:pt idx="1672">
                  <c:v>40150.0</c:v>
                </c:pt>
                <c:pt idx="1673">
                  <c:v>40149.0</c:v>
                </c:pt>
                <c:pt idx="1674">
                  <c:v>40148.0</c:v>
                </c:pt>
                <c:pt idx="1675">
                  <c:v>40147.0</c:v>
                </c:pt>
                <c:pt idx="1676">
                  <c:v>40144.0</c:v>
                </c:pt>
                <c:pt idx="1677">
                  <c:v>40143.0</c:v>
                </c:pt>
                <c:pt idx="1678">
                  <c:v>40142.0</c:v>
                </c:pt>
                <c:pt idx="1679">
                  <c:v>40141.0</c:v>
                </c:pt>
                <c:pt idx="1680">
                  <c:v>40140.0</c:v>
                </c:pt>
                <c:pt idx="1681">
                  <c:v>40137.0</c:v>
                </c:pt>
                <c:pt idx="1682">
                  <c:v>40136.0</c:v>
                </c:pt>
                <c:pt idx="1683">
                  <c:v>40135.0</c:v>
                </c:pt>
                <c:pt idx="1684">
                  <c:v>40134.0</c:v>
                </c:pt>
                <c:pt idx="1685">
                  <c:v>40133.0</c:v>
                </c:pt>
                <c:pt idx="1686">
                  <c:v>40130.0</c:v>
                </c:pt>
                <c:pt idx="1687">
                  <c:v>40129.0</c:v>
                </c:pt>
                <c:pt idx="1688">
                  <c:v>40128.0</c:v>
                </c:pt>
                <c:pt idx="1689">
                  <c:v>40127.0</c:v>
                </c:pt>
                <c:pt idx="1690">
                  <c:v>40126.0</c:v>
                </c:pt>
                <c:pt idx="1691">
                  <c:v>40123.0</c:v>
                </c:pt>
                <c:pt idx="1692">
                  <c:v>40122.0</c:v>
                </c:pt>
                <c:pt idx="1693">
                  <c:v>40121.0</c:v>
                </c:pt>
                <c:pt idx="1694">
                  <c:v>40120.0</c:v>
                </c:pt>
                <c:pt idx="1695">
                  <c:v>40119.0</c:v>
                </c:pt>
                <c:pt idx="1696">
                  <c:v>40116.0</c:v>
                </c:pt>
                <c:pt idx="1697">
                  <c:v>40115.0</c:v>
                </c:pt>
                <c:pt idx="1698">
                  <c:v>40114.0</c:v>
                </c:pt>
                <c:pt idx="1699">
                  <c:v>40113.0</c:v>
                </c:pt>
                <c:pt idx="1700">
                  <c:v>40112.0</c:v>
                </c:pt>
                <c:pt idx="1701">
                  <c:v>40109.0</c:v>
                </c:pt>
                <c:pt idx="1702">
                  <c:v>40108.0</c:v>
                </c:pt>
                <c:pt idx="1703">
                  <c:v>40107.0</c:v>
                </c:pt>
                <c:pt idx="1704">
                  <c:v>40106.0</c:v>
                </c:pt>
                <c:pt idx="1705">
                  <c:v>40105.0</c:v>
                </c:pt>
                <c:pt idx="1706">
                  <c:v>40102.0</c:v>
                </c:pt>
                <c:pt idx="1707">
                  <c:v>40101.0</c:v>
                </c:pt>
                <c:pt idx="1708">
                  <c:v>40100.0</c:v>
                </c:pt>
                <c:pt idx="1709">
                  <c:v>40099.0</c:v>
                </c:pt>
                <c:pt idx="1710">
                  <c:v>40098.0</c:v>
                </c:pt>
                <c:pt idx="1711">
                  <c:v>40095.0</c:v>
                </c:pt>
                <c:pt idx="1712">
                  <c:v>40094.0</c:v>
                </c:pt>
                <c:pt idx="1713">
                  <c:v>40093.0</c:v>
                </c:pt>
                <c:pt idx="1714">
                  <c:v>40092.0</c:v>
                </c:pt>
                <c:pt idx="1715">
                  <c:v>40091.0</c:v>
                </c:pt>
                <c:pt idx="1716">
                  <c:v>40088.0</c:v>
                </c:pt>
                <c:pt idx="1717">
                  <c:v>40087.0</c:v>
                </c:pt>
                <c:pt idx="1718">
                  <c:v>40086.0</c:v>
                </c:pt>
                <c:pt idx="1719">
                  <c:v>40085.0</c:v>
                </c:pt>
                <c:pt idx="1720">
                  <c:v>40084.0</c:v>
                </c:pt>
                <c:pt idx="1721">
                  <c:v>40081.0</c:v>
                </c:pt>
                <c:pt idx="1722">
                  <c:v>40080.0</c:v>
                </c:pt>
                <c:pt idx="1723">
                  <c:v>40079.0</c:v>
                </c:pt>
                <c:pt idx="1724">
                  <c:v>40078.0</c:v>
                </c:pt>
                <c:pt idx="1725">
                  <c:v>40077.0</c:v>
                </c:pt>
                <c:pt idx="1726">
                  <c:v>40074.0</c:v>
                </c:pt>
                <c:pt idx="1727">
                  <c:v>40073.0</c:v>
                </c:pt>
                <c:pt idx="1728">
                  <c:v>40072.0</c:v>
                </c:pt>
                <c:pt idx="1729">
                  <c:v>40071.0</c:v>
                </c:pt>
                <c:pt idx="1730">
                  <c:v>40070.0</c:v>
                </c:pt>
                <c:pt idx="1731">
                  <c:v>40067.0</c:v>
                </c:pt>
                <c:pt idx="1732">
                  <c:v>40066.0</c:v>
                </c:pt>
                <c:pt idx="1733">
                  <c:v>40065.0</c:v>
                </c:pt>
                <c:pt idx="1734">
                  <c:v>40064.0</c:v>
                </c:pt>
                <c:pt idx="1735">
                  <c:v>40063.0</c:v>
                </c:pt>
                <c:pt idx="1736">
                  <c:v>40060.0</c:v>
                </c:pt>
                <c:pt idx="1737">
                  <c:v>40059.0</c:v>
                </c:pt>
                <c:pt idx="1738">
                  <c:v>40058.0</c:v>
                </c:pt>
                <c:pt idx="1739">
                  <c:v>40057.0</c:v>
                </c:pt>
                <c:pt idx="1740">
                  <c:v>40056.0</c:v>
                </c:pt>
                <c:pt idx="1741">
                  <c:v>40053.0</c:v>
                </c:pt>
                <c:pt idx="1742">
                  <c:v>40052.0</c:v>
                </c:pt>
                <c:pt idx="1743">
                  <c:v>40051.0</c:v>
                </c:pt>
                <c:pt idx="1744">
                  <c:v>40050.0</c:v>
                </c:pt>
                <c:pt idx="1745">
                  <c:v>40049.0</c:v>
                </c:pt>
                <c:pt idx="1746">
                  <c:v>40046.0</c:v>
                </c:pt>
                <c:pt idx="1747">
                  <c:v>40045.0</c:v>
                </c:pt>
                <c:pt idx="1748">
                  <c:v>40044.0</c:v>
                </c:pt>
                <c:pt idx="1749">
                  <c:v>40043.0</c:v>
                </c:pt>
                <c:pt idx="1750">
                  <c:v>40042.0</c:v>
                </c:pt>
                <c:pt idx="1751">
                  <c:v>40039.0</c:v>
                </c:pt>
                <c:pt idx="1752">
                  <c:v>40038.0</c:v>
                </c:pt>
                <c:pt idx="1753">
                  <c:v>40037.0</c:v>
                </c:pt>
                <c:pt idx="1754">
                  <c:v>40036.0</c:v>
                </c:pt>
                <c:pt idx="1755">
                  <c:v>40035.0</c:v>
                </c:pt>
                <c:pt idx="1756">
                  <c:v>40032.0</c:v>
                </c:pt>
                <c:pt idx="1757">
                  <c:v>40031.0</c:v>
                </c:pt>
                <c:pt idx="1758">
                  <c:v>40030.0</c:v>
                </c:pt>
                <c:pt idx="1759">
                  <c:v>40029.0</c:v>
                </c:pt>
                <c:pt idx="1760">
                  <c:v>40028.0</c:v>
                </c:pt>
                <c:pt idx="1761">
                  <c:v>40025.0</c:v>
                </c:pt>
                <c:pt idx="1762">
                  <c:v>40024.0</c:v>
                </c:pt>
                <c:pt idx="1763">
                  <c:v>40023.0</c:v>
                </c:pt>
                <c:pt idx="1764">
                  <c:v>40022.0</c:v>
                </c:pt>
                <c:pt idx="1765">
                  <c:v>40021.0</c:v>
                </c:pt>
                <c:pt idx="1766">
                  <c:v>40018.0</c:v>
                </c:pt>
                <c:pt idx="1767">
                  <c:v>40017.0</c:v>
                </c:pt>
                <c:pt idx="1768">
                  <c:v>40016.0</c:v>
                </c:pt>
                <c:pt idx="1769">
                  <c:v>40015.0</c:v>
                </c:pt>
                <c:pt idx="1770">
                  <c:v>40014.0</c:v>
                </c:pt>
                <c:pt idx="1771">
                  <c:v>40011.0</c:v>
                </c:pt>
                <c:pt idx="1772">
                  <c:v>40010.0</c:v>
                </c:pt>
                <c:pt idx="1773">
                  <c:v>40009.0</c:v>
                </c:pt>
                <c:pt idx="1774">
                  <c:v>40008.0</c:v>
                </c:pt>
                <c:pt idx="1775">
                  <c:v>40007.0</c:v>
                </c:pt>
                <c:pt idx="1776">
                  <c:v>40004.0</c:v>
                </c:pt>
                <c:pt idx="1777">
                  <c:v>40003.0</c:v>
                </c:pt>
                <c:pt idx="1778">
                  <c:v>40002.0</c:v>
                </c:pt>
                <c:pt idx="1779">
                  <c:v>40001.0</c:v>
                </c:pt>
                <c:pt idx="1780">
                  <c:v>40000.0</c:v>
                </c:pt>
                <c:pt idx="1781">
                  <c:v>39997.0</c:v>
                </c:pt>
                <c:pt idx="1782">
                  <c:v>39996.0</c:v>
                </c:pt>
                <c:pt idx="1783">
                  <c:v>39995.0</c:v>
                </c:pt>
                <c:pt idx="1784">
                  <c:v>39994.0</c:v>
                </c:pt>
                <c:pt idx="1785">
                  <c:v>39993.0</c:v>
                </c:pt>
                <c:pt idx="1786">
                  <c:v>39990.0</c:v>
                </c:pt>
                <c:pt idx="1787">
                  <c:v>39989.0</c:v>
                </c:pt>
                <c:pt idx="1788">
                  <c:v>39988.0</c:v>
                </c:pt>
                <c:pt idx="1789">
                  <c:v>39987.0</c:v>
                </c:pt>
                <c:pt idx="1790">
                  <c:v>39986.0</c:v>
                </c:pt>
                <c:pt idx="1791">
                  <c:v>39983.0</c:v>
                </c:pt>
                <c:pt idx="1792">
                  <c:v>39982.0</c:v>
                </c:pt>
                <c:pt idx="1793">
                  <c:v>39981.0</c:v>
                </c:pt>
                <c:pt idx="1794">
                  <c:v>39980.0</c:v>
                </c:pt>
                <c:pt idx="1795">
                  <c:v>39979.0</c:v>
                </c:pt>
                <c:pt idx="1796">
                  <c:v>39976.0</c:v>
                </c:pt>
                <c:pt idx="1797">
                  <c:v>39975.0</c:v>
                </c:pt>
                <c:pt idx="1798">
                  <c:v>39974.0</c:v>
                </c:pt>
                <c:pt idx="1799">
                  <c:v>39973.0</c:v>
                </c:pt>
                <c:pt idx="1800">
                  <c:v>39972.0</c:v>
                </c:pt>
                <c:pt idx="1801">
                  <c:v>39969.0</c:v>
                </c:pt>
                <c:pt idx="1802">
                  <c:v>39968.0</c:v>
                </c:pt>
                <c:pt idx="1803">
                  <c:v>39967.0</c:v>
                </c:pt>
                <c:pt idx="1804">
                  <c:v>39966.0</c:v>
                </c:pt>
                <c:pt idx="1805">
                  <c:v>39965.0</c:v>
                </c:pt>
                <c:pt idx="1806">
                  <c:v>39962.0</c:v>
                </c:pt>
                <c:pt idx="1807">
                  <c:v>39961.0</c:v>
                </c:pt>
                <c:pt idx="1808">
                  <c:v>39960.0</c:v>
                </c:pt>
                <c:pt idx="1809">
                  <c:v>39959.0</c:v>
                </c:pt>
                <c:pt idx="1810">
                  <c:v>39958.0</c:v>
                </c:pt>
                <c:pt idx="1811">
                  <c:v>39955.0</c:v>
                </c:pt>
                <c:pt idx="1812">
                  <c:v>39954.0</c:v>
                </c:pt>
                <c:pt idx="1813">
                  <c:v>39953.0</c:v>
                </c:pt>
                <c:pt idx="1814">
                  <c:v>39952.0</c:v>
                </c:pt>
                <c:pt idx="1815">
                  <c:v>39951.0</c:v>
                </c:pt>
                <c:pt idx="1816">
                  <c:v>39948.0</c:v>
                </c:pt>
                <c:pt idx="1817">
                  <c:v>39947.0</c:v>
                </c:pt>
                <c:pt idx="1818">
                  <c:v>39946.0</c:v>
                </c:pt>
                <c:pt idx="1819">
                  <c:v>39945.0</c:v>
                </c:pt>
                <c:pt idx="1820">
                  <c:v>39944.0</c:v>
                </c:pt>
                <c:pt idx="1821">
                  <c:v>39941.0</c:v>
                </c:pt>
                <c:pt idx="1822">
                  <c:v>39940.0</c:v>
                </c:pt>
                <c:pt idx="1823">
                  <c:v>39939.0</c:v>
                </c:pt>
                <c:pt idx="1824">
                  <c:v>39938.0</c:v>
                </c:pt>
                <c:pt idx="1825">
                  <c:v>39937.0</c:v>
                </c:pt>
                <c:pt idx="1826">
                  <c:v>39934.0</c:v>
                </c:pt>
                <c:pt idx="1827">
                  <c:v>39933.0</c:v>
                </c:pt>
                <c:pt idx="1828">
                  <c:v>39932.0</c:v>
                </c:pt>
                <c:pt idx="1829">
                  <c:v>39931.0</c:v>
                </c:pt>
                <c:pt idx="1830">
                  <c:v>39930.0</c:v>
                </c:pt>
                <c:pt idx="1831">
                  <c:v>39927.0</c:v>
                </c:pt>
                <c:pt idx="1832">
                  <c:v>39926.0</c:v>
                </c:pt>
                <c:pt idx="1833">
                  <c:v>39925.0</c:v>
                </c:pt>
                <c:pt idx="1834">
                  <c:v>39924.0</c:v>
                </c:pt>
                <c:pt idx="1835">
                  <c:v>39923.0</c:v>
                </c:pt>
                <c:pt idx="1836">
                  <c:v>39920.0</c:v>
                </c:pt>
                <c:pt idx="1837">
                  <c:v>39919.0</c:v>
                </c:pt>
                <c:pt idx="1838">
                  <c:v>39918.0</c:v>
                </c:pt>
                <c:pt idx="1839">
                  <c:v>39917.0</c:v>
                </c:pt>
                <c:pt idx="1840">
                  <c:v>39916.0</c:v>
                </c:pt>
                <c:pt idx="1841">
                  <c:v>39913.0</c:v>
                </c:pt>
                <c:pt idx="1842">
                  <c:v>39912.0</c:v>
                </c:pt>
                <c:pt idx="1843">
                  <c:v>39911.0</c:v>
                </c:pt>
                <c:pt idx="1844">
                  <c:v>39910.0</c:v>
                </c:pt>
                <c:pt idx="1845">
                  <c:v>39909.0</c:v>
                </c:pt>
                <c:pt idx="1846">
                  <c:v>39906.0</c:v>
                </c:pt>
                <c:pt idx="1847">
                  <c:v>39905.0</c:v>
                </c:pt>
                <c:pt idx="1848">
                  <c:v>39904.0</c:v>
                </c:pt>
                <c:pt idx="1849">
                  <c:v>39903.0</c:v>
                </c:pt>
                <c:pt idx="1850">
                  <c:v>39902.0</c:v>
                </c:pt>
                <c:pt idx="1851">
                  <c:v>39899.0</c:v>
                </c:pt>
                <c:pt idx="1852">
                  <c:v>39898.0</c:v>
                </c:pt>
                <c:pt idx="1853">
                  <c:v>39897.0</c:v>
                </c:pt>
                <c:pt idx="1854">
                  <c:v>39896.0</c:v>
                </c:pt>
                <c:pt idx="1855">
                  <c:v>39895.0</c:v>
                </c:pt>
                <c:pt idx="1856">
                  <c:v>39892.0</c:v>
                </c:pt>
                <c:pt idx="1857">
                  <c:v>39891.0</c:v>
                </c:pt>
                <c:pt idx="1858">
                  <c:v>39890.0</c:v>
                </c:pt>
                <c:pt idx="1859">
                  <c:v>39889.0</c:v>
                </c:pt>
                <c:pt idx="1860">
                  <c:v>39888.0</c:v>
                </c:pt>
                <c:pt idx="1861">
                  <c:v>39885.0</c:v>
                </c:pt>
                <c:pt idx="1862">
                  <c:v>39884.0</c:v>
                </c:pt>
                <c:pt idx="1863">
                  <c:v>39883.0</c:v>
                </c:pt>
                <c:pt idx="1864">
                  <c:v>39882.0</c:v>
                </c:pt>
                <c:pt idx="1865">
                  <c:v>39881.0</c:v>
                </c:pt>
                <c:pt idx="1866">
                  <c:v>39878.0</c:v>
                </c:pt>
                <c:pt idx="1867">
                  <c:v>39877.0</c:v>
                </c:pt>
                <c:pt idx="1868">
                  <c:v>39876.0</c:v>
                </c:pt>
                <c:pt idx="1869">
                  <c:v>39875.0</c:v>
                </c:pt>
                <c:pt idx="1870">
                  <c:v>39874.0</c:v>
                </c:pt>
                <c:pt idx="1871">
                  <c:v>39871.0</c:v>
                </c:pt>
                <c:pt idx="1872">
                  <c:v>39870.0</c:v>
                </c:pt>
                <c:pt idx="1873">
                  <c:v>39869.0</c:v>
                </c:pt>
                <c:pt idx="1874">
                  <c:v>39868.0</c:v>
                </c:pt>
                <c:pt idx="1875">
                  <c:v>39867.0</c:v>
                </c:pt>
                <c:pt idx="1876">
                  <c:v>39864.0</c:v>
                </c:pt>
                <c:pt idx="1877">
                  <c:v>39863.0</c:v>
                </c:pt>
                <c:pt idx="1878">
                  <c:v>39862.0</c:v>
                </c:pt>
                <c:pt idx="1879">
                  <c:v>39861.0</c:v>
                </c:pt>
                <c:pt idx="1880">
                  <c:v>39860.0</c:v>
                </c:pt>
                <c:pt idx="1881">
                  <c:v>39857.0</c:v>
                </c:pt>
                <c:pt idx="1882">
                  <c:v>39856.0</c:v>
                </c:pt>
                <c:pt idx="1883">
                  <c:v>39855.0</c:v>
                </c:pt>
                <c:pt idx="1884">
                  <c:v>39854.0</c:v>
                </c:pt>
                <c:pt idx="1885">
                  <c:v>39853.0</c:v>
                </c:pt>
                <c:pt idx="1886">
                  <c:v>39850.0</c:v>
                </c:pt>
                <c:pt idx="1887">
                  <c:v>39849.0</c:v>
                </c:pt>
                <c:pt idx="1888">
                  <c:v>39848.0</c:v>
                </c:pt>
                <c:pt idx="1889">
                  <c:v>39847.0</c:v>
                </c:pt>
                <c:pt idx="1890">
                  <c:v>39846.0</c:v>
                </c:pt>
                <c:pt idx="1891">
                  <c:v>39843.0</c:v>
                </c:pt>
                <c:pt idx="1892">
                  <c:v>39842.0</c:v>
                </c:pt>
                <c:pt idx="1893">
                  <c:v>39841.0</c:v>
                </c:pt>
                <c:pt idx="1894">
                  <c:v>39840.0</c:v>
                </c:pt>
                <c:pt idx="1895">
                  <c:v>39839.0</c:v>
                </c:pt>
                <c:pt idx="1896">
                  <c:v>39836.0</c:v>
                </c:pt>
                <c:pt idx="1897">
                  <c:v>39835.0</c:v>
                </c:pt>
                <c:pt idx="1898">
                  <c:v>39834.0</c:v>
                </c:pt>
                <c:pt idx="1899">
                  <c:v>39833.0</c:v>
                </c:pt>
                <c:pt idx="1900">
                  <c:v>39832.0</c:v>
                </c:pt>
                <c:pt idx="1901">
                  <c:v>39829.0</c:v>
                </c:pt>
                <c:pt idx="1902">
                  <c:v>39828.0</c:v>
                </c:pt>
                <c:pt idx="1903">
                  <c:v>39827.0</c:v>
                </c:pt>
                <c:pt idx="1904">
                  <c:v>39826.0</c:v>
                </c:pt>
                <c:pt idx="1905">
                  <c:v>39825.0</c:v>
                </c:pt>
                <c:pt idx="1906">
                  <c:v>39822.0</c:v>
                </c:pt>
                <c:pt idx="1907">
                  <c:v>39821.0</c:v>
                </c:pt>
                <c:pt idx="1908">
                  <c:v>39820.0</c:v>
                </c:pt>
                <c:pt idx="1909">
                  <c:v>39819.0</c:v>
                </c:pt>
                <c:pt idx="1910">
                  <c:v>39818.0</c:v>
                </c:pt>
                <c:pt idx="1911">
                  <c:v>39815.0</c:v>
                </c:pt>
                <c:pt idx="1912">
                  <c:v>39814.0</c:v>
                </c:pt>
                <c:pt idx="1913">
                  <c:v>39813.0</c:v>
                </c:pt>
                <c:pt idx="1914">
                  <c:v>39812.0</c:v>
                </c:pt>
                <c:pt idx="1915">
                  <c:v>39811.0</c:v>
                </c:pt>
                <c:pt idx="1916">
                  <c:v>39808.0</c:v>
                </c:pt>
                <c:pt idx="1917">
                  <c:v>39807.0</c:v>
                </c:pt>
                <c:pt idx="1918">
                  <c:v>39806.0</c:v>
                </c:pt>
                <c:pt idx="1919">
                  <c:v>39805.0</c:v>
                </c:pt>
                <c:pt idx="1920">
                  <c:v>39804.0</c:v>
                </c:pt>
                <c:pt idx="1921">
                  <c:v>39801.0</c:v>
                </c:pt>
                <c:pt idx="1922">
                  <c:v>39800.0</c:v>
                </c:pt>
                <c:pt idx="1923">
                  <c:v>39799.0</c:v>
                </c:pt>
                <c:pt idx="1924">
                  <c:v>39798.0</c:v>
                </c:pt>
                <c:pt idx="1925">
                  <c:v>39797.0</c:v>
                </c:pt>
                <c:pt idx="1926">
                  <c:v>39794.0</c:v>
                </c:pt>
                <c:pt idx="1927">
                  <c:v>39793.0</c:v>
                </c:pt>
                <c:pt idx="1928">
                  <c:v>39792.0</c:v>
                </c:pt>
                <c:pt idx="1929">
                  <c:v>39791.0</c:v>
                </c:pt>
                <c:pt idx="1930">
                  <c:v>39790.0</c:v>
                </c:pt>
                <c:pt idx="1931">
                  <c:v>39787.0</c:v>
                </c:pt>
                <c:pt idx="1932">
                  <c:v>39786.0</c:v>
                </c:pt>
                <c:pt idx="1933">
                  <c:v>39785.0</c:v>
                </c:pt>
                <c:pt idx="1934">
                  <c:v>39784.0</c:v>
                </c:pt>
                <c:pt idx="1935">
                  <c:v>39783.0</c:v>
                </c:pt>
                <c:pt idx="1936">
                  <c:v>39780.0</c:v>
                </c:pt>
                <c:pt idx="1937">
                  <c:v>39779.0</c:v>
                </c:pt>
                <c:pt idx="1938">
                  <c:v>39778.0</c:v>
                </c:pt>
                <c:pt idx="1939">
                  <c:v>39777.0</c:v>
                </c:pt>
                <c:pt idx="1940">
                  <c:v>39776.0</c:v>
                </c:pt>
                <c:pt idx="1941">
                  <c:v>39773.0</c:v>
                </c:pt>
                <c:pt idx="1942">
                  <c:v>39772.0</c:v>
                </c:pt>
                <c:pt idx="1943">
                  <c:v>39771.0</c:v>
                </c:pt>
                <c:pt idx="1944">
                  <c:v>39770.0</c:v>
                </c:pt>
                <c:pt idx="1945">
                  <c:v>39769.0</c:v>
                </c:pt>
                <c:pt idx="1946">
                  <c:v>39766.0</c:v>
                </c:pt>
                <c:pt idx="1947">
                  <c:v>39765.0</c:v>
                </c:pt>
                <c:pt idx="1948">
                  <c:v>39764.0</c:v>
                </c:pt>
                <c:pt idx="1949">
                  <c:v>39763.0</c:v>
                </c:pt>
                <c:pt idx="1950">
                  <c:v>39762.0</c:v>
                </c:pt>
                <c:pt idx="1951">
                  <c:v>39759.0</c:v>
                </c:pt>
                <c:pt idx="1952">
                  <c:v>39758.0</c:v>
                </c:pt>
                <c:pt idx="1953">
                  <c:v>39757.0</c:v>
                </c:pt>
                <c:pt idx="1954">
                  <c:v>39756.0</c:v>
                </c:pt>
                <c:pt idx="1955">
                  <c:v>39755.0</c:v>
                </c:pt>
                <c:pt idx="1956">
                  <c:v>39752.0</c:v>
                </c:pt>
                <c:pt idx="1957">
                  <c:v>39751.0</c:v>
                </c:pt>
                <c:pt idx="1958">
                  <c:v>39750.0</c:v>
                </c:pt>
                <c:pt idx="1959">
                  <c:v>39749.0</c:v>
                </c:pt>
                <c:pt idx="1960">
                  <c:v>39748.0</c:v>
                </c:pt>
                <c:pt idx="1961">
                  <c:v>39745.0</c:v>
                </c:pt>
                <c:pt idx="1962">
                  <c:v>39744.0</c:v>
                </c:pt>
                <c:pt idx="1963">
                  <c:v>39743.0</c:v>
                </c:pt>
                <c:pt idx="1964">
                  <c:v>39742.0</c:v>
                </c:pt>
                <c:pt idx="1965">
                  <c:v>39741.0</c:v>
                </c:pt>
                <c:pt idx="1966">
                  <c:v>39738.0</c:v>
                </c:pt>
                <c:pt idx="1967">
                  <c:v>39737.0</c:v>
                </c:pt>
                <c:pt idx="1968">
                  <c:v>39736.0</c:v>
                </c:pt>
                <c:pt idx="1969">
                  <c:v>39735.0</c:v>
                </c:pt>
                <c:pt idx="1970">
                  <c:v>39734.0</c:v>
                </c:pt>
                <c:pt idx="1971">
                  <c:v>39731.0</c:v>
                </c:pt>
                <c:pt idx="1972">
                  <c:v>39730.0</c:v>
                </c:pt>
                <c:pt idx="1973">
                  <c:v>39729.0</c:v>
                </c:pt>
                <c:pt idx="1974">
                  <c:v>39728.0</c:v>
                </c:pt>
                <c:pt idx="1975">
                  <c:v>39727.0</c:v>
                </c:pt>
                <c:pt idx="1976">
                  <c:v>39724.0</c:v>
                </c:pt>
                <c:pt idx="1977">
                  <c:v>39723.0</c:v>
                </c:pt>
                <c:pt idx="1978">
                  <c:v>39722.0</c:v>
                </c:pt>
                <c:pt idx="1979">
                  <c:v>39721.0</c:v>
                </c:pt>
                <c:pt idx="1980">
                  <c:v>39720.0</c:v>
                </c:pt>
                <c:pt idx="1981">
                  <c:v>39717.0</c:v>
                </c:pt>
                <c:pt idx="1982">
                  <c:v>39716.0</c:v>
                </c:pt>
                <c:pt idx="1983">
                  <c:v>39715.0</c:v>
                </c:pt>
                <c:pt idx="1984">
                  <c:v>39714.0</c:v>
                </c:pt>
                <c:pt idx="1985">
                  <c:v>39713.0</c:v>
                </c:pt>
                <c:pt idx="1986">
                  <c:v>39710.0</c:v>
                </c:pt>
                <c:pt idx="1987">
                  <c:v>39709.0</c:v>
                </c:pt>
                <c:pt idx="1988">
                  <c:v>39708.0</c:v>
                </c:pt>
                <c:pt idx="1989">
                  <c:v>39707.0</c:v>
                </c:pt>
                <c:pt idx="1990">
                  <c:v>39706.0</c:v>
                </c:pt>
                <c:pt idx="1991">
                  <c:v>39703.0</c:v>
                </c:pt>
                <c:pt idx="1992">
                  <c:v>39702.0</c:v>
                </c:pt>
                <c:pt idx="1993">
                  <c:v>39701.0</c:v>
                </c:pt>
                <c:pt idx="1994">
                  <c:v>39700.0</c:v>
                </c:pt>
                <c:pt idx="1995">
                  <c:v>39699.0</c:v>
                </c:pt>
                <c:pt idx="1996">
                  <c:v>39696.0</c:v>
                </c:pt>
                <c:pt idx="1997">
                  <c:v>39695.0</c:v>
                </c:pt>
                <c:pt idx="1998">
                  <c:v>39694.0</c:v>
                </c:pt>
                <c:pt idx="1999">
                  <c:v>39693.0</c:v>
                </c:pt>
                <c:pt idx="2000">
                  <c:v>39692.0</c:v>
                </c:pt>
                <c:pt idx="2001">
                  <c:v>39689.0</c:v>
                </c:pt>
                <c:pt idx="2002">
                  <c:v>39688.0</c:v>
                </c:pt>
                <c:pt idx="2003">
                  <c:v>39687.0</c:v>
                </c:pt>
                <c:pt idx="2004">
                  <c:v>39686.0</c:v>
                </c:pt>
                <c:pt idx="2005">
                  <c:v>39685.0</c:v>
                </c:pt>
                <c:pt idx="2006">
                  <c:v>39682.0</c:v>
                </c:pt>
                <c:pt idx="2007">
                  <c:v>39681.0</c:v>
                </c:pt>
                <c:pt idx="2008">
                  <c:v>39680.0</c:v>
                </c:pt>
                <c:pt idx="2009">
                  <c:v>39679.0</c:v>
                </c:pt>
                <c:pt idx="2010">
                  <c:v>39678.0</c:v>
                </c:pt>
                <c:pt idx="2011">
                  <c:v>39675.0</c:v>
                </c:pt>
                <c:pt idx="2012">
                  <c:v>39674.0</c:v>
                </c:pt>
                <c:pt idx="2013">
                  <c:v>39673.0</c:v>
                </c:pt>
                <c:pt idx="2014">
                  <c:v>39672.0</c:v>
                </c:pt>
                <c:pt idx="2015">
                  <c:v>39671.0</c:v>
                </c:pt>
                <c:pt idx="2016">
                  <c:v>39668.0</c:v>
                </c:pt>
                <c:pt idx="2017">
                  <c:v>39667.0</c:v>
                </c:pt>
                <c:pt idx="2018">
                  <c:v>39666.0</c:v>
                </c:pt>
                <c:pt idx="2019">
                  <c:v>39665.0</c:v>
                </c:pt>
                <c:pt idx="2020">
                  <c:v>39664.0</c:v>
                </c:pt>
                <c:pt idx="2021">
                  <c:v>39661.0</c:v>
                </c:pt>
                <c:pt idx="2022">
                  <c:v>39660.0</c:v>
                </c:pt>
                <c:pt idx="2023">
                  <c:v>39659.0</c:v>
                </c:pt>
                <c:pt idx="2024">
                  <c:v>39658.0</c:v>
                </c:pt>
                <c:pt idx="2025">
                  <c:v>39657.0</c:v>
                </c:pt>
                <c:pt idx="2026">
                  <c:v>39654.0</c:v>
                </c:pt>
                <c:pt idx="2027">
                  <c:v>39653.0</c:v>
                </c:pt>
                <c:pt idx="2028">
                  <c:v>39652.0</c:v>
                </c:pt>
                <c:pt idx="2029">
                  <c:v>39651.0</c:v>
                </c:pt>
                <c:pt idx="2030">
                  <c:v>39650.0</c:v>
                </c:pt>
                <c:pt idx="2031">
                  <c:v>39647.0</c:v>
                </c:pt>
                <c:pt idx="2032">
                  <c:v>39646.0</c:v>
                </c:pt>
                <c:pt idx="2033">
                  <c:v>39645.0</c:v>
                </c:pt>
                <c:pt idx="2034">
                  <c:v>39644.0</c:v>
                </c:pt>
                <c:pt idx="2035">
                  <c:v>39643.0</c:v>
                </c:pt>
                <c:pt idx="2036">
                  <c:v>39640.0</c:v>
                </c:pt>
                <c:pt idx="2037">
                  <c:v>39639.0</c:v>
                </c:pt>
                <c:pt idx="2038">
                  <c:v>39638.0</c:v>
                </c:pt>
                <c:pt idx="2039">
                  <c:v>39637.0</c:v>
                </c:pt>
                <c:pt idx="2040">
                  <c:v>39636.0</c:v>
                </c:pt>
                <c:pt idx="2041">
                  <c:v>39633.0</c:v>
                </c:pt>
                <c:pt idx="2042">
                  <c:v>39632.0</c:v>
                </c:pt>
                <c:pt idx="2043">
                  <c:v>39631.0</c:v>
                </c:pt>
                <c:pt idx="2044">
                  <c:v>39630.0</c:v>
                </c:pt>
                <c:pt idx="2045">
                  <c:v>39629.0</c:v>
                </c:pt>
                <c:pt idx="2046">
                  <c:v>39626.0</c:v>
                </c:pt>
                <c:pt idx="2047">
                  <c:v>39625.0</c:v>
                </c:pt>
                <c:pt idx="2048">
                  <c:v>39624.0</c:v>
                </c:pt>
                <c:pt idx="2049">
                  <c:v>39623.0</c:v>
                </c:pt>
                <c:pt idx="2050">
                  <c:v>39622.0</c:v>
                </c:pt>
                <c:pt idx="2051">
                  <c:v>39619.0</c:v>
                </c:pt>
                <c:pt idx="2052">
                  <c:v>39618.0</c:v>
                </c:pt>
                <c:pt idx="2053">
                  <c:v>39617.0</c:v>
                </c:pt>
                <c:pt idx="2054">
                  <c:v>39616.0</c:v>
                </c:pt>
                <c:pt idx="2055">
                  <c:v>39615.0</c:v>
                </c:pt>
                <c:pt idx="2056">
                  <c:v>39612.0</c:v>
                </c:pt>
                <c:pt idx="2057">
                  <c:v>39611.0</c:v>
                </c:pt>
                <c:pt idx="2058">
                  <c:v>39610.0</c:v>
                </c:pt>
                <c:pt idx="2059">
                  <c:v>39609.0</c:v>
                </c:pt>
                <c:pt idx="2060">
                  <c:v>39608.0</c:v>
                </c:pt>
                <c:pt idx="2061">
                  <c:v>39605.0</c:v>
                </c:pt>
                <c:pt idx="2062">
                  <c:v>39604.0</c:v>
                </c:pt>
                <c:pt idx="2063">
                  <c:v>39603.0</c:v>
                </c:pt>
                <c:pt idx="2064">
                  <c:v>39602.0</c:v>
                </c:pt>
                <c:pt idx="2065">
                  <c:v>39601.0</c:v>
                </c:pt>
                <c:pt idx="2066">
                  <c:v>39598.0</c:v>
                </c:pt>
                <c:pt idx="2067">
                  <c:v>39597.0</c:v>
                </c:pt>
                <c:pt idx="2068">
                  <c:v>39596.0</c:v>
                </c:pt>
                <c:pt idx="2069">
                  <c:v>39595.0</c:v>
                </c:pt>
                <c:pt idx="2070">
                  <c:v>39594.0</c:v>
                </c:pt>
                <c:pt idx="2071">
                  <c:v>39591.0</c:v>
                </c:pt>
                <c:pt idx="2072">
                  <c:v>39590.0</c:v>
                </c:pt>
                <c:pt idx="2073">
                  <c:v>39589.0</c:v>
                </c:pt>
                <c:pt idx="2074">
                  <c:v>39588.0</c:v>
                </c:pt>
                <c:pt idx="2075">
                  <c:v>39587.0</c:v>
                </c:pt>
                <c:pt idx="2076">
                  <c:v>39584.0</c:v>
                </c:pt>
                <c:pt idx="2077">
                  <c:v>39583.0</c:v>
                </c:pt>
                <c:pt idx="2078">
                  <c:v>39582.0</c:v>
                </c:pt>
                <c:pt idx="2079">
                  <c:v>39581.0</c:v>
                </c:pt>
                <c:pt idx="2080">
                  <c:v>39580.0</c:v>
                </c:pt>
                <c:pt idx="2081">
                  <c:v>39577.0</c:v>
                </c:pt>
                <c:pt idx="2082">
                  <c:v>39576.0</c:v>
                </c:pt>
                <c:pt idx="2083">
                  <c:v>39575.0</c:v>
                </c:pt>
                <c:pt idx="2084">
                  <c:v>39574.0</c:v>
                </c:pt>
                <c:pt idx="2085">
                  <c:v>39573.0</c:v>
                </c:pt>
                <c:pt idx="2086">
                  <c:v>39570.0</c:v>
                </c:pt>
                <c:pt idx="2087">
                  <c:v>39569.0</c:v>
                </c:pt>
                <c:pt idx="2088">
                  <c:v>39568.0</c:v>
                </c:pt>
                <c:pt idx="2089">
                  <c:v>39567.0</c:v>
                </c:pt>
                <c:pt idx="2090">
                  <c:v>39566.0</c:v>
                </c:pt>
                <c:pt idx="2091">
                  <c:v>39563.0</c:v>
                </c:pt>
                <c:pt idx="2092">
                  <c:v>39562.0</c:v>
                </c:pt>
                <c:pt idx="2093">
                  <c:v>39561.0</c:v>
                </c:pt>
                <c:pt idx="2094">
                  <c:v>39560.0</c:v>
                </c:pt>
                <c:pt idx="2095">
                  <c:v>39559.0</c:v>
                </c:pt>
                <c:pt idx="2096">
                  <c:v>39556.0</c:v>
                </c:pt>
                <c:pt idx="2097">
                  <c:v>39555.0</c:v>
                </c:pt>
                <c:pt idx="2098">
                  <c:v>39554.0</c:v>
                </c:pt>
                <c:pt idx="2099">
                  <c:v>39553.0</c:v>
                </c:pt>
                <c:pt idx="2100">
                  <c:v>39552.0</c:v>
                </c:pt>
                <c:pt idx="2101">
                  <c:v>39549.0</c:v>
                </c:pt>
                <c:pt idx="2102">
                  <c:v>39548.0</c:v>
                </c:pt>
                <c:pt idx="2103">
                  <c:v>39547.0</c:v>
                </c:pt>
                <c:pt idx="2104">
                  <c:v>39546.0</c:v>
                </c:pt>
                <c:pt idx="2105">
                  <c:v>39545.0</c:v>
                </c:pt>
                <c:pt idx="2106">
                  <c:v>39542.0</c:v>
                </c:pt>
                <c:pt idx="2107">
                  <c:v>39541.0</c:v>
                </c:pt>
                <c:pt idx="2108">
                  <c:v>39540.0</c:v>
                </c:pt>
                <c:pt idx="2109">
                  <c:v>39539.0</c:v>
                </c:pt>
                <c:pt idx="2110">
                  <c:v>39538.0</c:v>
                </c:pt>
                <c:pt idx="2111">
                  <c:v>39535.0</c:v>
                </c:pt>
                <c:pt idx="2112">
                  <c:v>39534.0</c:v>
                </c:pt>
                <c:pt idx="2113">
                  <c:v>39533.0</c:v>
                </c:pt>
                <c:pt idx="2114">
                  <c:v>39532.0</c:v>
                </c:pt>
                <c:pt idx="2115">
                  <c:v>39531.0</c:v>
                </c:pt>
                <c:pt idx="2116">
                  <c:v>39528.0</c:v>
                </c:pt>
                <c:pt idx="2117">
                  <c:v>39527.0</c:v>
                </c:pt>
                <c:pt idx="2118">
                  <c:v>39526.0</c:v>
                </c:pt>
                <c:pt idx="2119">
                  <c:v>39525.0</c:v>
                </c:pt>
                <c:pt idx="2120">
                  <c:v>39524.0</c:v>
                </c:pt>
                <c:pt idx="2121">
                  <c:v>39521.0</c:v>
                </c:pt>
                <c:pt idx="2122">
                  <c:v>39520.0</c:v>
                </c:pt>
                <c:pt idx="2123">
                  <c:v>39519.0</c:v>
                </c:pt>
                <c:pt idx="2124">
                  <c:v>39518.0</c:v>
                </c:pt>
                <c:pt idx="2125">
                  <c:v>39517.0</c:v>
                </c:pt>
                <c:pt idx="2126">
                  <c:v>39514.0</c:v>
                </c:pt>
                <c:pt idx="2127">
                  <c:v>39513.0</c:v>
                </c:pt>
                <c:pt idx="2128">
                  <c:v>39512.0</c:v>
                </c:pt>
                <c:pt idx="2129">
                  <c:v>39511.0</c:v>
                </c:pt>
                <c:pt idx="2130">
                  <c:v>39510.0</c:v>
                </c:pt>
                <c:pt idx="2131">
                  <c:v>39507.0</c:v>
                </c:pt>
                <c:pt idx="2132">
                  <c:v>39506.0</c:v>
                </c:pt>
                <c:pt idx="2133">
                  <c:v>39505.0</c:v>
                </c:pt>
                <c:pt idx="2134">
                  <c:v>39504.0</c:v>
                </c:pt>
                <c:pt idx="2135">
                  <c:v>39503.0</c:v>
                </c:pt>
                <c:pt idx="2136">
                  <c:v>39500.0</c:v>
                </c:pt>
                <c:pt idx="2137">
                  <c:v>39499.0</c:v>
                </c:pt>
                <c:pt idx="2138">
                  <c:v>39498.0</c:v>
                </c:pt>
                <c:pt idx="2139">
                  <c:v>39497.0</c:v>
                </c:pt>
                <c:pt idx="2140">
                  <c:v>39496.0</c:v>
                </c:pt>
                <c:pt idx="2141">
                  <c:v>39493.0</c:v>
                </c:pt>
                <c:pt idx="2142">
                  <c:v>39492.0</c:v>
                </c:pt>
                <c:pt idx="2143">
                  <c:v>39491.0</c:v>
                </c:pt>
                <c:pt idx="2144">
                  <c:v>39490.0</c:v>
                </c:pt>
                <c:pt idx="2145">
                  <c:v>39489.0</c:v>
                </c:pt>
                <c:pt idx="2146">
                  <c:v>39486.0</c:v>
                </c:pt>
                <c:pt idx="2147">
                  <c:v>39485.0</c:v>
                </c:pt>
                <c:pt idx="2148">
                  <c:v>39484.0</c:v>
                </c:pt>
                <c:pt idx="2149">
                  <c:v>39483.0</c:v>
                </c:pt>
                <c:pt idx="2150">
                  <c:v>39482.0</c:v>
                </c:pt>
                <c:pt idx="2151">
                  <c:v>39479.0</c:v>
                </c:pt>
                <c:pt idx="2152">
                  <c:v>39478.0</c:v>
                </c:pt>
                <c:pt idx="2153">
                  <c:v>39477.0</c:v>
                </c:pt>
                <c:pt idx="2154">
                  <c:v>39476.0</c:v>
                </c:pt>
                <c:pt idx="2155">
                  <c:v>39475.0</c:v>
                </c:pt>
                <c:pt idx="2156">
                  <c:v>39472.0</c:v>
                </c:pt>
                <c:pt idx="2157">
                  <c:v>39471.0</c:v>
                </c:pt>
                <c:pt idx="2158">
                  <c:v>39470.0</c:v>
                </c:pt>
                <c:pt idx="2159">
                  <c:v>39469.0</c:v>
                </c:pt>
                <c:pt idx="2160">
                  <c:v>39468.0</c:v>
                </c:pt>
                <c:pt idx="2161">
                  <c:v>39465.0</c:v>
                </c:pt>
                <c:pt idx="2162">
                  <c:v>39464.0</c:v>
                </c:pt>
                <c:pt idx="2163">
                  <c:v>39463.0</c:v>
                </c:pt>
                <c:pt idx="2164">
                  <c:v>39462.0</c:v>
                </c:pt>
                <c:pt idx="2165">
                  <c:v>39461.0</c:v>
                </c:pt>
                <c:pt idx="2166">
                  <c:v>39458.0</c:v>
                </c:pt>
                <c:pt idx="2167">
                  <c:v>39457.0</c:v>
                </c:pt>
                <c:pt idx="2168">
                  <c:v>39456.0</c:v>
                </c:pt>
                <c:pt idx="2169">
                  <c:v>39455.0</c:v>
                </c:pt>
                <c:pt idx="2170">
                  <c:v>39454.0</c:v>
                </c:pt>
                <c:pt idx="2171">
                  <c:v>39451.0</c:v>
                </c:pt>
                <c:pt idx="2172">
                  <c:v>39450.0</c:v>
                </c:pt>
                <c:pt idx="2173">
                  <c:v>39449.0</c:v>
                </c:pt>
                <c:pt idx="2174">
                  <c:v>39448.0</c:v>
                </c:pt>
                <c:pt idx="2175">
                  <c:v>39447.0</c:v>
                </c:pt>
                <c:pt idx="2176">
                  <c:v>39444.0</c:v>
                </c:pt>
                <c:pt idx="2177">
                  <c:v>39443.0</c:v>
                </c:pt>
                <c:pt idx="2178">
                  <c:v>39442.0</c:v>
                </c:pt>
                <c:pt idx="2179">
                  <c:v>39441.0</c:v>
                </c:pt>
                <c:pt idx="2180">
                  <c:v>39440.0</c:v>
                </c:pt>
                <c:pt idx="2181">
                  <c:v>39437.0</c:v>
                </c:pt>
                <c:pt idx="2182">
                  <c:v>39436.0</c:v>
                </c:pt>
                <c:pt idx="2183">
                  <c:v>39435.0</c:v>
                </c:pt>
                <c:pt idx="2184">
                  <c:v>39434.0</c:v>
                </c:pt>
                <c:pt idx="2185">
                  <c:v>39433.0</c:v>
                </c:pt>
                <c:pt idx="2186">
                  <c:v>39430.0</c:v>
                </c:pt>
                <c:pt idx="2187">
                  <c:v>39429.0</c:v>
                </c:pt>
                <c:pt idx="2188">
                  <c:v>39428.0</c:v>
                </c:pt>
                <c:pt idx="2189">
                  <c:v>39427.0</c:v>
                </c:pt>
                <c:pt idx="2190">
                  <c:v>39426.0</c:v>
                </c:pt>
                <c:pt idx="2191">
                  <c:v>39423.0</c:v>
                </c:pt>
                <c:pt idx="2192">
                  <c:v>39422.0</c:v>
                </c:pt>
                <c:pt idx="2193">
                  <c:v>39421.0</c:v>
                </c:pt>
                <c:pt idx="2194">
                  <c:v>39420.0</c:v>
                </c:pt>
                <c:pt idx="2195">
                  <c:v>39419.0</c:v>
                </c:pt>
                <c:pt idx="2196">
                  <c:v>39416.0</c:v>
                </c:pt>
                <c:pt idx="2197">
                  <c:v>39415.0</c:v>
                </c:pt>
                <c:pt idx="2198">
                  <c:v>39414.0</c:v>
                </c:pt>
                <c:pt idx="2199">
                  <c:v>39413.0</c:v>
                </c:pt>
                <c:pt idx="2200">
                  <c:v>39412.0</c:v>
                </c:pt>
                <c:pt idx="2201">
                  <c:v>39409.0</c:v>
                </c:pt>
                <c:pt idx="2202">
                  <c:v>39408.0</c:v>
                </c:pt>
                <c:pt idx="2203">
                  <c:v>39407.0</c:v>
                </c:pt>
                <c:pt idx="2204">
                  <c:v>39406.0</c:v>
                </c:pt>
                <c:pt idx="2205">
                  <c:v>39405.0</c:v>
                </c:pt>
                <c:pt idx="2206">
                  <c:v>39402.0</c:v>
                </c:pt>
                <c:pt idx="2207">
                  <c:v>39401.0</c:v>
                </c:pt>
                <c:pt idx="2208">
                  <c:v>39400.0</c:v>
                </c:pt>
                <c:pt idx="2209">
                  <c:v>39399.0</c:v>
                </c:pt>
                <c:pt idx="2210">
                  <c:v>39398.0</c:v>
                </c:pt>
                <c:pt idx="2211">
                  <c:v>39395.0</c:v>
                </c:pt>
                <c:pt idx="2212">
                  <c:v>39394.0</c:v>
                </c:pt>
                <c:pt idx="2213">
                  <c:v>39393.0</c:v>
                </c:pt>
                <c:pt idx="2214">
                  <c:v>39392.0</c:v>
                </c:pt>
                <c:pt idx="2215">
                  <c:v>39391.0</c:v>
                </c:pt>
                <c:pt idx="2216">
                  <c:v>39388.0</c:v>
                </c:pt>
                <c:pt idx="2217">
                  <c:v>39387.0</c:v>
                </c:pt>
                <c:pt idx="2218">
                  <c:v>39386.0</c:v>
                </c:pt>
                <c:pt idx="2219">
                  <c:v>39385.0</c:v>
                </c:pt>
                <c:pt idx="2220">
                  <c:v>39384.0</c:v>
                </c:pt>
                <c:pt idx="2221">
                  <c:v>39381.0</c:v>
                </c:pt>
                <c:pt idx="2222">
                  <c:v>39380.0</c:v>
                </c:pt>
                <c:pt idx="2223">
                  <c:v>39379.0</c:v>
                </c:pt>
                <c:pt idx="2224">
                  <c:v>39378.0</c:v>
                </c:pt>
                <c:pt idx="2225">
                  <c:v>39377.0</c:v>
                </c:pt>
                <c:pt idx="2226">
                  <c:v>39374.0</c:v>
                </c:pt>
                <c:pt idx="2227">
                  <c:v>39373.0</c:v>
                </c:pt>
                <c:pt idx="2228">
                  <c:v>39372.0</c:v>
                </c:pt>
                <c:pt idx="2229">
                  <c:v>39371.0</c:v>
                </c:pt>
                <c:pt idx="2230">
                  <c:v>39370.0</c:v>
                </c:pt>
                <c:pt idx="2231">
                  <c:v>39367.0</c:v>
                </c:pt>
                <c:pt idx="2232">
                  <c:v>39366.0</c:v>
                </c:pt>
                <c:pt idx="2233">
                  <c:v>39365.0</c:v>
                </c:pt>
                <c:pt idx="2234">
                  <c:v>39364.0</c:v>
                </c:pt>
                <c:pt idx="2235">
                  <c:v>39363.0</c:v>
                </c:pt>
                <c:pt idx="2236">
                  <c:v>39360.0</c:v>
                </c:pt>
                <c:pt idx="2237">
                  <c:v>39359.0</c:v>
                </c:pt>
                <c:pt idx="2238">
                  <c:v>39358.0</c:v>
                </c:pt>
                <c:pt idx="2239">
                  <c:v>39357.0</c:v>
                </c:pt>
                <c:pt idx="2240">
                  <c:v>39356.0</c:v>
                </c:pt>
                <c:pt idx="2241">
                  <c:v>39353.0</c:v>
                </c:pt>
                <c:pt idx="2242">
                  <c:v>39352.0</c:v>
                </c:pt>
                <c:pt idx="2243">
                  <c:v>39351.0</c:v>
                </c:pt>
                <c:pt idx="2244">
                  <c:v>39350.0</c:v>
                </c:pt>
                <c:pt idx="2245">
                  <c:v>39349.0</c:v>
                </c:pt>
                <c:pt idx="2246">
                  <c:v>39346.0</c:v>
                </c:pt>
                <c:pt idx="2247">
                  <c:v>39345.0</c:v>
                </c:pt>
                <c:pt idx="2248">
                  <c:v>39344.0</c:v>
                </c:pt>
                <c:pt idx="2249">
                  <c:v>39343.0</c:v>
                </c:pt>
                <c:pt idx="2250">
                  <c:v>39342.0</c:v>
                </c:pt>
                <c:pt idx="2251">
                  <c:v>39339.0</c:v>
                </c:pt>
                <c:pt idx="2252">
                  <c:v>39338.0</c:v>
                </c:pt>
                <c:pt idx="2253">
                  <c:v>39337.0</c:v>
                </c:pt>
                <c:pt idx="2254">
                  <c:v>39336.0</c:v>
                </c:pt>
                <c:pt idx="2255">
                  <c:v>39335.0</c:v>
                </c:pt>
                <c:pt idx="2256">
                  <c:v>39332.0</c:v>
                </c:pt>
                <c:pt idx="2257">
                  <c:v>39331.0</c:v>
                </c:pt>
                <c:pt idx="2258">
                  <c:v>39330.0</c:v>
                </c:pt>
                <c:pt idx="2259">
                  <c:v>39329.0</c:v>
                </c:pt>
                <c:pt idx="2260">
                  <c:v>39328.0</c:v>
                </c:pt>
                <c:pt idx="2261">
                  <c:v>39325.0</c:v>
                </c:pt>
                <c:pt idx="2262">
                  <c:v>39324.0</c:v>
                </c:pt>
                <c:pt idx="2263">
                  <c:v>39323.0</c:v>
                </c:pt>
                <c:pt idx="2264">
                  <c:v>39322.0</c:v>
                </c:pt>
                <c:pt idx="2265">
                  <c:v>39321.0</c:v>
                </c:pt>
                <c:pt idx="2266">
                  <c:v>39318.0</c:v>
                </c:pt>
                <c:pt idx="2267">
                  <c:v>39317.0</c:v>
                </c:pt>
                <c:pt idx="2268">
                  <c:v>39316.0</c:v>
                </c:pt>
                <c:pt idx="2269">
                  <c:v>39315.0</c:v>
                </c:pt>
                <c:pt idx="2270">
                  <c:v>39314.0</c:v>
                </c:pt>
                <c:pt idx="2271">
                  <c:v>39311.0</c:v>
                </c:pt>
                <c:pt idx="2272">
                  <c:v>39310.0</c:v>
                </c:pt>
                <c:pt idx="2273">
                  <c:v>39309.0</c:v>
                </c:pt>
                <c:pt idx="2274">
                  <c:v>39308.0</c:v>
                </c:pt>
                <c:pt idx="2275">
                  <c:v>39307.0</c:v>
                </c:pt>
                <c:pt idx="2276">
                  <c:v>39304.0</c:v>
                </c:pt>
                <c:pt idx="2277">
                  <c:v>39303.0</c:v>
                </c:pt>
                <c:pt idx="2278">
                  <c:v>39302.0</c:v>
                </c:pt>
                <c:pt idx="2279">
                  <c:v>39301.0</c:v>
                </c:pt>
                <c:pt idx="2280">
                  <c:v>39300.0</c:v>
                </c:pt>
                <c:pt idx="2281">
                  <c:v>39297.0</c:v>
                </c:pt>
                <c:pt idx="2282">
                  <c:v>39296.0</c:v>
                </c:pt>
                <c:pt idx="2283">
                  <c:v>39295.0</c:v>
                </c:pt>
                <c:pt idx="2284">
                  <c:v>39294.0</c:v>
                </c:pt>
                <c:pt idx="2285">
                  <c:v>39293.0</c:v>
                </c:pt>
                <c:pt idx="2286">
                  <c:v>39290.0</c:v>
                </c:pt>
                <c:pt idx="2287">
                  <c:v>39289.0</c:v>
                </c:pt>
                <c:pt idx="2288">
                  <c:v>39288.0</c:v>
                </c:pt>
                <c:pt idx="2289">
                  <c:v>39287.0</c:v>
                </c:pt>
                <c:pt idx="2290">
                  <c:v>39286.0</c:v>
                </c:pt>
                <c:pt idx="2291">
                  <c:v>39283.0</c:v>
                </c:pt>
                <c:pt idx="2292">
                  <c:v>39282.0</c:v>
                </c:pt>
                <c:pt idx="2293">
                  <c:v>39281.0</c:v>
                </c:pt>
                <c:pt idx="2294">
                  <c:v>39280.0</c:v>
                </c:pt>
                <c:pt idx="2295">
                  <c:v>39279.0</c:v>
                </c:pt>
                <c:pt idx="2296">
                  <c:v>39276.0</c:v>
                </c:pt>
                <c:pt idx="2297">
                  <c:v>39275.0</c:v>
                </c:pt>
                <c:pt idx="2298">
                  <c:v>39274.0</c:v>
                </c:pt>
                <c:pt idx="2299">
                  <c:v>39273.0</c:v>
                </c:pt>
                <c:pt idx="2300">
                  <c:v>39272.0</c:v>
                </c:pt>
                <c:pt idx="2301">
                  <c:v>39269.0</c:v>
                </c:pt>
                <c:pt idx="2302">
                  <c:v>39268.0</c:v>
                </c:pt>
                <c:pt idx="2303">
                  <c:v>39267.0</c:v>
                </c:pt>
                <c:pt idx="2304">
                  <c:v>39266.0</c:v>
                </c:pt>
                <c:pt idx="2305">
                  <c:v>39265.0</c:v>
                </c:pt>
                <c:pt idx="2306">
                  <c:v>39262.0</c:v>
                </c:pt>
                <c:pt idx="2307">
                  <c:v>39261.0</c:v>
                </c:pt>
                <c:pt idx="2308">
                  <c:v>39260.0</c:v>
                </c:pt>
                <c:pt idx="2309">
                  <c:v>39259.0</c:v>
                </c:pt>
                <c:pt idx="2310">
                  <c:v>39258.0</c:v>
                </c:pt>
                <c:pt idx="2311">
                  <c:v>39255.0</c:v>
                </c:pt>
                <c:pt idx="2312">
                  <c:v>39254.0</c:v>
                </c:pt>
                <c:pt idx="2313">
                  <c:v>39253.0</c:v>
                </c:pt>
                <c:pt idx="2314">
                  <c:v>39252.0</c:v>
                </c:pt>
                <c:pt idx="2315">
                  <c:v>39251.0</c:v>
                </c:pt>
                <c:pt idx="2316">
                  <c:v>39248.0</c:v>
                </c:pt>
                <c:pt idx="2317">
                  <c:v>39247.0</c:v>
                </c:pt>
                <c:pt idx="2318">
                  <c:v>39246.0</c:v>
                </c:pt>
                <c:pt idx="2319">
                  <c:v>39245.0</c:v>
                </c:pt>
                <c:pt idx="2320">
                  <c:v>39244.0</c:v>
                </c:pt>
                <c:pt idx="2321">
                  <c:v>39241.0</c:v>
                </c:pt>
                <c:pt idx="2322">
                  <c:v>39240.0</c:v>
                </c:pt>
                <c:pt idx="2323">
                  <c:v>39239.0</c:v>
                </c:pt>
                <c:pt idx="2324">
                  <c:v>39238.0</c:v>
                </c:pt>
                <c:pt idx="2325">
                  <c:v>39237.0</c:v>
                </c:pt>
                <c:pt idx="2326">
                  <c:v>39234.0</c:v>
                </c:pt>
                <c:pt idx="2327">
                  <c:v>39233.0</c:v>
                </c:pt>
                <c:pt idx="2328">
                  <c:v>39232.0</c:v>
                </c:pt>
                <c:pt idx="2329">
                  <c:v>39231.0</c:v>
                </c:pt>
                <c:pt idx="2330">
                  <c:v>39230.0</c:v>
                </c:pt>
                <c:pt idx="2331">
                  <c:v>39227.0</c:v>
                </c:pt>
                <c:pt idx="2332">
                  <c:v>39226.0</c:v>
                </c:pt>
                <c:pt idx="2333">
                  <c:v>39225.0</c:v>
                </c:pt>
                <c:pt idx="2334">
                  <c:v>39224.0</c:v>
                </c:pt>
                <c:pt idx="2335">
                  <c:v>39223.0</c:v>
                </c:pt>
                <c:pt idx="2336">
                  <c:v>39220.0</c:v>
                </c:pt>
                <c:pt idx="2337">
                  <c:v>39219.0</c:v>
                </c:pt>
                <c:pt idx="2338">
                  <c:v>39218.0</c:v>
                </c:pt>
                <c:pt idx="2339">
                  <c:v>39217.0</c:v>
                </c:pt>
                <c:pt idx="2340">
                  <c:v>39216.0</c:v>
                </c:pt>
                <c:pt idx="2341">
                  <c:v>39213.0</c:v>
                </c:pt>
                <c:pt idx="2342">
                  <c:v>39212.0</c:v>
                </c:pt>
                <c:pt idx="2343">
                  <c:v>39211.0</c:v>
                </c:pt>
                <c:pt idx="2344">
                  <c:v>39210.0</c:v>
                </c:pt>
                <c:pt idx="2345">
                  <c:v>39209.0</c:v>
                </c:pt>
                <c:pt idx="2346">
                  <c:v>39206.0</c:v>
                </c:pt>
                <c:pt idx="2347">
                  <c:v>39205.0</c:v>
                </c:pt>
                <c:pt idx="2348">
                  <c:v>39204.0</c:v>
                </c:pt>
                <c:pt idx="2349">
                  <c:v>39203.0</c:v>
                </c:pt>
                <c:pt idx="2350">
                  <c:v>39202.0</c:v>
                </c:pt>
                <c:pt idx="2351">
                  <c:v>39199.0</c:v>
                </c:pt>
                <c:pt idx="2352">
                  <c:v>39198.0</c:v>
                </c:pt>
                <c:pt idx="2353">
                  <c:v>39197.0</c:v>
                </c:pt>
                <c:pt idx="2354">
                  <c:v>39196.0</c:v>
                </c:pt>
                <c:pt idx="2355">
                  <c:v>39195.0</c:v>
                </c:pt>
                <c:pt idx="2356">
                  <c:v>39192.0</c:v>
                </c:pt>
                <c:pt idx="2357">
                  <c:v>39191.0</c:v>
                </c:pt>
                <c:pt idx="2358">
                  <c:v>39190.0</c:v>
                </c:pt>
                <c:pt idx="2359">
                  <c:v>39189.0</c:v>
                </c:pt>
                <c:pt idx="2360">
                  <c:v>39188.0</c:v>
                </c:pt>
                <c:pt idx="2361">
                  <c:v>39185.0</c:v>
                </c:pt>
                <c:pt idx="2362">
                  <c:v>39184.0</c:v>
                </c:pt>
                <c:pt idx="2363">
                  <c:v>39183.0</c:v>
                </c:pt>
                <c:pt idx="2364">
                  <c:v>39182.0</c:v>
                </c:pt>
                <c:pt idx="2365">
                  <c:v>39181.0</c:v>
                </c:pt>
                <c:pt idx="2366">
                  <c:v>39178.0</c:v>
                </c:pt>
                <c:pt idx="2367">
                  <c:v>39177.0</c:v>
                </c:pt>
                <c:pt idx="2368">
                  <c:v>39176.0</c:v>
                </c:pt>
                <c:pt idx="2369">
                  <c:v>39175.0</c:v>
                </c:pt>
                <c:pt idx="2370">
                  <c:v>39174.0</c:v>
                </c:pt>
                <c:pt idx="2371">
                  <c:v>39171.0</c:v>
                </c:pt>
                <c:pt idx="2372">
                  <c:v>39170.0</c:v>
                </c:pt>
                <c:pt idx="2373">
                  <c:v>39169.0</c:v>
                </c:pt>
                <c:pt idx="2374">
                  <c:v>39168.0</c:v>
                </c:pt>
                <c:pt idx="2375">
                  <c:v>39167.0</c:v>
                </c:pt>
                <c:pt idx="2376">
                  <c:v>39164.0</c:v>
                </c:pt>
                <c:pt idx="2377">
                  <c:v>39163.0</c:v>
                </c:pt>
                <c:pt idx="2378">
                  <c:v>39162.0</c:v>
                </c:pt>
                <c:pt idx="2379">
                  <c:v>39161.0</c:v>
                </c:pt>
                <c:pt idx="2380">
                  <c:v>39160.0</c:v>
                </c:pt>
                <c:pt idx="2381">
                  <c:v>39157.0</c:v>
                </c:pt>
                <c:pt idx="2382">
                  <c:v>39156.0</c:v>
                </c:pt>
                <c:pt idx="2383">
                  <c:v>39155.0</c:v>
                </c:pt>
                <c:pt idx="2384">
                  <c:v>39154.0</c:v>
                </c:pt>
                <c:pt idx="2385">
                  <c:v>39153.0</c:v>
                </c:pt>
                <c:pt idx="2386">
                  <c:v>39150.0</c:v>
                </c:pt>
                <c:pt idx="2387">
                  <c:v>39149.0</c:v>
                </c:pt>
                <c:pt idx="2388">
                  <c:v>39148.0</c:v>
                </c:pt>
                <c:pt idx="2389">
                  <c:v>39147.0</c:v>
                </c:pt>
                <c:pt idx="2390">
                  <c:v>39146.0</c:v>
                </c:pt>
                <c:pt idx="2391">
                  <c:v>39143.0</c:v>
                </c:pt>
                <c:pt idx="2392">
                  <c:v>39142.0</c:v>
                </c:pt>
                <c:pt idx="2393">
                  <c:v>39141.0</c:v>
                </c:pt>
                <c:pt idx="2394">
                  <c:v>39140.0</c:v>
                </c:pt>
                <c:pt idx="2395">
                  <c:v>39139.0</c:v>
                </c:pt>
                <c:pt idx="2396">
                  <c:v>39136.0</c:v>
                </c:pt>
                <c:pt idx="2397">
                  <c:v>39135.0</c:v>
                </c:pt>
                <c:pt idx="2398">
                  <c:v>39134.0</c:v>
                </c:pt>
                <c:pt idx="2399">
                  <c:v>39133.0</c:v>
                </c:pt>
                <c:pt idx="2400">
                  <c:v>39132.0</c:v>
                </c:pt>
                <c:pt idx="2401">
                  <c:v>39129.0</c:v>
                </c:pt>
                <c:pt idx="2402">
                  <c:v>39128.0</c:v>
                </c:pt>
                <c:pt idx="2403">
                  <c:v>39127.0</c:v>
                </c:pt>
                <c:pt idx="2404">
                  <c:v>39126.0</c:v>
                </c:pt>
                <c:pt idx="2405">
                  <c:v>39125.0</c:v>
                </c:pt>
                <c:pt idx="2406">
                  <c:v>39122.0</c:v>
                </c:pt>
                <c:pt idx="2407">
                  <c:v>39121.0</c:v>
                </c:pt>
                <c:pt idx="2408">
                  <c:v>39120.0</c:v>
                </c:pt>
                <c:pt idx="2409">
                  <c:v>39119.0</c:v>
                </c:pt>
                <c:pt idx="2410">
                  <c:v>39118.0</c:v>
                </c:pt>
                <c:pt idx="2411">
                  <c:v>39115.0</c:v>
                </c:pt>
                <c:pt idx="2412">
                  <c:v>39114.0</c:v>
                </c:pt>
                <c:pt idx="2413">
                  <c:v>39113.0</c:v>
                </c:pt>
                <c:pt idx="2414">
                  <c:v>39112.0</c:v>
                </c:pt>
                <c:pt idx="2415">
                  <c:v>39111.0</c:v>
                </c:pt>
                <c:pt idx="2416">
                  <c:v>39108.0</c:v>
                </c:pt>
                <c:pt idx="2417">
                  <c:v>39107.0</c:v>
                </c:pt>
                <c:pt idx="2418">
                  <c:v>39106.0</c:v>
                </c:pt>
                <c:pt idx="2419">
                  <c:v>39105.0</c:v>
                </c:pt>
                <c:pt idx="2420">
                  <c:v>39104.0</c:v>
                </c:pt>
                <c:pt idx="2421">
                  <c:v>39101.0</c:v>
                </c:pt>
                <c:pt idx="2422">
                  <c:v>39100.0</c:v>
                </c:pt>
                <c:pt idx="2423">
                  <c:v>39099.0</c:v>
                </c:pt>
                <c:pt idx="2424">
                  <c:v>39098.0</c:v>
                </c:pt>
                <c:pt idx="2425">
                  <c:v>39097.0</c:v>
                </c:pt>
                <c:pt idx="2426">
                  <c:v>39094.0</c:v>
                </c:pt>
                <c:pt idx="2427">
                  <c:v>39093.0</c:v>
                </c:pt>
                <c:pt idx="2428">
                  <c:v>39092.0</c:v>
                </c:pt>
                <c:pt idx="2429">
                  <c:v>39091.0</c:v>
                </c:pt>
                <c:pt idx="2430">
                  <c:v>39090.0</c:v>
                </c:pt>
                <c:pt idx="2431">
                  <c:v>39087.0</c:v>
                </c:pt>
                <c:pt idx="2432">
                  <c:v>39086.0</c:v>
                </c:pt>
                <c:pt idx="2433">
                  <c:v>39085.0</c:v>
                </c:pt>
                <c:pt idx="2434">
                  <c:v>39084.0</c:v>
                </c:pt>
                <c:pt idx="2435">
                  <c:v>39083.0</c:v>
                </c:pt>
                <c:pt idx="2436">
                  <c:v>39080.0</c:v>
                </c:pt>
                <c:pt idx="2437">
                  <c:v>39079.0</c:v>
                </c:pt>
                <c:pt idx="2438">
                  <c:v>39078.0</c:v>
                </c:pt>
                <c:pt idx="2439">
                  <c:v>39077.0</c:v>
                </c:pt>
                <c:pt idx="2440">
                  <c:v>39076.0</c:v>
                </c:pt>
                <c:pt idx="2441">
                  <c:v>39073.0</c:v>
                </c:pt>
                <c:pt idx="2442">
                  <c:v>39072.0</c:v>
                </c:pt>
                <c:pt idx="2443">
                  <c:v>39071.0</c:v>
                </c:pt>
                <c:pt idx="2444">
                  <c:v>39070.0</c:v>
                </c:pt>
                <c:pt idx="2445">
                  <c:v>39069.0</c:v>
                </c:pt>
                <c:pt idx="2446">
                  <c:v>39066.0</c:v>
                </c:pt>
                <c:pt idx="2447">
                  <c:v>39065.0</c:v>
                </c:pt>
                <c:pt idx="2448">
                  <c:v>39064.0</c:v>
                </c:pt>
                <c:pt idx="2449">
                  <c:v>39063.0</c:v>
                </c:pt>
                <c:pt idx="2450">
                  <c:v>39062.0</c:v>
                </c:pt>
                <c:pt idx="2451">
                  <c:v>39059.0</c:v>
                </c:pt>
                <c:pt idx="2452">
                  <c:v>39058.0</c:v>
                </c:pt>
                <c:pt idx="2453">
                  <c:v>39057.0</c:v>
                </c:pt>
                <c:pt idx="2454">
                  <c:v>39056.0</c:v>
                </c:pt>
                <c:pt idx="2455">
                  <c:v>39055.0</c:v>
                </c:pt>
                <c:pt idx="2456">
                  <c:v>39052.0</c:v>
                </c:pt>
                <c:pt idx="2457">
                  <c:v>39051.0</c:v>
                </c:pt>
                <c:pt idx="2458">
                  <c:v>39050.0</c:v>
                </c:pt>
                <c:pt idx="2459">
                  <c:v>39049.0</c:v>
                </c:pt>
                <c:pt idx="2460">
                  <c:v>39048.0</c:v>
                </c:pt>
                <c:pt idx="2461">
                  <c:v>39045.0</c:v>
                </c:pt>
                <c:pt idx="2462">
                  <c:v>39044.0</c:v>
                </c:pt>
                <c:pt idx="2463">
                  <c:v>39043.0</c:v>
                </c:pt>
                <c:pt idx="2464">
                  <c:v>39042.0</c:v>
                </c:pt>
                <c:pt idx="2465">
                  <c:v>39041.0</c:v>
                </c:pt>
                <c:pt idx="2466">
                  <c:v>39038.0</c:v>
                </c:pt>
                <c:pt idx="2467">
                  <c:v>39037.0</c:v>
                </c:pt>
                <c:pt idx="2468">
                  <c:v>39036.0</c:v>
                </c:pt>
                <c:pt idx="2469">
                  <c:v>39035.0</c:v>
                </c:pt>
                <c:pt idx="2470">
                  <c:v>39034.0</c:v>
                </c:pt>
                <c:pt idx="2471">
                  <c:v>39031.0</c:v>
                </c:pt>
                <c:pt idx="2472">
                  <c:v>39030.0</c:v>
                </c:pt>
                <c:pt idx="2473">
                  <c:v>39029.0</c:v>
                </c:pt>
                <c:pt idx="2474">
                  <c:v>39028.0</c:v>
                </c:pt>
                <c:pt idx="2475">
                  <c:v>39027.0</c:v>
                </c:pt>
                <c:pt idx="2476">
                  <c:v>39024.0</c:v>
                </c:pt>
                <c:pt idx="2477">
                  <c:v>39023.0</c:v>
                </c:pt>
                <c:pt idx="2478">
                  <c:v>39022.0</c:v>
                </c:pt>
                <c:pt idx="2479">
                  <c:v>39021.0</c:v>
                </c:pt>
                <c:pt idx="2480">
                  <c:v>39020.0</c:v>
                </c:pt>
                <c:pt idx="2481">
                  <c:v>39017.0</c:v>
                </c:pt>
                <c:pt idx="2482">
                  <c:v>39016.0</c:v>
                </c:pt>
                <c:pt idx="2483">
                  <c:v>39015.0</c:v>
                </c:pt>
                <c:pt idx="2484">
                  <c:v>39014.0</c:v>
                </c:pt>
                <c:pt idx="2485">
                  <c:v>39013.0</c:v>
                </c:pt>
                <c:pt idx="2486">
                  <c:v>39010.0</c:v>
                </c:pt>
                <c:pt idx="2487">
                  <c:v>39009.0</c:v>
                </c:pt>
                <c:pt idx="2488">
                  <c:v>39008.0</c:v>
                </c:pt>
                <c:pt idx="2489">
                  <c:v>39007.0</c:v>
                </c:pt>
                <c:pt idx="2490">
                  <c:v>39006.0</c:v>
                </c:pt>
                <c:pt idx="2491">
                  <c:v>39003.0</c:v>
                </c:pt>
                <c:pt idx="2492">
                  <c:v>39002.0</c:v>
                </c:pt>
                <c:pt idx="2493">
                  <c:v>39001.0</c:v>
                </c:pt>
                <c:pt idx="2494">
                  <c:v>39000.0</c:v>
                </c:pt>
                <c:pt idx="2495">
                  <c:v>38999.0</c:v>
                </c:pt>
                <c:pt idx="2496">
                  <c:v>38996.0</c:v>
                </c:pt>
                <c:pt idx="2497">
                  <c:v>38995.0</c:v>
                </c:pt>
                <c:pt idx="2498">
                  <c:v>38994.0</c:v>
                </c:pt>
                <c:pt idx="2499">
                  <c:v>38993.0</c:v>
                </c:pt>
                <c:pt idx="2500">
                  <c:v>38992.0</c:v>
                </c:pt>
                <c:pt idx="2501">
                  <c:v>38989.0</c:v>
                </c:pt>
                <c:pt idx="2502">
                  <c:v>38988.0</c:v>
                </c:pt>
                <c:pt idx="2503">
                  <c:v>38987.0</c:v>
                </c:pt>
                <c:pt idx="2504">
                  <c:v>38986.0</c:v>
                </c:pt>
                <c:pt idx="2505">
                  <c:v>38985.0</c:v>
                </c:pt>
                <c:pt idx="2506">
                  <c:v>38982.0</c:v>
                </c:pt>
                <c:pt idx="2507">
                  <c:v>38981.0</c:v>
                </c:pt>
                <c:pt idx="2508">
                  <c:v>38980.0</c:v>
                </c:pt>
                <c:pt idx="2509">
                  <c:v>38979.0</c:v>
                </c:pt>
                <c:pt idx="2510">
                  <c:v>38978.0</c:v>
                </c:pt>
                <c:pt idx="2511">
                  <c:v>38975.0</c:v>
                </c:pt>
                <c:pt idx="2512">
                  <c:v>38974.0</c:v>
                </c:pt>
                <c:pt idx="2513">
                  <c:v>38973.0</c:v>
                </c:pt>
                <c:pt idx="2514">
                  <c:v>38972.0</c:v>
                </c:pt>
                <c:pt idx="2515">
                  <c:v>38971.0</c:v>
                </c:pt>
                <c:pt idx="2516">
                  <c:v>38968.0</c:v>
                </c:pt>
                <c:pt idx="2517">
                  <c:v>38967.0</c:v>
                </c:pt>
                <c:pt idx="2518">
                  <c:v>38966.0</c:v>
                </c:pt>
                <c:pt idx="2519">
                  <c:v>38965.0</c:v>
                </c:pt>
                <c:pt idx="2520">
                  <c:v>38964.0</c:v>
                </c:pt>
                <c:pt idx="2521">
                  <c:v>38961.0</c:v>
                </c:pt>
                <c:pt idx="2522">
                  <c:v>38960.0</c:v>
                </c:pt>
                <c:pt idx="2523">
                  <c:v>38959.0</c:v>
                </c:pt>
                <c:pt idx="2524">
                  <c:v>38958.0</c:v>
                </c:pt>
                <c:pt idx="2525">
                  <c:v>38957.0</c:v>
                </c:pt>
                <c:pt idx="2526">
                  <c:v>38954.0</c:v>
                </c:pt>
                <c:pt idx="2527">
                  <c:v>38953.0</c:v>
                </c:pt>
                <c:pt idx="2528">
                  <c:v>38952.0</c:v>
                </c:pt>
                <c:pt idx="2529">
                  <c:v>38951.0</c:v>
                </c:pt>
                <c:pt idx="2530">
                  <c:v>38950.0</c:v>
                </c:pt>
                <c:pt idx="2531">
                  <c:v>38947.0</c:v>
                </c:pt>
                <c:pt idx="2532">
                  <c:v>38946.0</c:v>
                </c:pt>
                <c:pt idx="2533">
                  <c:v>38945.0</c:v>
                </c:pt>
                <c:pt idx="2534">
                  <c:v>38944.0</c:v>
                </c:pt>
                <c:pt idx="2535">
                  <c:v>38943.0</c:v>
                </c:pt>
                <c:pt idx="2536">
                  <c:v>38940.0</c:v>
                </c:pt>
                <c:pt idx="2537">
                  <c:v>38939.0</c:v>
                </c:pt>
                <c:pt idx="2538">
                  <c:v>38938.0</c:v>
                </c:pt>
                <c:pt idx="2539">
                  <c:v>38937.0</c:v>
                </c:pt>
                <c:pt idx="2540">
                  <c:v>38936.0</c:v>
                </c:pt>
                <c:pt idx="2541">
                  <c:v>38933.0</c:v>
                </c:pt>
                <c:pt idx="2542">
                  <c:v>38932.0</c:v>
                </c:pt>
                <c:pt idx="2543">
                  <c:v>38931.0</c:v>
                </c:pt>
                <c:pt idx="2544">
                  <c:v>38930.0</c:v>
                </c:pt>
                <c:pt idx="2545">
                  <c:v>38929.0</c:v>
                </c:pt>
                <c:pt idx="2546">
                  <c:v>38926.0</c:v>
                </c:pt>
                <c:pt idx="2547">
                  <c:v>38925.0</c:v>
                </c:pt>
                <c:pt idx="2548">
                  <c:v>38924.0</c:v>
                </c:pt>
                <c:pt idx="2549">
                  <c:v>38923.0</c:v>
                </c:pt>
                <c:pt idx="2550">
                  <c:v>38922.0</c:v>
                </c:pt>
                <c:pt idx="2551">
                  <c:v>38919.0</c:v>
                </c:pt>
                <c:pt idx="2552">
                  <c:v>38918.0</c:v>
                </c:pt>
                <c:pt idx="2553">
                  <c:v>38917.0</c:v>
                </c:pt>
                <c:pt idx="2554">
                  <c:v>38916.0</c:v>
                </c:pt>
                <c:pt idx="2555">
                  <c:v>38915.0</c:v>
                </c:pt>
                <c:pt idx="2556">
                  <c:v>38912.0</c:v>
                </c:pt>
                <c:pt idx="2557">
                  <c:v>38911.0</c:v>
                </c:pt>
                <c:pt idx="2558">
                  <c:v>38910.0</c:v>
                </c:pt>
                <c:pt idx="2559">
                  <c:v>38909.0</c:v>
                </c:pt>
                <c:pt idx="2560">
                  <c:v>38908.0</c:v>
                </c:pt>
                <c:pt idx="2561">
                  <c:v>38905.0</c:v>
                </c:pt>
                <c:pt idx="2562">
                  <c:v>38904.0</c:v>
                </c:pt>
                <c:pt idx="2563">
                  <c:v>38903.0</c:v>
                </c:pt>
                <c:pt idx="2564">
                  <c:v>38902.0</c:v>
                </c:pt>
                <c:pt idx="2565">
                  <c:v>38901.0</c:v>
                </c:pt>
                <c:pt idx="2566">
                  <c:v>38898.0</c:v>
                </c:pt>
                <c:pt idx="2567">
                  <c:v>38897.0</c:v>
                </c:pt>
                <c:pt idx="2568">
                  <c:v>38896.0</c:v>
                </c:pt>
                <c:pt idx="2569">
                  <c:v>38895.0</c:v>
                </c:pt>
                <c:pt idx="2570">
                  <c:v>38894.0</c:v>
                </c:pt>
                <c:pt idx="2571">
                  <c:v>38891.0</c:v>
                </c:pt>
                <c:pt idx="2572">
                  <c:v>38890.0</c:v>
                </c:pt>
                <c:pt idx="2573">
                  <c:v>38889.0</c:v>
                </c:pt>
                <c:pt idx="2574">
                  <c:v>38888.0</c:v>
                </c:pt>
                <c:pt idx="2575">
                  <c:v>38887.0</c:v>
                </c:pt>
                <c:pt idx="2576">
                  <c:v>38884.0</c:v>
                </c:pt>
                <c:pt idx="2577">
                  <c:v>38883.0</c:v>
                </c:pt>
                <c:pt idx="2578">
                  <c:v>38882.0</c:v>
                </c:pt>
                <c:pt idx="2579">
                  <c:v>38881.0</c:v>
                </c:pt>
                <c:pt idx="2580">
                  <c:v>38880.0</c:v>
                </c:pt>
                <c:pt idx="2581">
                  <c:v>38877.0</c:v>
                </c:pt>
                <c:pt idx="2582">
                  <c:v>38876.0</c:v>
                </c:pt>
                <c:pt idx="2583">
                  <c:v>38875.0</c:v>
                </c:pt>
                <c:pt idx="2584">
                  <c:v>38874.0</c:v>
                </c:pt>
                <c:pt idx="2585">
                  <c:v>38873.0</c:v>
                </c:pt>
                <c:pt idx="2586">
                  <c:v>38870.0</c:v>
                </c:pt>
                <c:pt idx="2587">
                  <c:v>38869.0</c:v>
                </c:pt>
                <c:pt idx="2588">
                  <c:v>38868.0</c:v>
                </c:pt>
                <c:pt idx="2589">
                  <c:v>38867.0</c:v>
                </c:pt>
                <c:pt idx="2590">
                  <c:v>38866.0</c:v>
                </c:pt>
                <c:pt idx="2591">
                  <c:v>38863.0</c:v>
                </c:pt>
                <c:pt idx="2592">
                  <c:v>38862.0</c:v>
                </c:pt>
                <c:pt idx="2593">
                  <c:v>38861.0</c:v>
                </c:pt>
                <c:pt idx="2594">
                  <c:v>38860.0</c:v>
                </c:pt>
                <c:pt idx="2595">
                  <c:v>38859.0</c:v>
                </c:pt>
                <c:pt idx="2596">
                  <c:v>38856.0</c:v>
                </c:pt>
                <c:pt idx="2597">
                  <c:v>38855.0</c:v>
                </c:pt>
                <c:pt idx="2598">
                  <c:v>38854.0</c:v>
                </c:pt>
                <c:pt idx="2599">
                  <c:v>38853.0</c:v>
                </c:pt>
                <c:pt idx="2600">
                  <c:v>38852.0</c:v>
                </c:pt>
                <c:pt idx="2601">
                  <c:v>38849.0</c:v>
                </c:pt>
                <c:pt idx="2602">
                  <c:v>38848.0</c:v>
                </c:pt>
                <c:pt idx="2603">
                  <c:v>38847.0</c:v>
                </c:pt>
                <c:pt idx="2604">
                  <c:v>38846.0</c:v>
                </c:pt>
                <c:pt idx="2605">
                  <c:v>38845.0</c:v>
                </c:pt>
                <c:pt idx="2606">
                  <c:v>38842.0</c:v>
                </c:pt>
              </c:numCache>
            </c:numRef>
          </c:cat>
          <c:val>
            <c:numRef>
              <c:f>'3f. Exchange Rate USDZAR'!$B$10:$B$2616</c:f>
              <c:numCache>
                <c:formatCode>0.00</c:formatCode>
                <c:ptCount val="2607"/>
                <c:pt idx="0">
                  <c:v>14.9047</c:v>
                </c:pt>
                <c:pt idx="1">
                  <c:v>14.5958</c:v>
                </c:pt>
                <c:pt idx="2">
                  <c:v>14.3226</c:v>
                </c:pt>
                <c:pt idx="3">
                  <c:v>14.2506</c:v>
                </c:pt>
                <c:pt idx="4">
                  <c:v>14.2742</c:v>
                </c:pt>
                <c:pt idx="5">
                  <c:v>14.5218</c:v>
                </c:pt>
                <c:pt idx="6">
                  <c:v>14.4132</c:v>
                </c:pt>
                <c:pt idx="7">
                  <c:v>14.4981</c:v>
                </c:pt>
                <c:pt idx="8">
                  <c:v>14.427</c:v>
                </c:pt>
                <c:pt idx="9">
                  <c:v>14.2876</c:v>
                </c:pt>
                <c:pt idx="10">
                  <c:v>14.2185</c:v>
                </c:pt>
                <c:pt idx="11">
                  <c:v>14.3138</c:v>
                </c:pt>
                <c:pt idx="12">
                  <c:v>14.4606</c:v>
                </c:pt>
                <c:pt idx="13">
                  <c:v>14.5674</c:v>
                </c:pt>
                <c:pt idx="14">
                  <c:v>14.5563</c:v>
                </c:pt>
                <c:pt idx="15">
                  <c:v>14.5776</c:v>
                </c:pt>
                <c:pt idx="16">
                  <c:v>14.7463</c:v>
                </c:pt>
                <c:pt idx="17">
                  <c:v>14.7045</c:v>
                </c:pt>
                <c:pt idx="18">
                  <c:v>14.9888</c:v>
                </c:pt>
                <c:pt idx="19">
                  <c:v>15.2295</c:v>
                </c:pt>
                <c:pt idx="20">
                  <c:v>15.2064</c:v>
                </c:pt>
                <c:pt idx="21">
                  <c:v>15.1367</c:v>
                </c:pt>
                <c:pt idx="22">
                  <c:v>14.7136</c:v>
                </c:pt>
                <c:pt idx="23">
                  <c:v>14.6378</c:v>
                </c:pt>
                <c:pt idx="24">
                  <c:v>14.6915</c:v>
                </c:pt>
                <c:pt idx="25">
                  <c:v>14.9482</c:v>
                </c:pt>
                <c:pt idx="26">
                  <c:v>15.2443</c:v>
                </c:pt>
                <c:pt idx="27">
                  <c:v>15.5498</c:v>
                </c:pt>
                <c:pt idx="28">
                  <c:v>15.4642</c:v>
                </c:pt>
                <c:pt idx="29">
                  <c:v>15.5344</c:v>
                </c:pt>
                <c:pt idx="30">
                  <c:v>15.3721</c:v>
                </c:pt>
                <c:pt idx="31">
                  <c:v>15.2115</c:v>
                </c:pt>
                <c:pt idx="32">
                  <c:v>15.2183</c:v>
                </c:pt>
                <c:pt idx="33">
                  <c:v>15.2684</c:v>
                </c:pt>
                <c:pt idx="34">
                  <c:v>15.1658</c:v>
                </c:pt>
                <c:pt idx="35">
                  <c:v>15.9532</c:v>
                </c:pt>
                <c:pt idx="36">
                  <c:v>15.9192</c:v>
                </c:pt>
                <c:pt idx="37">
                  <c:v>15.5431</c:v>
                </c:pt>
                <c:pt idx="38">
                  <c:v>15.2697</c:v>
                </c:pt>
                <c:pt idx="39">
                  <c:v>15.4536</c:v>
                </c:pt>
                <c:pt idx="40">
                  <c:v>15.2074</c:v>
                </c:pt>
                <c:pt idx="41">
                  <c:v>15.4142</c:v>
                </c:pt>
                <c:pt idx="42">
                  <c:v>15.2394</c:v>
                </c:pt>
                <c:pt idx="43">
                  <c:v>15.2973</c:v>
                </c:pt>
                <c:pt idx="44">
                  <c:v>15.5856</c:v>
                </c:pt>
                <c:pt idx="45">
                  <c:v>15.6195</c:v>
                </c:pt>
                <c:pt idx="46">
                  <c:v>15.5902</c:v>
                </c:pt>
                <c:pt idx="47">
                  <c:v>15.8158</c:v>
                </c:pt>
                <c:pt idx="48">
                  <c:v>16.2368</c:v>
                </c:pt>
                <c:pt idx="49">
                  <c:v>15.6523</c:v>
                </c:pt>
                <c:pt idx="50">
                  <c:v>15.6261</c:v>
                </c:pt>
                <c:pt idx="51">
                  <c:v>15.198</c:v>
                </c:pt>
                <c:pt idx="52">
                  <c:v>15.175</c:v>
                </c:pt>
                <c:pt idx="53">
                  <c:v>15.4124</c:v>
                </c:pt>
                <c:pt idx="54">
                  <c:v>15.4205</c:v>
                </c:pt>
                <c:pt idx="55">
                  <c:v>15.4771</c:v>
                </c:pt>
                <c:pt idx="56">
                  <c:v>15.7462</c:v>
                </c:pt>
                <c:pt idx="57">
                  <c:v>15.749</c:v>
                </c:pt>
                <c:pt idx="58">
                  <c:v>15.8356</c:v>
                </c:pt>
                <c:pt idx="59">
                  <c:v>15.8134</c:v>
                </c:pt>
                <c:pt idx="60">
                  <c:v>15.8493</c:v>
                </c:pt>
                <c:pt idx="61">
                  <c:v>16.0581</c:v>
                </c:pt>
                <c:pt idx="62">
                  <c:v>16.1469</c:v>
                </c:pt>
                <c:pt idx="63">
                  <c:v>15.9771</c:v>
                </c:pt>
                <c:pt idx="64">
                  <c:v>15.8752</c:v>
                </c:pt>
                <c:pt idx="65">
                  <c:v>16.1204</c:v>
                </c:pt>
                <c:pt idx="66">
                  <c:v>16.1749</c:v>
                </c:pt>
                <c:pt idx="67">
                  <c:v>15.9623</c:v>
                </c:pt>
                <c:pt idx="68">
                  <c:v>15.9083</c:v>
                </c:pt>
                <c:pt idx="69">
                  <c:v>16.168</c:v>
                </c:pt>
                <c:pt idx="70">
                  <c:v>16.3971</c:v>
                </c:pt>
                <c:pt idx="71">
                  <c:v>16.372</c:v>
                </c:pt>
                <c:pt idx="72">
                  <c:v>16.5157</c:v>
                </c:pt>
                <c:pt idx="73">
                  <c:v>16.483</c:v>
                </c:pt>
                <c:pt idx="74">
                  <c:v>16.5119</c:v>
                </c:pt>
                <c:pt idx="75">
                  <c:v>16.8787</c:v>
                </c:pt>
                <c:pt idx="76">
                  <c:v>16.7264</c:v>
                </c:pt>
                <c:pt idx="77">
                  <c:v>16.8156</c:v>
                </c:pt>
                <c:pt idx="78">
                  <c:v>16.7977</c:v>
                </c:pt>
                <c:pt idx="79">
                  <c:v>16.4593</c:v>
                </c:pt>
                <c:pt idx="80">
                  <c:v>16.4638</c:v>
                </c:pt>
                <c:pt idx="81">
                  <c:v>16.7682</c:v>
                </c:pt>
                <c:pt idx="82">
                  <c:v>16.9238</c:v>
                </c:pt>
                <c:pt idx="83">
                  <c:v>16.1761</c:v>
                </c:pt>
                <c:pt idx="84">
                  <c:v>15.9492</c:v>
                </c:pt>
                <c:pt idx="85">
                  <c:v>15.8279</c:v>
                </c:pt>
                <c:pt idx="86">
                  <c:v>15.6188</c:v>
                </c:pt>
                <c:pt idx="87">
                  <c:v>15.6028</c:v>
                </c:pt>
                <c:pt idx="88">
                  <c:v>15.4754</c:v>
                </c:pt>
                <c:pt idx="89">
                  <c:v>15.4868</c:v>
                </c:pt>
                <c:pt idx="90">
                  <c:v>15.5613</c:v>
                </c:pt>
                <c:pt idx="91">
                  <c:v>15.3056</c:v>
                </c:pt>
                <c:pt idx="92">
                  <c:v>15.3138</c:v>
                </c:pt>
                <c:pt idx="93">
                  <c:v>15.2299</c:v>
                </c:pt>
                <c:pt idx="94">
                  <c:v>15.294</c:v>
                </c:pt>
                <c:pt idx="95">
                  <c:v>15.2186</c:v>
                </c:pt>
                <c:pt idx="96">
                  <c:v>15.1922</c:v>
                </c:pt>
                <c:pt idx="97">
                  <c:v>15.1031</c:v>
                </c:pt>
                <c:pt idx="98">
                  <c:v>15.0964</c:v>
                </c:pt>
                <c:pt idx="99">
                  <c:v>15.163</c:v>
                </c:pt>
                <c:pt idx="100">
                  <c:v>15.0322</c:v>
                </c:pt>
                <c:pt idx="101">
                  <c:v>14.9421</c:v>
                </c:pt>
                <c:pt idx="102">
                  <c:v>15.1248</c:v>
                </c:pt>
                <c:pt idx="103">
                  <c:v>15.7558</c:v>
                </c:pt>
                <c:pt idx="104">
                  <c:v>15.2698</c:v>
                </c:pt>
                <c:pt idx="105">
                  <c:v>14.5936</c:v>
                </c:pt>
                <c:pt idx="106">
                  <c:v>14.5663</c:v>
                </c:pt>
                <c:pt idx="107">
                  <c:v>14.5236</c:v>
                </c:pt>
                <c:pt idx="108">
                  <c:v>14.3451</c:v>
                </c:pt>
                <c:pt idx="109">
                  <c:v>14.345</c:v>
                </c:pt>
                <c:pt idx="110">
                  <c:v>14.3688</c:v>
                </c:pt>
                <c:pt idx="111">
                  <c:v>14.4374</c:v>
                </c:pt>
                <c:pt idx="112">
                  <c:v>14.4916</c:v>
                </c:pt>
                <c:pt idx="113">
                  <c:v>14.4018</c:v>
                </c:pt>
                <c:pt idx="114">
                  <c:v>14.1374</c:v>
                </c:pt>
                <c:pt idx="115">
                  <c:v>14.0148</c:v>
                </c:pt>
                <c:pt idx="116">
                  <c:v>14.0931</c:v>
                </c:pt>
                <c:pt idx="117">
                  <c:v>13.963</c:v>
                </c:pt>
                <c:pt idx="118">
                  <c:v>14.0416</c:v>
                </c:pt>
                <c:pt idx="119">
                  <c:v>14.1936</c:v>
                </c:pt>
                <c:pt idx="120">
                  <c:v>14.2769</c:v>
                </c:pt>
                <c:pt idx="121">
                  <c:v>14.3766</c:v>
                </c:pt>
                <c:pt idx="122">
                  <c:v>14.3949</c:v>
                </c:pt>
                <c:pt idx="123">
                  <c:v>14.1917</c:v>
                </c:pt>
                <c:pt idx="124">
                  <c:v>14.2536</c:v>
                </c:pt>
                <c:pt idx="125">
                  <c:v>14.3122</c:v>
                </c:pt>
                <c:pt idx="126">
                  <c:v>14.1879</c:v>
                </c:pt>
                <c:pt idx="127">
                  <c:v>13.9071</c:v>
                </c:pt>
                <c:pt idx="128">
                  <c:v>13.9773</c:v>
                </c:pt>
                <c:pt idx="129">
                  <c:v>13.7733</c:v>
                </c:pt>
                <c:pt idx="130">
                  <c:v>13.7805</c:v>
                </c:pt>
                <c:pt idx="131">
                  <c:v>13.8246</c:v>
                </c:pt>
                <c:pt idx="132">
                  <c:v>13.8577</c:v>
                </c:pt>
                <c:pt idx="133">
                  <c:v>13.5882</c:v>
                </c:pt>
                <c:pt idx="134">
                  <c:v>13.6729</c:v>
                </c:pt>
                <c:pt idx="135">
                  <c:v>13.641</c:v>
                </c:pt>
                <c:pt idx="136">
                  <c:v>13.6513</c:v>
                </c:pt>
                <c:pt idx="137">
                  <c:v>13.4123</c:v>
                </c:pt>
                <c:pt idx="138">
                  <c:v>13.4958</c:v>
                </c:pt>
                <c:pt idx="139">
                  <c:v>13.28</c:v>
                </c:pt>
                <c:pt idx="140">
                  <c:v>13.2623</c:v>
                </c:pt>
                <c:pt idx="141">
                  <c:v>13.0833</c:v>
                </c:pt>
                <c:pt idx="142">
                  <c:v>13.0578</c:v>
                </c:pt>
                <c:pt idx="143">
                  <c:v>13.3</c:v>
                </c:pt>
                <c:pt idx="144">
                  <c:v>13.4594</c:v>
                </c:pt>
                <c:pt idx="145">
                  <c:v>13.2682</c:v>
                </c:pt>
                <c:pt idx="146">
                  <c:v>13.3446</c:v>
                </c:pt>
                <c:pt idx="147">
                  <c:v>13.3901</c:v>
                </c:pt>
                <c:pt idx="148">
                  <c:v>13.4093</c:v>
                </c:pt>
                <c:pt idx="149">
                  <c:v>13.5483</c:v>
                </c:pt>
                <c:pt idx="150">
                  <c:v>13.6125</c:v>
                </c:pt>
                <c:pt idx="151">
                  <c:v>13.7817</c:v>
                </c:pt>
                <c:pt idx="152">
                  <c:v>13.9111</c:v>
                </c:pt>
                <c:pt idx="153">
                  <c:v>13.8633</c:v>
                </c:pt>
                <c:pt idx="154">
                  <c:v>13.9855</c:v>
                </c:pt>
                <c:pt idx="155">
                  <c:v>14.0685</c:v>
                </c:pt>
                <c:pt idx="156">
                  <c:v>13.8682</c:v>
                </c:pt>
                <c:pt idx="157">
                  <c:v>13.8897</c:v>
                </c:pt>
                <c:pt idx="158">
                  <c:v>13.8526</c:v>
                </c:pt>
                <c:pt idx="159">
                  <c:v>13.6981</c:v>
                </c:pt>
                <c:pt idx="160">
                  <c:v>13.4764</c:v>
                </c:pt>
                <c:pt idx="161">
                  <c:v>13.2746</c:v>
                </c:pt>
                <c:pt idx="162">
                  <c:v>13.3635</c:v>
                </c:pt>
                <c:pt idx="163">
                  <c:v>13.2863</c:v>
                </c:pt>
                <c:pt idx="164">
                  <c:v>13.4607</c:v>
                </c:pt>
                <c:pt idx="165">
                  <c:v>13.519</c:v>
                </c:pt>
                <c:pt idx="166">
                  <c:v>13.554</c:v>
                </c:pt>
                <c:pt idx="167">
                  <c:v>13.6301</c:v>
                </c:pt>
                <c:pt idx="168">
                  <c:v>13.7109</c:v>
                </c:pt>
                <c:pt idx="169">
                  <c:v>13.7295</c:v>
                </c:pt>
                <c:pt idx="170">
                  <c:v>13.9551</c:v>
                </c:pt>
                <c:pt idx="171">
                  <c:v>13.862</c:v>
                </c:pt>
                <c:pt idx="172">
                  <c:v>13.5401</c:v>
                </c:pt>
                <c:pt idx="173">
                  <c:v>13.4429</c:v>
                </c:pt>
                <c:pt idx="174">
                  <c:v>13.4135</c:v>
                </c:pt>
                <c:pt idx="175">
                  <c:v>13.2624</c:v>
                </c:pt>
                <c:pt idx="176">
                  <c:v>13.3088</c:v>
                </c:pt>
                <c:pt idx="177">
                  <c:v>13.1312</c:v>
                </c:pt>
                <c:pt idx="178">
                  <c:v>13.1519</c:v>
                </c:pt>
                <c:pt idx="179">
                  <c:v>13.0738</c:v>
                </c:pt>
                <c:pt idx="180">
                  <c:v>13.1458</c:v>
                </c:pt>
                <c:pt idx="181">
                  <c:v>12.9387</c:v>
                </c:pt>
                <c:pt idx="182">
                  <c:v>12.8552</c:v>
                </c:pt>
                <c:pt idx="183">
                  <c:v>12.9414</c:v>
                </c:pt>
                <c:pt idx="184">
                  <c:v>12.9166</c:v>
                </c:pt>
                <c:pt idx="185">
                  <c:v>12.8939</c:v>
                </c:pt>
                <c:pt idx="186">
                  <c:v>12.7935</c:v>
                </c:pt>
                <c:pt idx="187">
                  <c:v>12.814</c:v>
                </c:pt>
                <c:pt idx="188">
                  <c:v>12.7648</c:v>
                </c:pt>
                <c:pt idx="189">
                  <c:v>12.8042</c:v>
                </c:pt>
                <c:pt idx="190">
                  <c:v>12.6523</c:v>
                </c:pt>
                <c:pt idx="191">
                  <c:v>12.629</c:v>
                </c:pt>
                <c:pt idx="192">
                  <c:v>12.7411</c:v>
                </c:pt>
                <c:pt idx="193">
                  <c:v>12.806</c:v>
                </c:pt>
                <c:pt idx="194">
                  <c:v>12.6536</c:v>
                </c:pt>
                <c:pt idx="195">
                  <c:v>12.6987</c:v>
                </c:pt>
                <c:pt idx="196">
                  <c:v>12.672</c:v>
                </c:pt>
                <c:pt idx="197">
                  <c:v>12.7298</c:v>
                </c:pt>
                <c:pt idx="198">
                  <c:v>12.503</c:v>
                </c:pt>
                <c:pt idx="199">
                  <c:v>12.5654</c:v>
                </c:pt>
                <c:pt idx="200">
                  <c:v>12.6241</c:v>
                </c:pt>
                <c:pt idx="201">
                  <c:v>12.6481</c:v>
                </c:pt>
                <c:pt idx="202">
                  <c:v>12.4456</c:v>
                </c:pt>
                <c:pt idx="203">
                  <c:v>12.4249</c:v>
                </c:pt>
                <c:pt idx="204">
                  <c:v>12.3317</c:v>
                </c:pt>
                <c:pt idx="205">
                  <c:v>12.4368</c:v>
                </c:pt>
                <c:pt idx="206">
                  <c:v>12.3405</c:v>
                </c:pt>
                <c:pt idx="207">
                  <c:v>12.3873</c:v>
                </c:pt>
                <c:pt idx="208">
                  <c:v>12.4231</c:v>
                </c:pt>
                <c:pt idx="209">
                  <c:v>12.3364</c:v>
                </c:pt>
                <c:pt idx="210">
                  <c:v>12.4409</c:v>
                </c:pt>
                <c:pt idx="211">
                  <c:v>12.4909</c:v>
                </c:pt>
                <c:pt idx="212">
                  <c:v>12.5237</c:v>
                </c:pt>
                <c:pt idx="213">
                  <c:v>12.5278</c:v>
                </c:pt>
                <c:pt idx="214">
                  <c:v>12.5232</c:v>
                </c:pt>
                <c:pt idx="215">
                  <c:v>12.3737</c:v>
                </c:pt>
                <c:pt idx="216">
                  <c:v>12.3128</c:v>
                </c:pt>
                <c:pt idx="217">
                  <c:v>12.2661</c:v>
                </c:pt>
                <c:pt idx="218">
                  <c:v>12.2471</c:v>
                </c:pt>
                <c:pt idx="219">
                  <c:v>12.1514</c:v>
                </c:pt>
                <c:pt idx="220">
                  <c:v>12.2748</c:v>
                </c:pt>
                <c:pt idx="221">
                  <c:v>12.197</c:v>
                </c:pt>
                <c:pt idx="222">
                  <c:v>12.0997</c:v>
                </c:pt>
                <c:pt idx="223">
                  <c:v>12.1255</c:v>
                </c:pt>
                <c:pt idx="224">
                  <c:v>12.2084</c:v>
                </c:pt>
                <c:pt idx="225">
                  <c:v>12.1131</c:v>
                </c:pt>
                <c:pt idx="226">
                  <c:v>12.1526</c:v>
                </c:pt>
                <c:pt idx="227">
                  <c:v>12.2068</c:v>
                </c:pt>
                <c:pt idx="228">
                  <c:v>12.3959</c:v>
                </c:pt>
                <c:pt idx="229">
                  <c:v>12.3843</c:v>
                </c:pt>
                <c:pt idx="230">
                  <c:v>12.3963</c:v>
                </c:pt>
                <c:pt idx="231">
                  <c:v>12.3843</c:v>
                </c:pt>
                <c:pt idx="232">
                  <c:v>12.3608</c:v>
                </c:pt>
                <c:pt idx="233">
                  <c:v>12.301</c:v>
                </c:pt>
                <c:pt idx="234">
                  <c:v>12.4401</c:v>
                </c:pt>
                <c:pt idx="235">
                  <c:v>12.5455</c:v>
                </c:pt>
                <c:pt idx="236">
                  <c:v>12.5794</c:v>
                </c:pt>
                <c:pt idx="237">
                  <c:v>12.3549</c:v>
                </c:pt>
                <c:pt idx="238">
                  <c:v>12.294</c:v>
                </c:pt>
                <c:pt idx="239">
                  <c:v>12.1946</c:v>
                </c:pt>
                <c:pt idx="240">
                  <c:v>12.2635</c:v>
                </c:pt>
                <c:pt idx="241">
                  <c:v>12.1556</c:v>
                </c:pt>
                <c:pt idx="242">
                  <c:v>12.1535</c:v>
                </c:pt>
                <c:pt idx="243">
                  <c:v>12.0667</c:v>
                </c:pt>
                <c:pt idx="244">
                  <c:v>12.0793</c:v>
                </c:pt>
                <c:pt idx="245">
                  <c:v>11.9438</c:v>
                </c:pt>
                <c:pt idx="246">
                  <c:v>11.8774</c:v>
                </c:pt>
                <c:pt idx="247">
                  <c:v>11.8321</c:v>
                </c:pt>
                <c:pt idx="248">
                  <c:v>11.8858</c:v>
                </c:pt>
                <c:pt idx="249">
                  <c:v>11.9201</c:v>
                </c:pt>
                <c:pt idx="250">
                  <c:v>11.8497</c:v>
                </c:pt>
                <c:pt idx="251">
                  <c:v>11.7669</c:v>
                </c:pt>
                <c:pt idx="252">
                  <c:v>11.8065</c:v>
                </c:pt>
                <c:pt idx="253">
                  <c:v>11.8794</c:v>
                </c:pt>
                <c:pt idx="254">
                  <c:v>12.0412</c:v>
                </c:pt>
                <c:pt idx="255">
                  <c:v>12.0657</c:v>
                </c:pt>
                <c:pt idx="256">
                  <c:v>11.9199</c:v>
                </c:pt>
                <c:pt idx="257">
                  <c:v>12.0204</c:v>
                </c:pt>
                <c:pt idx="258">
                  <c:v>12.0181</c:v>
                </c:pt>
                <c:pt idx="259">
                  <c:v>11.9874</c:v>
                </c:pt>
                <c:pt idx="260">
                  <c:v>12.0599</c:v>
                </c:pt>
                <c:pt idx="261">
                  <c:v>12.0724</c:v>
                </c:pt>
                <c:pt idx="262">
                  <c:v>11.9146</c:v>
                </c:pt>
                <c:pt idx="263">
                  <c:v>11.7451</c:v>
                </c:pt>
                <c:pt idx="264">
                  <c:v>11.8401</c:v>
                </c:pt>
                <c:pt idx="265">
                  <c:v>11.9732</c:v>
                </c:pt>
                <c:pt idx="266">
                  <c:v>12.1442</c:v>
                </c:pt>
                <c:pt idx="267">
                  <c:v>12.1554</c:v>
                </c:pt>
                <c:pt idx="268">
                  <c:v>12.209</c:v>
                </c:pt>
                <c:pt idx="269">
                  <c:v>12.1211</c:v>
                </c:pt>
                <c:pt idx="270">
                  <c:v>12.1001</c:v>
                </c:pt>
                <c:pt idx="271">
                  <c:v>12.0667</c:v>
                </c:pt>
                <c:pt idx="272">
                  <c:v>11.9848</c:v>
                </c:pt>
                <c:pt idx="273">
                  <c:v>12.1479</c:v>
                </c:pt>
                <c:pt idx="274">
                  <c:v>12.0091</c:v>
                </c:pt>
                <c:pt idx="275">
                  <c:v>12.1125</c:v>
                </c:pt>
                <c:pt idx="276">
                  <c:v>11.9922</c:v>
                </c:pt>
                <c:pt idx="277">
                  <c:v>11.9197</c:v>
                </c:pt>
                <c:pt idx="278">
                  <c:v>11.8042</c:v>
                </c:pt>
                <c:pt idx="279">
                  <c:v>11.8487</c:v>
                </c:pt>
                <c:pt idx="280">
                  <c:v>11.7566</c:v>
                </c:pt>
                <c:pt idx="281">
                  <c:v>11.7857</c:v>
                </c:pt>
                <c:pt idx="282">
                  <c:v>11.9581</c:v>
                </c:pt>
                <c:pt idx="283">
                  <c:v>11.9725</c:v>
                </c:pt>
                <c:pt idx="284">
                  <c:v>12.1422</c:v>
                </c:pt>
                <c:pt idx="285">
                  <c:v>12.139</c:v>
                </c:pt>
                <c:pt idx="286">
                  <c:v>12.025</c:v>
                </c:pt>
                <c:pt idx="287">
                  <c:v>11.9829</c:v>
                </c:pt>
                <c:pt idx="288">
                  <c:v>11.8533</c:v>
                </c:pt>
                <c:pt idx="289">
                  <c:v>11.7992</c:v>
                </c:pt>
                <c:pt idx="290">
                  <c:v>11.9141</c:v>
                </c:pt>
                <c:pt idx="291">
                  <c:v>12.0173</c:v>
                </c:pt>
                <c:pt idx="292">
                  <c:v>12.3306</c:v>
                </c:pt>
                <c:pt idx="293">
                  <c:v>12.3568</c:v>
                </c:pt>
                <c:pt idx="294">
                  <c:v>12.3727</c:v>
                </c:pt>
                <c:pt idx="295">
                  <c:v>12.3844</c:v>
                </c:pt>
                <c:pt idx="296">
                  <c:v>12.4609</c:v>
                </c:pt>
                <c:pt idx="297">
                  <c:v>12.2743</c:v>
                </c:pt>
                <c:pt idx="298">
                  <c:v>12.2661</c:v>
                </c:pt>
                <c:pt idx="299">
                  <c:v>12.3129</c:v>
                </c:pt>
                <c:pt idx="300">
                  <c:v>12.0835</c:v>
                </c:pt>
                <c:pt idx="301">
                  <c:v>12.053</c:v>
                </c:pt>
                <c:pt idx="302">
                  <c:v>11.8606</c:v>
                </c:pt>
                <c:pt idx="303">
                  <c:v>11.8109</c:v>
                </c:pt>
                <c:pt idx="304">
                  <c:v>11.7472</c:v>
                </c:pt>
                <c:pt idx="305">
                  <c:v>11.7708</c:v>
                </c:pt>
                <c:pt idx="306">
                  <c:v>11.6865</c:v>
                </c:pt>
                <c:pt idx="307">
                  <c:v>11.5024</c:v>
                </c:pt>
                <c:pt idx="308">
                  <c:v>11.4445</c:v>
                </c:pt>
                <c:pt idx="309">
                  <c:v>11.4878</c:v>
                </c:pt>
                <c:pt idx="310">
                  <c:v>11.6394</c:v>
                </c:pt>
                <c:pt idx="311">
                  <c:v>11.6233</c:v>
                </c:pt>
                <c:pt idx="312">
                  <c:v>11.6747</c:v>
                </c:pt>
                <c:pt idx="313">
                  <c:v>11.7092</c:v>
                </c:pt>
                <c:pt idx="314">
                  <c:v>11.6184</c:v>
                </c:pt>
                <c:pt idx="315">
                  <c:v>11.6632</c:v>
                </c:pt>
                <c:pt idx="316">
                  <c:v>11.6308</c:v>
                </c:pt>
                <c:pt idx="317">
                  <c:v>11.7197</c:v>
                </c:pt>
                <c:pt idx="318">
                  <c:v>11.8743</c:v>
                </c:pt>
                <c:pt idx="319">
                  <c:v>11.6979</c:v>
                </c:pt>
                <c:pt idx="320">
                  <c:v>11.5923</c:v>
                </c:pt>
                <c:pt idx="321">
                  <c:v>11.5265</c:v>
                </c:pt>
                <c:pt idx="322">
                  <c:v>11.2815</c:v>
                </c:pt>
                <c:pt idx="323">
                  <c:v>11.4631</c:v>
                </c:pt>
                <c:pt idx="324">
                  <c:v>11.3881</c:v>
                </c:pt>
                <c:pt idx="325">
                  <c:v>11.5229</c:v>
                </c:pt>
                <c:pt idx="326">
                  <c:v>11.6562</c:v>
                </c:pt>
                <c:pt idx="327">
                  <c:v>11.571</c:v>
                </c:pt>
                <c:pt idx="328">
                  <c:v>11.5355</c:v>
                </c:pt>
                <c:pt idx="329">
                  <c:v>11.5655</c:v>
                </c:pt>
                <c:pt idx="330">
                  <c:v>11.4386</c:v>
                </c:pt>
                <c:pt idx="331">
                  <c:v>11.4096</c:v>
                </c:pt>
                <c:pt idx="332">
                  <c:v>11.3826</c:v>
                </c:pt>
                <c:pt idx="333">
                  <c:v>11.5432</c:v>
                </c:pt>
                <c:pt idx="334">
                  <c:v>11.6035</c:v>
                </c:pt>
                <c:pt idx="335">
                  <c:v>11.6271</c:v>
                </c:pt>
                <c:pt idx="336">
                  <c:v>11.5694</c:v>
                </c:pt>
                <c:pt idx="337">
                  <c:v>11.5428</c:v>
                </c:pt>
                <c:pt idx="338">
                  <c:v>11.4359</c:v>
                </c:pt>
                <c:pt idx="339">
                  <c:v>11.5049</c:v>
                </c:pt>
                <c:pt idx="340">
                  <c:v>11.5124</c:v>
                </c:pt>
                <c:pt idx="341">
                  <c:v>11.4741</c:v>
                </c:pt>
                <c:pt idx="342">
                  <c:v>11.5597</c:v>
                </c:pt>
                <c:pt idx="343">
                  <c:v>11.716</c:v>
                </c:pt>
                <c:pt idx="344">
                  <c:v>11.702</c:v>
                </c:pt>
                <c:pt idx="345">
                  <c:v>11.719</c:v>
                </c:pt>
                <c:pt idx="346">
                  <c:v>11.6986</c:v>
                </c:pt>
                <c:pt idx="347">
                  <c:v>11.528</c:v>
                </c:pt>
                <c:pt idx="348">
                  <c:v>11.551</c:v>
                </c:pt>
                <c:pt idx="349">
                  <c:v>11.5724</c:v>
                </c:pt>
                <c:pt idx="350">
                  <c:v>11.6649</c:v>
                </c:pt>
                <c:pt idx="351">
                  <c:v>11.5988</c:v>
                </c:pt>
                <c:pt idx="352">
                  <c:v>11.6419</c:v>
                </c:pt>
                <c:pt idx="353">
                  <c:v>11.6505</c:v>
                </c:pt>
                <c:pt idx="354">
                  <c:v>11.6496</c:v>
                </c:pt>
                <c:pt idx="355">
                  <c:v>11.5531</c:v>
                </c:pt>
                <c:pt idx="356">
                  <c:v>11.6121</c:v>
                </c:pt>
                <c:pt idx="357">
                  <c:v>11.5849</c:v>
                </c:pt>
                <c:pt idx="358">
                  <c:v>11.6015</c:v>
                </c:pt>
                <c:pt idx="359">
                  <c:v>11.6643</c:v>
                </c:pt>
                <c:pt idx="360">
                  <c:v>11.76</c:v>
                </c:pt>
                <c:pt idx="361">
                  <c:v>11.6015</c:v>
                </c:pt>
                <c:pt idx="362">
                  <c:v>11.6309</c:v>
                </c:pt>
                <c:pt idx="363">
                  <c:v>11.5529</c:v>
                </c:pt>
                <c:pt idx="364">
                  <c:v>11.4511</c:v>
                </c:pt>
                <c:pt idx="365">
                  <c:v>11.5554</c:v>
                </c:pt>
                <c:pt idx="366">
                  <c:v>11.3409</c:v>
                </c:pt>
                <c:pt idx="367">
                  <c:v>11.183</c:v>
                </c:pt>
                <c:pt idx="368">
                  <c:v>11.2219</c:v>
                </c:pt>
                <c:pt idx="369">
                  <c:v>11.1378</c:v>
                </c:pt>
                <c:pt idx="370">
                  <c:v>10.9764</c:v>
                </c:pt>
                <c:pt idx="371">
                  <c:v>11.0751</c:v>
                </c:pt>
                <c:pt idx="372">
                  <c:v>10.9828</c:v>
                </c:pt>
                <c:pt idx="373">
                  <c:v>10.9627</c:v>
                </c:pt>
                <c:pt idx="374">
                  <c:v>10.9472</c:v>
                </c:pt>
                <c:pt idx="375">
                  <c:v>11.0401</c:v>
                </c:pt>
                <c:pt idx="376">
                  <c:v>10.9609</c:v>
                </c:pt>
                <c:pt idx="377">
                  <c:v>10.9573</c:v>
                </c:pt>
                <c:pt idx="378">
                  <c:v>11.0543</c:v>
                </c:pt>
                <c:pt idx="379">
                  <c:v>11.035</c:v>
                </c:pt>
                <c:pt idx="380">
                  <c:v>11.1258</c:v>
                </c:pt>
                <c:pt idx="381">
                  <c:v>11.1113</c:v>
                </c:pt>
                <c:pt idx="382">
                  <c:v>11.2179</c:v>
                </c:pt>
                <c:pt idx="383">
                  <c:v>11.1881</c:v>
                </c:pt>
                <c:pt idx="384">
                  <c:v>11.2285</c:v>
                </c:pt>
                <c:pt idx="385">
                  <c:v>11.2655</c:v>
                </c:pt>
                <c:pt idx="386">
                  <c:v>11.2705</c:v>
                </c:pt>
                <c:pt idx="387">
                  <c:v>11.268</c:v>
                </c:pt>
                <c:pt idx="388">
                  <c:v>11.1477</c:v>
                </c:pt>
                <c:pt idx="389">
                  <c:v>11.0453</c:v>
                </c:pt>
                <c:pt idx="390">
                  <c:v>11.0767</c:v>
                </c:pt>
                <c:pt idx="391">
                  <c:v>11.0319</c:v>
                </c:pt>
                <c:pt idx="392">
                  <c:v>10.8649</c:v>
                </c:pt>
                <c:pt idx="393">
                  <c:v>10.8507</c:v>
                </c:pt>
                <c:pt idx="394">
                  <c:v>10.8628</c:v>
                </c:pt>
                <c:pt idx="395">
                  <c:v>10.9428</c:v>
                </c:pt>
                <c:pt idx="396">
                  <c:v>10.9369</c:v>
                </c:pt>
                <c:pt idx="397">
                  <c:v>10.9664</c:v>
                </c:pt>
                <c:pt idx="398">
                  <c:v>10.9983</c:v>
                </c:pt>
                <c:pt idx="399">
                  <c:v>11.0252</c:v>
                </c:pt>
                <c:pt idx="400">
                  <c:v>11.0204</c:v>
                </c:pt>
                <c:pt idx="401">
                  <c:v>11.0882</c:v>
                </c:pt>
                <c:pt idx="402">
                  <c:v>11.0815</c:v>
                </c:pt>
                <c:pt idx="403">
                  <c:v>11.1005</c:v>
                </c:pt>
                <c:pt idx="404">
                  <c:v>11.0535</c:v>
                </c:pt>
                <c:pt idx="405">
                  <c:v>11.0363</c:v>
                </c:pt>
                <c:pt idx="406">
                  <c:v>11.0668</c:v>
                </c:pt>
                <c:pt idx="407">
                  <c:v>11.07</c:v>
                </c:pt>
                <c:pt idx="408">
                  <c:v>11.1743</c:v>
                </c:pt>
                <c:pt idx="409">
                  <c:v>11.1793</c:v>
                </c:pt>
                <c:pt idx="410">
                  <c:v>11.24</c:v>
                </c:pt>
                <c:pt idx="411">
                  <c:v>11.3465</c:v>
                </c:pt>
                <c:pt idx="412">
                  <c:v>11.1962</c:v>
                </c:pt>
                <c:pt idx="413">
                  <c:v>11.2686</c:v>
                </c:pt>
                <c:pt idx="414">
                  <c:v>11.297</c:v>
                </c:pt>
                <c:pt idx="415">
                  <c:v>11.273</c:v>
                </c:pt>
                <c:pt idx="416">
                  <c:v>11.2342</c:v>
                </c:pt>
                <c:pt idx="417">
                  <c:v>11.1986</c:v>
                </c:pt>
                <c:pt idx="418">
                  <c:v>11.1477</c:v>
                </c:pt>
                <c:pt idx="419">
                  <c:v>11.1392</c:v>
                </c:pt>
                <c:pt idx="420">
                  <c:v>11.1702</c:v>
                </c:pt>
                <c:pt idx="421">
                  <c:v>11.0826</c:v>
                </c:pt>
                <c:pt idx="422">
                  <c:v>11.0531</c:v>
                </c:pt>
                <c:pt idx="423">
                  <c:v>10.9556</c:v>
                </c:pt>
                <c:pt idx="424">
                  <c:v>10.898</c:v>
                </c:pt>
                <c:pt idx="425">
                  <c:v>10.9957</c:v>
                </c:pt>
                <c:pt idx="426">
                  <c:v>10.991</c:v>
                </c:pt>
                <c:pt idx="427">
                  <c:v>10.9723</c:v>
                </c:pt>
                <c:pt idx="428">
                  <c:v>10.9396</c:v>
                </c:pt>
                <c:pt idx="429">
                  <c:v>10.9269</c:v>
                </c:pt>
                <c:pt idx="430">
                  <c:v>10.7954</c:v>
                </c:pt>
                <c:pt idx="431">
                  <c:v>10.6979</c:v>
                </c:pt>
                <c:pt idx="432">
                  <c:v>10.7191</c:v>
                </c:pt>
                <c:pt idx="433">
                  <c:v>10.673</c:v>
                </c:pt>
                <c:pt idx="434">
                  <c:v>10.7431</c:v>
                </c:pt>
                <c:pt idx="435">
                  <c:v>10.6799</c:v>
                </c:pt>
                <c:pt idx="436">
                  <c:v>10.6493</c:v>
                </c:pt>
                <c:pt idx="437">
                  <c:v>10.6391</c:v>
                </c:pt>
                <c:pt idx="438">
                  <c:v>10.6122</c:v>
                </c:pt>
                <c:pt idx="439">
                  <c:v>10.6829</c:v>
                </c:pt>
                <c:pt idx="440">
                  <c:v>10.7157</c:v>
                </c:pt>
                <c:pt idx="441">
                  <c:v>10.6885</c:v>
                </c:pt>
                <c:pt idx="442">
                  <c:v>10.7016</c:v>
                </c:pt>
                <c:pt idx="443">
                  <c:v>10.698</c:v>
                </c:pt>
                <c:pt idx="444">
                  <c:v>10.6488</c:v>
                </c:pt>
                <c:pt idx="445">
                  <c:v>10.6098</c:v>
                </c:pt>
                <c:pt idx="446">
                  <c:v>10.6037</c:v>
                </c:pt>
                <c:pt idx="447">
                  <c:v>10.5479</c:v>
                </c:pt>
                <c:pt idx="448">
                  <c:v>10.5779</c:v>
                </c:pt>
                <c:pt idx="449">
                  <c:v>10.6449</c:v>
                </c:pt>
                <c:pt idx="450">
                  <c:v>10.6298</c:v>
                </c:pt>
                <c:pt idx="451">
                  <c:v>10.6833</c:v>
                </c:pt>
                <c:pt idx="452">
                  <c:v>10.7594</c:v>
                </c:pt>
                <c:pt idx="453">
                  <c:v>10.7184</c:v>
                </c:pt>
                <c:pt idx="454">
                  <c:v>10.7476</c:v>
                </c:pt>
                <c:pt idx="455">
                  <c:v>10.6888</c:v>
                </c:pt>
                <c:pt idx="456">
                  <c:v>10.7151</c:v>
                </c:pt>
                <c:pt idx="457">
                  <c:v>10.7029</c:v>
                </c:pt>
                <c:pt idx="458">
                  <c:v>10.7065</c:v>
                </c:pt>
                <c:pt idx="459">
                  <c:v>10.5913</c:v>
                </c:pt>
                <c:pt idx="460">
                  <c:v>10.5787</c:v>
                </c:pt>
                <c:pt idx="461">
                  <c:v>10.5136</c:v>
                </c:pt>
                <c:pt idx="462">
                  <c:v>10.5257</c:v>
                </c:pt>
                <c:pt idx="463">
                  <c:v>10.4955</c:v>
                </c:pt>
                <c:pt idx="464">
                  <c:v>10.5761</c:v>
                </c:pt>
                <c:pt idx="465">
                  <c:v>10.6033</c:v>
                </c:pt>
                <c:pt idx="466">
                  <c:v>10.6512</c:v>
                </c:pt>
                <c:pt idx="467">
                  <c:v>10.69</c:v>
                </c:pt>
                <c:pt idx="468">
                  <c:v>10.6689</c:v>
                </c:pt>
                <c:pt idx="469">
                  <c:v>10.6999</c:v>
                </c:pt>
                <c:pt idx="470">
                  <c:v>10.6821</c:v>
                </c:pt>
                <c:pt idx="471">
                  <c:v>10.7188</c:v>
                </c:pt>
                <c:pt idx="472">
                  <c:v>10.701</c:v>
                </c:pt>
                <c:pt idx="473">
                  <c:v>10.6978</c:v>
                </c:pt>
                <c:pt idx="474">
                  <c:v>10.692</c:v>
                </c:pt>
                <c:pt idx="475">
                  <c:v>10.7654</c:v>
                </c:pt>
                <c:pt idx="476">
                  <c:v>10.7508</c:v>
                </c:pt>
                <c:pt idx="477">
                  <c:v>10.7411</c:v>
                </c:pt>
                <c:pt idx="478">
                  <c:v>10.7669</c:v>
                </c:pt>
                <c:pt idx="479">
                  <c:v>10.6681</c:v>
                </c:pt>
                <c:pt idx="480">
                  <c:v>10.6277</c:v>
                </c:pt>
                <c:pt idx="481">
                  <c:v>10.617</c:v>
                </c:pt>
                <c:pt idx="482">
                  <c:v>10.6449</c:v>
                </c:pt>
                <c:pt idx="483">
                  <c:v>10.6164</c:v>
                </c:pt>
                <c:pt idx="484">
                  <c:v>10.6124</c:v>
                </c:pt>
                <c:pt idx="485">
                  <c:v>10.5772</c:v>
                </c:pt>
                <c:pt idx="486">
                  <c:v>10.6941</c:v>
                </c:pt>
                <c:pt idx="487">
                  <c:v>10.7204</c:v>
                </c:pt>
                <c:pt idx="488">
                  <c:v>10.7373</c:v>
                </c:pt>
                <c:pt idx="489">
                  <c:v>10.8407</c:v>
                </c:pt>
                <c:pt idx="490">
                  <c:v>10.7424</c:v>
                </c:pt>
                <c:pt idx="491">
                  <c:v>10.6772</c:v>
                </c:pt>
                <c:pt idx="492">
                  <c:v>10.6883</c:v>
                </c:pt>
                <c:pt idx="493">
                  <c:v>10.7335</c:v>
                </c:pt>
                <c:pt idx="494">
                  <c:v>10.7136</c:v>
                </c:pt>
                <c:pt idx="495">
                  <c:v>10.6465</c:v>
                </c:pt>
                <c:pt idx="496">
                  <c:v>10.5765</c:v>
                </c:pt>
                <c:pt idx="497">
                  <c:v>10.6996</c:v>
                </c:pt>
                <c:pt idx="498">
                  <c:v>10.7533</c:v>
                </c:pt>
                <c:pt idx="499">
                  <c:v>10.7394</c:v>
                </c:pt>
                <c:pt idx="500">
                  <c:v>10.6701</c:v>
                </c:pt>
                <c:pt idx="501">
                  <c:v>10.5731</c:v>
                </c:pt>
                <c:pt idx="502">
                  <c:v>10.4092</c:v>
                </c:pt>
                <c:pt idx="503">
                  <c:v>10.4697</c:v>
                </c:pt>
                <c:pt idx="504">
                  <c:v>10.4623</c:v>
                </c:pt>
                <c:pt idx="505">
                  <c:v>10.3594</c:v>
                </c:pt>
                <c:pt idx="506">
                  <c:v>10.3158</c:v>
                </c:pt>
                <c:pt idx="507">
                  <c:v>10.3292</c:v>
                </c:pt>
                <c:pt idx="508">
                  <c:v>10.4134</c:v>
                </c:pt>
                <c:pt idx="509">
                  <c:v>10.4523</c:v>
                </c:pt>
                <c:pt idx="510">
                  <c:v>10.3478</c:v>
                </c:pt>
                <c:pt idx="511">
                  <c:v>10.3463</c:v>
                </c:pt>
                <c:pt idx="512">
                  <c:v>10.4129</c:v>
                </c:pt>
                <c:pt idx="513">
                  <c:v>10.3008</c:v>
                </c:pt>
                <c:pt idx="514">
                  <c:v>10.3144</c:v>
                </c:pt>
                <c:pt idx="515">
                  <c:v>10.3628</c:v>
                </c:pt>
                <c:pt idx="516">
                  <c:v>10.3776</c:v>
                </c:pt>
                <c:pt idx="517">
                  <c:v>10.3309</c:v>
                </c:pt>
                <c:pt idx="518">
                  <c:v>10.4701</c:v>
                </c:pt>
                <c:pt idx="519">
                  <c:v>10.4783</c:v>
                </c:pt>
                <c:pt idx="520">
                  <c:v>10.5336</c:v>
                </c:pt>
                <c:pt idx="521">
                  <c:v>10.4612</c:v>
                </c:pt>
                <c:pt idx="522">
                  <c:v>10.4845</c:v>
                </c:pt>
                <c:pt idx="523">
                  <c:v>10.5277</c:v>
                </c:pt>
                <c:pt idx="524">
                  <c:v>10.5575</c:v>
                </c:pt>
                <c:pt idx="525">
                  <c:v>10.6211</c:v>
                </c:pt>
                <c:pt idx="526">
                  <c:v>10.6416</c:v>
                </c:pt>
                <c:pt idx="527">
                  <c:v>10.626</c:v>
                </c:pt>
                <c:pt idx="528">
                  <c:v>10.5957</c:v>
                </c:pt>
                <c:pt idx="529">
                  <c:v>10.5465</c:v>
                </c:pt>
                <c:pt idx="530">
                  <c:v>10.5035</c:v>
                </c:pt>
                <c:pt idx="531">
                  <c:v>10.4885</c:v>
                </c:pt>
                <c:pt idx="532">
                  <c:v>10.4948</c:v>
                </c:pt>
                <c:pt idx="533">
                  <c:v>10.555</c:v>
                </c:pt>
                <c:pt idx="534">
                  <c:v>10.587</c:v>
                </c:pt>
                <c:pt idx="535">
                  <c:v>10.5002</c:v>
                </c:pt>
                <c:pt idx="536">
                  <c:v>10.4792</c:v>
                </c:pt>
                <c:pt idx="537">
                  <c:v>10.4152</c:v>
                </c:pt>
                <c:pt idx="538">
                  <c:v>10.4614</c:v>
                </c:pt>
                <c:pt idx="539">
                  <c:v>10.4344</c:v>
                </c:pt>
                <c:pt idx="540">
                  <c:v>10.5224</c:v>
                </c:pt>
                <c:pt idx="541">
                  <c:v>10.538</c:v>
                </c:pt>
                <c:pt idx="542">
                  <c:v>10.6403</c:v>
                </c:pt>
                <c:pt idx="543">
                  <c:v>10.605</c:v>
                </c:pt>
                <c:pt idx="544">
                  <c:v>10.5669</c:v>
                </c:pt>
                <c:pt idx="545">
                  <c:v>10.5192</c:v>
                </c:pt>
                <c:pt idx="546">
                  <c:v>10.5866</c:v>
                </c:pt>
                <c:pt idx="547">
                  <c:v>10.5977</c:v>
                </c:pt>
                <c:pt idx="548">
                  <c:v>10.6777</c:v>
                </c:pt>
                <c:pt idx="549">
                  <c:v>10.7432</c:v>
                </c:pt>
                <c:pt idx="550">
                  <c:v>10.819</c:v>
                </c:pt>
                <c:pt idx="551">
                  <c:v>10.8868</c:v>
                </c:pt>
                <c:pt idx="552">
                  <c:v>10.8835</c:v>
                </c:pt>
                <c:pt idx="553">
                  <c:v>10.7666</c:v>
                </c:pt>
                <c:pt idx="554">
                  <c:v>10.7443</c:v>
                </c:pt>
                <c:pt idx="555">
                  <c:v>10.7245</c:v>
                </c:pt>
                <c:pt idx="556">
                  <c:v>10.6943</c:v>
                </c:pt>
                <c:pt idx="557">
                  <c:v>10.791</c:v>
                </c:pt>
                <c:pt idx="558">
                  <c:v>10.8271</c:v>
                </c:pt>
                <c:pt idx="559">
                  <c:v>10.8503</c:v>
                </c:pt>
                <c:pt idx="560">
                  <c:v>10.7592</c:v>
                </c:pt>
                <c:pt idx="561">
                  <c:v>10.717</c:v>
                </c:pt>
                <c:pt idx="562">
                  <c:v>10.6067</c:v>
                </c:pt>
                <c:pt idx="563">
                  <c:v>10.6747</c:v>
                </c:pt>
                <c:pt idx="564">
                  <c:v>10.788</c:v>
                </c:pt>
                <c:pt idx="565">
                  <c:v>10.8819</c:v>
                </c:pt>
                <c:pt idx="566">
                  <c:v>10.7188</c:v>
                </c:pt>
                <c:pt idx="567">
                  <c:v>10.7323</c:v>
                </c:pt>
                <c:pt idx="568">
                  <c:v>10.8394</c:v>
                </c:pt>
                <c:pt idx="569">
                  <c:v>10.7184</c:v>
                </c:pt>
                <c:pt idx="570">
                  <c:v>10.7979</c:v>
                </c:pt>
                <c:pt idx="571">
                  <c:v>10.9316</c:v>
                </c:pt>
                <c:pt idx="572">
                  <c:v>11.01</c:v>
                </c:pt>
                <c:pt idx="573">
                  <c:v>11.012</c:v>
                </c:pt>
                <c:pt idx="574">
                  <c:v>10.862</c:v>
                </c:pt>
                <c:pt idx="575">
                  <c:v>10.8287</c:v>
                </c:pt>
                <c:pt idx="576">
                  <c:v>10.8633</c:v>
                </c:pt>
                <c:pt idx="577">
                  <c:v>10.9969</c:v>
                </c:pt>
                <c:pt idx="578">
                  <c:v>11.029</c:v>
                </c:pt>
                <c:pt idx="579">
                  <c:v>10.9884</c:v>
                </c:pt>
                <c:pt idx="580">
                  <c:v>11.1383</c:v>
                </c:pt>
                <c:pt idx="581">
                  <c:v>11.0535</c:v>
                </c:pt>
                <c:pt idx="582">
                  <c:v>11.0241</c:v>
                </c:pt>
                <c:pt idx="583">
                  <c:v>11.1556</c:v>
                </c:pt>
                <c:pt idx="584">
                  <c:v>11.0776</c:v>
                </c:pt>
                <c:pt idx="585">
                  <c:v>11.2245</c:v>
                </c:pt>
                <c:pt idx="586">
                  <c:v>11.124</c:v>
                </c:pt>
                <c:pt idx="587">
                  <c:v>11.2035</c:v>
                </c:pt>
                <c:pt idx="588">
                  <c:v>11.2311</c:v>
                </c:pt>
                <c:pt idx="589">
                  <c:v>11.0735</c:v>
                </c:pt>
                <c:pt idx="590">
                  <c:v>11.1606</c:v>
                </c:pt>
                <c:pt idx="591">
                  <c:v>11.093</c:v>
                </c:pt>
                <c:pt idx="592">
                  <c:v>11.0346</c:v>
                </c:pt>
                <c:pt idx="593">
                  <c:v>10.8736</c:v>
                </c:pt>
                <c:pt idx="594">
                  <c:v>10.8566</c:v>
                </c:pt>
                <c:pt idx="595">
                  <c:v>10.8585</c:v>
                </c:pt>
                <c:pt idx="596">
                  <c:v>10.837</c:v>
                </c:pt>
                <c:pt idx="597">
                  <c:v>10.92</c:v>
                </c:pt>
                <c:pt idx="598">
                  <c:v>10.8588</c:v>
                </c:pt>
                <c:pt idx="599">
                  <c:v>10.8058</c:v>
                </c:pt>
                <c:pt idx="600">
                  <c:v>10.8168</c:v>
                </c:pt>
                <c:pt idx="601">
                  <c:v>10.6687</c:v>
                </c:pt>
                <c:pt idx="602">
                  <c:v>10.7948</c:v>
                </c:pt>
                <c:pt idx="603">
                  <c:v>10.7641</c:v>
                </c:pt>
                <c:pt idx="604">
                  <c:v>10.6348</c:v>
                </c:pt>
                <c:pt idx="605">
                  <c:v>10.6402</c:v>
                </c:pt>
                <c:pt idx="606">
                  <c:v>10.6501</c:v>
                </c:pt>
                <c:pt idx="607">
                  <c:v>10.6884</c:v>
                </c:pt>
                <c:pt idx="608">
                  <c:v>10.44</c:v>
                </c:pt>
                <c:pt idx="609">
                  <c:v>10.5206</c:v>
                </c:pt>
                <c:pt idx="610">
                  <c:v>10.4323</c:v>
                </c:pt>
                <c:pt idx="611">
                  <c:v>10.5404</c:v>
                </c:pt>
                <c:pt idx="612">
                  <c:v>10.3534</c:v>
                </c:pt>
                <c:pt idx="613">
                  <c:v>10.3325</c:v>
                </c:pt>
                <c:pt idx="614">
                  <c:v>10.3441</c:v>
                </c:pt>
                <c:pt idx="615">
                  <c:v>10.3256</c:v>
                </c:pt>
                <c:pt idx="616">
                  <c:v>10.3375</c:v>
                </c:pt>
                <c:pt idx="617">
                  <c:v>10.3776</c:v>
                </c:pt>
                <c:pt idx="618">
                  <c:v>10.3529</c:v>
                </c:pt>
                <c:pt idx="619">
                  <c:v>10.3459</c:v>
                </c:pt>
                <c:pt idx="620">
                  <c:v>10.2812</c:v>
                </c:pt>
                <c:pt idx="621">
                  <c:v>10.3329</c:v>
                </c:pt>
                <c:pt idx="622">
                  <c:v>10.429</c:v>
                </c:pt>
                <c:pt idx="623">
                  <c:v>10.381</c:v>
                </c:pt>
                <c:pt idx="624">
                  <c:v>10.3457</c:v>
                </c:pt>
                <c:pt idx="625">
                  <c:v>10.3876</c:v>
                </c:pt>
                <c:pt idx="626">
                  <c:v>10.3309</c:v>
                </c:pt>
                <c:pt idx="627">
                  <c:v>10.4519</c:v>
                </c:pt>
                <c:pt idx="628">
                  <c:v>10.4554</c:v>
                </c:pt>
                <c:pt idx="629">
                  <c:v>10.3632</c:v>
                </c:pt>
                <c:pt idx="630">
                  <c:v>10.2644</c:v>
                </c:pt>
                <c:pt idx="631">
                  <c:v>10.1891</c:v>
                </c:pt>
                <c:pt idx="632">
                  <c:v>10.1984</c:v>
                </c:pt>
                <c:pt idx="633">
                  <c:v>10.2265</c:v>
                </c:pt>
                <c:pt idx="634">
                  <c:v>10.1337</c:v>
                </c:pt>
                <c:pt idx="635">
                  <c:v>10.0808</c:v>
                </c:pt>
                <c:pt idx="636">
                  <c:v>10.0812</c:v>
                </c:pt>
                <c:pt idx="637">
                  <c:v>10.1546</c:v>
                </c:pt>
                <c:pt idx="638">
                  <c:v>10.1207</c:v>
                </c:pt>
                <c:pt idx="639">
                  <c:v>10.1871</c:v>
                </c:pt>
                <c:pt idx="640">
                  <c:v>10.127</c:v>
                </c:pt>
                <c:pt idx="641">
                  <c:v>10.1744</c:v>
                </c:pt>
                <c:pt idx="642">
                  <c:v>10.2127</c:v>
                </c:pt>
                <c:pt idx="643">
                  <c:v>10.3258</c:v>
                </c:pt>
                <c:pt idx="644">
                  <c:v>10.3887</c:v>
                </c:pt>
                <c:pt idx="645">
                  <c:v>10.3773</c:v>
                </c:pt>
                <c:pt idx="646">
                  <c:v>10.333</c:v>
                </c:pt>
                <c:pt idx="647">
                  <c:v>10.2916</c:v>
                </c:pt>
                <c:pt idx="648">
                  <c:v>10.2536</c:v>
                </c:pt>
                <c:pt idx="649">
                  <c:v>10.215</c:v>
                </c:pt>
                <c:pt idx="650">
                  <c:v>10.1277</c:v>
                </c:pt>
                <c:pt idx="651">
                  <c:v>10.1946</c:v>
                </c:pt>
                <c:pt idx="652">
                  <c:v>10.0313</c:v>
                </c:pt>
                <c:pt idx="653">
                  <c:v>9.8688</c:v>
                </c:pt>
                <c:pt idx="654">
                  <c:v>9.8882</c:v>
                </c:pt>
                <c:pt idx="655">
                  <c:v>9.84</c:v>
                </c:pt>
                <c:pt idx="656">
                  <c:v>9.8014</c:v>
                </c:pt>
                <c:pt idx="657">
                  <c:v>9.7579</c:v>
                </c:pt>
                <c:pt idx="658">
                  <c:v>9.7698</c:v>
                </c:pt>
                <c:pt idx="659">
                  <c:v>9.7216</c:v>
                </c:pt>
                <c:pt idx="660">
                  <c:v>9.847300000000001</c:v>
                </c:pt>
                <c:pt idx="661">
                  <c:v>9.763</c:v>
                </c:pt>
                <c:pt idx="662">
                  <c:v>9.8011</c:v>
                </c:pt>
                <c:pt idx="663">
                  <c:v>9.8907</c:v>
                </c:pt>
                <c:pt idx="664">
                  <c:v>9.9266</c:v>
                </c:pt>
                <c:pt idx="665">
                  <c:v>9.9399</c:v>
                </c:pt>
                <c:pt idx="666">
                  <c:v>9.9034</c:v>
                </c:pt>
                <c:pt idx="667">
                  <c:v>9.9119</c:v>
                </c:pt>
                <c:pt idx="668">
                  <c:v>10.017</c:v>
                </c:pt>
                <c:pt idx="669">
                  <c:v>9.998100000000001</c:v>
                </c:pt>
                <c:pt idx="670">
                  <c:v>9.9825</c:v>
                </c:pt>
                <c:pt idx="671">
                  <c:v>9.9828</c:v>
                </c:pt>
                <c:pt idx="672">
                  <c:v>10.0429</c:v>
                </c:pt>
                <c:pt idx="673">
                  <c:v>10.0514</c:v>
                </c:pt>
                <c:pt idx="674">
                  <c:v>10.1133</c:v>
                </c:pt>
                <c:pt idx="675">
                  <c:v>10.0458</c:v>
                </c:pt>
                <c:pt idx="676">
                  <c:v>10.0752</c:v>
                </c:pt>
                <c:pt idx="677">
                  <c:v>10.0018</c:v>
                </c:pt>
                <c:pt idx="678">
                  <c:v>9.9633</c:v>
                </c:pt>
                <c:pt idx="679">
                  <c:v>9.8416</c:v>
                </c:pt>
                <c:pt idx="680">
                  <c:v>9.8331</c:v>
                </c:pt>
                <c:pt idx="681">
                  <c:v>9.8734</c:v>
                </c:pt>
                <c:pt idx="682">
                  <c:v>9.6943</c:v>
                </c:pt>
                <c:pt idx="683">
                  <c:v>9.8096</c:v>
                </c:pt>
                <c:pt idx="684">
                  <c:v>9.805</c:v>
                </c:pt>
                <c:pt idx="685">
                  <c:v>9.8121</c:v>
                </c:pt>
                <c:pt idx="686">
                  <c:v>9.9434</c:v>
                </c:pt>
                <c:pt idx="687">
                  <c:v>9.9505</c:v>
                </c:pt>
                <c:pt idx="688">
                  <c:v>9.8898</c:v>
                </c:pt>
                <c:pt idx="689">
                  <c:v>10.0097</c:v>
                </c:pt>
                <c:pt idx="690">
                  <c:v>9.9739</c:v>
                </c:pt>
                <c:pt idx="691">
                  <c:v>10.0105</c:v>
                </c:pt>
                <c:pt idx="692">
                  <c:v>10.2519</c:v>
                </c:pt>
                <c:pt idx="693">
                  <c:v>10.2206</c:v>
                </c:pt>
                <c:pt idx="694">
                  <c:v>10.3342</c:v>
                </c:pt>
                <c:pt idx="695">
                  <c:v>10.246</c:v>
                </c:pt>
                <c:pt idx="696">
                  <c:v>10.2631</c:v>
                </c:pt>
                <c:pt idx="697">
                  <c:v>10.3393</c:v>
                </c:pt>
                <c:pt idx="698">
                  <c:v>10.3285</c:v>
                </c:pt>
                <c:pt idx="699">
                  <c:v>10.4121</c:v>
                </c:pt>
                <c:pt idx="700">
                  <c:v>10.3255</c:v>
                </c:pt>
                <c:pt idx="701">
                  <c:v>10.2195</c:v>
                </c:pt>
                <c:pt idx="702">
                  <c:v>10.2615</c:v>
                </c:pt>
                <c:pt idx="703">
                  <c:v>10.2358</c:v>
                </c:pt>
                <c:pt idx="704">
                  <c:v>10.1509</c:v>
                </c:pt>
                <c:pt idx="705">
                  <c:v>10.2059</c:v>
                </c:pt>
                <c:pt idx="706">
                  <c:v>10.0633</c:v>
                </c:pt>
                <c:pt idx="707">
                  <c:v>9.9972</c:v>
                </c:pt>
                <c:pt idx="708">
                  <c:v>9.929</c:v>
                </c:pt>
                <c:pt idx="709">
                  <c:v>9.9653</c:v>
                </c:pt>
                <c:pt idx="710">
                  <c:v>9.8485</c:v>
                </c:pt>
                <c:pt idx="711">
                  <c:v>9.7805</c:v>
                </c:pt>
                <c:pt idx="712">
                  <c:v>9.8112</c:v>
                </c:pt>
                <c:pt idx="713">
                  <c:v>9.9065</c:v>
                </c:pt>
                <c:pt idx="714">
                  <c:v>9.9261</c:v>
                </c:pt>
                <c:pt idx="715">
                  <c:v>9.854</c:v>
                </c:pt>
                <c:pt idx="716">
                  <c:v>9.8452</c:v>
                </c:pt>
                <c:pt idx="717">
                  <c:v>9.9676</c:v>
                </c:pt>
                <c:pt idx="718">
                  <c:v>9.9127</c:v>
                </c:pt>
                <c:pt idx="719">
                  <c:v>9.804</c:v>
                </c:pt>
                <c:pt idx="720">
                  <c:v>9.7773</c:v>
                </c:pt>
                <c:pt idx="721">
                  <c:v>9.7895</c:v>
                </c:pt>
                <c:pt idx="722">
                  <c:v>9.8226</c:v>
                </c:pt>
                <c:pt idx="723">
                  <c:v>9.7734</c:v>
                </c:pt>
                <c:pt idx="724">
                  <c:v>9.7023</c:v>
                </c:pt>
                <c:pt idx="725">
                  <c:v>9.8048</c:v>
                </c:pt>
                <c:pt idx="726">
                  <c:v>9.8574</c:v>
                </c:pt>
                <c:pt idx="727">
                  <c:v>9.9428</c:v>
                </c:pt>
                <c:pt idx="728">
                  <c:v>9.8161</c:v>
                </c:pt>
                <c:pt idx="729">
                  <c:v>9.8718</c:v>
                </c:pt>
                <c:pt idx="730">
                  <c:v>9.8934</c:v>
                </c:pt>
                <c:pt idx="731">
                  <c:v>9.9888</c:v>
                </c:pt>
                <c:pt idx="732">
                  <c:v>10.0582</c:v>
                </c:pt>
                <c:pt idx="733">
                  <c:v>10.0336</c:v>
                </c:pt>
                <c:pt idx="734">
                  <c:v>10.0382</c:v>
                </c:pt>
                <c:pt idx="735">
                  <c:v>10.1885</c:v>
                </c:pt>
                <c:pt idx="736">
                  <c:v>10.1789</c:v>
                </c:pt>
                <c:pt idx="737">
                  <c:v>10.0362</c:v>
                </c:pt>
                <c:pt idx="738">
                  <c:v>10.1178</c:v>
                </c:pt>
                <c:pt idx="739">
                  <c:v>9.9274</c:v>
                </c:pt>
                <c:pt idx="740">
                  <c:v>9.905</c:v>
                </c:pt>
                <c:pt idx="741">
                  <c:v>9.9326</c:v>
                </c:pt>
                <c:pt idx="742">
                  <c:v>9.9647</c:v>
                </c:pt>
                <c:pt idx="743">
                  <c:v>10.1189</c:v>
                </c:pt>
                <c:pt idx="744">
                  <c:v>10.0731</c:v>
                </c:pt>
                <c:pt idx="745">
                  <c:v>10.0963</c:v>
                </c:pt>
                <c:pt idx="746">
                  <c:v>10.175</c:v>
                </c:pt>
                <c:pt idx="747">
                  <c:v>10.2034</c:v>
                </c:pt>
                <c:pt idx="748">
                  <c:v>9.9602</c:v>
                </c:pt>
                <c:pt idx="749">
                  <c:v>9.9851</c:v>
                </c:pt>
                <c:pt idx="750">
                  <c:v>9.9174</c:v>
                </c:pt>
                <c:pt idx="751">
                  <c:v>9.9804</c:v>
                </c:pt>
                <c:pt idx="752">
                  <c:v>9.8729</c:v>
                </c:pt>
                <c:pt idx="753">
                  <c:v>10.0178</c:v>
                </c:pt>
                <c:pt idx="754">
                  <c:v>10.0618</c:v>
                </c:pt>
                <c:pt idx="755">
                  <c:v>10.1512</c:v>
                </c:pt>
                <c:pt idx="756">
                  <c:v>10.0063</c:v>
                </c:pt>
                <c:pt idx="757">
                  <c:v>9.8978</c:v>
                </c:pt>
                <c:pt idx="758">
                  <c:v>10.0271</c:v>
                </c:pt>
                <c:pt idx="759">
                  <c:v>9.8346</c:v>
                </c:pt>
                <c:pt idx="760">
                  <c:v>9.8333</c:v>
                </c:pt>
                <c:pt idx="761">
                  <c:v>10.087</c:v>
                </c:pt>
                <c:pt idx="762">
                  <c:v>10.0298</c:v>
                </c:pt>
                <c:pt idx="763">
                  <c:v>9.8331</c:v>
                </c:pt>
                <c:pt idx="764">
                  <c:v>9.7738</c:v>
                </c:pt>
                <c:pt idx="765">
                  <c:v>9.6111</c:v>
                </c:pt>
                <c:pt idx="766">
                  <c:v>9.594</c:v>
                </c:pt>
                <c:pt idx="767">
                  <c:v>9.5442</c:v>
                </c:pt>
                <c:pt idx="768">
                  <c:v>9.5527</c:v>
                </c:pt>
                <c:pt idx="769">
                  <c:v>9.5182</c:v>
                </c:pt>
                <c:pt idx="770">
                  <c:v>9.4419</c:v>
                </c:pt>
                <c:pt idx="771">
                  <c:v>9.4086</c:v>
                </c:pt>
                <c:pt idx="772">
                  <c:v>9.3128</c:v>
                </c:pt>
                <c:pt idx="773">
                  <c:v>9.2843</c:v>
                </c:pt>
                <c:pt idx="774">
                  <c:v>9.2249</c:v>
                </c:pt>
                <c:pt idx="775">
                  <c:v>9.1554</c:v>
                </c:pt>
                <c:pt idx="776">
                  <c:v>9.104200000000001</c:v>
                </c:pt>
                <c:pt idx="777">
                  <c:v>8.9802</c:v>
                </c:pt>
                <c:pt idx="778">
                  <c:v>9.0033</c:v>
                </c:pt>
                <c:pt idx="779">
                  <c:v>9.0121</c:v>
                </c:pt>
                <c:pt idx="780">
                  <c:v>8.9924</c:v>
                </c:pt>
                <c:pt idx="781">
                  <c:v>8.9159</c:v>
                </c:pt>
                <c:pt idx="782">
                  <c:v>8.9767</c:v>
                </c:pt>
                <c:pt idx="783">
                  <c:v>9.0308</c:v>
                </c:pt>
                <c:pt idx="784">
                  <c:v>8.9963</c:v>
                </c:pt>
                <c:pt idx="785">
                  <c:v>8.998200000000001</c:v>
                </c:pt>
                <c:pt idx="786">
                  <c:v>9.1135</c:v>
                </c:pt>
                <c:pt idx="787">
                  <c:v>9.0598</c:v>
                </c:pt>
                <c:pt idx="788">
                  <c:v>9.178100000000001</c:v>
                </c:pt>
                <c:pt idx="789">
                  <c:v>9.2256</c:v>
                </c:pt>
                <c:pt idx="790">
                  <c:v>9.2461</c:v>
                </c:pt>
                <c:pt idx="791">
                  <c:v>9.2503</c:v>
                </c:pt>
                <c:pt idx="792">
                  <c:v>9.185</c:v>
                </c:pt>
                <c:pt idx="793">
                  <c:v>9.1935</c:v>
                </c:pt>
                <c:pt idx="794">
                  <c:v>9.128500000000001</c:v>
                </c:pt>
                <c:pt idx="795">
                  <c:v>9.1616</c:v>
                </c:pt>
                <c:pt idx="796">
                  <c:v>8.946300000000001</c:v>
                </c:pt>
                <c:pt idx="797">
                  <c:v>8.8972</c:v>
                </c:pt>
                <c:pt idx="798">
                  <c:v>8.8851</c:v>
                </c:pt>
                <c:pt idx="799">
                  <c:v>8.919</c:v>
                </c:pt>
                <c:pt idx="800">
                  <c:v>9.0097</c:v>
                </c:pt>
                <c:pt idx="801">
                  <c:v>9.0958</c:v>
                </c:pt>
                <c:pt idx="802">
                  <c:v>9.1634</c:v>
                </c:pt>
                <c:pt idx="803">
                  <c:v>9.2179</c:v>
                </c:pt>
                <c:pt idx="804">
                  <c:v>9.214600000000001</c:v>
                </c:pt>
                <c:pt idx="805">
                  <c:v>9.1835</c:v>
                </c:pt>
                <c:pt idx="806">
                  <c:v>9.2415</c:v>
                </c:pt>
                <c:pt idx="807">
                  <c:v>9.2252</c:v>
                </c:pt>
                <c:pt idx="808">
                  <c:v>9.2668</c:v>
                </c:pt>
                <c:pt idx="809">
                  <c:v>9.2553</c:v>
                </c:pt>
                <c:pt idx="810">
                  <c:v>9.2868</c:v>
                </c:pt>
                <c:pt idx="811">
                  <c:v>9.3101</c:v>
                </c:pt>
                <c:pt idx="812">
                  <c:v>9.3155</c:v>
                </c:pt>
                <c:pt idx="813">
                  <c:v>9.2988</c:v>
                </c:pt>
                <c:pt idx="814">
                  <c:v>9.269</c:v>
                </c:pt>
                <c:pt idx="815">
                  <c:v>9.1802</c:v>
                </c:pt>
                <c:pt idx="816">
                  <c:v>9.1921</c:v>
                </c:pt>
                <c:pt idx="817">
                  <c:v>9.1758</c:v>
                </c:pt>
                <c:pt idx="818">
                  <c:v>9.248900000000001</c:v>
                </c:pt>
                <c:pt idx="819">
                  <c:v>9.1805</c:v>
                </c:pt>
                <c:pt idx="820">
                  <c:v>9.1219</c:v>
                </c:pt>
                <c:pt idx="821">
                  <c:v>9.1166</c:v>
                </c:pt>
                <c:pt idx="822">
                  <c:v>9.149100000000001</c:v>
                </c:pt>
                <c:pt idx="823">
                  <c:v>9.1381</c:v>
                </c:pt>
                <c:pt idx="824">
                  <c:v>9.0452</c:v>
                </c:pt>
                <c:pt idx="825">
                  <c:v>9.1242</c:v>
                </c:pt>
                <c:pt idx="826">
                  <c:v>9.0704</c:v>
                </c:pt>
                <c:pt idx="827">
                  <c:v>9.0068</c:v>
                </c:pt>
                <c:pt idx="828">
                  <c:v>8.8629</c:v>
                </c:pt>
                <c:pt idx="829">
                  <c:v>8.8456</c:v>
                </c:pt>
                <c:pt idx="830">
                  <c:v>8.8268</c:v>
                </c:pt>
                <c:pt idx="831">
                  <c:v>8.8647</c:v>
                </c:pt>
                <c:pt idx="832">
                  <c:v>8.8986</c:v>
                </c:pt>
                <c:pt idx="833">
                  <c:v>8.8899</c:v>
                </c:pt>
                <c:pt idx="834">
                  <c:v>8.8562</c:v>
                </c:pt>
                <c:pt idx="835">
                  <c:v>8.9012</c:v>
                </c:pt>
                <c:pt idx="836">
                  <c:v>8.8365</c:v>
                </c:pt>
                <c:pt idx="837">
                  <c:v>8.8105</c:v>
                </c:pt>
                <c:pt idx="838">
                  <c:v>8.8727</c:v>
                </c:pt>
                <c:pt idx="839">
                  <c:v>8.8884</c:v>
                </c:pt>
                <c:pt idx="840">
                  <c:v>8.911200000000001</c:v>
                </c:pt>
                <c:pt idx="841">
                  <c:v>8.8971</c:v>
                </c:pt>
                <c:pt idx="842">
                  <c:v>8.9215</c:v>
                </c:pt>
                <c:pt idx="843">
                  <c:v>8.919</c:v>
                </c:pt>
                <c:pt idx="844">
                  <c:v>8.8509</c:v>
                </c:pt>
                <c:pt idx="845">
                  <c:v>8.9151</c:v>
                </c:pt>
                <c:pt idx="846">
                  <c:v>8.8399</c:v>
                </c:pt>
                <c:pt idx="847">
                  <c:v>8.9369</c:v>
                </c:pt>
                <c:pt idx="848">
                  <c:v>9.043100000000001</c:v>
                </c:pt>
                <c:pt idx="849">
                  <c:v>9.0368</c:v>
                </c:pt>
                <c:pt idx="850">
                  <c:v>9.1126</c:v>
                </c:pt>
                <c:pt idx="851">
                  <c:v>8.9643</c:v>
                </c:pt>
                <c:pt idx="852">
                  <c:v>9.0575</c:v>
                </c:pt>
                <c:pt idx="853">
                  <c:v>9.0285</c:v>
                </c:pt>
                <c:pt idx="854">
                  <c:v>8.8632</c:v>
                </c:pt>
                <c:pt idx="855">
                  <c:v>8.8705</c:v>
                </c:pt>
                <c:pt idx="856">
                  <c:v>8.8875</c:v>
                </c:pt>
                <c:pt idx="857">
                  <c:v>8.8041</c:v>
                </c:pt>
                <c:pt idx="858">
                  <c:v>8.8023</c:v>
                </c:pt>
                <c:pt idx="859">
                  <c:v>8.8235</c:v>
                </c:pt>
                <c:pt idx="860">
                  <c:v>8.7129</c:v>
                </c:pt>
                <c:pt idx="861">
                  <c:v>8.7147</c:v>
                </c:pt>
                <c:pt idx="862">
                  <c:v>8.648</c:v>
                </c:pt>
                <c:pt idx="863">
                  <c:v>8.5871</c:v>
                </c:pt>
                <c:pt idx="864">
                  <c:v>8.5918</c:v>
                </c:pt>
                <c:pt idx="865">
                  <c:v>8.5741</c:v>
                </c:pt>
                <c:pt idx="866">
                  <c:v>8.5694</c:v>
                </c:pt>
                <c:pt idx="867">
                  <c:v>8.542300000000001</c:v>
                </c:pt>
                <c:pt idx="868">
                  <c:v>8.5278</c:v>
                </c:pt>
                <c:pt idx="869">
                  <c:v>8.4575</c:v>
                </c:pt>
                <c:pt idx="870">
                  <c:v>8.4778</c:v>
                </c:pt>
                <c:pt idx="871">
                  <c:v>8.4714</c:v>
                </c:pt>
                <c:pt idx="872">
                  <c:v>8.511</c:v>
                </c:pt>
                <c:pt idx="873">
                  <c:v>8.5663</c:v>
                </c:pt>
                <c:pt idx="874">
                  <c:v>8.5949</c:v>
                </c:pt>
                <c:pt idx="875">
                  <c:v>8.5865</c:v>
                </c:pt>
                <c:pt idx="876">
                  <c:v>8.5773</c:v>
                </c:pt>
                <c:pt idx="877">
                  <c:v>8.501</c:v>
                </c:pt>
                <c:pt idx="878">
                  <c:v>8.4746</c:v>
                </c:pt>
                <c:pt idx="879">
                  <c:v>8.4594</c:v>
                </c:pt>
                <c:pt idx="880">
                  <c:v>8.5504</c:v>
                </c:pt>
                <c:pt idx="881">
                  <c:v>8.622</c:v>
                </c:pt>
                <c:pt idx="882">
                  <c:v>8.6675</c:v>
                </c:pt>
                <c:pt idx="883">
                  <c:v>8.6266</c:v>
                </c:pt>
                <c:pt idx="884">
                  <c:v>8.6464</c:v>
                </c:pt>
                <c:pt idx="885">
                  <c:v>8.6715</c:v>
                </c:pt>
                <c:pt idx="886">
                  <c:v>8.663</c:v>
                </c:pt>
                <c:pt idx="887">
                  <c:v>8.688700000000001</c:v>
                </c:pt>
                <c:pt idx="888">
                  <c:v>8.7612</c:v>
                </c:pt>
                <c:pt idx="889">
                  <c:v>8.803</c:v>
                </c:pt>
                <c:pt idx="890">
                  <c:v>8.8595</c:v>
                </c:pt>
                <c:pt idx="891">
                  <c:v>8.8907</c:v>
                </c:pt>
                <c:pt idx="892">
                  <c:v>8.789</c:v>
                </c:pt>
                <c:pt idx="893">
                  <c:v>8.8157</c:v>
                </c:pt>
                <c:pt idx="894">
                  <c:v>8.8258</c:v>
                </c:pt>
                <c:pt idx="895">
                  <c:v>8.8761</c:v>
                </c:pt>
                <c:pt idx="896">
                  <c:v>8.8851</c:v>
                </c:pt>
                <c:pt idx="897">
                  <c:v>8.9405</c:v>
                </c:pt>
                <c:pt idx="898">
                  <c:v>8.9608</c:v>
                </c:pt>
                <c:pt idx="899">
                  <c:v>8.8608</c:v>
                </c:pt>
                <c:pt idx="900">
                  <c:v>8.8382</c:v>
                </c:pt>
                <c:pt idx="901">
                  <c:v>8.8716</c:v>
                </c:pt>
                <c:pt idx="902">
                  <c:v>8.94</c:v>
                </c:pt>
                <c:pt idx="903">
                  <c:v>8.9087</c:v>
                </c:pt>
                <c:pt idx="904">
                  <c:v>8.774800000000001</c:v>
                </c:pt>
                <c:pt idx="905">
                  <c:v>8.7486</c:v>
                </c:pt>
                <c:pt idx="906">
                  <c:v>8.7102</c:v>
                </c:pt>
                <c:pt idx="907">
                  <c:v>8.7104</c:v>
                </c:pt>
                <c:pt idx="908">
                  <c:v>8.6504</c:v>
                </c:pt>
                <c:pt idx="909">
                  <c:v>8.6257</c:v>
                </c:pt>
                <c:pt idx="910">
                  <c:v>8.7452</c:v>
                </c:pt>
                <c:pt idx="911">
                  <c:v>8.7714</c:v>
                </c:pt>
                <c:pt idx="912">
                  <c:v>8.649100000000001</c:v>
                </c:pt>
                <c:pt idx="913">
                  <c:v>8.6573</c:v>
                </c:pt>
                <c:pt idx="914">
                  <c:v>8.6435</c:v>
                </c:pt>
                <c:pt idx="915">
                  <c:v>8.6865</c:v>
                </c:pt>
                <c:pt idx="916">
                  <c:v>8.6467</c:v>
                </c:pt>
                <c:pt idx="917">
                  <c:v>8.719200000000001</c:v>
                </c:pt>
                <c:pt idx="918">
                  <c:v>8.7732</c:v>
                </c:pt>
                <c:pt idx="919">
                  <c:v>8.768800000000001</c:v>
                </c:pt>
                <c:pt idx="920">
                  <c:v>8.639200000000001</c:v>
                </c:pt>
                <c:pt idx="921">
                  <c:v>8.633800000000001</c:v>
                </c:pt>
                <c:pt idx="922">
                  <c:v>8.6294</c:v>
                </c:pt>
                <c:pt idx="923">
                  <c:v>8.5887</c:v>
                </c:pt>
                <c:pt idx="924">
                  <c:v>8.7442</c:v>
                </c:pt>
                <c:pt idx="925">
                  <c:v>8.8114</c:v>
                </c:pt>
                <c:pt idx="926">
                  <c:v>8.7447</c:v>
                </c:pt>
                <c:pt idx="927">
                  <c:v>8.6759</c:v>
                </c:pt>
                <c:pt idx="928">
                  <c:v>8.7068</c:v>
                </c:pt>
                <c:pt idx="929">
                  <c:v>8.7647</c:v>
                </c:pt>
                <c:pt idx="930">
                  <c:v>8.8525</c:v>
                </c:pt>
                <c:pt idx="931">
                  <c:v>8.7318</c:v>
                </c:pt>
                <c:pt idx="932">
                  <c:v>8.5247</c:v>
                </c:pt>
                <c:pt idx="933">
                  <c:v>8.43</c:v>
                </c:pt>
                <c:pt idx="934">
                  <c:v>8.3714</c:v>
                </c:pt>
                <c:pt idx="935">
                  <c:v>8.3675</c:v>
                </c:pt>
                <c:pt idx="936">
                  <c:v>8.2903</c:v>
                </c:pt>
                <c:pt idx="937">
                  <c:v>8.2257</c:v>
                </c:pt>
                <c:pt idx="938">
                  <c:v>8.2264</c:v>
                </c:pt>
                <c:pt idx="939">
                  <c:v>8.1808</c:v>
                </c:pt>
                <c:pt idx="940">
                  <c:v>8.2561</c:v>
                </c:pt>
                <c:pt idx="941">
                  <c:v>8.233700000000001</c:v>
                </c:pt>
                <c:pt idx="942">
                  <c:v>8.3307</c:v>
                </c:pt>
                <c:pt idx="943">
                  <c:v>8.2502</c:v>
                </c:pt>
                <c:pt idx="944">
                  <c:v>8.2021</c:v>
                </c:pt>
                <c:pt idx="945">
                  <c:v>8.2403</c:v>
                </c:pt>
                <c:pt idx="946">
                  <c:v>8.214</c:v>
                </c:pt>
                <c:pt idx="947">
                  <c:v>8.3235</c:v>
                </c:pt>
                <c:pt idx="948">
                  <c:v>8.3378</c:v>
                </c:pt>
                <c:pt idx="949">
                  <c:v>8.1539</c:v>
                </c:pt>
                <c:pt idx="950">
                  <c:v>8.1463</c:v>
                </c:pt>
                <c:pt idx="951">
                  <c:v>8.1714</c:v>
                </c:pt>
                <c:pt idx="952">
                  <c:v>8.2858</c:v>
                </c:pt>
                <c:pt idx="953">
                  <c:v>8.3943</c:v>
                </c:pt>
                <c:pt idx="954">
                  <c:v>8.411300000000001</c:v>
                </c:pt>
                <c:pt idx="955">
                  <c:v>8.4011</c:v>
                </c:pt>
                <c:pt idx="956">
                  <c:v>8.3947</c:v>
                </c:pt>
                <c:pt idx="957">
                  <c:v>8.4816</c:v>
                </c:pt>
                <c:pt idx="958">
                  <c:v>8.41</c:v>
                </c:pt>
                <c:pt idx="959">
                  <c:v>8.3854</c:v>
                </c:pt>
                <c:pt idx="960">
                  <c:v>8.4146</c:v>
                </c:pt>
                <c:pt idx="961">
                  <c:v>8.384</c:v>
                </c:pt>
                <c:pt idx="962">
                  <c:v>8.294</c:v>
                </c:pt>
                <c:pt idx="963">
                  <c:v>8.307</c:v>
                </c:pt>
                <c:pt idx="964">
                  <c:v>8.236000000000001</c:v>
                </c:pt>
                <c:pt idx="965">
                  <c:v>8.3057</c:v>
                </c:pt>
                <c:pt idx="966">
                  <c:v>8.3147</c:v>
                </c:pt>
                <c:pt idx="967">
                  <c:v>8.2202</c:v>
                </c:pt>
                <c:pt idx="968">
                  <c:v>8.222</c:v>
                </c:pt>
                <c:pt idx="969">
                  <c:v>8.1685</c:v>
                </c:pt>
                <c:pt idx="970">
                  <c:v>8.1557</c:v>
                </c:pt>
                <c:pt idx="971">
                  <c:v>8.0859</c:v>
                </c:pt>
                <c:pt idx="972">
                  <c:v>8.1062</c:v>
                </c:pt>
                <c:pt idx="973">
                  <c:v>8.103</c:v>
                </c:pt>
                <c:pt idx="974">
                  <c:v>8.1322</c:v>
                </c:pt>
                <c:pt idx="975">
                  <c:v>8.1448</c:v>
                </c:pt>
                <c:pt idx="976">
                  <c:v>8.1333</c:v>
                </c:pt>
                <c:pt idx="977">
                  <c:v>8.374</c:v>
                </c:pt>
                <c:pt idx="978">
                  <c:v>8.26</c:v>
                </c:pt>
                <c:pt idx="979">
                  <c:v>8.2623</c:v>
                </c:pt>
                <c:pt idx="980">
                  <c:v>8.210100000000001</c:v>
                </c:pt>
                <c:pt idx="981">
                  <c:v>8.1938</c:v>
                </c:pt>
                <c:pt idx="982">
                  <c:v>8.2657</c:v>
                </c:pt>
                <c:pt idx="983">
                  <c:v>8.45</c:v>
                </c:pt>
                <c:pt idx="984">
                  <c:v>8.539</c:v>
                </c:pt>
                <c:pt idx="985">
                  <c:v>8.4457</c:v>
                </c:pt>
                <c:pt idx="986">
                  <c:v>8.2851</c:v>
                </c:pt>
                <c:pt idx="987">
                  <c:v>8.1683</c:v>
                </c:pt>
                <c:pt idx="988">
                  <c:v>8.1546</c:v>
                </c:pt>
                <c:pt idx="989">
                  <c:v>8.200100000000001</c:v>
                </c:pt>
                <c:pt idx="990">
                  <c:v>8.2228</c:v>
                </c:pt>
                <c:pt idx="991">
                  <c:v>8.268000000000001</c:v>
                </c:pt>
                <c:pt idx="992">
                  <c:v>8.3414</c:v>
                </c:pt>
                <c:pt idx="993">
                  <c:v>8.2458</c:v>
                </c:pt>
                <c:pt idx="994">
                  <c:v>8.1896</c:v>
                </c:pt>
                <c:pt idx="995">
                  <c:v>8.2536</c:v>
                </c:pt>
                <c:pt idx="996">
                  <c:v>8.2574</c:v>
                </c:pt>
                <c:pt idx="997">
                  <c:v>8.1264</c:v>
                </c:pt>
                <c:pt idx="998">
                  <c:v>8.138</c:v>
                </c:pt>
                <c:pt idx="999">
                  <c:v>8.0865</c:v>
                </c:pt>
                <c:pt idx="1000">
                  <c:v>8.1714</c:v>
                </c:pt>
                <c:pt idx="1001">
                  <c:v>8.1878</c:v>
                </c:pt>
                <c:pt idx="1002">
                  <c:v>8.4359</c:v>
                </c:pt>
                <c:pt idx="1003">
                  <c:v>8.4074</c:v>
                </c:pt>
                <c:pt idx="1004">
                  <c:v>8.4498</c:v>
                </c:pt>
                <c:pt idx="1005">
                  <c:v>8.4972</c:v>
                </c:pt>
                <c:pt idx="1006">
                  <c:v>8.4087</c:v>
                </c:pt>
                <c:pt idx="1007">
                  <c:v>8.3413</c:v>
                </c:pt>
                <c:pt idx="1008">
                  <c:v>8.202</c:v>
                </c:pt>
                <c:pt idx="1009">
                  <c:v>8.2</c:v>
                </c:pt>
                <c:pt idx="1010">
                  <c:v>8.3291</c:v>
                </c:pt>
                <c:pt idx="1011">
                  <c:v>8.3548</c:v>
                </c:pt>
                <c:pt idx="1012">
                  <c:v>8.408</c:v>
                </c:pt>
                <c:pt idx="1013">
                  <c:v>8.3605</c:v>
                </c:pt>
                <c:pt idx="1014">
                  <c:v>8.4371</c:v>
                </c:pt>
                <c:pt idx="1015">
                  <c:v>8.448600000000001</c:v>
                </c:pt>
                <c:pt idx="1016">
                  <c:v>8.4215</c:v>
                </c:pt>
                <c:pt idx="1017">
                  <c:v>8.3305</c:v>
                </c:pt>
                <c:pt idx="1018">
                  <c:v>8.3139</c:v>
                </c:pt>
                <c:pt idx="1019">
                  <c:v>8.4553</c:v>
                </c:pt>
                <c:pt idx="1020">
                  <c:v>8.5085</c:v>
                </c:pt>
                <c:pt idx="1021">
                  <c:v>8.6057</c:v>
                </c:pt>
                <c:pt idx="1022">
                  <c:v>8.5033</c:v>
                </c:pt>
                <c:pt idx="1023">
                  <c:v>8.5</c:v>
                </c:pt>
                <c:pt idx="1024">
                  <c:v>8.349</c:v>
                </c:pt>
                <c:pt idx="1025">
                  <c:v>8.3493</c:v>
                </c:pt>
                <c:pt idx="1026">
                  <c:v>8.3799</c:v>
                </c:pt>
                <c:pt idx="1027">
                  <c:v>8.3741</c:v>
                </c:pt>
                <c:pt idx="1028">
                  <c:v>8.4358</c:v>
                </c:pt>
                <c:pt idx="1029">
                  <c:v>8.274000000000001</c:v>
                </c:pt>
                <c:pt idx="1030">
                  <c:v>8.2701</c:v>
                </c:pt>
                <c:pt idx="1031">
                  <c:v>8.334300000000001</c:v>
                </c:pt>
                <c:pt idx="1032">
                  <c:v>8.3215</c:v>
                </c:pt>
                <c:pt idx="1033">
                  <c:v>8.2816</c:v>
                </c:pt>
                <c:pt idx="1034">
                  <c:v>8.2776</c:v>
                </c:pt>
                <c:pt idx="1035">
                  <c:v>8.1661</c:v>
                </c:pt>
                <c:pt idx="1036">
                  <c:v>8.0886</c:v>
                </c:pt>
                <c:pt idx="1037">
                  <c:v>8.004200000000001</c:v>
                </c:pt>
                <c:pt idx="1038">
                  <c:v>8.0026</c:v>
                </c:pt>
                <c:pt idx="1039">
                  <c:v>7.9151</c:v>
                </c:pt>
                <c:pt idx="1040">
                  <c:v>7.8131</c:v>
                </c:pt>
                <c:pt idx="1041">
                  <c:v>7.8199</c:v>
                </c:pt>
                <c:pt idx="1042">
                  <c:v>7.7219</c:v>
                </c:pt>
                <c:pt idx="1043">
                  <c:v>7.7442</c:v>
                </c:pt>
                <c:pt idx="1044">
                  <c:v>7.7251</c:v>
                </c:pt>
                <c:pt idx="1045">
                  <c:v>7.7861</c:v>
                </c:pt>
                <c:pt idx="1046">
                  <c:v>7.7565</c:v>
                </c:pt>
                <c:pt idx="1047">
                  <c:v>7.7841</c:v>
                </c:pt>
                <c:pt idx="1048">
                  <c:v>7.7611</c:v>
                </c:pt>
                <c:pt idx="1049">
                  <c:v>7.8119</c:v>
                </c:pt>
                <c:pt idx="1050">
                  <c:v>7.8647</c:v>
                </c:pt>
                <c:pt idx="1051">
                  <c:v>7.802799999999999</c:v>
                </c:pt>
                <c:pt idx="1052">
                  <c:v>7.8602</c:v>
                </c:pt>
                <c:pt idx="1053">
                  <c:v>7.8189</c:v>
                </c:pt>
                <c:pt idx="1054">
                  <c:v>7.7946</c:v>
                </c:pt>
                <c:pt idx="1055">
                  <c:v>7.9518</c:v>
                </c:pt>
                <c:pt idx="1056">
                  <c:v>7.9392</c:v>
                </c:pt>
                <c:pt idx="1057">
                  <c:v>7.8968</c:v>
                </c:pt>
                <c:pt idx="1058">
                  <c:v>7.9793</c:v>
                </c:pt>
                <c:pt idx="1059">
                  <c:v>8.0085</c:v>
                </c:pt>
                <c:pt idx="1060">
                  <c:v>7.8745</c:v>
                </c:pt>
                <c:pt idx="1061">
                  <c:v>7.885</c:v>
                </c:pt>
                <c:pt idx="1062">
                  <c:v>7.8383</c:v>
                </c:pt>
                <c:pt idx="1063">
                  <c:v>7.8221</c:v>
                </c:pt>
                <c:pt idx="1064">
                  <c:v>7.7025</c:v>
                </c:pt>
                <c:pt idx="1065">
                  <c:v>7.6339</c:v>
                </c:pt>
                <c:pt idx="1066">
                  <c:v>7.6456</c:v>
                </c:pt>
                <c:pt idx="1067">
                  <c:v>7.7458</c:v>
                </c:pt>
                <c:pt idx="1068">
                  <c:v>7.688</c:v>
                </c:pt>
                <c:pt idx="1069">
                  <c:v>7.594</c:v>
                </c:pt>
                <c:pt idx="1070">
                  <c:v>7.5898</c:v>
                </c:pt>
                <c:pt idx="1071">
                  <c:v>7.6827</c:v>
                </c:pt>
                <c:pt idx="1072">
                  <c:v>7.7128</c:v>
                </c:pt>
                <c:pt idx="1073">
                  <c:v>7.6571</c:v>
                </c:pt>
                <c:pt idx="1074">
                  <c:v>7.6101</c:v>
                </c:pt>
                <c:pt idx="1075">
                  <c:v>7.5239</c:v>
                </c:pt>
                <c:pt idx="1076">
                  <c:v>7.5753</c:v>
                </c:pt>
                <c:pt idx="1077">
                  <c:v>7.6171</c:v>
                </c:pt>
                <c:pt idx="1078">
                  <c:v>7.7297</c:v>
                </c:pt>
                <c:pt idx="1079">
                  <c:v>7.5399</c:v>
                </c:pt>
                <c:pt idx="1080">
                  <c:v>7.5544</c:v>
                </c:pt>
                <c:pt idx="1081">
                  <c:v>7.5344</c:v>
                </c:pt>
                <c:pt idx="1082">
                  <c:v>7.5191</c:v>
                </c:pt>
                <c:pt idx="1083">
                  <c:v>7.6181</c:v>
                </c:pt>
                <c:pt idx="1084">
                  <c:v>7.6603</c:v>
                </c:pt>
                <c:pt idx="1085">
                  <c:v>7.555</c:v>
                </c:pt>
                <c:pt idx="1086">
                  <c:v>7.5169</c:v>
                </c:pt>
                <c:pt idx="1087">
                  <c:v>7.4578</c:v>
                </c:pt>
                <c:pt idx="1088">
                  <c:v>7.4531</c:v>
                </c:pt>
                <c:pt idx="1089">
                  <c:v>7.534</c:v>
                </c:pt>
                <c:pt idx="1090">
                  <c:v>7.538</c:v>
                </c:pt>
                <c:pt idx="1091">
                  <c:v>7.591</c:v>
                </c:pt>
                <c:pt idx="1092">
                  <c:v>7.6809</c:v>
                </c:pt>
                <c:pt idx="1093">
                  <c:v>7.7356</c:v>
                </c:pt>
                <c:pt idx="1094">
                  <c:v>7.7226</c:v>
                </c:pt>
                <c:pt idx="1095">
                  <c:v>7.6652</c:v>
                </c:pt>
                <c:pt idx="1096">
                  <c:v>7.7487</c:v>
                </c:pt>
                <c:pt idx="1097">
                  <c:v>7.7824</c:v>
                </c:pt>
                <c:pt idx="1098">
                  <c:v>7.7326</c:v>
                </c:pt>
                <c:pt idx="1099">
                  <c:v>7.7455</c:v>
                </c:pt>
                <c:pt idx="1100">
                  <c:v>7.6967</c:v>
                </c:pt>
                <c:pt idx="1101">
                  <c:v>7.7465</c:v>
                </c:pt>
                <c:pt idx="1102">
                  <c:v>7.6036</c:v>
                </c:pt>
                <c:pt idx="1103">
                  <c:v>7.5803</c:v>
                </c:pt>
                <c:pt idx="1104">
                  <c:v>7.5607</c:v>
                </c:pt>
                <c:pt idx="1105">
                  <c:v>7.5574</c:v>
                </c:pt>
                <c:pt idx="1106">
                  <c:v>7.5563</c:v>
                </c:pt>
                <c:pt idx="1107">
                  <c:v>7.64</c:v>
                </c:pt>
                <c:pt idx="1108">
                  <c:v>7.6735</c:v>
                </c:pt>
                <c:pt idx="1109">
                  <c:v>7.812</c:v>
                </c:pt>
                <c:pt idx="1110">
                  <c:v>7.8543</c:v>
                </c:pt>
                <c:pt idx="1111">
                  <c:v>7.7723</c:v>
                </c:pt>
                <c:pt idx="1112">
                  <c:v>7.7895</c:v>
                </c:pt>
                <c:pt idx="1113">
                  <c:v>7.9731</c:v>
                </c:pt>
                <c:pt idx="1114">
                  <c:v>7.9367</c:v>
                </c:pt>
                <c:pt idx="1115">
                  <c:v>7.9331</c:v>
                </c:pt>
                <c:pt idx="1116">
                  <c:v>7.9434</c:v>
                </c:pt>
                <c:pt idx="1117">
                  <c:v>7.9044</c:v>
                </c:pt>
                <c:pt idx="1118">
                  <c:v>7.9926</c:v>
                </c:pt>
                <c:pt idx="1119">
                  <c:v>8.0494</c:v>
                </c:pt>
                <c:pt idx="1120">
                  <c:v>8.1082</c:v>
                </c:pt>
                <c:pt idx="1121">
                  <c:v>8.1451</c:v>
                </c:pt>
                <c:pt idx="1122">
                  <c:v>8.0468</c:v>
                </c:pt>
                <c:pt idx="1123">
                  <c:v>8.1158</c:v>
                </c:pt>
                <c:pt idx="1124">
                  <c:v>8.1076</c:v>
                </c:pt>
                <c:pt idx="1125">
                  <c:v>8.1828</c:v>
                </c:pt>
                <c:pt idx="1126">
                  <c:v>8.1609</c:v>
                </c:pt>
                <c:pt idx="1127">
                  <c:v>8.1724</c:v>
                </c:pt>
                <c:pt idx="1128">
                  <c:v>8.1312</c:v>
                </c:pt>
                <c:pt idx="1129">
                  <c:v>8.0307</c:v>
                </c:pt>
                <c:pt idx="1130">
                  <c:v>8.0766</c:v>
                </c:pt>
                <c:pt idx="1131">
                  <c:v>8.0751</c:v>
                </c:pt>
                <c:pt idx="1132">
                  <c:v>8.185</c:v>
                </c:pt>
                <c:pt idx="1133">
                  <c:v>8.1932</c:v>
                </c:pt>
                <c:pt idx="1134">
                  <c:v>8.1409</c:v>
                </c:pt>
                <c:pt idx="1135">
                  <c:v>8.161</c:v>
                </c:pt>
                <c:pt idx="1136">
                  <c:v>8.1368</c:v>
                </c:pt>
                <c:pt idx="1137">
                  <c:v>8.1695</c:v>
                </c:pt>
                <c:pt idx="1138">
                  <c:v>8.263</c:v>
                </c:pt>
                <c:pt idx="1139">
                  <c:v>8.210000000000001</c:v>
                </c:pt>
                <c:pt idx="1140">
                  <c:v>8.3923</c:v>
                </c:pt>
                <c:pt idx="1141">
                  <c:v>8.3827</c:v>
                </c:pt>
                <c:pt idx="1142">
                  <c:v>8.4046</c:v>
                </c:pt>
                <c:pt idx="1143">
                  <c:v>8.434900000000001</c:v>
                </c:pt>
                <c:pt idx="1144">
                  <c:v>8.292</c:v>
                </c:pt>
                <c:pt idx="1145">
                  <c:v>8.2647</c:v>
                </c:pt>
                <c:pt idx="1146">
                  <c:v>8.116</c:v>
                </c:pt>
                <c:pt idx="1147">
                  <c:v>8.2675</c:v>
                </c:pt>
                <c:pt idx="1148">
                  <c:v>8.0225</c:v>
                </c:pt>
                <c:pt idx="1149">
                  <c:v>8.029</c:v>
                </c:pt>
                <c:pt idx="1150">
                  <c:v>8.006</c:v>
                </c:pt>
                <c:pt idx="1151">
                  <c:v>8.0569</c:v>
                </c:pt>
                <c:pt idx="1152">
                  <c:v>8.0928</c:v>
                </c:pt>
                <c:pt idx="1153">
                  <c:v>8.132</c:v>
                </c:pt>
                <c:pt idx="1154">
                  <c:v>8.3535</c:v>
                </c:pt>
                <c:pt idx="1155">
                  <c:v>8.3929</c:v>
                </c:pt>
                <c:pt idx="1156">
                  <c:v>8.5412</c:v>
                </c:pt>
                <c:pt idx="1157">
                  <c:v>8.4825</c:v>
                </c:pt>
                <c:pt idx="1158">
                  <c:v>8.5295</c:v>
                </c:pt>
                <c:pt idx="1159">
                  <c:v>8.3775</c:v>
                </c:pt>
                <c:pt idx="1160">
                  <c:v>8.328</c:v>
                </c:pt>
                <c:pt idx="1161">
                  <c:v>8.219</c:v>
                </c:pt>
                <c:pt idx="1162">
                  <c:v>8.2278</c:v>
                </c:pt>
                <c:pt idx="1163">
                  <c:v>8.1519</c:v>
                </c:pt>
                <c:pt idx="1164">
                  <c:v>8.1749</c:v>
                </c:pt>
                <c:pt idx="1165">
                  <c:v>8.0214</c:v>
                </c:pt>
                <c:pt idx="1166">
                  <c:v>7.9015</c:v>
                </c:pt>
                <c:pt idx="1167">
                  <c:v>7.9727</c:v>
                </c:pt>
                <c:pt idx="1168">
                  <c:v>7.9923</c:v>
                </c:pt>
                <c:pt idx="1169">
                  <c:v>7.8638</c:v>
                </c:pt>
                <c:pt idx="1170">
                  <c:v>7.967</c:v>
                </c:pt>
                <c:pt idx="1171">
                  <c:v>7.8945</c:v>
                </c:pt>
                <c:pt idx="1172">
                  <c:v>7.85</c:v>
                </c:pt>
                <c:pt idx="1173">
                  <c:v>7.9965</c:v>
                </c:pt>
                <c:pt idx="1174">
                  <c:v>8.0548</c:v>
                </c:pt>
                <c:pt idx="1175">
                  <c:v>7.8791</c:v>
                </c:pt>
                <c:pt idx="1176">
                  <c:v>7.7355</c:v>
                </c:pt>
                <c:pt idx="1177">
                  <c:v>7.7147</c:v>
                </c:pt>
                <c:pt idx="1178">
                  <c:v>8.0024</c:v>
                </c:pt>
                <c:pt idx="1179">
                  <c:v>7.9061</c:v>
                </c:pt>
                <c:pt idx="1180">
                  <c:v>7.8716</c:v>
                </c:pt>
                <c:pt idx="1181">
                  <c:v>8.0404</c:v>
                </c:pt>
                <c:pt idx="1182">
                  <c:v>8.2107</c:v>
                </c:pt>
                <c:pt idx="1183">
                  <c:v>8.016</c:v>
                </c:pt>
                <c:pt idx="1184">
                  <c:v>7.9965</c:v>
                </c:pt>
                <c:pt idx="1185">
                  <c:v>7.9616</c:v>
                </c:pt>
                <c:pt idx="1186">
                  <c:v>7.8545</c:v>
                </c:pt>
                <c:pt idx="1187">
                  <c:v>7.8965</c:v>
                </c:pt>
                <c:pt idx="1188">
                  <c:v>7.7943</c:v>
                </c:pt>
                <c:pt idx="1189">
                  <c:v>7.9157</c:v>
                </c:pt>
                <c:pt idx="1190">
                  <c:v>7.8399</c:v>
                </c:pt>
                <c:pt idx="1191">
                  <c:v>7.9722</c:v>
                </c:pt>
                <c:pt idx="1192">
                  <c:v>7.9763</c:v>
                </c:pt>
                <c:pt idx="1193">
                  <c:v>8.0205</c:v>
                </c:pt>
                <c:pt idx="1194">
                  <c:v>8.2318</c:v>
                </c:pt>
                <c:pt idx="1195">
                  <c:v>8.229900000000001</c:v>
                </c:pt>
                <c:pt idx="1196">
                  <c:v>8.0395</c:v>
                </c:pt>
                <c:pt idx="1197">
                  <c:v>7.9575</c:v>
                </c:pt>
                <c:pt idx="1198">
                  <c:v>7.81</c:v>
                </c:pt>
                <c:pt idx="1199">
                  <c:v>7.8571</c:v>
                </c:pt>
                <c:pt idx="1200">
                  <c:v>8.0996</c:v>
                </c:pt>
                <c:pt idx="1201">
                  <c:v>8.2549</c:v>
                </c:pt>
                <c:pt idx="1202">
                  <c:v>8.2515</c:v>
                </c:pt>
                <c:pt idx="1203">
                  <c:v>7.9117</c:v>
                </c:pt>
                <c:pt idx="1204">
                  <c:v>7.709</c:v>
                </c:pt>
                <c:pt idx="1205">
                  <c:v>7.7177</c:v>
                </c:pt>
                <c:pt idx="1206">
                  <c:v>7.44</c:v>
                </c:pt>
                <c:pt idx="1207">
                  <c:v>7.3768</c:v>
                </c:pt>
                <c:pt idx="1208">
                  <c:v>7.4105</c:v>
                </c:pt>
                <c:pt idx="1209">
                  <c:v>7.3038</c:v>
                </c:pt>
                <c:pt idx="1210">
                  <c:v>7.4576</c:v>
                </c:pt>
                <c:pt idx="1211">
                  <c:v>7.2737</c:v>
                </c:pt>
                <c:pt idx="1212">
                  <c:v>7.167</c:v>
                </c:pt>
                <c:pt idx="1213">
                  <c:v>7.1394</c:v>
                </c:pt>
                <c:pt idx="1214">
                  <c:v>7.1899</c:v>
                </c:pt>
                <c:pt idx="1215">
                  <c:v>7.1326</c:v>
                </c:pt>
                <c:pt idx="1216">
                  <c:v>7.0674</c:v>
                </c:pt>
                <c:pt idx="1217">
                  <c:v>6.9932</c:v>
                </c:pt>
                <c:pt idx="1218">
                  <c:v>6.9782</c:v>
                </c:pt>
                <c:pt idx="1219">
                  <c:v>7.0871</c:v>
                </c:pt>
                <c:pt idx="1220">
                  <c:v>7.0525</c:v>
                </c:pt>
                <c:pt idx="1221">
                  <c:v>7.1304</c:v>
                </c:pt>
                <c:pt idx="1222">
                  <c:v>7.226</c:v>
                </c:pt>
                <c:pt idx="1223">
                  <c:v>7.2444</c:v>
                </c:pt>
                <c:pt idx="1224">
                  <c:v>7.1755</c:v>
                </c:pt>
                <c:pt idx="1225">
                  <c:v>7.2209</c:v>
                </c:pt>
                <c:pt idx="1226">
                  <c:v>7.178</c:v>
                </c:pt>
                <c:pt idx="1227">
                  <c:v>7.2147</c:v>
                </c:pt>
                <c:pt idx="1228">
                  <c:v>7.0914</c:v>
                </c:pt>
                <c:pt idx="1229">
                  <c:v>7.1367</c:v>
                </c:pt>
                <c:pt idx="1230">
                  <c:v>7.1426</c:v>
                </c:pt>
                <c:pt idx="1231">
                  <c:v>7.168</c:v>
                </c:pt>
                <c:pt idx="1232">
                  <c:v>7.2317</c:v>
                </c:pt>
                <c:pt idx="1233">
                  <c:v>7.2722</c:v>
                </c:pt>
                <c:pt idx="1234">
                  <c:v>7.4029</c:v>
                </c:pt>
                <c:pt idx="1235">
                  <c:v>7.1166</c:v>
                </c:pt>
                <c:pt idx="1236">
                  <c:v>6.8898</c:v>
                </c:pt>
                <c:pt idx="1237">
                  <c:v>6.9225</c:v>
                </c:pt>
                <c:pt idx="1238">
                  <c:v>6.7429</c:v>
                </c:pt>
                <c:pt idx="1239">
                  <c:v>6.7673</c:v>
                </c:pt>
                <c:pt idx="1240">
                  <c:v>6.7346</c:v>
                </c:pt>
                <c:pt idx="1241">
                  <c:v>6.6988</c:v>
                </c:pt>
                <c:pt idx="1242">
                  <c:v>6.7095</c:v>
                </c:pt>
                <c:pt idx="1243">
                  <c:v>6.6703</c:v>
                </c:pt>
                <c:pt idx="1244">
                  <c:v>6.6747</c:v>
                </c:pt>
                <c:pt idx="1245">
                  <c:v>6.7643</c:v>
                </c:pt>
                <c:pt idx="1246">
                  <c:v>6.7716</c:v>
                </c:pt>
                <c:pt idx="1247">
                  <c:v>6.7785</c:v>
                </c:pt>
                <c:pt idx="1248">
                  <c:v>6.8861</c:v>
                </c:pt>
                <c:pt idx="1249">
                  <c:v>6.9444</c:v>
                </c:pt>
                <c:pt idx="1250">
                  <c:v>6.9893</c:v>
                </c:pt>
                <c:pt idx="1251">
                  <c:v>6.9026</c:v>
                </c:pt>
                <c:pt idx="1252">
                  <c:v>6.8572</c:v>
                </c:pt>
                <c:pt idx="1253">
                  <c:v>6.8223</c:v>
                </c:pt>
                <c:pt idx="1254">
                  <c:v>6.8764</c:v>
                </c:pt>
                <c:pt idx="1255">
                  <c:v>6.8335</c:v>
                </c:pt>
                <c:pt idx="1256">
                  <c:v>6.714</c:v>
                </c:pt>
                <c:pt idx="1257">
                  <c:v>6.6777</c:v>
                </c:pt>
                <c:pt idx="1258">
                  <c:v>6.736</c:v>
                </c:pt>
                <c:pt idx="1259">
                  <c:v>6.7303</c:v>
                </c:pt>
                <c:pt idx="1260">
                  <c:v>6.7191</c:v>
                </c:pt>
                <c:pt idx="1261">
                  <c:v>6.7237</c:v>
                </c:pt>
                <c:pt idx="1262">
                  <c:v>6.7602</c:v>
                </c:pt>
                <c:pt idx="1263">
                  <c:v>6.8265</c:v>
                </c:pt>
                <c:pt idx="1264">
                  <c:v>6.8415</c:v>
                </c:pt>
                <c:pt idx="1265">
                  <c:v>6.8737</c:v>
                </c:pt>
                <c:pt idx="1266">
                  <c:v>6.8993</c:v>
                </c:pt>
                <c:pt idx="1267">
                  <c:v>6.8614</c:v>
                </c:pt>
                <c:pt idx="1268">
                  <c:v>6.7586</c:v>
                </c:pt>
                <c:pt idx="1269">
                  <c:v>6.7275</c:v>
                </c:pt>
                <c:pt idx="1270">
                  <c:v>6.7798</c:v>
                </c:pt>
                <c:pt idx="1271">
                  <c:v>6.778</c:v>
                </c:pt>
                <c:pt idx="1272">
                  <c:v>6.8414</c:v>
                </c:pt>
                <c:pt idx="1273">
                  <c:v>6.843199999999999</c:v>
                </c:pt>
                <c:pt idx="1274">
                  <c:v>6.7612</c:v>
                </c:pt>
                <c:pt idx="1275">
                  <c:v>6.8022</c:v>
                </c:pt>
                <c:pt idx="1276">
                  <c:v>6.802799999999999</c:v>
                </c:pt>
                <c:pt idx="1277">
                  <c:v>6.7351</c:v>
                </c:pt>
                <c:pt idx="1278">
                  <c:v>6.7179</c:v>
                </c:pt>
                <c:pt idx="1279">
                  <c:v>6.7129</c:v>
                </c:pt>
                <c:pt idx="1280">
                  <c:v>6.7637</c:v>
                </c:pt>
                <c:pt idx="1281">
                  <c:v>6.6931</c:v>
                </c:pt>
                <c:pt idx="1282">
                  <c:v>6.7573</c:v>
                </c:pt>
                <c:pt idx="1283">
                  <c:v>6.8069</c:v>
                </c:pt>
                <c:pt idx="1284">
                  <c:v>6.8158</c:v>
                </c:pt>
                <c:pt idx="1285">
                  <c:v>6.9457</c:v>
                </c:pt>
                <c:pt idx="1286">
                  <c:v>6.9223</c:v>
                </c:pt>
                <c:pt idx="1287">
                  <c:v>6.9783</c:v>
                </c:pt>
                <c:pt idx="1288">
                  <c:v>7.0256</c:v>
                </c:pt>
                <c:pt idx="1289">
                  <c:v>6.9904</c:v>
                </c:pt>
                <c:pt idx="1290">
                  <c:v>7.0146</c:v>
                </c:pt>
                <c:pt idx="1291">
                  <c:v>6.9069</c:v>
                </c:pt>
                <c:pt idx="1292">
                  <c:v>6.8778</c:v>
                </c:pt>
                <c:pt idx="1293">
                  <c:v>6.9198</c:v>
                </c:pt>
                <c:pt idx="1294">
                  <c:v>6.983</c:v>
                </c:pt>
                <c:pt idx="1295">
                  <c:v>6.982</c:v>
                </c:pt>
                <c:pt idx="1296">
                  <c:v>7.0472</c:v>
                </c:pt>
                <c:pt idx="1297">
                  <c:v>6.9061</c:v>
                </c:pt>
                <c:pt idx="1298">
                  <c:v>6.8923</c:v>
                </c:pt>
                <c:pt idx="1299">
                  <c:v>6.771</c:v>
                </c:pt>
                <c:pt idx="1300">
                  <c:v>6.7543</c:v>
                </c:pt>
                <c:pt idx="1301">
                  <c:v>6.687</c:v>
                </c:pt>
                <c:pt idx="1302">
                  <c:v>6.7369</c:v>
                </c:pt>
                <c:pt idx="1303">
                  <c:v>6.6658</c:v>
                </c:pt>
                <c:pt idx="1304">
                  <c:v>6.6264</c:v>
                </c:pt>
                <c:pt idx="1305">
                  <c:v>6.5802</c:v>
                </c:pt>
                <c:pt idx="1306">
                  <c:v>6.5791</c:v>
                </c:pt>
                <c:pt idx="1307">
                  <c:v>6.625</c:v>
                </c:pt>
                <c:pt idx="1308">
                  <c:v>6.649599999999999</c:v>
                </c:pt>
                <c:pt idx="1309">
                  <c:v>6.6802</c:v>
                </c:pt>
                <c:pt idx="1310">
                  <c:v>6.733</c:v>
                </c:pt>
                <c:pt idx="1311">
                  <c:v>6.7076</c:v>
                </c:pt>
                <c:pt idx="1312">
                  <c:v>6.7047</c:v>
                </c:pt>
                <c:pt idx="1313">
                  <c:v>6.7996</c:v>
                </c:pt>
                <c:pt idx="1314">
                  <c:v>6.8245</c:v>
                </c:pt>
                <c:pt idx="1315">
                  <c:v>6.8648</c:v>
                </c:pt>
                <c:pt idx="1316">
                  <c:v>6.8142</c:v>
                </c:pt>
                <c:pt idx="1317">
                  <c:v>6.8495</c:v>
                </c:pt>
                <c:pt idx="1318">
                  <c:v>6.7937</c:v>
                </c:pt>
                <c:pt idx="1319">
                  <c:v>6.734199999999999</c:v>
                </c:pt>
                <c:pt idx="1320">
                  <c:v>6.6627</c:v>
                </c:pt>
                <c:pt idx="1321">
                  <c:v>6.6563</c:v>
                </c:pt>
                <c:pt idx="1322">
                  <c:v>6.6748</c:v>
                </c:pt>
                <c:pt idx="1323">
                  <c:v>6.6848</c:v>
                </c:pt>
                <c:pt idx="1324">
                  <c:v>6.721999999999999</c:v>
                </c:pt>
                <c:pt idx="1325">
                  <c:v>6.7113</c:v>
                </c:pt>
                <c:pt idx="1326">
                  <c:v>6.6948</c:v>
                </c:pt>
                <c:pt idx="1327">
                  <c:v>6.7694</c:v>
                </c:pt>
                <c:pt idx="1328">
                  <c:v>6.8029</c:v>
                </c:pt>
                <c:pt idx="1329">
                  <c:v>6.8695</c:v>
                </c:pt>
                <c:pt idx="1330">
                  <c:v>6.8636</c:v>
                </c:pt>
                <c:pt idx="1331">
                  <c:v>6.8655</c:v>
                </c:pt>
                <c:pt idx="1332">
                  <c:v>6.8629</c:v>
                </c:pt>
                <c:pt idx="1333">
                  <c:v>6.9171</c:v>
                </c:pt>
                <c:pt idx="1334">
                  <c:v>6.8951</c:v>
                </c:pt>
                <c:pt idx="1335">
                  <c:v>6.9555</c:v>
                </c:pt>
                <c:pt idx="1336">
                  <c:v>7.0022</c:v>
                </c:pt>
                <c:pt idx="1337">
                  <c:v>7.102</c:v>
                </c:pt>
                <c:pt idx="1338">
                  <c:v>7.0761</c:v>
                </c:pt>
                <c:pt idx="1339">
                  <c:v>6.987</c:v>
                </c:pt>
                <c:pt idx="1340">
                  <c:v>6.838</c:v>
                </c:pt>
                <c:pt idx="1341">
                  <c:v>6.8779</c:v>
                </c:pt>
                <c:pt idx="1342">
                  <c:v>6.9057</c:v>
                </c:pt>
                <c:pt idx="1343">
                  <c:v>6.8714</c:v>
                </c:pt>
                <c:pt idx="1344">
                  <c:v>6.8815</c:v>
                </c:pt>
                <c:pt idx="1345">
                  <c:v>6.8836</c:v>
                </c:pt>
                <c:pt idx="1346">
                  <c:v>6.8985</c:v>
                </c:pt>
                <c:pt idx="1347">
                  <c:v>6.9084</c:v>
                </c:pt>
                <c:pt idx="1348">
                  <c:v>6.8784</c:v>
                </c:pt>
                <c:pt idx="1349">
                  <c:v>6.9714</c:v>
                </c:pt>
                <c:pt idx="1350">
                  <c:v>6.9594</c:v>
                </c:pt>
                <c:pt idx="1351">
                  <c:v>7.0028</c:v>
                </c:pt>
                <c:pt idx="1352">
                  <c:v>7.065</c:v>
                </c:pt>
                <c:pt idx="1353">
                  <c:v>7.1262</c:v>
                </c:pt>
                <c:pt idx="1354">
                  <c:v>7.1587</c:v>
                </c:pt>
                <c:pt idx="1355">
                  <c:v>7.1589</c:v>
                </c:pt>
                <c:pt idx="1356">
                  <c:v>7.1325</c:v>
                </c:pt>
                <c:pt idx="1357">
                  <c:v>7.1987</c:v>
                </c:pt>
                <c:pt idx="1358">
                  <c:v>7.2478</c:v>
                </c:pt>
                <c:pt idx="1359">
                  <c:v>7.311</c:v>
                </c:pt>
                <c:pt idx="1360">
                  <c:v>7.306599999999999</c:v>
                </c:pt>
                <c:pt idx="1361">
                  <c:v>7.2956</c:v>
                </c:pt>
                <c:pt idx="1362">
                  <c:v>7.2613</c:v>
                </c:pt>
                <c:pt idx="1363">
                  <c:v>7.2235</c:v>
                </c:pt>
                <c:pt idx="1364">
                  <c:v>7.1738</c:v>
                </c:pt>
                <c:pt idx="1365">
                  <c:v>7.2614</c:v>
                </c:pt>
                <c:pt idx="1366">
                  <c:v>7.2541</c:v>
                </c:pt>
                <c:pt idx="1367">
                  <c:v>7.2753</c:v>
                </c:pt>
                <c:pt idx="1368">
                  <c:v>7.1665</c:v>
                </c:pt>
                <c:pt idx="1369">
                  <c:v>7.1249</c:v>
                </c:pt>
                <c:pt idx="1370">
                  <c:v>7.1788</c:v>
                </c:pt>
                <c:pt idx="1371">
                  <c:v>7.1642</c:v>
                </c:pt>
                <c:pt idx="1372">
                  <c:v>7.0418</c:v>
                </c:pt>
                <c:pt idx="1373">
                  <c:v>7.093</c:v>
                </c:pt>
                <c:pt idx="1374">
                  <c:v>7.0759</c:v>
                </c:pt>
                <c:pt idx="1375">
                  <c:v>7.0055</c:v>
                </c:pt>
                <c:pt idx="1376">
                  <c:v>7.0819</c:v>
                </c:pt>
                <c:pt idx="1377">
                  <c:v>7.0699</c:v>
                </c:pt>
                <c:pt idx="1378">
                  <c:v>6.9898</c:v>
                </c:pt>
                <c:pt idx="1379">
                  <c:v>6.9133</c:v>
                </c:pt>
                <c:pt idx="1380">
                  <c:v>6.8963</c:v>
                </c:pt>
                <c:pt idx="1381">
                  <c:v>6.9444</c:v>
                </c:pt>
                <c:pt idx="1382">
                  <c:v>6.8149</c:v>
                </c:pt>
                <c:pt idx="1383">
                  <c:v>6.8325</c:v>
                </c:pt>
                <c:pt idx="1384">
                  <c:v>6.8714</c:v>
                </c:pt>
                <c:pt idx="1385">
                  <c:v>6.8307</c:v>
                </c:pt>
                <c:pt idx="1386">
                  <c:v>6.8172</c:v>
                </c:pt>
                <c:pt idx="1387">
                  <c:v>6.7815</c:v>
                </c:pt>
                <c:pt idx="1388">
                  <c:v>6.705</c:v>
                </c:pt>
                <c:pt idx="1389">
                  <c:v>6.6998</c:v>
                </c:pt>
                <c:pt idx="1390">
                  <c:v>6.608</c:v>
                </c:pt>
                <c:pt idx="1391">
                  <c:v>6.5869</c:v>
                </c:pt>
                <c:pt idx="1392">
                  <c:v>6.6649</c:v>
                </c:pt>
                <c:pt idx="1393">
                  <c:v>6.660999999999999</c:v>
                </c:pt>
                <c:pt idx="1394">
                  <c:v>6.6603</c:v>
                </c:pt>
                <c:pt idx="1395">
                  <c:v>6.7434</c:v>
                </c:pt>
                <c:pt idx="1396">
                  <c:v>6.733</c:v>
                </c:pt>
                <c:pt idx="1397">
                  <c:v>6.7448</c:v>
                </c:pt>
                <c:pt idx="1398">
                  <c:v>6.796</c:v>
                </c:pt>
                <c:pt idx="1399">
                  <c:v>6.8152</c:v>
                </c:pt>
                <c:pt idx="1400">
                  <c:v>6.8465</c:v>
                </c:pt>
                <c:pt idx="1401">
                  <c:v>6.8655</c:v>
                </c:pt>
                <c:pt idx="1402">
                  <c:v>6.835</c:v>
                </c:pt>
                <c:pt idx="1403">
                  <c:v>6.8252</c:v>
                </c:pt>
                <c:pt idx="1404">
                  <c:v>6.8225</c:v>
                </c:pt>
                <c:pt idx="1405">
                  <c:v>6.846</c:v>
                </c:pt>
                <c:pt idx="1406">
                  <c:v>6.8634</c:v>
                </c:pt>
                <c:pt idx="1407">
                  <c:v>6.8766</c:v>
                </c:pt>
                <c:pt idx="1408">
                  <c:v>6.9275</c:v>
                </c:pt>
                <c:pt idx="1409">
                  <c:v>6.8938</c:v>
                </c:pt>
                <c:pt idx="1410">
                  <c:v>6.8958</c:v>
                </c:pt>
                <c:pt idx="1411">
                  <c:v>6.8582</c:v>
                </c:pt>
                <c:pt idx="1412">
                  <c:v>6.887</c:v>
                </c:pt>
                <c:pt idx="1413">
                  <c:v>7.0061</c:v>
                </c:pt>
                <c:pt idx="1414">
                  <c:v>7.0918</c:v>
                </c:pt>
                <c:pt idx="1415">
                  <c:v>7.1587</c:v>
                </c:pt>
                <c:pt idx="1416">
                  <c:v>7.1385</c:v>
                </c:pt>
                <c:pt idx="1417">
                  <c:v>7.0512</c:v>
                </c:pt>
                <c:pt idx="1418">
                  <c:v>7.0662</c:v>
                </c:pt>
                <c:pt idx="1419">
                  <c:v>7.1078</c:v>
                </c:pt>
                <c:pt idx="1420">
                  <c:v>7.0285</c:v>
                </c:pt>
                <c:pt idx="1421">
                  <c:v>7.0184</c:v>
                </c:pt>
                <c:pt idx="1422">
                  <c:v>6.9887</c:v>
                </c:pt>
                <c:pt idx="1423">
                  <c:v>7.0135</c:v>
                </c:pt>
                <c:pt idx="1424">
                  <c:v>7.0676</c:v>
                </c:pt>
                <c:pt idx="1425">
                  <c:v>6.9485</c:v>
                </c:pt>
                <c:pt idx="1426">
                  <c:v>6.965</c:v>
                </c:pt>
                <c:pt idx="1427">
                  <c:v>6.9448</c:v>
                </c:pt>
                <c:pt idx="1428">
                  <c:v>6.9095</c:v>
                </c:pt>
                <c:pt idx="1429">
                  <c:v>6.8451</c:v>
                </c:pt>
                <c:pt idx="1430">
                  <c:v>6.837099999999999</c:v>
                </c:pt>
                <c:pt idx="1431">
                  <c:v>6.788</c:v>
                </c:pt>
                <c:pt idx="1432">
                  <c:v>6.81</c:v>
                </c:pt>
                <c:pt idx="1433">
                  <c:v>6.9126</c:v>
                </c:pt>
                <c:pt idx="1434">
                  <c:v>6.886</c:v>
                </c:pt>
                <c:pt idx="1435">
                  <c:v>6.979</c:v>
                </c:pt>
                <c:pt idx="1436">
                  <c:v>6.9757</c:v>
                </c:pt>
                <c:pt idx="1437">
                  <c:v>6.994</c:v>
                </c:pt>
                <c:pt idx="1438">
                  <c:v>7.0679</c:v>
                </c:pt>
                <c:pt idx="1439">
                  <c:v>6.9437</c:v>
                </c:pt>
                <c:pt idx="1440">
                  <c:v>6.921</c:v>
                </c:pt>
                <c:pt idx="1441">
                  <c:v>6.9641</c:v>
                </c:pt>
                <c:pt idx="1442">
                  <c:v>6.9475</c:v>
                </c:pt>
                <c:pt idx="1443">
                  <c:v>6.9149</c:v>
                </c:pt>
                <c:pt idx="1444">
                  <c:v>6.9584</c:v>
                </c:pt>
                <c:pt idx="1445">
                  <c:v>6.8713</c:v>
                </c:pt>
                <c:pt idx="1446">
                  <c:v>6.8266</c:v>
                </c:pt>
                <c:pt idx="1447">
                  <c:v>6.8018</c:v>
                </c:pt>
                <c:pt idx="1448">
                  <c:v>6.81</c:v>
                </c:pt>
                <c:pt idx="1449">
                  <c:v>6.8894</c:v>
                </c:pt>
                <c:pt idx="1450">
                  <c:v>6.8567</c:v>
                </c:pt>
                <c:pt idx="1451">
                  <c:v>6.8545</c:v>
                </c:pt>
                <c:pt idx="1452">
                  <c:v>6.9059</c:v>
                </c:pt>
                <c:pt idx="1453">
                  <c:v>6.8576</c:v>
                </c:pt>
                <c:pt idx="1454">
                  <c:v>6.9037</c:v>
                </c:pt>
                <c:pt idx="1455">
                  <c:v>7.0171</c:v>
                </c:pt>
                <c:pt idx="1456">
                  <c:v>6.9402</c:v>
                </c:pt>
                <c:pt idx="1457">
                  <c:v>6.9821</c:v>
                </c:pt>
                <c:pt idx="1458">
                  <c:v>6.9729</c:v>
                </c:pt>
                <c:pt idx="1459">
                  <c:v>6.9748</c:v>
                </c:pt>
                <c:pt idx="1460">
                  <c:v>6.9954</c:v>
                </c:pt>
                <c:pt idx="1461">
                  <c:v>7.0063</c:v>
                </c:pt>
                <c:pt idx="1462">
                  <c:v>7.0361</c:v>
                </c:pt>
                <c:pt idx="1463">
                  <c:v>7.0248</c:v>
                </c:pt>
                <c:pt idx="1464">
                  <c:v>7.1319</c:v>
                </c:pt>
                <c:pt idx="1465">
                  <c:v>7.1294</c:v>
                </c:pt>
                <c:pt idx="1466">
                  <c:v>7.1263</c:v>
                </c:pt>
                <c:pt idx="1467">
                  <c:v>7.1612</c:v>
                </c:pt>
                <c:pt idx="1468">
                  <c:v>7.0931</c:v>
                </c:pt>
                <c:pt idx="1469">
                  <c:v>7.0662</c:v>
                </c:pt>
                <c:pt idx="1470">
                  <c:v>7.1408</c:v>
                </c:pt>
                <c:pt idx="1471">
                  <c:v>7.1884</c:v>
                </c:pt>
                <c:pt idx="1472">
                  <c:v>7.2024</c:v>
                </c:pt>
                <c:pt idx="1473">
                  <c:v>7.2405</c:v>
                </c:pt>
                <c:pt idx="1474">
                  <c:v>7.2631</c:v>
                </c:pt>
                <c:pt idx="1475">
                  <c:v>7.2213</c:v>
                </c:pt>
                <c:pt idx="1476">
                  <c:v>7.1818</c:v>
                </c:pt>
                <c:pt idx="1477">
                  <c:v>7.2352</c:v>
                </c:pt>
                <c:pt idx="1478">
                  <c:v>7.2911</c:v>
                </c:pt>
                <c:pt idx="1479">
                  <c:v>7.3835</c:v>
                </c:pt>
                <c:pt idx="1480">
                  <c:v>7.3413</c:v>
                </c:pt>
                <c:pt idx="1481">
                  <c:v>7.3076</c:v>
                </c:pt>
                <c:pt idx="1482">
                  <c:v>7.3161</c:v>
                </c:pt>
                <c:pt idx="1483">
                  <c:v>7.3651</c:v>
                </c:pt>
                <c:pt idx="1484">
                  <c:v>7.3568</c:v>
                </c:pt>
                <c:pt idx="1485">
                  <c:v>7.3441</c:v>
                </c:pt>
                <c:pt idx="1486">
                  <c:v>7.3288</c:v>
                </c:pt>
                <c:pt idx="1487">
                  <c:v>7.292</c:v>
                </c:pt>
                <c:pt idx="1488">
                  <c:v>7.2563</c:v>
                </c:pt>
                <c:pt idx="1489">
                  <c:v>7.2602</c:v>
                </c:pt>
                <c:pt idx="1490">
                  <c:v>7.2522</c:v>
                </c:pt>
                <c:pt idx="1491">
                  <c:v>7.3058</c:v>
                </c:pt>
                <c:pt idx="1492">
                  <c:v>7.29</c:v>
                </c:pt>
                <c:pt idx="1493">
                  <c:v>7.2804</c:v>
                </c:pt>
                <c:pt idx="1494">
                  <c:v>7.233</c:v>
                </c:pt>
                <c:pt idx="1495">
                  <c:v>7.1908</c:v>
                </c:pt>
                <c:pt idx="1496">
                  <c:v>7.2452</c:v>
                </c:pt>
                <c:pt idx="1497">
                  <c:v>7.2488</c:v>
                </c:pt>
                <c:pt idx="1498">
                  <c:v>7.2553</c:v>
                </c:pt>
                <c:pt idx="1499">
                  <c:v>7.2839</c:v>
                </c:pt>
                <c:pt idx="1500">
                  <c:v>7.2744</c:v>
                </c:pt>
                <c:pt idx="1501">
                  <c:v>7.2988</c:v>
                </c:pt>
                <c:pt idx="1502">
                  <c:v>7.3467</c:v>
                </c:pt>
                <c:pt idx="1503">
                  <c:v>7.3372</c:v>
                </c:pt>
                <c:pt idx="1504">
                  <c:v>7.3263</c:v>
                </c:pt>
                <c:pt idx="1505">
                  <c:v>7.3553</c:v>
                </c:pt>
                <c:pt idx="1506">
                  <c:v>7.4516</c:v>
                </c:pt>
                <c:pt idx="1507">
                  <c:v>7.4408</c:v>
                </c:pt>
                <c:pt idx="1508">
                  <c:v>7.522</c:v>
                </c:pt>
                <c:pt idx="1509">
                  <c:v>7.5815</c:v>
                </c:pt>
                <c:pt idx="1510">
                  <c:v>7.6513</c:v>
                </c:pt>
                <c:pt idx="1511">
                  <c:v>7.5964</c:v>
                </c:pt>
                <c:pt idx="1512">
                  <c:v>7.5852</c:v>
                </c:pt>
                <c:pt idx="1513">
                  <c:v>7.5336</c:v>
                </c:pt>
                <c:pt idx="1514">
                  <c:v>7.5286</c:v>
                </c:pt>
                <c:pt idx="1515">
                  <c:v>7.6171</c:v>
                </c:pt>
                <c:pt idx="1516">
                  <c:v>7.5836</c:v>
                </c:pt>
                <c:pt idx="1517">
                  <c:v>7.5913</c:v>
                </c:pt>
                <c:pt idx="1518">
                  <c:v>7.6249</c:v>
                </c:pt>
                <c:pt idx="1519">
                  <c:v>7.6476</c:v>
                </c:pt>
                <c:pt idx="1520">
                  <c:v>7.7465</c:v>
                </c:pt>
                <c:pt idx="1521">
                  <c:v>7.7254</c:v>
                </c:pt>
                <c:pt idx="1522">
                  <c:v>7.7379</c:v>
                </c:pt>
                <c:pt idx="1523">
                  <c:v>7.6543</c:v>
                </c:pt>
                <c:pt idx="1524">
                  <c:v>7.6662</c:v>
                </c:pt>
                <c:pt idx="1525">
                  <c:v>7.5626</c:v>
                </c:pt>
                <c:pt idx="1526">
                  <c:v>7.62</c:v>
                </c:pt>
                <c:pt idx="1527">
                  <c:v>7.5744</c:v>
                </c:pt>
                <c:pt idx="1528">
                  <c:v>7.55</c:v>
                </c:pt>
                <c:pt idx="1529">
                  <c:v>7.5386</c:v>
                </c:pt>
                <c:pt idx="1530">
                  <c:v>7.4918</c:v>
                </c:pt>
                <c:pt idx="1531">
                  <c:v>7.5174</c:v>
                </c:pt>
                <c:pt idx="1532">
                  <c:v>7.5901</c:v>
                </c:pt>
                <c:pt idx="1533">
                  <c:v>7.5806</c:v>
                </c:pt>
                <c:pt idx="1534">
                  <c:v>7.5958</c:v>
                </c:pt>
                <c:pt idx="1535">
                  <c:v>7.6631</c:v>
                </c:pt>
                <c:pt idx="1536">
                  <c:v>7.7097</c:v>
                </c:pt>
                <c:pt idx="1537">
                  <c:v>7.7151</c:v>
                </c:pt>
                <c:pt idx="1538">
                  <c:v>7.7503</c:v>
                </c:pt>
                <c:pt idx="1539">
                  <c:v>7.7469</c:v>
                </c:pt>
                <c:pt idx="1540">
                  <c:v>7.7996</c:v>
                </c:pt>
                <c:pt idx="1541">
                  <c:v>7.7655</c:v>
                </c:pt>
                <c:pt idx="1542">
                  <c:v>7.7055</c:v>
                </c:pt>
                <c:pt idx="1543">
                  <c:v>7.6761</c:v>
                </c:pt>
                <c:pt idx="1544">
                  <c:v>7.6763</c:v>
                </c:pt>
                <c:pt idx="1545">
                  <c:v>7.6604</c:v>
                </c:pt>
                <c:pt idx="1546">
                  <c:v>7.6085</c:v>
                </c:pt>
                <c:pt idx="1547">
                  <c:v>7.574</c:v>
                </c:pt>
                <c:pt idx="1548">
                  <c:v>7.7188</c:v>
                </c:pt>
                <c:pt idx="1549">
                  <c:v>7.9433</c:v>
                </c:pt>
                <c:pt idx="1550">
                  <c:v>7.8258</c:v>
                </c:pt>
                <c:pt idx="1551">
                  <c:v>7.9275</c:v>
                </c:pt>
                <c:pt idx="1552">
                  <c:v>8.0154</c:v>
                </c:pt>
                <c:pt idx="1553">
                  <c:v>7.8471</c:v>
                </c:pt>
                <c:pt idx="1554">
                  <c:v>7.605</c:v>
                </c:pt>
                <c:pt idx="1555">
                  <c:v>7.6042</c:v>
                </c:pt>
                <c:pt idx="1556">
                  <c:v>7.5416</c:v>
                </c:pt>
                <c:pt idx="1557">
                  <c:v>7.4533</c:v>
                </c:pt>
                <c:pt idx="1558">
                  <c:v>7.4752</c:v>
                </c:pt>
                <c:pt idx="1559">
                  <c:v>7.4872</c:v>
                </c:pt>
                <c:pt idx="1560">
                  <c:v>7.5016</c:v>
                </c:pt>
                <c:pt idx="1561">
                  <c:v>7.6524</c:v>
                </c:pt>
                <c:pt idx="1562">
                  <c:v>7.7398</c:v>
                </c:pt>
                <c:pt idx="1563">
                  <c:v>7.6146</c:v>
                </c:pt>
                <c:pt idx="1564">
                  <c:v>7.5529</c:v>
                </c:pt>
                <c:pt idx="1565">
                  <c:v>7.4099</c:v>
                </c:pt>
                <c:pt idx="1566">
                  <c:v>7.3885</c:v>
                </c:pt>
                <c:pt idx="1567">
                  <c:v>7.3527</c:v>
                </c:pt>
                <c:pt idx="1568">
                  <c:v>7.4861</c:v>
                </c:pt>
                <c:pt idx="1569">
                  <c:v>7.4467</c:v>
                </c:pt>
                <c:pt idx="1570">
                  <c:v>7.3288</c:v>
                </c:pt>
                <c:pt idx="1571">
                  <c:v>7.4395</c:v>
                </c:pt>
                <c:pt idx="1572">
                  <c:v>7.4963</c:v>
                </c:pt>
                <c:pt idx="1573">
                  <c:v>7.4035</c:v>
                </c:pt>
                <c:pt idx="1574">
                  <c:v>7.3875</c:v>
                </c:pt>
                <c:pt idx="1575">
                  <c:v>7.4809</c:v>
                </c:pt>
                <c:pt idx="1576">
                  <c:v>7.4037</c:v>
                </c:pt>
                <c:pt idx="1577">
                  <c:v>7.3138</c:v>
                </c:pt>
                <c:pt idx="1578">
                  <c:v>7.3004</c:v>
                </c:pt>
                <c:pt idx="1579">
                  <c:v>7.3025</c:v>
                </c:pt>
                <c:pt idx="1580">
                  <c:v>7.2684</c:v>
                </c:pt>
                <c:pt idx="1581">
                  <c:v>7.2442</c:v>
                </c:pt>
                <c:pt idx="1582">
                  <c:v>7.269</c:v>
                </c:pt>
                <c:pt idx="1583">
                  <c:v>7.2759</c:v>
                </c:pt>
                <c:pt idx="1584">
                  <c:v>7.264</c:v>
                </c:pt>
                <c:pt idx="1585">
                  <c:v>7.2351</c:v>
                </c:pt>
                <c:pt idx="1586">
                  <c:v>7.2463</c:v>
                </c:pt>
                <c:pt idx="1587">
                  <c:v>7.248</c:v>
                </c:pt>
                <c:pt idx="1588">
                  <c:v>7.2647</c:v>
                </c:pt>
                <c:pt idx="1589">
                  <c:v>7.3825</c:v>
                </c:pt>
                <c:pt idx="1590">
                  <c:v>7.4207</c:v>
                </c:pt>
                <c:pt idx="1591">
                  <c:v>7.4538</c:v>
                </c:pt>
                <c:pt idx="1592">
                  <c:v>7.4675</c:v>
                </c:pt>
                <c:pt idx="1593">
                  <c:v>7.3805</c:v>
                </c:pt>
                <c:pt idx="1594">
                  <c:v>7.3244</c:v>
                </c:pt>
                <c:pt idx="1595">
                  <c:v>7.3274</c:v>
                </c:pt>
                <c:pt idx="1596">
                  <c:v>7.3297</c:v>
                </c:pt>
                <c:pt idx="1597">
                  <c:v>7.291</c:v>
                </c:pt>
                <c:pt idx="1598">
                  <c:v>7.2823</c:v>
                </c:pt>
                <c:pt idx="1599">
                  <c:v>7.3665</c:v>
                </c:pt>
                <c:pt idx="1600">
                  <c:v>7.4194</c:v>
                </c:pt>
                <c:pt idx="1601">
                  <c:v>7.3966</c:v>
                </c:pt>
                <c:pt idx="1602">
                  <c:v>7.4313</c:v>
                </c:pt>
                <c:pt idx="1603">
                  <c:v>7.417</c:v>
                </c:pt>
                <c:pt idx="1604">
                  <c:v>7.387</c:v>
                </c:pt>
                <c:pt idx="1605">
                  <c:v>7.3888</c:v>
                </c:pt>
                <c:pt idx="1606">
                  <c:v>7.4213</c:v>
                </c:pt>
                <c:pt idx="1607">
                  <c:v>7.4769</c:v>
                </c:pt>
                <c:pt idx="1608">
                  <c:v>7.511</c:v>
                </c:pt>
                <c:pt idx="1609">
                  <c:v>7.5933</c:v>
                </c:pt>
                <c:pt idx="1610">
                  <c:v>7.6062</c:v>
                </c:pt>
                <c:pt idx="1611">
                  <c:v>7.6706</c:v>
                </c:pt>
                <c:pt idx="1612">
                  <c:v>7.8388</c:v>
                </c:pt>
                <c:pt idx="1613">
                  <c:v>7.7575</c:v>
                </c:pt>
                <c:pt idx="1614">
                  <c:v>7.7815</c:v>
                </c:pt>
                <c:pt idx="1615">
                  <c:v>7.7265</c:v>
                </c:pt>
                <c:pt idx="1616">
                  <c:v>7.658</c:v>
                </c:pt>
                <c:pt idx="1617">
                  <c:v>7.6127</c:v>
                </c:pt>
                <c:pt idx="1618">
                  <c:v>7.6088</c:v>
                </c:pt>
                <c:pt idx="1619">
                  <c:v>7.6718</c:v>
                </c:pt>
                <c:pt idx="1620">
                  <c:v>7.7328</c:v>
                </c:pt>
                <c:pt idx="1621">
                  <c:v>7.697599999999999</c:v>
                </c:pt>
                <c:pt idx="1622">
                  <c:v>7.6407</c:v>
                </c:pt>
                <c:pt idx="1623">
                  <c:v>7.743</c:v>
                </c:pt>
                <c:pt idx="1624">
                  <c:v>7.697</c:v>
                </c:pt>
                <c:pt idx="1625">
                  <c:v>7.7248</c:v>
                </c:pt>
                <c:pt idx="1626">
                  <c:v>7.7858</c:v>
                </c:pt>
                <c:pt idx="1627">
                  <c:v>7.6895</c:v>
                </c:pt>
                <c:pt idx="1628">
                  <c:v>7.5071</c:v>
                </c:pt>
                <c:pt idx="1629">
                  <c:v>7.4921</c:v>
                </c:pt>
                <c:pt idx="1630">
                  <c:v>7.5075</c:v>
                </c:pt>
                <c:pt idx="1631">
                  <c:v>7.5662</c:v>
                </c:pt>
                <c:pt idx="1632">
                  <c:v>7.6268</c:v>
                </c:pt>
                <c:pt idx="1633">
                  <c:v>7.6218</c:v>
                </c:pt>
                <c:pt idx="1634">
                  <c:v>7.5594</c:v>
                </c:pt>
                <c:pt idx="1635">
                  <c:v>7.6</c:v>
                </c:pt>
                <c:pt idx="1636">
                  <c:v>7.5984</c:v>
                </c:pt>
                <c:pt idx="1637">
                  <c:v>7.5725</c:v>
                </c:pt>
                <c:pt idx="1638">
                  <c:v>7.53</c:v>
                </c:pt>
                <c:pt idx="1639">
                  <c:v>7.4011</c:v>
                </c:pt>
                <c:pt idx="1640">
                  <c:v>7.3962</c:v>
                </c:pt>
                <c:pt idx="1641">
                  <c:v>7.4141</c:v>
                </c:pt>
                <c:pt idx="1642">
                  <c:v>7.4022</c:v>
                </c:pt>
                <c:pt idx="1643">
                  <c:v>7.4053</c:v>
                </c:pt>
                <c:pt idx="1644">
                  <c:v>7.4427</c:v>
                </c:pt>
                <c:pt idx="1645">
                  <c:v>7.369099999999999</c:v>
                </c:pt>
                <c:pt idx="1646">
                  <c:v>7.326</c:v>
                </c:pt>
                <c:pt idx="1647">
                  <c:v>7.4347</c:v>
                </c:pt>
                <c:pt idx="1648">
                  <c:v>7.3048</c:v>
                </c:pt>
                <c:pt idx="1649">
                  <c:v>7.3143</c:v>
                </c:pt>
                <c:pt idx="1650">
                  <c:v>7.2883</c:v>
                </c:pt>
                <c:pt idx="1651">
                  <c:v>7.389</c:v>
                </c:pt>
                <c:pt idx="1652">
                  <c:v>7.38</c:v>
                </c:pt>
                <c:pt idx="1653">
                  <c:v>7.3872</c:v>
                </c:pt>
                <c:pt idx="1654">
                  <c:v>7.391</c:v>
                </c:pt>
                <c:pt idx="1655">
                  <c:v>7.4874</c:v>
                </c:pt>
                <c:pt idx="1656">
                  <c:v>7.5315</c:v>
                </c:pt>
                <c:pt idx="1657">
                  <c:v>7.543</c:v>
                </c:pt>
                <c:pt idx="1658">
                  <c:v>7.6111</c:v>
                </c:pt>
                <c:pt idx="1659">
                  <c:v>7.7085</c:v>
                </c:pt>
                <c:pt idx="1660">
                  <c:v>7.7435</c:v>
                </c:pt>
                <c:pt idx="1661">
                  <c:v>7.577</c:v>
                </c:pt>
                <c:pt idx="1662">
                  <c:v>7.555</c:v>
                </c:pt>
                <c:pt idx="1663">
                  <c:v>7.4138</c:v>
                </c:pt>
                <c:pt idx="1664">
                  <c:v>7.4649</c:v>
                </c:pt>
                <c:pt idx="1665">
                  <c:v>7.3913</c:v>
                </c:pt>
                <c:pt idx="1666">
                  <c:v>7.5323</c:v>
                </c:pt>
                <c:pt idx="1667">
                  <c:v>7.5642</c:v>
                </c:pt>
                <c:pt idx="1668">
                  <c:v>7.594</c:v>
                </c:pt>
                <c:pt idx="1669">
                  <c:v>7.5475</c:v>
                </c:pt>
                <c:pt idx="1670">
                  <c:v>7.4185</c:v>
                </c:pt>
                <c:pt idx="1671">
                  <c:v>7.4221</c:v>
                </c:pt>
                <c:pt idx="1672">
                  <c:v>7.3425</c:v>
                </c:pt>
                <c:pt idx="1673">
                  <c:v>7.325</c:v>
                </c:pt>
                <c:pt idx="1674">
                  <c:v>7.3</c:v>
                </c:pt>
                <c:pt idx="1675">
                  <c:v>7.4215</c:v>
                </c:pt>
                <c:pt idx="1676">
                  <c:v>7.409</c:v>
                </c:pt>
                <c:pt idx="1677">
                  <c:v>7.4916</c:v>
                </c:pt>
                <c:pt idx="1678">
                  <c:v>7.332</c:v>
                </c:pt>
                <c:pt idx="1679">
                  <c:v>7.4555</c:v>
                </c:pt>
                <c:pt idx="1680">
                  <c:v>7.4767</c:v>
                </c:pt>
                <c:pt idx="1681">
                  <c:v>7.611</c:v>
                </c:pt>
                <c:pt idx="1682">
                  <c:v>7.5265</c:v>
                </c:pt>
                <c:pt idx="1683">
                  <c:v>7.4735</c:v>
                </c:pt>
                <c:pt idx="1684">
                  <c:v>7.4741</c:v>
                </c:pt>
                <c:pt idx="1685">
                  <c:v>7.3866</c:v>
                </c:pt>
                <c:pt idx="1686">
                  <c:v>7.4081</c:v>
                </c:pt>
                <c:pt idx="1687">
                  <c:v>7.4425</c:v>
                </c:pt>
                <c:pt idx="1688">
                  <c:v>7.3921</c:v>
                </c:pt>
                <c:pt idx="1689">
                  <c:v>7.3967</c:v>
                </c:pt>
                <c:pt idx="1690">
                  <c:v>7.4078</c:v>
                </c:pt>
                <c:pt idx="1691">
                  <c:v>7.5274</c:v>
                </c:pt>
                <c:pt idx="1692">
                  <c:v>7.6121</c:v>
                </c:pt>
                <c:pt idx="1693">
                  <c:v>7.6438</c:v>
                </c:pt>
                <c:pt idx="1694">
                  <c:v>7.8457</c:v>
                </c:pt>
                <c:pt idx="1695">
                  <c:v>7.895</c:v>
                </c:pt>
                <c:pt idx="1696">
                  <c:v>7.854</c:v>
                </c:pt>
                <c:pt idx="1697">
                  <c:v>7.7085</c:v>
                </c:pt>
                <c:pt idx="1698">
                  <c:v>7.8225</c:v>
                </c:pt>
                <c:pt idx="1699">
                  <c:v>7.683</c:v>
                </c:pt>
                <c:pt idx="1700">
                  <c:v>7.5519</c:v>
                </c:pt>
                <c:pt idx="1701">
                  <c:v>7.4477</c:v>
                </c:pt>
                <c:pt idx="1702">
                  <c:v>7.4288</c:v>
                </c:pt>
                <c:pt idx="1703">
                  <c:v>7.3561</c:v>
                </c:pt>
                <c:pt idx="1704">
                  <c:v>7.3913</c:v>
                </c:pt>
                <c:pt idx="1705">
                  <c:v>7.3107</c:v>
                </c:pt>
                <c:pt idx="1706">
                  <c:v>7.3557</c:v>
                </c:pt>
                <c:pt idx="1707">
                  <c:v>7.2745</c:v>
                </c:pt>
                <c:pt idx="1708">
                  <c:v>7.2622</c:v>
                </c:pt>
                <c:pt idx="1709">
                  <c:v>7.3521</c:v>
                </c:pt>
                <c:pt idx="1710">
                  <c:v>7.3346</c:v>
                </c:pt>
                <c:pt idx="1711">
                  <c:v>7.3929</c:v>
                </c:pt>
                <c:pt idx="1712">
                  <c:v>7.3233</c:v>
                </c:pt>
                <c:pt idx="1713">
                  <c:v>7.4531</c:v>
                </c:pt>
                <c:pt idx="1714">
                  <c:v>7.3817</c:v>
                </c:pt>
                <c:pt idx="1715">
                  <c:v>7.5583</c:v>
                </c:pt>
                <c:pt idx="1716">
                  <c:v>7.662</c:v>
                </c:pt>
                <c:pt idx="1717">
                  <c:v>7.684</c:v>
                </c:pt>
                <c:pt idx="1718">
                  <c:v>7.5093</c:v>
                </c:pt>
                <c:pt idx="1719">
                  <c:v>7.4051</c:v>
                </c:pt>
                <c:pt idx="1720">
                  <c:v>7.3982</c:v>
                </c:pt>
                <c:pt idx="1721">
                  <c:v>7.4161</c:v>
                </c:pt>
                <c:pt idx="1722">
                  <c:v>7.4805</c:v>
                </c:pt>
                <c:pt idx="1723">
                  <c:v>7.4273</c:v>
                </c:pt>
                <c:pt idx="1724">
                  <c:v>7.385</c:v>
                </c:pt>
                <c:pt idx="1725">
                  <c:v>7.4945</c:v>
                </c:pt>
                <c:pt idx="1726">
                  <c:v>7.4349</c:v>
                </c:pt>
                <c:pt idx="1727">
                  <c:v>7.4145</c:v>
                </c:pt>
                <c:pt idx="1728">
                  <c:v>7.3225</c:v>
                </c:pt>
                <c:pt idx="1729">
                  <c:v>7.3741</c:v>
                </c:pt>
                <c:pt idx="1730">
                  <c:v>7.4535</c:v>
                </c:pt>
                <c:pt idx="1731">
                  <c:v>7.443</c:v>
                </c:pt>
                <c:pt idx="1732">
                  <c:v>7.5553</c:v>
                </c:pt>
                <c:pt idx="1733">
                  <c:v>7.4983</c:v>
                </c:pt>
                <c:pt idx="1734">
                  <c:v>7.5187</c:v>
                </c:pt>
                <c:pt idx="1735">
                  <c:v>7.581</c:v>
                </c:pt>
                <c:pt idx="1736">
                  <c:v>7.5995</c:v>
                </c:pt>
                <c:pt idx="1737">
                  <c:v>7.6683</c:v>
                </c:pt>
                <c:pt idx="1738">
                  <c:v>7.8159</c:v>
                </c:pt>
                <c:pt idx="1739">
                  <c:v>7.8859</c:v>
                </c:pt>
                <c:pt idx="1740">
                  <c:v>7.7838</c:v>
                </c:pt>
                <c:pt idx="1741">
                  <c:v>7.7613</c:v>
                </c:pt>
                <c:pt idx="1742">
                  <c:v>7.8541</c:v>
                </c:pt>
                <c:pt idx="1743">
                  <c:v>7.861</c:v>
                </c:pt>
                <c:pt idx="1744">
                  <c:v>7.8186</c:v>
                </c:pt>
                <c:pt idx="1745">
                  <c:v>7.8038</c:v>
                </c:pt>
                <c:pt idx="1746">
                  <c:v>7.7873</c:v>
                </c:pt>
                <c:pt idx="1747">
                  <c:v>7.9055</c:v>
                </c:pt>
                <c:pt idx="1748">
                  <c:v>8.0025</c:v>
                </c:pt>
                <c:pt idx="1749">
                  <c:v>8.0367</c:v>
                </c:pt>
                <c:pt idx="1750">
                  <c:v>8.1565</c:v>
                </c:pt>
                <c:pt idx="1751">
                  <c:v>8.0808</c:v>
                </c:pt>
                <c:pt idx="1752">
                  <c:v>8.0245</c:v>
                </c:pt>
                <c:pt idx="1753">
                  <c:v>8.0663</c:v>
                </c:pt>
                <c:pt idx="1754">
                  <c:v>8.136100000000001</c:v>
                </c:pt>
                <c:pt idx="1755">
                  <c:v>8.1188</c:v>
                </c:pt>
                <c:pt idx="1756">
                  <c:v>7.9913</c:v>
                </c:pt>
                <c:pt idx="1757">
                  <c:v>8.0719</c:v>
                </c:pt>
                <c:pt idx="1758">
                  <c:v>7.924</c:v>
                </c:pt>
                <c:pt idx="1759">
                  <c:v>7.8376</c:v>
                </c:pt>
                <c:pt idx="1760">
                  <c:v>7.7493</c:v>
                </c:pt>
                <c:pt idx="1761">
                  <c:v>7.7828</c:v>
                </c:pt>
                <c:pt idx="1762">
                  <c:v>7.8013</c:v>
                </c:pt>
                <c:pt idx="1763">
                  <c:v>7.8761</c:v>
                </c:pt>
                <c:pt idx="1764">
                  <c:v>7.8907</c:v>
                </c:pt>
                <c:pt idx="1765">
                  <c:v>7.7625</c:v>
                </c:pt>
                <c:pt idx="1766">
                  <c:v>7.7309</c:v>
                </c:pt>
                <c:pt idx="1767">
                  <c:v>7.6463</c:v>
                </c:pt>
                <c:pt idx="1768">
                  <c:v>7.6964</c:v>
                </c:pt>
                <c:pt idx="1769">
                  <c:v>7.8335</c:v>
                </c:pt>
                <c:pt idx="1770">
                  <c:v>7.8525</c:v>
                </c:pt>
                <c:pt idx="1771">
                  <c:v>8.0389</c:v>
                </c:pt>
                <c:pt idx="1772">
                  <c:v>8.1185</c:v>
                </c:pt>
                <c:pt idx="1773">
                  <c:v>8.1283</c:v>
                </c:pt>
                <c:pt idx="1774">
                  <c:v>8.2865</c:v>
                </c:pt>
                <c:pt idx="1775">
                  <c:v>8.2655</c:v>
                </c:pt>
                <c:pt idx="1776">
                  <c:v>8.2663</c:v>
                </c:pt>
                <c:pt idx="1777">
                  <c:v>8.1099</c:v>
                </c:pt>
                <c:pt idx="1778">
                  <c:v>8.2354</c:v>
                </c:pt>
                <c:pt idx="1779">
                  <c:v>8.0503</c:v>
                </c:pt>
                <c:pt idx="1780">
                  <c:v>7.9913</c:v>
                </c:pt>
                <c:pt idx="1781">
                  <c:v>7.9375</c:v>
                </c:pt>
                <c:pt idx="1782">
                  <c:v>7.8463</c:v>
                </c:pt>
                <c:pt idx="1783">
                  <c:v>7.7463</c:v>
                </c:pt>
                <c:pt idx="1784">
                  <c:v>7.745</c:v>
                </c:pt>
                <c:pt idx="1785">
                  <c:v>7.8165</c:v>
                </c:pt>
                <c:pt idx="1786">
                  <c:v>7.8821</c:v>
                </c:pt>
                <c:pt idx="1787">
                  <c:v>8.0245</c:v>
                </c:pt>
                <c:pt idx="1788">
                  <c:v>8.0476</c:v>
                </c:pt>
                <c:pt idx="1789">
                  <c:v>8.1654</c:v>
                </c:pt>
                <c:pt idx="1790">
                  <c:v>8.1955</c:v>
                </c:pt>
                <c:pt idx="1791">
                  <c:v>8.0987</c:v>
                </c:pt>
                <c:pt idx="1792">
                  <c:v>8.1174</c:v>
                </c:pt>
                <c:pt idx="1793">
                  <c:v>8.0953</c:v>
                </c:pt>
                <c:pt idx="1794">
                  <c:v>8.0391</c:v>
                </c:pt>
                <c:pt idx="1795">
                  <c:v>8.097300000000001</c:v>
                </c:pt>
                <c:pt idx="1796">
                  <c:v>8.035</c:v>
                </c:pt>
                <c:pt idx="1797">
                  <c:v>7.9475</c:v>
                </c:pt>
                <c:pt idx="1798">
                  <c:v>8.0878</c:v>
                </c:pt>
                <c:pt idx="1799">
                  <c:v>8.1035</c:v>
                </c:pt>
                <c:pt idx="1800">
                  <c:v>8.17</c:v>
                </c:pt>
                <c:pt idx="1801">
                  <c:v>8.039</c:v>
                </c:pt>
                <c:pt idx="1802">
                  <c:v>8.042</c:v>
                </c:pt>
                <c:pt idx="1803">
                  <c:v>8.1121</c:v>
                </c:pt>
                <c:pt idx="1804">
                  <c:v>8.0145</c:v>
                </c:pt>
                <c:pt idx="1805">
                  <c:v>7.9684</c:v>
                </c:pt>
                <c:pt idx="1806">
                  <c:v>7.9845</c:v>
                </c:pt>
                <c:pt idx="1807">
                  <c:v>8.0976</c:v>
                </c:pt>
                <c:pt idx="1808">
                  <c:v>8.0854</c:v>
                </c:pt>
                <c:pt idx="1809">
                  <c:v>8.283300000000001</c:v>
                </c:pt>
                <c:pt idx="1810">
                  <c:v>8.213</c:v>
                </c:pt>
                <c:pt idx="1811">
                  <c:v>8.2739</c:v>
                </c:pt>
                <c:pt idx="1812">
                  <c:v>8.359</c:v>
                </c:pt>
                <c:pt idx="1813">
                  <c:v>8.3557</c:v>
                </c:pt>
                <c:pt idx="1814">
                  <c:v>8.4455</c:v>
                </c:pt>
                <c:pt idx="1815">
                  <c:v>8.5659</c:v>
                </c:pt>
                <c:pt idx="1816">
                  <c:v>8.7472</c:v>
                </c:pt>
                <c:pt idx="1817">
                  <c:v>8.5594</c:v>
                </c:pt>
                <c:pt idx="1818">
                  <c:v>8.5219</c:v>
                </c:pt>
                <c:pt idx="1819">
                  <c:v>8.4935</c:v>
                </c:pt>
                <c:pt idx="1820">
                  <c:v>8.4236</c:v>
                </c:pt>
                <c:pt idx="1821">
                  <c:v>8.3055</c:v>
                </c:pt>
                <c:pt idx="1822">
                  <c:v>8.3754</c:v>
                </c:pt>
                <c:pt idx="1823">
                  <c:v>8.375</c:v>
                </c:pt>
                <c:pt idx="1824">
                  <c:v>8.4317</c:v>
                </c:pt>
                <c:pt idx="1825">
                  <c:v>8.3725</c:v>
                </c:pt>
                <c:pt idx="1826">
                  <c:v>8.437</c:v>
                </c:pt>
                <c:pt idx="1827">
                  <c:v>8.4816</c:v>
                </c:pt>
                <c:pt idx="1828">
                  <c:v>8.4987</c:v>
                </c:pt>
                <c:pt idx="1829">
                  <c:v>8.7191</c:v>
                </c:pt>
                <c:pt idx="1830">
                  <c:v>8.7675</c:v>
                </c:pt>
                <c:pt idx="1831">
                  <c:v>8.741300000000001</c:v>
                </c:pt>
                <c:pt idx="1832">
                  <c:v>8.9795</c:v>
                </c:pt>
                <c:pt idx="1833">
                  <c:v>8.9001</c:v>
                </c:pt>
                <c:pt idx="1834">
                  <c:v>8.9338</c:v>
                </c:pt>
                <c:pt idx="1835">
                  <c:v>9.0825</c:v>
                </c:pt>
                <c:pt idx="1836">
                  <c:v>8.9666</c:v>
                </c:pt>
                <c:pt idx="1837">
                  <c:v>8.9514</c:v>
                </c:pt>
                <c:pt idx="1838">
                  <c:v>9.1258</c:v>
                </c:pt>
                <c:pt idx="1839">
                  <c:v>9.0758</c:v>
                </c:pt>
                <c:pt idx="1840">
                  <c:v>9.0223</c:v>
                </c:pt>
                <c:pt idx="1841">
                  <c:v>9.0589</c:v>
                </c:pt>
                <c:pt idx="1842">
                  <c:v>9.0963</c:v>
                </c:pt>
                <c:pt idx="1843">
                  <c:v>9.1108</c:v>
                </c:pt>
                <c:pt idx="1844">
                  <c:v>9.1257</c:v>
                </c:pt>
                <c:pt idx="1845">
                  <c:v>9.106</c:v>
                </c:pt>
                <c:pt idx="1846">
                  <c:v>9.077</c:v>
                </c:pt>
                <c:pt idx="1847">
                  <c:v>9.0521</c:v>
                </c:pt>
                <c:pt idx="1848">
                  <c:v>9.3794</c:v>
                </c:pt>
                <c:pt idx="1849">
                  <c:v>9.5175</c:v>
                </c:pt>
                <c:pt idx="1850">
                  <c:v>9.717</c:v>
                </c:pt>
                <c:pt idx="1851">
                  <c:v>9.6344</c:v>
                </c:pt>
                <c:pt idx="1852">
                  <c:v>9.3603</c:v>
                </c:pt>
                <c:pt idx="1853">
                  <c:v>9.4477</c:v>
                </c:pt>
                <c:pt idx="1854">
                  <c:v>9.4787</c:v>
                </c:pt>
                <c:pt idx="1855">
                  <c:v>9.4874</c:v>
                </c:pt>
                <c:pt idx="1856">
                  <c:v>9.6075</c:v>
                </c:pt>
                <c:pt idx="1857">
                  <c:v>9.6431</c:v>
                </c:pt>
                <c:pt idx="1858">
                  <c:v>9.8893</c:v>
                </c:pt>
                <c:pt idx="1859">
                  <c:v>9.9031</c:v>
                </c:pt>
                <c:pt idx="1860">
                  <c:v>9.865</c:v>
                </c:pt>
                <c:pt idx="1861">
                  <c:v>9.9565</c:v>
                </c:pt>
                <c:pt idx="1862">
                  <c:v>9.9759</c:v>
                </c:pt>
                <c:pt idx="1863">
                  <c:v>10.1178</c:v>
                </c:pt>
                <c:pt idx="1864">
                  <c:v>10.3325</c:v>
                </c:pt>
                <c:pt idx="1865">
                  <c:v>10.59</c:v>
                </c:pt>
                <c:pt idx="1866">
                  <c:v>10.474</c:v>
                </c:pt>
                <c:pt idx="1867">
                  <c:v>10.6078</c:v>
                </c:pt>
                <c:pt idx="1868">
                  <c:v>10.3687</c:v>
                </c:pt>
                <c:pt idx="1869">
                  <c:v>10.5</c:v>
                </c:pt>
                <c:pt idx="1870">
                  <c:v>10.5133</c:v>
                </c:pt>
                <c:pt idx="1871">
                  <c:v>10.0895</c:v>
                </c:pt>
                <c:pt idx="1872">
                  <c:v>9.8755</c:v>
                </c:pt>
                <c:pt idx="1873">
                  <c:v>9.965</c:v>
                </c:pt>
                <c:pt idx="1874">
                  <c:v>9.946</c:v>
                </c:pt>
                <c:pt idx="1875">
                  <c:v>10.0695</c:v>
                </c:pt>
                <c:pt idx="1876">
                  <c:v>10.1225</c:v>
                </c:pt>
                <c:pt idx="1877">
                  <c:v>10.0332</c:v>
                </c:pt>
                <c:pt idx="1878">
                  <c:v>10.1749</c:v>
                </c:pt>
                <c:pt idx="1879">
                  <c:v>10.2775</c:v>
                </c:pt>
                <c:pt idx="1880">
                  <c:v>10.0368</c:v>
                </c:pt>
                <c:pt idx="1881">
                  <c:v>9.9597</c:v>
                </c:pt>
                <c:pt idx="1882">
                  <c:v>10.085</c:v>
                </c:pt>
                <c:pt idx="1883">
                  <c:v>9.91</c:v>
                </c:pt>
                <c:pt idx="1884">
                  <c:v>9.78</c:v>
                </c:pt>
                <c:pt idx="1885">
                  <c:v>9.5925</c:v>
                </c:pt>
                <c:pt idx="1886">
                  <c:v>9.6493</c:v>
                </c:pt>
                <c:pt idx="1887">
                  <c:v>9.8146</c:v>
                </c:pt>
                <c:pt idx="1888">
                  <c:v>9.96</c:v>
                </c:pt>
                <c:pt idx="1889">
                  <c:v>10.1425</c:v>
                </c:pt>
                <c:pt idx="1890">
                  <c:v>10.1443</c:v>
                </c:pt>
                <c:pt idx="1891">
                  <c:v>10.2021</c:v>
                </c:pt>
                <c:pt idx="1892">
                  <c:v>10.0415</c:v>
                </c:pt>
                <c:pt idx="1893">
                  <c:v>9.8896</c:v>
                </c:pt>
                <c:pt idx="1894">
                  <c:v>9.9775</c:v>
                </c:pt>
                <c:pt idx="1895">
                  <c:v>10.12</c:v>
                </c:pt>
                <c:pt idx="1896">
                  <c:v>10.225</c:v>
                </c:pt>
                <c:pt idx="1897">
                  <c:v>10.0755</c:v>
                </c:pt>
                <c:pt idx="1898">
                  <c:v>10.159</c:v>
                </c:pt>
                <c:pt idx="1899">
                  <c:v>10.2045</c:v>
                </c:pt>
                <c:pt idx="1900">
                  <c:v>10.1295</c:v>
                </c:pt>
                <c:pt idx="1901">
                  <c:v>10.0715</c:v>
                </c:pt>
                <c:pt idx="1902">
                  <c:v>10.1825</c:v>
                </c:pt>
                <c:pt idx="1903">
                  <c:v>10.1673</c:v>
                </c:pt>
                <c:pt idx="1904">
                  <c:v>10.0147</c:v>
                </c:pt>
                <c:pt idx="1905">
                  <c:v>10.1095</c:v>
                </c:pt>
                <c:pt idx="1906">
                  <c:v>9.778700000000001</c:v>
                </c:pt>
                <c:pt idx="1907">
                  <c:v>9.66</c:v>
                </c:pt>
                <c:pt idx="1908">
                  <c:v>9.4846</c:v>
                </c:pt>
                <c:pt idx="1909">
                  <c:v>9.2954</c:v>
                </c:pt>
                <c:pt idx="1910">
                  <c:v>9.3237</c:v>
                </c:pt>
                <c:pt idx="1911">
                  <c:v>9.288</c:v>
                </c:pt>
                <c:pt idx="1912">
                  <c:v>9.454</c:v>
                </c:pt>
                <c:pt idx="1913">
                  <c:v>9.413</c:v>
                </c:pt>
                <c:pt idx="1914">
                  <c:v>9.3624</c:v>
                </c:pt>
                <c:pt idx="1915">
                  <c:v>9.4473</c:v>
                </c:pt>
                <c:pt idx="1916">
                  <c:v>9.7228</c:v>
                </c:pt>
                <c:pt idx="1917">
                  <c:v>9.73</c:v>
                </c:pt>
                <c:pt idx="1918">
                  <c:v>9.741300000000001</c:v>
                </c:pt>
                <c:pt idx="1919">
                  <c:v>9.6413</c:v>
                </c:pt>
                <c:pt idx="1920">
                  <c:v>9.7256</c:v>
                </c:pt>
                <c:pt idx="1921">
                  <c:v>9.6726</c:v>
                </c:pt>
                <c:pt idx="1922">
                  <c:v>9.5152</c:v>
                </c:pt>
                <c:pt idx="1923">
                  <c:v>9.8163</c:v>
                </c:pt>
                <c:pt idx="1924">
                  <c:v>10.2375</c:v>
                </c:pt>
                <c:pt idx="1925">
                  <c:v>10.125</c:v>
                </c:pt>
                <c:pt idx="1926">
                  <c:v>10.1495</c:v>
                </c:pt>
                <c:pt idx="1927">
                  <c:v>9.955</c:v>
                </c:pt>
                <c:pt idx="1928">
                  <c:v>10.1345</c:v>
                </c:pt>
                <c:pt idx="1929">
                  <c:v>10.085</c:v>
                </c:pt>
                <c:pt idx="1930">
                  <c:v>10.113</c:v>
                </c:pt>
                <c:pt idx="1931">
                  <c:v>10.485</c:v>
                </c:pt>
                <c:pt idx="1932">
                  <c:v>10.2695</c:v>
                </c:pt>
                <c:pt idx="1933">
                  <c:v>10.18</c:v>
                </c:pt>
                <c:pt idx="1934">
                  <c:v>10.3855</c:v>
                </c:pt>
                <c:pt idx="1935">
                  <c:v>10.4795</c:v>
                </c:pt>
                <c:pt idx="1936">
                  <c:v>10.0856</c:v>
                </c:pt>
                <c:pt idx="1937">
                  <c:v>9.91</c:v>
                </c:pt>
                <c:pt idx="1938">
                  <c:v>9.879</c:v>
                </c:pt>
                <c:pt idx="1939">
                  <c:v>9.8974</c:v>
                </c:pt>
                <c:pt idx="1940">
                  <c:v>10.1375</c:v>
                </c:pt>
                <c:pt idx="1941">
                  <c:v>10.4925</c:v>
                </c:pt>
                <c:pt idx="1942">
                  <c:v>10.5587</c:v>
                </c:pt>
                <c:pt idx="1943">
                  <c:v>10.46</c:v>
                </c:pt>
                <c:pt idx="1944">
                  <c:v>10.2239</c:v>
                </c:pt>
                <c:pt idx="1945">
                  <c:v>10.1395</c:v>
                </c:pt>
                <c:pt idx="1946">
                  <c:v>10.0163</c:v>
                </c:pt>
                <c:pt idx="1947">
                  <c:v>10.6477</c:v>
                </c:pt>
                <c:pt idx="1948">
                  <c:v>10.3375</c:v>
                </c:pt>
                <c:pt idx="1949">
                  <c:v>10.3445</c:v>
                </c:pt>
                <c:pt idx="1950">
                  <c:v>9.98</c:v>
                </c:pt>
                <c:pt idx="1951">
                  <c:v>10.175</c:v>
                </c:pt>
                <c:pt idx="1952">
                  <c:v>10.0821</c:v>
                </c:pt>
                <c:pt idx="1953">
                  <c:v>9.713900000000001</c:v>
                </c:pt>
                <c:pt idx="1954">
                  <c:v>9.6463</c:v>
                </c:pt>
                <c:pt idx="1955">
                  <c:v>9.9555</c:v>
                </c:pt>
                <c:pt idx="1956">
                  <c:v>9.7551</c:v>
                </c:pt>
                <c:pt idx="1957">
                  <c:v>10.0499</c:v>
                </c:pt>
                <c:pt idx="1958">
                  <c:v>9.87</c:v>
                </c:pt>
                <c:pt idx="1959">
                  <c:v>10.5798</c:v>
                </c:pt>
                <c:pt idx="1960">
                  <c:v>10.8245</c:v>
                </c:pt>
                <c:pt idx="1961">
                  <c:v>11.0955</c:v>
                </c:pt>
                <c:pt idx="1962">
                  <c:v>11.2091</c:v>
                </c:pt>
                <c:pt idx="1963">
                  <c:v>11.3755</c:v>
                </c:pt>
                <c:pt idx="1964">
                  <c:v>10.6547</c:v>
                </c:pt>
                <c:pt idx="1965">
                  <c:v>10.2191</c:v>
                </c:pt>
                <c:pt idx="1966">
                  <c:v>9.98</c:v>
                </c:pt>
                <c:pt idx="1967">
                  <c:v>10.4933</c:v>
                </c:pt>
                <c:pt idx="1968">
                  <c:v>9.5688</c:v>
                </c:pt>
                <c:pt idx="1969">
                  <c:v>9.02</c:v>
                </c:pt>
                <c:pt idx="1970">
                  <c:v>9.226900000000001</c:v>
                </c:pt>
                <c:pt idx="1971">
                  <c:v>9.353</c:v>
                </c:pt>
                <c:pt idx="1972">
                  <c:v>9.1147</c:v>
                </c:pt>
                <c:pt idx="1973">
                  <c:v>9.2567</c:v>
                </c:pt>
                <c:pt idx="1974">
                  <c:v>8.8955</c:v>
                </c:pt>
                <c:pt idx="1975">
                  <c:v>8.8805</c:v>
                </c:pt>
                <c:pt idx="1976">
                  <c:v>8.4446</c:v>
                </c:pt>
                <c:pt idx="1977">
                  <c:v>8.4737</c:v>
                </c:pt>
                <c:pt idx="1978">
                  <c:v>8.2648</c:v>
                </c:pt>
                <c:pt idx="1979">
                  <c:v>8.3324</c:v>
                </c:pt>
                <c:pt idx="1980">
                  <c:v>8.234500000000001</c:v>
                </c:pt>
                <c:pt idx="1981">
                  <c:v>8.116</c:v>
                </c:pt>
                <c:pt idx="1982">
                  <c:v>8.1313</c:v>
                </c:pt>
                <c:pt idx="1983">
                  <c:v>8.148400000000001</c:v>
                </c:pt>
                <c:pt idx="1984">
                  <c:v>8.1563</c:v>
                </c:pt>
                <c:pt idx="1985">
                  <c:v>7.9848</c:v>
                </c:pt>
                <c:pt idx="1986">
                  <c:v>7.9377</c:v>
                </c:pt>
                <c:pt idx="1987">
                  <c:v>8.3113</c:v>
                </c:pt>
                <c:pt idx="1988">
                  <c:v>8.2456</c:v>
                </c:pt>
                <c:pt idx="1989">
                  <c:v>8.19</c:v>
                </c:pt>
                <c:pt idx="1990">
                  <c:v>8.057</c:v>
                </c:pt>
                <c:pt idx="1991">
                  <c:v>8.0481</c:v>
                </c:pt>
                <c:pt idx="1992">
                  <c:v>8.2576</c:v>
                </c:pt>
                <c:pt idx="1993">
                  <c:v>8.1559</c:v>
                </c:pt>
                <c:pt idx="1994">
                  <c:v>7.9295</c:v>
                </c:pt>
                <c:pt idx="1995">
                  <c:v>7.9386</c:v>
                </c:pt>
                <c:pt idx="1996">
                  <c:v>7.9905</c:v>
                </c:pt>
                <c:pt idx="1997">
                  <c:v>7.9454</c:v>
                </c:pt>
                <c:pt idx="1998">
                  <c:v>7.8841</c:v>
                </c:pt>
                <c:pt idx="1999">
                  <c:v>7.7751</c:v>
                </c:pt>
                <c:pt idx="2000">
                  <c:v>7.7652</c:v>
                </c:pt>
                <c:pt idx="2001">
                  <c:v>7.701</c:v>
                </c:pt>
                <c:pt idx="2002">
                  <c:v>7.7175</c:v>
                </c:pt>
                <c:pt idx="2003">
                  <c:v>7.7745</c:v>
                </c:pt>
                <c:pt idx="2004">
                  <c:v>7.8115</c:v>
                </c:pt>
                <c:pt idx="2005">
                  <c:v>7.749</c:v>
                </c:pt>
                <c:pt idx="2006">
                  <c:v>7.665</c:v>
                </c:pt>
                <c:pt idx="2007">
                  <c:v>7.6635</c:v>
                </c:pt>
                <c:pt idx="2008">
                  <c:v>7.7611</c:v>
                </c:pt>
                <c:pt idx="2009">
                  <c:v>7.7783</c:v>
                </c:pt>
                <c:pt idx="2010">
                  <c:v>7.7055</c:v>
                </c:pt>
                <c:pt idx="2011">
                  <c:v>7.875</c:v>
                </c:pt>
                <c:pt idx="2012">
                  <c:v>7.8619</c:v>
                </c:pt>
                <c:pt idx="2013">
                  <c:v>7.877</c:v>
                </c:pt>
                <c:pt idx="2014">
                  <c:v>7.8437</c:v>
                </c:pt>
                <c:pt idx="2015">
                  <c:v>7.7633</c:v>
                </c:pt>
                <c:pt idx="2016">
                  <c:v>7.7105</c:v>
                </c:pt>
                <c:pt idx="2017">
                  <c:v>7.4855</c:v>
                </c:pt>
                <c:pt idx="2018">
                  <c:v>7.4288</c:v>
                </c:pt>
                <c:pt idx="2019">
                  <c:v>7.3859</c:v>
                </c:pt>
                <c:pt idx="2020">
                  <c:v>7.2463</c:v>
                </c:pt>
                <c:pt idx="2021">
                  <c:v>7.2563</c:v>
                </c:pt>
                <c:pt idx="2022">
                  <c:v>7.3441</c:v>
                </c:pt>
                <c:pt idx="2023">
                  <c:v>7.391199999999999</c:v>
                </c:pt>
                <c:pt idx="2024">
                  <c:v>7.3834</c:v>
                </c:pt>
                <c:pt idx="2025">
                  <c:v>7.5175</c:v>
                </c:pt>
                <c:pt idx="2026">
                  <c:v>7.5722</c:v>
                </c:pt>
                <c:pt idx="2027">
                  <c:v>7.6718</c:v>
                </c:pt>
                <c:pt idx="2028">
                  <c:v>7.5525</c:v>
                </c:pt>
                <c:pt idx="2029">
                  <c:v>7.5075</c:v>
                </c:pt>
                <c:pt idx="2030">
                  <c:v>7.5766</c:v>
                </c:pt>
                <c:pt idx="2031">
                  <c:v>7.6322</c:v>
                </c:pt>
                <c:pt idx="2032">
                  <c:v>7.54</c:v>
                </c:pt>
                <c:pt idx="2033">
                  <c:v>7.6239</c:v>
                </c:pt>
                <c:pt idx="2034">
                  <c:v>7.6533</c:v>
                </c:pt>
                <c:pt idx="2035">
                  <c:v>7.6479</c:v>
                </c:pt>
                <c:pt idx="2036">
                  <c:v>7.6962</c:v>
                </c:pt>
                <c:pt idx="2037">
                  <c:v>7.716</c:v>
                </c:pt>
                <c:pt idx="2038">
                  <c:v>7.687</c:v>
                </c:pt>
                <c:pt idx="2039">
                  <c:v>7.7589</c:v>
                </c:pt>
                <c:pt idx="2040">
                  <c:v>7.7505</c:v>
                </c:pt>
                <c:pt idx="2041">
                  <c:v>7.7427</c:v>
                </c:pt>
                <c:pt idx="2042">
                  <c:v>7.7555</c:v>
                </c:pt>
                <c:pt idx="2043">
                  <c:v>7.8366</c:v>
                </c:pt>
                <c:pt idx="2044">
                  <c:v>7.9105</c:v>
                </c:pt>
                <c:pt idx="2045">
                  <c:v>7.8196</c:v>
                </c:pt>
                <c:pt idx="2046">
                  <c:v>7.9055</c:v>
                </c:pt>
                <c:pt idx="2047">
                  <c:v>7.9246</c:v>
                </c:pt>
                <c:pt idx="2048">
                  <c:v>7.9035</c:v>
                </c:pt>
                <c:pt idx="2049">
                  <c:v>7.9999</c:v>
                </c:pt>
                <c:pt idx="2050">
                  <c:v>8.0727</c:v>
                </c:pt>
                <c:pt idx="2051">
                  <c:v>7.9969</c:v>
                </c:pt>
                <c:pt idx="2052">
                  <c:v>7.9677</c:v>
                </c:pt>
                <c:pt idx="2053">
                  <c:v>8.025</c:v>
                </c:pt>
                <c:pt idx="2054">
                  <c:v>8.0134</c:v>
                </c:pt>
                <c:pt idx="2055">
                  <c:v>8.1013</c:v>
                </c:pt>
                <c:pt idx="2056">
                  <c:v>8.1142</c:v>
                </c:pt>
                <c:pt idx="2057">
                  <c:v>8.1155</c:v>
                </c:pt>
                <c:pt idx="2058">
                  <c:v>8.0086</c:v>
                </c:pt>
                <c:pt idx="2059">
                  <c:v>7.948</c:v>
                </c:pt>
                <c:pt idx="2060">
                  <c:v>7.8749</c:v>
                </c:pt>
                <c:pt idx="2061">
                  <c:v>7.8514</c:v>
                </c:pt>
                <c:pt idx="2062">
                  <c:v>7.8548</c:v>
                </c:pt>
                <c:pt idx="2063">
                  <c:v>7.774599999999999</c:v>
                </c:pt>
                <c:pt idx="2064">
                  <c:v>7.7061</c:v>
                </c:pt>
                <c:pt idx="2065">
                  <c:v>7.7412</c:v>
                </c:pt>
                <c:pt idx="2066">
                  <c:v>7.5992</c:v>
                </c:pt>
                <c:pt idx="2067">
                  <c:v>7.5673</c:v>
                </c:pt>
                <c:pt idx="2068">
                  <c:v>7.685</c:v>
                </c:pt>
                <c:pt idx="2069">
                  <c:v>7.7595</c:v>
                </c:pt>
                <c:pt idx="2070">
                  <c:v>7.6994</c:v>
                </c:pt>
                <c:pt idx="2071">
                  <c:v>7.6529</c:v>
                </c:pt>
                <c:pt idx="2072">
                  <c:v>7.6711</c:v>
                </c:pt>
                <c:pt idx="2073">
                  <c:v>7.6443</c:v>
                </c:pt>
                <c:pt idx="2074">
                  <c:v>7.6355</c:v>
                </c:pt>
                <c:pt idx="2075">
                  <c:v>7.4879</c:v>
                </c:pt>
                <c:pt idx="2076">
                  <c:v>7.4697</c:v>
                </c:pt>
                <c:pt idx="2077">
                  <c:v>7.5695</c:v>
                </c:pt>
                <c:pt idx="2078">
                  <c:v>7.6484</c:v>
                </c:pt>
                <c:pt idx="2079">
                  <c:v>7.5804</c:v>
                </c:pt>
                <c:pt idx="2080">
                  <c:v>7.6163</c:v>
                </c:pt>
                <c:pt idx="2081">
                  <c:v>7.7189</c:v>
                </c:pt>
                <c:pt idx="2082">
                  <c:v>7.5865</c:v>
                </c:pt>
                <c:pt idx="2083">
                  <c:v>7.505</c:v>
                </c:pt>
                <c:pt idx="2084">
                  <c:v>7.5294</c:v>
                </c:pt>
                <c:pt idx="2085">
                  <c:v>7.5713</c:v>
                </c:pt>
                <c:pt idx="2086">
                  <c:v>7.5679</c:v>
                </c:pt>
                <c:pt idx="2087">
                  <c:v>7.6375</c:v>
                </c:pt>
                <c:pt idx="2088">
                  <c:v>7.5648</c:v>
                </c:pt>
                <c:pt idx="2089">
                  <c:v>7.5908</c:v>
                </c:pt>
                <c:pt idx="2090">
                  <c:v>7.5325</c:v>
                </c:pt>
                <c:pt idx="2091">
                  <c:v>7.6056</c:v>
                </c:pt>
                <c:pt idx="2092">
                  <c:v>7.6894</c:v>
                </c:pt>
                <c:pt idx="2093">
                  <c:v>7.6737</c:v>
                </c:pt>
                <c:pt idx="2094">
                  <c:v>7.6525</c:v>
                </c:pt>
                <c:pt idx="2095">
                  <c:v>7.7558</c:v>
                </c:pt>
                <c:pt idx="2096">
                  <c:v>7.7551</c:v>
                </c:pt>
                <c:pt idx="2097">
                  <c:v>7.8087</c:v>
                </c:pt>
                <c:pt idx="2098">
                  <c:v>7.901</c:v>
                </c:pt>
                <c:pt idx="2099">
                  <c:v>7.9428</c:v>
                </c:pt>
                <c:pt idx="2100">
                  <c:v>7.8675</c:v>
                </c:pt>
                <c:pt idx="2101">
                  <c:v>7.81</c:v>
                </c:pt>
                <c:pt idx="2102">
                  <c:v>7.806</c:v>
                </c:pt>
                <c:pt idx="2103">
                  <c:v>7.8525</c:v>
                </c:pt>
                <c:pt idx="2104">
                  <c:v>7.7783</c:v>
                </c:pt>
                <c:pt idx="2105">
                  <c:v>7.7449</c:v>
                </c:pt>
                <c:pt idx="2106">
                  <c:v>7.8146</c:v>
                </c:pt>
                <c:pt idx="2107">
                  <c:v>7.7463</c:v>
                </c:pt>
                <c:pt idx="2108">
                  <c:v>7.8191</c:v>
                </c:pt>
                <c:pt idx="2109">
                  <c:v>8.028700000000001</c:v>
                </c:pt>
                <c:pt idx="2110">
                  <c:v>8.130100000000001</c:v>
                </c:pt>
                <c:pt idx="2111">
                  <c:v>8.1211</c:v>
                </c:pt>
                <c:pt idx="2112">
                  <c:v>7.975</c:v>
                </c:pt>
                <c:pt idx="2113">
                  <c:v>8.065</c:v>
                </c:pt>
                <c:pt idx="2114">
                  <c:v>8.0253</c:v>
                </c:pt>
                <c:pt idx="2115">
                  <c:v>8.116300000000001</c:v>
                </c:pt>
                <c:pt idx="2116">
                  <c:v>8.1587</c:v>
                </c:pt>
                <c:pt idx="2117">
                  <c:v>8.1888</c:v>
                </c:pt>
                <c:pt idx="2118">
                  <c:v>8.076</c:v>
                </c:pt>
                <c:pt idx="2119">
                  <c:v>8.0095</c:v>
                </c:pt>
                <c:pt idx="2120">
                  <c:v>8.1563</c:v>
                </c:pt>
                <c:pt idx="2121">
                  <c:v>7.942</c:v>
                </c:pt>
                <c:pt idx="2122">
                  <c:v>7.8994</c:v>
                </c:pt>
                <c:pt idx="2123">
                  <c:v>7.8663</c:v>
                </c:pt>
                <c:pt idx="2124">
                  <c:v>7.8476</c:v>
                </c:pt>
                <c:pt idx="2125">
                  <c:v>8.0325</c:v>
                </c:pt>
                <c:pt idx="2126">
                  <c:v>7.9825</c:v>
                </c:pt>
                <c:pt idx="2127">
                  <c:v>7.95</c:v>
                </c:pt>
                <c:pt idx="2128">
                  <c:v>7.7667</c:v>
                </c:pt>
                <c:pt idx="2129">
                  <c:v>7.9263</c:v>
                </c:pt>
                <c:pt idx="2130">
                  <c:v>7.766</c:v>
                </c:pt>
                <c:pt idx="2131">
                  <c:v>7.7569</c:v>
                </c:pt>
                <c:pt idx="2132">
                  <c:v>7.5575</c:v>
                </c:pt>
                <c:pt idx="2133">
                  <c:v>7.4556</c:v>
                </c:pt>
                <c:pt idx="2134">
                  <c:v>7.5433</c:v>
                </c:pt>
                <c:pt idx="2135">
                  <c:v>7.6943</c:v>
                </c:pt>
                <c:pt idx="2136">
                  <c:v>7.7545</c:v>
                </c:pt>
                <c:pt idx="2137">
                  <c:v>7.7834</c:v>
                </c:pt>
                <c:pt idx="2138">
                  <c:v>7.8875</c:v>
                </c:pt>
                <c:pt idx="2139">
                  <c:v>7.6827</c:v>
                </c:pt>
                <c:pt idx="2140">
                  <c:v>7.605</c:v>
                </c:pt>
                <c:pt idx="2141">
                  <c:v>7.6735</c:v>
                </c:pt>
                <c:pt idx="2142">
                  <c:v>7.6926</c:v>
                </c:pt>
                <c:pt idx="2143">
                  <c:v>7.724</c:v>
                </c:pt>
                <c:pt idx="2144">
                  <c:v>7.704</c:v>
                </c:pt>
                <c:pt idx="2145">
                  <c:v>7.749</c:v>
                </c:pt>
                <c:pt idx="2146">
                  <c:v>7.802</c:v>
                </c:pt>
                <c:pt idx="2147">
                  <c:v>7.682</c:v>
                </c:pt>
                <c:pt idx="2148">
                  <c:v>7.6658</c:v>
                </c:pt>
                <c:pt idx="2149">
                  <c:v>7.665</c:v>
                </c:pt>
                <c:pt idx="2150">
                  <c:v>7.4376</c:v>
                </c:pt>
                <c:pt idx="2151">
                  <c:v>7.4175</c:v>
                </c:pt>
                <c:pt idx="2152">
                  <c:v>7.477</c:v>
                </c:pt>
                <c:pt idx="2153">
                  <c:v>7.318</c:v>
                </c:pt>
                <c:pt idx="2154">
                  <c:v>7.2073</c:v>
                </c:pt>
                <c:pt idx="2155">
                  <c:v>7.2035</c:v>
                </c:pt>
                <c:pt idx="2156">
                  <c:v>7.1425</c:v>
                </c:pt>
                <c:pt idx="2157">
                  <c:v>7.03</c:v>
                </c:pt>
                <c:pt idx="2158">
                  <c:v>7.1709</c:v>
                </c:pt>
                <c:pt idx="2159">
                  <c:v>7.1008</c:v>
                </c:pt>
                <c:pt idx="2160">
                  <c:v>7.2161</c:v>
                </c:pt>
                <c:pt idx="2161">
                  <c:v>7.0726</c:v>
                </c:pt>
                <c:pt idx="2162">
                  <c:v>7.0255</c:v>
                </c:pt>
                <c:pt idx="2163">
                  <c:v>6.955</c:v>
                </c:pt>
                <c:pt idx="2164">
                  <c:v>6.830999999999999</c:v>
                </c:pt>
                <c:pt idx="2165">
                  <c:v>6.7505</c:v>
                </c:pt>
                <c:pt idx="2166">
                  <c:v>6.7635</c:v>
                </c:pt>
                <c:pt idx="2167">
                  <c:v>6.8332</c:v>
                </c:pt>
                <c:pt idx="2168">
                  <c:v>6.8876</c:v>
                </c:pt>
                <c:pt idx="2169">
                  <c:v>6.8742</c:v>
                </c:pt>
                <c:pt idx="2170">
                  <c:v>6.9128</c:v>
                </c:pt>
                <c:pt idx="2171">
                  <c:v>6.8726</c:v>
                </c:pt>
                <c:pt idx="2172">
                  <c:v>6.8443</c:v>
                </c:pt>
                <c:pt idx="2173">
                  <c:v>6.8375</c:v>
                </c:pt>
                <c:pt idx="2174">
                  <c:v>6.845</c:v>
                </c:pt>
                <c:pt idx="2175">
                  <c:v>6.8615</c:v>
                </c:pt>
                <c:pt idx="2176">
                  <c:v>6.8273</c:v>
                </c:pt>
                <c:pt idx="2177">
                  <c:v>6.8533</c:v>
                </c:pt>
                <c:pt idx="2178">
                  <c:v>6.9835</c:v>
                </c:pt>
                <c:pt idx="2179">
                  <c:v>6.9745</c:v>
                </c:pt>
                <c:pt idx="2180">
                  <c:v>6.9788</c:v>
                </c:pt>
                <c:pt idx="2181">
                  <c:v>7.0224</c:v>
                </c:pt>
                <c:pt idx="2182">
                  <c:v>7.0439</c:v>
                </c:pt>
                <c:pt idx="2183">
                  <c:v>6.9395</c:v>
                </c:pt>
                <c:pt idx="2184">
                  <c:v>6.9213</c:v>
                </c:pt>
                <c:pt idx="2185">
                  <c:v>6.9135</c:v>
                </c:pt>
                <c:pt idx="2186">
                  <c:v>6.875</c:v>
                </c:pt>
                <c:pt idx="2187">
                  <c:v>6.7599</c:v>
                </c:pt>
                <c:pt idx="2188">
                  <c:v>6.7268</c:v>
                </c:pt>
                <c:pt idx="2189">
                  <c:v>6.7048</c:v>
                </c:pt>
                <c:pt idx="2190">
                  <c:v>6.6735</c:v>
                </c:pt>
                <c:pt idx="2191">
                  <c:v>6.7225</c:v>
                </c:pt>
                <c:pt idx="2192">
                  <c:v>6.7433</c:v>
                </c:pt>
                <c:pt idx="2193">
                  <c:v>6.765</c:v>
                </c:pt>
                <c:pt idx="2194">
                  <c:v>6.8033</c:v>
                </c:pt>
                <c:pt idx="2195">
                  <c:v>6.806599999999999</c:v>
                </c:pt>
                <c:pt idx="2196">
                  <c:v>6.805</c:v>
                </c:pt>
                <c:pt idx="2197">
                  <c:v>6.8351</c:v>
                </c:pt>
                <c:pt idx="2198">
                  <c:v>6.8788</c:v>
                </c:pt>
                <c:pt idx="2199">
                  <c:v>7.0088</c:v>
                </c:pt>
                <c:pt idx="2200">
                  <c:v>6.9363</c:v>
                </c:pt>
                <c:pt idx="2201">
                  <c:v>6.8185</c:v>
                </c:pt>
                <c:pt idx="2202">
                  <c:v>6.7893</c:v>
                </c:pt>
                <c:pt idx="2203">
                  <c:v>6.8108</c:v>
                </c:pt>
                <c:pt idx="2204">
                  <c:v>6.7117</c:v>
                </c:pt>
                <c:pt idx="2205">
                  <c:v>6.7613</c:v>
                </c:pt>
                <c:pt idx="2206">
                  <c:v>6.6814</c:v>
                </c:pt>
                <c:pt idx="2207">
                  <c:v>6.7128</c:v>
                </c:pt>
                <c:pt idx="2208">
                  <c:v>6.569</c:v>
                </c:pt>
                <c:pt idx="2209">
                  <c:v>6.7208</c:v>
                </c:pt>
                <c:pt idx="2210">
                  <c:v>6.7925</c:v>
                </c:pt>
                <c:pt idx="2211">
                  <c:v>6.6437</c:v>
                </c:pt>
                <c:pt idx="2212">
                  <c:v>6.5284</c:v>
                </c:pt>
                <c:pt idx="2213">
                  <c:v>6.476</c:v>
                </c:pt>
                <c:pt idx="2214">
                  <c:v>6.5285</c:v>
                </c:pt>
                <c:pt idx="2215">
                  <c:v>6.5737</c:v>
                </c:pt>
                <c:pt idx="2216">
                  <c:v>6.5635</c:v>
                </c:pt>
                <c:pt idx="2217">
                  <c:v>6.5849</c:v>
                </c:pt>
                <c:pt idx="2218">
                  <c:v>6.5353</c:v>
                </c:pt>
                <c:pt idx="2219">
                  <c:v>6.5465</c:v>
                </c:pt>
                <c:pt idx="2220">
                  <c:v>6.5438</c:v>
                </c:pt>
                <c:pt idx="2221">
                  <c:v>6.5044</c:v>
                </c:pt>
                <c:pt idx="2222">
                  <c:v>6.571</c:v>
                </c:pt>
                <c:pt idx="2223">
                  <c:v>6.6689</c:v>
                </c:pt>
                <c:pt idx="2224">
                  <c:v>6.7128</c:v>
                </c:pt>
                <c:pt idx="2225">
                  <c:v>6.8675</c:v>
                </c:pt>
                <c:pt idx="2226">
                  <c:v>6.7932</c:v>
                </c:pt>
                <c:pt idx="2227">
                  <c:v>6.8037</c:v>
                </c:pt>
                <c:pt idx="2228">
                  <c:v>6.838</c:v>
                </c:pt>
                <c:pt idx="2229">
                  <c:v>6.8617</c:v>
                </c:pt>
                <c:pt idx="2230">
                  <c:v>6.848</c:v>
                </c:pt>
                <c:pt idx="2231">
                  <c:v>6.75</c:v>
                </c:pt>
                <c:pt idx="2232">
                  <c:v>6.6914</c:v>
                </c:pt>
                <c:pt idx="2233">
                  <c:v>6.8648</c:v>
                </c:pt>
                <c:pt idx="2234">
                  <c:v>6.8566</c:v>
                </c:pt>
                <c:pt idx="2235">
                  <c:v>6.8575</c:v>
                </c:pt>
                <c:pt idx="2236">
                  <c:v>6.8173</c:v>
                </c:pt>
                <c:pt idx="2237">
                  <c:v>6.905</c:v>
                </c:pt>
                <c:pt idx="2238">
                  <c:v>6.9081</c:v>
                </c:pt>
                <c:pt idx="2239">
                  <c:v>6.9285</c:v>
                </c:pt>
                <c:pt idx="2240">
                  <c:v>6.867</c:v>
                </c:pt>
                <c:pt idx="2241">
                  <c:v>6.8776</c:v>
                </c:pt>
                <c:pt idx="2242">
                  <c:v>6.8833</c:v>
                </c:pt>
                <c:pt idx="2243">
                  <c:v>6.9378</c:v>
                </c:pt>
                <c:pt idx="2244">
                  <c:v>6.9795</c:v>
                </c:pt>
                <c:pt idx="2245">
                  <c:v>6.9713</c:v>
                </c:pt>
                <c:pt idx="2246">
                  <c:v>6.995</c:v>
                </c:pt>
                <c:pt idx="2247">
                  <c:v>7.041</c:v>
                </c:pt>
                <c:pt idx="2248">
                  <c:v>7.0715</c:v>
                </c:pt>
                <c:pt idx="2249">
                  <c:v>7.1763</c:v>
                </c:pt>
                <c:pt idx="2250">
                  <c:v>7.1962</c:v>
                </c:pt>
                <c:pt idx="2251">
                  <c:v>7.1667</c:v>
                </c:pt>
                <c:pt idx="2252">
                  <c:v>7.126</c:v>
                </c:pt>
                <c:pt idx="2253">
                  <c:v>7.135</c:v>
                </c:pt>
                <c:pt idx="2254">
                  <c:v>7.1821</c:v>
                </c:pt>
                <c:pt idx="2255">
                  <c:v>7.2425</c:v>
                </c:pt>
                <c:pt idx="2256">
                  <c:v>7.2358</c:v>
                </c:pt>
                <c:pt idx="2257">
                  <c:v>7.208</c:v>
                </c:pt>
                <c:pt idx="2258">
                  <c:v>7.2505</c:v>
                </c:pt>
                <c:pt idx="2259">
                  <c:v>7.2091</c:v>
                </c:pt>
                <c:pt idx="2260">
                  <c:v>7.2118</c:v>
                </c:pt>
                <c:pt idx="2261">
                  <c:v>7.1601</c:v>
                </c:pt>
                <c:pt idx="2262">
                  <c:v>7.128</c:v>
                </c:pt>
                <c:pt idx="2263">
                  <c:v>7.2265</c:v>
                </c:pt>
                <c:pt idx="2264">
                  <c:v>7.2551</c:v>
                </c:pt>
                <c:pt idx="2265">
                  <c:v>7.2198</c:v>
                </c:pt>
                <c:pt idx="2266">
                  <c:v>7.2004</c:v>
                </c:pt>
                <c:pt idx="2267">
                  <c:v>7.2843</c:v>
                </c:pt>
                <c:pt idx="2268">
                  <c:v>7.2678</c:v>
                </c:pt>
                <c:pt idx="2269">
                  <c:v>7.3827</c:v>
                </c:pt>
                <c:pt idx="2270">
                  <c:v>7.4177</c:v>
                </c:pt>
                <c:pt idx="2271">
                  <c:v>7.4025</c:v>
                </c:pt>
                <c:pt idx="2272">
                  <c:v>7.5851</c:v>
                </c:pt>
                <c:pt idx="2273">
                  <c:v>7.379</c:v>
                </c:pt>
                <c:pt idx="2274">
                  <c:v>7.3102</c:v>
                </c:pt>
                <c:pt idx="2275">
                  <c:v>7.1888</c:v>
                </c:pt>
                <c:pt idx="2276">
                  <c:v>7.1932</c:v>
                </c:pt>
                <c:pt idx="2277">
                  <c:v>7.1425</c:v>
                </c:pt>
                <c:pt idx="2278">
                  <c:v>7.0288</c:v>
                </c:pt>
                <c:pt idx="2279">
                  <c:v>7.0795</c:v>
                </c:pt>
                <c:pt idx="2280">
                  <c:v>7.0724</c:v>
                </c:pt>
                <c:pt idx="2281">
                  <c:v>7.0915</c:v>
                </c:pt>
                <c:pt idx="2282">
                  <c:v>7.0875</c:v>
                </c:pt>
                <c:pt idx="2283">
                  <c:v>7.1415</c:v>
                </c:pt>
                <c:pt idx="2284">
                  <c:v>7.078</c:v>
                </c:pt>
                <c:pt idx="2285">
                  <c:v>7.1293</c:v>
                </c:pt>
                <c:pt idx="2286">
                  <c:v>7.0988</c:v>
                </c:pt>
                <c:pt idx="2287">
                  <c:v>7.036</c:v>
                </c:pt>
                <c:pt idx="2288">
                  <c:v>6.8993</c:v>
                </c:pt>
                <c:pt idx="2289">
                  <c:v>6.8283</c:v>
                </c:pt>
                <c:pt idx="2290">
                  <c:v>6.8085</c:v>
                </c:pt>
                <c:pt idx="2291">
                  <c:v>6.8933</c:v>
                </c:pt>
                <c:pt idx="2292">
                  <c:v>6.8715</c:v>
                </c:pt>
                <c:pt idx="2293">
                  <c:v>6.9689</c:v>
                </c:pt>
                <c:pt idx="2294">
                  <c:v>6.9699</c:v>
                </c:pt>
                <c:pt idx="2295">
                  <c:v>6.9635</c:v>
                </c:pt>
                <c:pt idx="2296">
                  <c:v>6.978</c:v>
                </c:pt>
                <c:pt idx="2297">
                  <c:v>6.9673</c:v>
                </c:pt>
                <c:pt idx="2298">
                  <c:v>7.038</c:v>
                </c:pt>
                <c:pt idx="2299">
                  <c:v>6.9948</c:v>
                </c:pt>
                <c:pt idx="2300">
                  <c:v>6.9612</c:v>
                </c:pt>
                <c:pt idx="2301">
                  <c:v>6.995</c:v>
                </c:pt>
                <c:pt idx="2302">
                  <c:v>7.013</c:v>
                </c:pt>
                <c:pt idx="2303">
                  <c:v>6.9598</c:v>
                </c:pt>
                <c:pt idx="2304">
                  <c:v>6.9865</c:v>
                </c:pt>
                <c:pt idx="2305">
                  <c:v>6.965</c:v>
                </c:pt>
                <c:pt idx="2306">
                  <c:v>7.0588</c:v>
                </c:pt>
                <c:pt idx="2307">
                  <c:v>7.076</c:v>
                </c:pt>
                <c:pt idx="2308">
                  <c:v>7.1765</c:v>
                </c:pt>
                <c:pt idx="2309">
                  <c:v>7.1733</c:v>
                </c:pt>
                <c:pt idx="2310">
                  <c:v>7.153</c:v>
                </c:pt>
                <c:pt idx="2311">
                  <c:v>7.1538</c:v>
                </c:pt>
                <c:pt idx="2312">
                  <c:v>7.1428</c:v>
                </c:pt>
                <c:pt idx="2313">
                  <c:v>7.1118</c:v>
                </c:pt>
                <c:pt idx="2314">
                  <c:v>7.069</c:v>
                </c:pt>
                <c:pt idx="2315">
                  <c:v>7.0845</c:v>
                </c:pt>
                <c:pt idx="2316">
                  <c:v>7.1346</c:v>
                </c:pt>
                <c:pt idx="2317">
                  <c:v>7.195</c:v>
                </c:pt>
                <c:pt idx="2318">
                  <c:v>7.2432</c:v>
                </c:pt>
                <c:pt idx="2319">
                  <c:v>7.229</c:v>
                </c:pt>
                <c:pt idx="2320">
                  <c:v>7.2214</c:v>
                </c:pt>
                <c:pt idx="2321">
                  <c:v>7.2944</c:v>
                </c:pt>
                <c:pt idx="2322">
                  <c:v>7.2231</c:v>
                </c:pt>
                <c:pt idx="2323">
                  <c:v>7.2094</c:v>
                </c:pt>
                <c:pt idx="2324">
                  <c:v>7.1713</c:v>
                </c:pt>
                <c:pt idx="2325">
                  <c:v>7.1215</c:v>
                </c:pt>
                <c:pt idx="2326">
                  <c:v>7.0958</c:v>
                </c:pt>
                <c:pt idx="2327">
                  <c:v>7.1252</c:v>
                </c:pt>
                <c:pt idx="2328">
                  <c:v>7.1698</c:v>
                </c:pt>
                <c:pt idx="2329">
                  <c:v>7.1463</c:v>
                </c:pt>
                <c:pt idx="2330">
                  <c:v>7.1</c:v>
                </c:pt>
                <c:pt idx="2331">
                  <c:v>7.1027</c:v>
                </c:pt>
                <c:pt idx="2332">
                  <c:v>7.147</c:v>
                </c:pt>
                <c:pt idx="2333">
                  <c:v>7.0596</c:v>
                </c:pt>
                <c:pt idx="2334">
                  <c:v>7.0575</c:v>
                </c:pt>
                <c:pt idx="2335">
                  <c:v>7.017</c:v>
                </c:pt>
                <c:pt idx="2336">
                  <c:v>7.0173</c:v>
                </c:pt>
                <c:pt idx="2337">
                  <c:v>7.0402</c:v>
                </c:pt>
                <c:pt idx="2338">
                  <c:v>6.9755</c:v>
                </c:pt>
                <c:pt idx="2339">
                  <c:v>6.8995</c:v>
                </c:pt>
                <c:pt idx="2340">
                  <c:v>6.93</c:v>
                </c:pt>
                <c:pt idx="2341">
                  <c:v>6.981</c:v>
                </c:pt>
                <c:pt idx="2342">
                  <c:v>7.0345</c:v>
                </c:pt>
                <c:pt idx="2343">
                  <c:v>6.893</c:v>
                </c:pt>
                <c:pt idx="2344">
                  <c:v>6.9104</c:v>
                </c:pt>
                <c:pt idx="2345">
                  <c:v>6.8805</c:v>
                </c:pt>
                <c:pt idx="2346">
                  <c:v>6.9415</c:v>
                </c:pt>
                <c:pt idx="2347">
                  <c:v>6.975</c:v>
                </c:pt>
                <c:pt idx="2348">
                  <c:v>7.0283</c:v>
                </c:pt>
                <c:pt idx="2349">
                  <c:v>7.0366</c:v>
                </c:pt>
                <c:pt idx="2350">
                  <c:v>7.0163</c:v>
                </c:pt>
                <c:pt idx="2351">
                  <c:v>7.0595</c:v>
                </c:pt>
                <c:pt idx="2352">
                  <c:v>6.9962</c:v>
                </c:pt>
                <c:pt idx="2353">
                  <c:v>6.981</c:v>
                </c:pt>
                <c:pt idx="2354">
                  <c:v>7.0498</c:v>
                </c:pt>
                <c:pt idx="2355">
                  <c:v>7.077</c:v>
                </c:pt>
                <c:pt idx="2356">
                  <c:v>7.0343</c:v>
                </c:pt>
                <c:pt idx="2357">
                  <c:v>7.0445</c:v>
                </c:pt>
                <c:pt idx="2358">
                  <c:v>7.06</c:v>
                </c:pt>
                <c:pt idx="2359">
                  <c:v>7.0647</c:v>
                </c:pt>
                <c:pt idx="2360">
                  <c:v>7.1064</c:v>
                </c:pt>
                <c:pt idx="2361">
                  <c:v>7.1981</c:v>
                </c:pt>
                <c:pt idx="2362">
                  <c:v>7.1718</c:v>
                </c:pt>
                <c:pt idx="2363">
                  <c:v>7.1335</c:v>
                </c:pt>
                <c:pt idx="2364">
                  <c:v>7.1329</c:v>
                </c:pt>
                <c:pt idx="2365">
                  <c:v>7.1208</c:v>
                </c:pt>
                <c:pt idx="2366">
                  <c:v>7.1335</c:v>
                </c:pt>
                <c:pt idx="2367">
                  <c:v>7.1343</c:v>
                </c:pt>
                <c:pt idx="2368">
                  <c:v>7.1697</c:v>
                </c:pt>
                <c:pt idx="2369">
                  <c:v>7.1722</c:v>
                </c:pt>
                <c:pt idx="2370">
                  <c:v>7.26</c:v>
                </c:pt>
                <c:pt idx="2371">
                  <c:v>7.2973</c:v>
                </c:pt>
                <c:pt idx="2372">
                  <c:v>7.2841</c:v>
                </c:pt>
                <c:pt idx="2373">
                  <c:v>7.3423</c:v>
                </c:pt>
                <c:pt idx="2374">
                  <c:v>7.2478</c:v>
                </c:pt>
                <c:pt idx="2375">
                  <c:v>7.2216</c:v>
                </c:pt>
                <c:pt idx="2376">
                  <c:v>7.2187</c:v>
                </c:pt>
                <c:pt idx="2377">
                  <c:v>7.1858</c:v>
                </c:pt>
                <c:pt idx="2378">
                  <c:v>7.3461</c:v>
                </c:pt>
                <c:pt idx="2379">
                  <c:v>7.3915</c:v>
                </c:pt>
                <c:pt idx="2380">
                  <c:v>7.4263</c:v>
                </c:pt>
                <c:pt idx="2381">
                  <c:v>7.4854</c:v>
                </c:pt>
                <c:pt idx="2382">
                  <c:v>7.4101</c:v>
                </c:pt>
                <c:pt idx="2383">
                  <c:v>7.4613</c:v>
                </c:pt>
                <c:pt idx="2384">
                  <c:v>7.4715</c:v>
                </c:pt>
                <c:pt idx="2385">
                  <c:v>7.3305</c:v>
                </c:pt>
                <c:pt idx="2386">
                  <c:v>7.3242</c:v>
                </c:pt>
                <c:pt idx="2387">
                  <c:v>7.38</c:v>
                </c:pt>
                <c:pt idx="2388">
                  <c:v>7.4295</c:v>
                </c:pt>
                <c:pt idx="2389">
                  <c:v>7.4166</c:v>
                </c:pt>
                <c:pt idx="2390">
                  <c:v>7.4651</c:v>
                </c:pt>
                <c:pt idx="2391">
                  <c:v>7.3928</c:v>
                </c:pt>
                <c:pt idx="2392">
                  <c:v>7.2985</c:v>
                </c:pt>
                <c:pt idx="2393">
                  <c:v>7.2515</c:v>
                </c:pt>
                <c:pt idx="2394">
                  <c:v>7.2137</c:v>
                </c:pt>
                <c:pt idx="2395">
                  <c:v>7.0817</c:v>
                </c:pt>
                <c:pt idx="2396">
                  <c:v>7.0651</c:v>
                </c:pt>
                <c:pt idx="2397">
                  <c:v>7.0703</c:v>
                </c:pt>
                <c:pt idx="2398">
                  <c:v>7.108</c:v>
                </c:pt>
                <c:pt idx="2399">
                  <c:v>7.1239</c:v>
                </c:pt>
                <c:pt idx="2400">
                  <c:v>7.107</c:v>
                </c:pt>
                <c:pt idx="2401">
                  <c:v>7.17</c:v>
                </c:pt>
                <c:pt idx="2402">
                  <c:v>7.2118</c:v>
                </c:pt>
                <c:pt idx="2403">
                  <c:v>7.1935</c:v>
                </c:pt>
                <c:pt idx="2404">
                  <c:v>7.2438</c:v>
                </c:pt>
                <c:pt idx="2405">
                  <c:v>7.2678</c:v>
                </c:pt>
                <c:pt idx="2406">
                  <c:v>7.1605</c:v>
                </c:pt>
                <c:pt idx="2407">
                  <c:v>7.1511</c:v>
                </c:pt>
                <c:pt idx="2408">
                  <c:v>7.1688</c:v>
                </c:pt>
                <c:pt idx="2409">
                  <c:v>7.1968</c:v>
                </c:pt>
                <c:pt idx="2410">
                  <c:v>7.207</c:v>
                </c:pt>
                <c:pt idx="2411">
                  <c:v>7.1951</c:v>
                </c:pt>
                <c:pt idx="2412">
                  <c:v>7.1868</c:v>
                </c:pt>
                <c:pt idx="2413">
                  <c:v>7.2255</c:v>
                </c:pt>
                <c:pt idx="2414">
                  <c:v>7.2964</c:v>
                </c:pt>
                <c:pt idx="2415">
                  <c:v>7.3163</c:v>
                </c:pt>
                <c:pt idx="2416">
                  <c:v>7.2833</c:v>
                </c:pt>
                <c:pt idx="2417">
                  <c:v>7.2408</c:v>
                </c:pt>
                <c:pt idx="2418">
                  <c:v>7.155</c:v>
                </c:pt>
                <c:pt idx="2419">
                  <c:v>7.1226</c:v>
                </c:pt>
                <c:pt idx="2420">
                  <c:v>7.138</c:v>
                </c:pt>
                <c:pt idx="2421">
                  <c:v>7.1471</c:v>
                </c:pt>
                <c:pt idx="2422">
                  <c:v>7.1412</c:v>
                </c:pt>
                <c:pt idx="2423">
                  <c:v>7.1588</c:v>
                </c:pt>
                <c:pt idx="2424">
                  <c:v>7.2315</c:v>
                </c:pt>
                <c:pt idx="2425">
                  <c:v>7.2149</c:v>
                </c:pt>
                <c:pt idx="2426">
                  <c:v>7.2267</c:v>
                </c:pt>
                <c:pt idx="2427">
                  <c:v>7.2633</c:v>
                </c:pt>
                <c:pt idx="2428">
                  <c:v>7.3225</c:v>
                </c:pt>
                <c:pt idx="2429">
                  <c:v>7.3223</c:v>
                </c:pt>
                <c:pt idx="2430">
                  <c:v>7.2418</c:v>
                </c:pt>
                <c:pt idx="2431">
                  <c:v>7.2127</c:v>
                </c:pt>
                <c:pt idx="2432">
                  <c:v>7.0906</c:v>
                </c:pt>
                <c:pt idx="2433">
                  <c:v>6.9448</c:v>
                </c:pt>
                <c:pt idx="2434">
                  <c:v>6.9</c:v>
                </c:pt>
                <c:pt idx="2435">
                  <c:v>7.0061</c:v>
                </c:pt>
                <c:pt idx="2436">
                  <c:v>6.9879</c:v>
                </c:pt>
                <c:pt idx="2437">
                  <c:v>7.0108</c:v>
                </c:pt>
                <c:pt idx="2438">
                  <c:v>7.0888</c:v>
                </c:pt>
                <c:pt idx="2439">
                  <c:v>7.0627</c:v>
                </c:pt>
                <c:pt idx="2440">
                  <c:v>7.039</c:v>
                </c:pt>
                <c:pt idx="2441">
                  <c:v>7.035</c:v>
                </c:pt>
                <c:pt idx="2442">
                  <c:v>7.02</c:v>
                </c:pt>
                <c:pt idx="2443">
                  <c:v>6.9205</c:v>
                </c:pt>
                <c:pt idx="2444">
                  <c:v>7.0208</c:v>
                </c:pt>
                <c:pt idx="2445">
                  <c:v>7.0338</c:v>
                </c:pt>
                <c:pt idx="2446">
                  <c:v>7.0065</c:v>
                </c:pt>
                <c:pt idx="2447">
                  <c:v>6.97</c:v>
                </c:pt>
                <c:pt idx="2448">
                  <c:v>6.9888</c:v>
                </c:pt>
                <c:pt idx="2449">
                  <c:v>7.0068</c:v>
                </c:pt>
                <c:pt idx="2450">
                  <c:v>7.0278</c:v>
                </c:pt>
                <c:pt idx="2451">
                  <c:v>7.0597</c:v>
                </c:pt>
                <c:pt idx="2452">
                  <c:v>7.0244</c:v>
                </c:pt>
                <c:pt idx="2453">
                  <c:v>7.0868</c:v>
                </c:pt>
                <c:pt idx="2454">
                  <c:v>7.1063</c:v>
                </c:pt>
                <c:pt idx="2455">
                  <c:v>7.164</c:v>
                </c:pt>
                <c:pt idx="2456">
                  <c:v>7.1588</c:v>
                </c:pt>
                <c:pt idx="2457">
                  <c:v>7.1513</c:v>
                </c:pt>
                <c:pt idx="2458">
                  <c:v>7.1395</c:v>
                </c:pt>
                <c:pt idx="2459">
                  <c:v>7.165</c:v>
                </c:pt>
                <c:pt idx="2460">
                  <c:v>7.1298</c:v>
                </c:pt>
                <c:pt idx="2461">
                  <c:v>7.1635</c:v>
                </c:pt>
                <c:pt idx="2462">
                  <c:v>7.205</c:v>
                </c:pt>
                <c:pt idx="2463">
                  <c:v>7.1538</c:v>
                </c:pt>
                <c:pt idx="2464">
                  <c:v>7.2065</c:v>
                </c:pt>
                <c:pt idx="2465">
                  <c:v>7.233</c:v>
                </c:pt>
                <c:pt idx="2466">
                  <c:v>7.2826</c:v>
                </c:pt>
                <c:pt idx="2467">
                  <c:v>7.2235</c:v>
                </c:pt>
                <c:pt idx="2468">
                  <c:v>7.2555</c:v>
                </c:pt>
                <c:pt idx="2469">
                  <c:v>7.2688</c:v>
                </c:pt>
                <c:pt idx="2470">
                  <c:v>7.26</c:v>
                </c:pt>
                <c:pt idx="2471">
                  <c:v>7.2159</c:v>
                </c:pt>
                <c:pt idx="2472">
                  <c:v>7.2318</c:v>
                </c:pt>
                <c:pt idx="2473">
                  <c:v>7.3155</c:v>
                </c:pt>
                <c:pt idx="2474">
                  <c:v>7.3063</c:v>
                </c:pt>
                <c:pt idx="2475">
                  <c:v>7.381</c:v>
                </c:pt>
                <c:pt idx="2476">
                  <c:v>7.3768</c:v>
                </c:pt>
                <c:pt idx="2477">
                  <c:v>7.4324</c:v>
                </c:pt>
                <c:pt idx="2478">
                  <c:v>7.3963</c:v>
                </c:pt>
                <c:pt idx="2479">
                  <c:v>7.3865</c:v>
                </c:pt>
                <c:pt idx="2480">
                  <c:v>7.5065</c:v>
                </c:pt>
                <c:pt idx="2481">
                  <c:v>7.43</c:v>
                </c:pt>
                <c:pt idx="2482">
                  <c:v>7.5006</c:v>
                </c:pt>
                <c:pt idx="2483">
                  <c:v>7.5915</c:v>
                </c:pt>
                <c:pt idx="2484">
                  <c:v>7.7095</c:v>
                </c:pt>
                <c:pt idx="2485">
                  <c:v>7.6763</c:v>
                </c:pt>
                <c:pt idx="2486">
                  <c:v>7.5378</c:v>
                </c:pt>
                <c:pt idx="2487">
                  <c:v>7.52</c:v>
                </c:pt>
                <c:pt idx="2488">
                  <c:v>7.5959</c:v>
                </c:pt>
                <c:pt idx="2489">
                  <c:v>7.6099</c:v>
                </c:pt>
                <c:pt idx="2490">
                  <c:v>7.5175</c:v>
                </c:pt>
                <c:pt idx="2491">
                  <c:v>7.4713</c:v>
                </c:pt>
                <c:pt idx="2492">
                  <c:v>7.526</c:v>
                </c:pt>
                <c:pt idx="2493">
                  <c:v>7.669</c:v>
                </c:pt>
                <c:pt idx="2494">
                  <c:v>7.7665</c:v>
                </c:pt>
                <c:pt idx="2495">
                  <c:v>7.8338</c:v>
                </c:pt>
                <c:pt idx="2496">
                  <c:v>7.817</c:v>
                </c:pt>
                <c:pt idx="2497">
                  <c:v>7.806</c:v>
                </c:pt>
                <c:pt idx="2498">
                  <c:v>7.9125</c:v>
                </c:pt>
                <c:pt idx="2499">
                  <c:v>7.884</c:v>
                </c:pt>
                <c:pt idx="2500">
                  <c:v>7.7235</c:v>
                </c:pt>
                <c:pt idx="2501">
                  <c:v>7.7613</c:v>
                </c:pt>
                <c:pt idx="2502">
                  <c:v>7.678</c:v>
                </c:pt>
                <c:pt idx="2503">
                  <c:v>7.6268</c:v>
                </c:pt>
                <c:pt idx="2504">
                  <c:v>7.6563</c:v>
                </c:pt>
                <c:pt idx="2505">
                  <c:v>7.7005</c:v>
                </c:pt>
                <c:pt idx="2506">
                  <c:v>7.6225</c:v>
                </c:pt>
                <c:pt idx="2507">
                  <c:v>7.5835</c:v>
                </c:pt>
                <c:pt idx="2508">
                  <c:v>7.3865</c:v>
                </c:pt>
                <c:pt idx="2509">
                  <c:v>7.367</c:v>
                </c:pt>
                <c:pt idx="2510">
                  <c:v>7.283</c:v>
                </c:pt>
                <c:pt idx="2511">
                  <c:v>7.397</c:v>
                </c:pt>
                <c:pt idx="2512">
                  <c:v>7.4047</c:v>
                </c:pt>
                <c:pt idx="2513">
                  <c:v>7.318</c:v>
                </c:pt>
                <c:pt idx="2514">
                  <c:v>7.3453</c:v>
                </c:pt>
                <c:pt idx="2515">
                  <c:v>7.4085</c:v>
                </c:pt>
                <c:pt idx="2516">
                  <c:v>7.373</c:v>
                </c:pt>
                <c:pt idx="2517">
                  <c:v>7.3475</c:v>
                </c:pt>
                <c:pt idx="2518">
                  <c:v>7.313</c:v>
                </c:pt>
                <c:pt idx="2519">
                  <c:v>7.1887</c:v>
                </c:pt>
                <c:pt idx="2520">
                  <c:v>7.161</c:v>
                </c:pt>
                <c:pt idx="2521">
                  <c:v>7.2088</c:v>
                </c:pt>
                <c:pt idx="2522">
                  <c:v>7.209</c:v>
                </c:pt>
                <c:pt idx="2523">
                  <c:v>7.102</c:v>
                </c:pt>
                <c:pt idx="2524">
                  <c:v>7.1448</c:v>
                </c:pt>
                <c:pt idx="2525">
                  <c:v>7.1833</c:v>
                </c:pt>
                <c:pt idx="2526">
                  <c:v>7.1436</c:v>
                </c:pt>
                <c:pt idx="2527">
                  <c:v>7.1675</c:v>
                </c:pt>
                <c:pt idx="2528">
                  <c:v>7.1398</c:v>
                </c:pt>
                <c:pt idx="2529">
                  <c:v>7.1185</c:v>
                </c:pt>
                <c:pt idx="2530">
                  <c:v>7.0315</c:v>
                </c:pt>
                <c:pt idx="2531">
                  <c:v>6.989</c:v>
                </c:pt>
                <c:pt idx="2532">
                  <c:v>6.7925</c:v>
                </c:pt>
                <c:pt idx="2533">
                  <c:v>6.7445</c:v>
                </c:pt>
                <c:pt idx="2534">
                  <c:v>6.8715</c:v>
                </c:pt>
                <c:pt idx="2535">
                  <c:v>6.8535</c:v>
                </c:pt>
                <c:pt idx="2536">
                  <c:v>6.7925</c:v>
                </c:pt>
                <c:pt idx="2537">
                  <c:v>6.8038</c:v>
                </c:pt>
                <c:pt idx="2538">
                  <c:v>6.7315</c:v>
                </c:pt>
                <c:pt idx="2539">
                  <c:v>6.832</c:v>
                </c:pt>
                <c:pt idx="2540">
                  <c:v>6.7914</c:v>
                </c:pt>
                <c:pt idx="2541">
                  <c:v>6.8168</c:v>
                </c:pt>
                <c:pt idx="2542">
                  <c:v>6.853</c:v>
                </c:pt>
                <c:pt idx="2543">
                  <c:v>6.8925</c:v>
                </c:pt>
                <c:pt idx="2544">
                  <c:v>6.9689</c:v>
                </c:pt>
                <c:pt idx="2545">
                  <c:v>6.9245</c:v>
                </c:pt>
                <c:pt idx="2546">
                  <c:v>6.877</c:v>
                </c:pt>
                <c:pt idx="2547">
                  <c:v>6.82</c:v>
                </c:pt>
                <c:pt idx="2548">
                  <c:v>6.9738</c:v>
                </c:pt>
                <c:pt idx="2549">
                  <c:v>7.013</c:v>
                </c:pt>
                <c:pt idx="2550">
                  <c:v>7.0181</c:v>
                </c:pt>
                <c:pt idx="2551">
                  <c:v>7.0392</c:v>
                </c:pt>
                <c:pt idx="2552">
                  <c:v>6.9693</c:v>
                </c:pt>
                <c:pt idx="2553">
                  <c:v>7.0547</c:v>
                </c:pt>
                <c:pt idx="2554">
                  <c:v>7.1876</c:v>
                </c:pt>
                <c:pt idx="2555">
                  <c:v>7.2225</c:v>
                </c:pt>
                <c:pt idx="2556">
                  <c:v>7.2087</c:v>
                </c:pt>
                <c:pt idx="2557">
                  <c:v>7.1642</c:v>
                </c:pt>
                <c:pt idx="2558">
                  <c:v>7.143</c:v>
                </c:pt>
                <c:pt idx="2559">
                  <c:v>7.1129</c:v>
                </c:pt>
                <c:pt idx="2560">
                  <c:v>7.1214</c:v>
                </c:pt>
                <c:pt idx="2561">
                  <c:v>7.1005</c:v>
                </c:pt>
                <c:pt idx="2562">
                  <c:v>7.1633</c:v>
                </c:pt>
                <c:pt idx="2563">
                  <c:v>7.2288</c:v>
                </c:pt>
                <c:pt idx="2564">
                  <c:v>7.0385</c:v>
                </c:pt>
                <c:pt idx="2565">
                  <c:v>7.0563</c:v>
                </c:pt>
                <c:pt idx="2566">
                  <c:v>7.164</c:v>
                </c:pt>
                <c:pt idx="2567">
                  <c:v>7.2925</c:v>
                </c:pt>
                <c:pt idx="2568">
                  <c:v>7.2423</c:v>
                </c:pt>
                <c:pt idx="2569">
                  <c:v>7.3025</c:v>
                </c:pt>
                <c:pt idx="2570">
                  <c:v>7.3775</c:v>
                </c:pt>
                <c:pt idx="2571">
                  <c:v>7.4463</c:v>
                </c:pt>
                <c:pt idx="2572">
                  <c:v>7.314</c:v>
                </c:pt>
                <c:pt idx="2573">
                  <c:v>7.147</c:v>
                </c:pt>
                <c:pt idx="2574">
                  <c:v>7.0903</c:v>
                </c:pt>
                <c:pt idx="2575">
                  <c:v>6.982</c:v>
                </c:pt>
                <c:pt idx="2576">
                  <c:v>6.893</c:v>
                </c:pt>
                <c:pt idx="2577">
                  <c:v>6.9335</c:v>
                </c:pt>
                <c:pt idx="2578">
                  <c:v>6.846</c:v>
                </c:pt>
                <c:pt idx="2579">
                  <c:v>6.844</c:v>
                </c:pt>
                <c:pt idx="2580">
                  <c:v>6.7723</c:v>
                </c:pt>
                <c:pt idx="2581">
                  <c:v>6.7213</c:v>
                </c:pt>
                <c:pt idx="2582">
                  <c:v>6.7875</c:v>
                </c:pt>
                <c:pt idx="2583">
                  <c:v>6.7125</c:v>
                </c:pt>
                <c:pt idx="2584">
                  <c:v>6.7778</c:v>
                </c:pt>
                <c:pt idx="2585">
                  <c:v>6.6395</c:v>
                </c:pt>
                <c:pt idx="2586">
                  <c:v>6.6515</c:v>
                </c:pt>
                <c:pt idx="2587">
                  <c:v>6.6787</c:v>
                </c:pt>
                <c:pt idx="2588">
                  <c:v>6.7085</c:v>
                </c:pt>
                <c:pt idx="2589">
                  <c:v>6.5843</c:v>
                </c:pt>
                <c:pt idx="2590">
                  <c:v>6.513</c:v>
                </c:pt>
                <c:pt idx="2591">
                  <c:v>6.5385</c:v>
                </c:pt>
                <c:pt idx="2592">
                  <c:v>6.564999999999999</c:v>
                </c:pt>
                <c:pt idx="2593">
                  <c:v>6.6789</c:v>
                </c:pt>
                <c:pt idx="2594">
                  <c:v>6.507</c:v>
                </c:pt>
                <c:pt idx="2595">
                  <c:v>6.59</c:v>
                </c:pt>
                <c:pt idx="2596">
                  <c:v>6.5258</c:v>
                </c:pt>
                <c:pt idx="2597">
                  <c:v>6.4858</c:v>
                </c:pt>
                <c:pt idx="2598">
                  <c:v>6.4</c:v>
                </c:pt>
                <c:pt idx="2599">
                  <c:v>6.3698</c:v>
                </c:pt>
                <c:pt idx="2600">
                  <c:v>6.4143</c:v>
                </c:pt>
                <c:pt idx="2601">
                  <c:v>6.2385</c:v>
                </c:pt>
                <c:pt idx="2602">
                  <c:v>6.063</c:v>
                </c:pt>
                <c:pt idx="2603">
                  <c:v>6.0703</c:v>
                </c:pt>
                <c:pt idx="2604">
                  <c:v>6.0498</c:v>
                </c:pt>
                <c:pt idx="2605">
                  <c:v>6.0585</c:v>
                </c:pt>
                <c:pt idx="2606">
                  <c:v>6.0595</c:v>
                </c:pt>
              </c:numCache>
            </c:numRef>
          </c:val>
          <c:smooth val="0"/>
        </c:ser>
        <c:dLbls>
          <c:showLegendKey val="0"/>
          <c:showVal val="0"/>
          <c:showCatName val="0"/>
          <c:showSerName val="0"/>
          <c:showPercent val="0"/>
          <c:showBubbleSize val="0"/>
        </c:dLbls>
        <c:marker val="1"/>
        <c:smooth val="0"/>
        <c:axId val="-2109321912"/>
        <c:axId val="-2109318856"/>
      </c:lineChart>
      <c:dateAx>
        <c:axId val="-2109321912"/>
        <c:scaling>
          <c:orientation val="minMax"/>
        </c:scaling>
        <c:delete val="0"/>
        <c:axPos val="b"/>
        <c:numFmt formatCode="m/d/yy" sourceLinked="1"/>
        <c:majorTickMark val="out"/>
        <c:minorTickMark val="none"/>
        <c:tickLblPos val="nextTo"/>
        <c:crossAx val="-2109318856"/>
        <c:crosses val="autoZero"/>
        <c:auto val="1"/>
        <c:lblOffset val="100"/>
        <c:baseTimeUnit val="days"/>
      </c:dateAx>
      <c:valAx>
        <c:axId val="-2109318856"/>
        <c:scaling>
          <c:orientation val="minMax"/>
        </c:scaling>
        <c:delete val="0"/>
        <c:axPos val="l"/>
        <c:majorGridlines/>
        <c:numFmt formatCode="0.00" sourceLinked="1"/>
        <c:majorTickMark val="out"/>
        <c:minorTickMark val="none"/>
        <c:tickLblPos val="nextTo"/>
        <c:crossAx val="-2109321912"/>
        <c:crosses val="autoZero"/>
        <c:crossBetween val="between"/>
      </c:valAx>
      <c:spPr>
        <a:ln>
          <a:solidFill>
            <a:schemeClr val="tx2">
              <a:lumMod val="50000"/>
            </a:schemeClr>
          </a:solidFill>
        </a:ln>
      </c:spPr>
    </c:plotArea>
    <c:plotVisOnly val="1"/>
    <c:dispBlanksAs val="gap"/>
    <c:showDLblsOverMax val="0"/>
  </c:chart>
  <c:spPr>
    <a:ln>
      <a:noFill/>
    </a:ln>
  </c:spPr>
  <c:printSettings>
    <c:headerFooter/>
    <c:pageMargins b="1.0" l="0.75" r="0.75" t="1.0"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Peruvian Fishmeal Price (USD/ton)</a:t>
            </a:r>
          </a:p>
        </c:rich>
      </c:tx>
      <c:layout/>
      <c:overlay val="0"/>
    </c:title>
    <c:autoTitleDeleted val="0"/>
    <c:plotArea>
      <c:layout/>
      <c:lineChart>
        <c:grouping val="standard"/>
        <c:varyColors val="0"/>
        <c:ser>
          <c:idx val="0"/>
          <c:order val="0"/>
          <c:spPr>
            <a:ln>
              <a:solidFill>
                <a:schemeClr val="tx2">
                  <a:lumMod val="50000"/>
                </a:schemeClr>
              </a:solidFill>
            </a:ln>
          </c:spPr>
          <c:marker>
            <c:symbol val="none"/>
          </c:marker>
          <c:trendline>
            <c:trendlineType val="linear"/>
            <c:dispRSqr val="0"/>
            <c:dispEq val="0"/>
          </c:trendline>
          <c:cat>
            <c:numRef>
              <c:f>'3g. Peruvian Fishmeal Prices'!$A$10:$A$493</c:f>
              <c:numCache>
                <c:formatCode>m/d/yy</c:formatCode>
                <c:ptCount val="484"/>
                <c:pt idx="0">
                  <c:v>42480.0</c:v>
                </c:pt>
                <c:pt idx="1">
                  <c:v>42474.0</c:v>
                </c:pt>
                <c:pt idx="2">
                  <c:v>42466.0</c:v>
                </c:pt>
                <c:pt idx="3">
                  <c:v>42459.0</c:v>
                </c:pt>
                <c:pt idx="4">
                  <c:v>42452.0</c:v>
                </c:pt>
                <c:pt idx="5">
                  <c:v>42445.0</c:v>
                </c:pt>
                <c:pt idx="6">
                  <c:v>42438.0</c:v>
                </c:pt>
                <c:pt idx="7">
                  <c:v>42431.0</c:v>
                </c:pt>
                <c:pt idx="8">
                  <c:v>42425.0</c:v>
                </c:pt>
                <c:pt idx="9">
                  <c:v>42417.0</c:v>
                </c:pt>
                <c:pt idx="10">
                  <c:v>42410.0</c:v>
                </c:pt>
                <c:pt idx="11">
                  <c:v>42403.0</c:v>
                </c:pt>
                <c:pt idx="12">
                  <c:v>42396.0</c:v>
                </c:pt>
                <c:pt idx="13">
                  <c:v>42389.0</c:v>
                </c:pt>
                <c:pt idx="14">
                  <c:v>42382.0</c:v>
                </c:pt>
                <c:pt idx="15">
                  <c:v>42369.0</c:v>
                </c:pt>
                <c:pt idx="16">
                  <c:v>42361.0</c:v>
                </c:pt>
                <c:pt idx="17">
                  <c:v>42354.0</c:v>
                </c:pt>
                <c:pt idx="18">
                  <c:v>42347.0</c:v>
                </c:pt>
                <c:pt idx="19">
                  <c:v>42340.0</c:v>
                </c:pt>
                <c:pt idx="20">
                  <c:v>42333.0</c:v>
                </c:pt>
                <c:pt idx="21">
                  <c:v>42326.0</c:v>
                </c:pt>
                <c:pt idx="22">
                  <c:v>42319.0</c:v>
                </c:pt>
                <c:pt idx="23">
                  <c:v>42312.0</c:v>
                </c:pt>
                <c:pt idx="24">
                  <c:v>42306.0</c:v>
                </c:pt>
                <c:pt idx="25">
                  <c:v>42291.0</c:v>
                </c:pt>
                <c:pt idx="26">
                  <c:v>42284.0</c:v>
                </c:pt>
                <c:pt idx="27">
                  <c:v>42279.0</c:v>
                </c:pt>
                <c:pt idx="28">
                  <c:v>42270.0</c:v>
                </c:pt>
                <c:pt idx="29">
                  <c:v>42263.0</c:v>
                </c:pt>
                <c:pt idx="30">
                  <c:v>42256.0</c:v>
                </c:pt>
                <c:pt idx="31">
                  <c:v>42249.0</c:v>
                </c:pt>
                <c:pt idx="32">
                  <c:v>42242.0</c:v>
                </c:pt>
                <c:pt idx="33">
                  <c:v>42235.0</c:v>
                </c:pt>
                <c:pt idx="34">
                  <c:v>42228.0</c:v>
                </c:pt>
                <c:pt idx="35">
                  <c:v>42221.0</c:v>
                </c:pt>
                <c:pt idx="36">
                  <c:v>42207.0</c:v>
                </c:pt>
                <c:pt idx="37">
                  <c:v>42200.0</c:v>
                </c:pt>
                <c:pt idx="38">
                  <c:v>42193.0</c:v>
                </c:pt>
                <c:pt idx="39">
                  <c:v>42186.0</c:v>
                </c:pt>
                <c:pt idx="40">
                  <c:v>42179.0</c:v>
                </c:pt>
                <c:pt idx="41">
                  <c:v>42172.0</c:v>
                </c:pt>
                <c:pt idx="42">
                  <c:v>42165.0</c:v>
                </c:pt>
                <c:pt idx="43">
                  <c:v>42158.0</c:v>
                </c:pt>
                <c:pt idx="44">
                  <c:v>42151.0</c:v>
                </c:pt>
                <c:pt idx="45">
                  <c:v>42146.0</c:v>
                </c:pt>
                <c:pt idx="46">
                  <c:v>42137.0</c:v>
                </c:pt>
                <c:pt idx="47">
                  <c:v>42130.0</c:v>
                </c:pt>
                <c:pt idx="48">
                  <c:v>42123.0</c:v>
                </c:pt>
                <c:pt idx="49">
                  <c:v>42116.0</c:v>
                </c:pt>
                <c:pt idx="50">
                  <c:v>42111.0</c:v>
                </c:pt>
                <c:pt idx="51">
                  <c:v>42102.0</c:v>
                </c:pt>
                <c:pt idx="52">
                  <c:v>42095.0</c:v>
                </c:pt>
                <c:pt idx="53">
                  <c:v>42088.0</c:v>
                </c:pt>
                <c:pt idx="54">
                  <c:v>42081.0</c:v>
                </c:pt>
                <c:pt idx="55">
                  <c:v>42074.0</c:v>
                </c:pt>
                <c:pt idx="56">
                  <c:v>42060.0</c:v>
                </c:pt>
                <c:pt idx="57">
                  <c:v>42053.0</c:v>
                </c:pt>
                <c:pt idx="58">
                  <c:v>42046.0</c:v>
                </c:pt>
                <c:pt idx="59">
                  <c:v>42039.0</c:v>
                </c:pt>
                <c:pt idx="60">
                  <c:v>42032.0</c:v>
                </c:pt>
                <c:pt idx="61">
                  <c:v>42025.0</c:v>
                </c:pt>
                <c:pt idx="62">
                  <c:v>42018.0</c:v>
                </c:pt>
                <c:pt idx="63">
                  <c:v>42010.0</c:v>
                </c:pt>
                <c:pt idx="64">
                  <c:v>42004.0</c:v>
                </c:pt>
                <c:pt idx="65">
                  <c:v>41996.0</c:v>
                </c:pt>
                <c:pt idx="66">
                  <c:v>41990.0</c:v>
                </c:pt>
                <c:pt idx="67">
                  <c:v>41983.0</c:v>
                </c:pt>
                <c:pt idx="68">
                  <c:v>41976.0</c:v>
                </c:pt>
                <c:pt idx="69">
                  <c:v>41969.0</c:v>
                </c:pt>
                <c:pt idx="70">
                  <c:v>41962.0</c:v>
                </c:pt>
                <c:pt idx="71">
                  <c:v>41955.0</c:v>
                </c:pt>
                <c:pt idx="72">
                  <c:v>41948.0</c:v>
                </c:pt>
                <c:pt idx="73">
                  <c:v>41941.0</c:v>
                </c:pt>
                <c:pt idx="74">
                  <c:v>41934.0</c:v>
                </c:pt>
                <c:pt idx="75">
                  <c:v>41927.0</c:v>
                </c:pt>
                <c:pt idx="76">
                  <c:v>41912.0</c:v>
                </c:pt>
                <c:pt idx="77">
                  <c:v>41907.0</c:v>
                </c:pt>
                <c:pt idx="78">
                  <c:v>41899.0</c:v>
                </c:pt>
                <c:pt idx="79">
                  <c:v>41892.0</c:v>
                </c:pt>
                <c:pt idx="80">
                  <c:v>41885.0</c:v>
                </c:pt>
                <c:pt idx="81">
                  <c:v>41878.0</c:v>
                </c:pt>
                <c:pt idx="82">
                  <c:v>41871.0</c:v>
                </c:pt>
                <c:pt idx="83">
                  <c:v>41864.0</c:v>
                </c:pt>
                <c:pt idx="84">
                  <c:v>41857.0</c:v>
                </c:pt>
                <c:pt idx="85">
                  <c:v>41851.0</c:v>
                </c:pt>
                <c:pt idx="86">
                  <c:v>41843.0</c:v>
                </c:pt>
                <c:pt idx="87">
                  <c:v>41836.0</c:v>
                </c:pt>
                <c:pt idx="88">
                  <c:v>41829.0</c:v>
                </c:pt>
                <c:pt idx="89">
                  <c:v>41822.0</c:v>
                </c:pt>
                <c:pt idx="90">
                  <c:v>41815.0</c:v>
                </c:pt>
                <c:pt idx="91">
                  <c:v>41808.0</c:v>
                </c:pt>
                <c:pt idx="92">
                  <c:v>41801.0</c:v>
                </c:pt>
                <c:pt idx="93">
                  <c:v>41794.0</c:v>
                </c:pt>
                <c:pt idx="94">
                  <c:v>41787.0</c:v>
                </c:pt>
                <c:pt idx="95">
                  <c:v>41780.0</c:v>
                </c:pt>
                <c:pt idx="96">
                  <c:v>41773.0</c:v>
                </c:pt>
                <c:pt idx="97">
                  <c:v>41766.0</c:v>
                </c:pt>
                <c:pt idx="98">
                  <c:v>41752.0</c:v>
                </c:pt>
                <c:pt idx="99">
                  <c:v>41745.0</c:v>
                </c:pt>
                <c:pt idx="100">
                  <c:v>41738.0</c:v>
                </c:pt>
                <c:pt idx="101">
                  <c:v>41731.0</c:v>
                </c:pt>
                <c:pt idx="102">
                  <c:v>41724.0</c:v>
                </c:pt>
                <c:pt idx="103">
                  <c:v>41717.0</c:v>
                </c:pt>
                <c:pt idx="104">
                  <c:v>41710.0</c:v>
                </c:pt>
                <c:pt idx="105">
                  <c:v>41696.0</c:v>
                </c:pt>
                <c:pt idx="106">
                  <c:v>41689.0</c:v>
                </c:pt>
                <c:pt idx="107">
                  <c:v>41682.0</c:v>
                </c:pt>
                <c:pt idx="108">
                  <c:v>41675.0</c:v>
                </c:pt>
                <c:pt idx="109">
                  <c:v>41668.0</c:v>
                </c:pt>
                <c:pt idx="110">
                  <c:v>41661.0</c:v>
                </c:pt>
                <c:pt idx="111">
                  <c:v>41654.0</c:v>
                </c:pt>
                <c:pt idx="112">
                  <c:v>41646.0</c:v>
                </c:pt>
                <c:pt idx="113">
                  <c:v>41640.0</c:v>
                </c:pt>
                <c:pt idx="114">
                  <c:v>41633.0</c:v>
                </c:pt>
                <c:pt idx="115">
                  <c:v>41626.0</c:v>
                </c:pt>
                <c:pt idx="116">
                  <c:v>41619.0</c:v>
                </c:pt>
                <c:pt idx="117">
                  <c:v>41612.0</c:v>
                </c:pt>
                <c:pt idx="118">
                  <c:v>41605.0</c:v>
                </c:pt>
                <c:pt idx="119">
                  <c:v>41598.0</c:v>
                </c:pt>
                <c:pt idx="120">
                  <c:v>41591.0</c:v>
                </c:pt>
                <c:pt idx="121">
                  <c:v>41584.0</c:v>
                </c:pt>
                <c:pt idx="122">
                  <c:v>41577.0</c:v>
                </c:pt>
                <c:pt idx="123">
                  <c:v>41570.0</c:v>
                </c:pt>
                <c:pt idx="124">
                  <c:v>41563.0</c:v>
                </c:pt>
                <c:pt idx="125">
                  <c:v>41556.0</c:v>
                </c:pt>
                <c:pt idx="126">
                  <c:v>41549.0</c:v>
                </c:pt>
                <c:pt idx="127">
                  <c:v>41542.0</c:v>
                </c:pt>
                <c:pt idx="128">
                  <c:v>41535.0</c:v>
                </c:pt>
                <c:pt idx="129">
                  <c:v>41528.0</c:v>
                </c:pt>
                <c:pt idx="130">
                  <c:v>41521.0</c:v>
                </c:pt>
                <c:pt idx="131">
                  <c:v>41514.0</c:v>
                </c:pt>
                <c:pt idx="132">
                  <c:v>41507.0</c:v>
                </c:pt>
                <c:pt idx="133">
                  <c:v>41500.0</c:v>
                </c:pt>
                <c:pt idx="134">
                  <c:v>41493.0</c:v>
                </c:pt>
                <c:pt idx="135">
                  <c:v>41486.0</c:v>
                </c:pt>
                <c:pt idx="136">
                  <c:v>41479.0</c:v>
                </c:pt>
                <c:pt idx="137">
                  <c:v>41472.0</c:v>
                </c:pt>
                <c:pt idx="138">
                  <c:v>41465.0</c:v>
                </c:pt>
                <c:pt idx="139">
                  <c:v>41458.0</c:v>
                </c:pt>
                <c:pt idx="140">
                  <c:v>41451.0</c:v>
                </c:pt>
                <c:pt idx="141">
                  <c:v>41444.0</c:v>
                </c:pt>
                <c:pt idx="142">
                  <c:v>41437.0</c:v>
                </c:pt>
                <c:pt idx="143">
                  <c:v>41430.0</c:v>
                </c:pt>
                <c:pt idx="144">
                  <c:v>41423.0</c:v>
                </c:pt>
                <c:pt idx="145">
                  <c:v>41416.0</c:v>
                </c:pt>
                <c:pt idx="146">
                  <c:v>41409.0</c:v>
                </c:pt>
                <c:pt idx="147">
                  <c:v>41402.0</c:v>
                </c:pt>
                <c:pt idx="148">
                  <c:v>41395.0</c:v>
                </c:pt>
                <c:pt idx="149">
                  <c:v>41388.0</c:v>
                </c:pt>
                <c:pt idx="150">
                  <c:v>41381.0</c:v>
                </c:pt>
                <c:pt idx="151">
                  <c:v>41374.0</c:v>
                </c:pt>
                <c:pt idx="152">
                  <c:v>41367.0</c:v>
                </c:pt>
                <c:pt idx="153">
                  <c:v>41360.0</c:v>
                </c:pt>
                <c:pt idx="154">
                  <c:v>41353.0</c:v>
                </c:pt>
                <c:pt idx="155">
                  <c:v>41346.0</c:v>
                </c:pt>
                <c:pt idx="156">
                  <c:v>41339.0</c:v>
                </c:pt>
                <c:pt idx="157">
                  <c:v>41332.0</c:v>
                </c:pt>
                <c:pt idx="158">
                  <c:v>41325.0</c:v>
                </c:pt>
                <c:pt idx="159">
                  <c:v>41318.0</c:v>
                </c:pt>
                <c:pt idx="160">
                  <c:v>41311.0</c:v>
                </c:pt>
                <c:pt idx="161">
                  <c:v>41304.0</c:v>
                </c:pt>
                <c:pt idx="162">
                  <c:v>41297.0</c:v>
                </c:pt>
                <c:pt idx="163">
                  <c:v>41290.0</c:v>
                </c:pt>
                <c:pt idx="164">
                  <c:v>41283.0</c:v>
                </c:pt>
                <c:pt idx="165">
                  <c:v>41269.0</c:v>
                </c:pt>
                <c:pt idx="166">
                  <c:v>41262.0</c:v>
                </c:pt>
                <c:pt idx="167">
                  <c:v>41255.0</c:v>
                </c:pt>
                <c:pt idx="168">
                  <c:v>41248.0</c:v>
                </c:pt>
                <c:pt idx="169">
                  <c:v>41213.0</c:v>
                </c:pt>
                <c:pt idx="170">
                  <c:v>41206.0</c:v>
                </c:pt>
                <c:pt idx="171">
                  <c:v>41199.0</c:v>
                </c:pt>
                <c:pt idx="172">
                  <c:v>41192.0</c:v>
                </c:pt>
                <c:pt idx="173">
                  <c:v>41185.0</c:v>
                </c:pt>
                <c:pt idx="174">
                  <c:v>41178.0</c:v>
                </c:pt>
                <c:pt idx="175">
                  <c:v>41171.0</c:v>
                </c:pt>
                <c:pt idx="176">
                  <c:v>41164.0</c:v>
                </c:pt>
                <c:pt idx="177">
                  <c:v>41157.0</c:v>
                </c:pt>
                <c:pt idx="178">
                  <c:v>41150.0</c:v>
                </c:pt>
                <c:pt idx="179">
                  <c:v>41143.0</c:v>
                </c:pt>
                <c:pt idx="180">
                  <c:v>41136.0</c:v>
                </c:pt>
                <c:pt idx="181">
                  <c:v>41129.0</c:v>
                </c:pt>
                <c:pt idx="182">
                  <c:v>41122.0</c:v>
                </c:pt>
                <c:pt idx="183">
                  <c:v>41115.0</c:v>
                </c:pt>
                <c:pt idx="184">
                  <c:v>41108.0</c:v>
                </c:pt>
                <c:pt idx="185">
                  <c:v>41101.0</c:v>
                </c:pt>
                <c:pt idx="186">
                  <c:v>41094.0</c:v>
                </c:pt>
                <c:pt idx="187">
                  <c:v>41087.0</c:v>
                </c:pt>
                <c:pt idx="188">
                  <c:v>41080.0</c:v>
                </c:pt>
                <c:pt idx="189">
                  <c:v>41073.0</c:v>
                </c:pt>
                <c:pt idx="190">
                  <c:v>41066.0</c:v>
                </c:pt>
                <c:pt idx="191">
                  <c:v>41059.0</c:v>
                </c:pt>
                <c:pt idx="192">
                  <c:v>41052.0</c:v>
                </c:pt>
                <c:pt idx="193">
                  <c:v>41045.0</c:v>
                </c:pt>
                <c:pt idx="194">
                  <c:v>41038.0</c:v>
                </c:pt>
                <c:pt idx="195">
                  <c:v>41031.0</c:v>
                </c:pt>
                <c:pt idx="196">
                  <c:v>41024.0</c:v>
                </c:pt>
                <c:pt idx="197">
                  <c:v>41017.0</c:v>
                </c:pt>
                <c:pt idx="198">
                  <c:v>41010.0</c:v>
                </c:pt>
                <c:pt idx="199">
                  <c:v>41003.0</c:v>
                </c:pt>
                <c:pt idx="200">
                  <c:v>40996.0</c:v>
                </c:pt>
                <c:pt idx="201">
                  <c:v>40989.0</c:v>
                </c:pt>
                <c:pt idx="202">
                  <c:v>40982.0</c:v>
                </c:pt>
                <c:pt idx="203">
                  <c:v>40975.0</c:v>
                </c:pt>
                <c:pt idx="204">
                  <c:v>40968.0</c:v>
                </c:pt>
                <c:pt idx="205">
                  <c:v>40961.0</c:v>
                </c:pt>
                <c:pt idx="206">
                  <c:v>40954.0</c:v>
                </c:pt>
                <c:pt idx="207">
                  <c:v>40947.0</c:v>
                </c:pt>
                <c:pt idx="208">
                  <c:v>40933.0</c:v>
                </c:pt>
                <c:pt idx="209">
                  <c:v>40926.0</c:v>
                </c:pt>
                <c:pt idx="210">
                  <c:v>40905.0</c:v>
                </c:pt>
                <c:pt idx="211">
                  <c:v>40891.0</c:v>
                </c:pt>
                <c:pt idx="212">
                  <c:v>40884.0</c:v>
                </c:pt>
                <c:pt idx="213">
                  <c:v>40877.0</c:v>
                </c:pt>
                <c:pt idx="214">
                  <c:v>40870.0</c:v>
                </c:pt>
                <c:pt idx="215">
                  <c:v>40863.0</c:v>
                </c:pt>
                <c:pt idx="216">
                  <c:v>40856.0</c:v>
                </c:pt>
                <c:pt idx="217">
                  <c:v>40849.0</c:v>
                </c:pt>
                <c:pt idx="218">
                  <c:v>40842.0</c:v>
                </c:pt>
                <c:pt idx="219">
                  <c:v>40814.0</c:v>
                </c:pt>
                <c:pt idx="220">
                  <c:v>40758.0</c:v>
                </c:pt>
                <c:pt idx="221">
                  <c:v>40751.0</c:v>
                </c:pt>
                <c:pt idx="222">
                  <c:v>40744.0</c:v>
                </c:pt>
                <c:pt idx="223">
                  <c:v>40737.0</c:v>
                </c:pt>
                <c:pt idx="224">
                  <c:v>40730.0</c:v>
                </c:pt>
                <c:pt idx="225">
                  <c:v>40724.0</c:v>
                </c:pt>
                <c:pt idx="226">
                  <c:v>40716.0</c:v>
                </c:pt>
                <c:pt idx="227">
                  <c:v>40709.0</c:v>
                </c:pt>
                <c:pt idx="228">
                  <c:v>40702.0</c:v>
                </c:pt>
                <c:pt idx="229">
                  <c:v>40695.0</c:v>
                </c:pt>
                <c:pt idx="230">
                  <c:v>40688.0</c:v>
                </c:pt>
                <c:pt idx="231">
                  <c:v>40681.0</c:v>
                </c:pt>
                <c:pt idx="232">
                  <c:v>40674.0</c:v>
                </c:pt>
                <c:pt idx="233">
                  <c:v>40667.0</c:v>
                </c:pt>
                <c:pt idx="234">
                  <c:v>40660.0</c:v>
                </c:pt>
                <c:pt idx="235">
                  <c:v>40653.0</c:v>
                </c:pt>
                <c:pt idx="236">
                  <c:v>40646.0</c:v>
                </c:pt>
                <c:pt idx="237">
                  <c:v>40639.0</c:v>
                </c:pt>
                <c:pt idx="238">
                  <c:v>40632.0</c:v>
                </c:pt>
                <c:pt idx="239">
                  <c:v>40625.0</c:v>
                </c:pt>
                <c:pt idx="240">
                  <c:v>40618.0</c:v>
                </c:pt>
                <c:pt idx="241">
                  <c:v>40611.0</c:v>
                </c:pt>
                <c:pt idx="242">
                  <c:v>40604.0</c:v>
                </c:pt>
                <c:pt idx="243">
                  <c:v>40597.0</c:v>
                </c:pt>
                <c:pt idx="244">
                  <c:v>40590.0</c:v>
                </c:pt>
                <c:pt idx="245">
                  <c:v>40583.0</c:v>
                </c:pt>
                <c:pt idx="246">
                  <c:v>40576.0</c:v>
                </c:pt>
                <c:pt idx="247">
                  <c:v>40569.0</c:v>
                </c:pt>
                <c:pt idx="248">
                  <c:v>40562.0</c:v>
                </c:pt>
                <c:pt idx="249">
                  <c:v>40555.0</c:v>
                </c:pt>
                <c:pt idx="250">
                  <c:v>40548.0</c:v>
                </c:pt>
                <c:pt idx="251">
                  <c:v>40541.0</c:v>
                </c:pt>
                <c:pt idx="252">
                  <c:v>40534.0</c:v>
                </c:pt>
                <c:pt idx="253">
                  <c:v>40527.0</c:v>
                </c:pt>
                <c:pt idx="254">
                  <c:v>40520.0</c:v>
                </c:pt>
                <c:pt idx="255">
                  <c:v>40513.0</c:v>
                </c:pt>
                <c:pt idx="256">
                  <c:v>40506.0</c:v>
                </c:pt>
                <c:pt idx="257">
                  <c:v>40499.0</c:v>
                </c:pt>
                <c:pt idx="258">
                  <c:v>40492.0</c:v>
                </c:pt>
                <c:pt idx="259">
                  <c:v>40478.0</c:v>
                </c:pt>
                <c:pt idx="260">
                  <c:v>40471.0</c:v>
                </c:pt>
                <c:pt idx="261">
                  <c:v>40464.0</c:v>
                </c:pt>
                <c:pt idx="262">
                  <c:v>40457.0</c:v>
                </c:pt>
                <c:pt idx="263">
                  <c:v>40450.0</c:v>
                </c:pt>
                <c:pt idx="264">
                  <c:v>40443.0</c:v>
                </c:pt>
                <c:pt idx="265">
                  <c:v>40436.0</c:v>
                </c:pt>
                <c:pt idx="266">
                  <c:v>40429.0</c:v>
                </c:pt>
                <c:pt idx="267">
                  <c:v>40422.0</c:v>
                </c:pt>
                <c:pt idx="268">
                  <c:v>40415.0</c:v>
                </c:pt>
                <c:pt idx="269">
                  <c:v>40408.0</c:v>
                </c:pt>
                <c:pt idx="270">
                  <c:v>40401.0</c:v>
                </c:pt>
                <c:pt idx="271">
                  <c:v>40394.0</c:v>
                </c:pt>
                <c:pt idx="272">
                  <c:v>40387.0</c:v>
                </c:pt>
                <c:pt idx="273">
                  <c:v>40380.0</c:v>
                </c:pt>
                <c:pt idx="274">
                  <c:v>40373.0</c:v>
                </c:pt>
                <c:pt idx="275">
                  <c:v>40366.0</c:v>
                </c:pt>
                <c:pt idx="276">
                  <c:v>40359.0</c:v>
                </c:pt>
                <c:pt idx="277">
                  <c:v>40352.0</c:v>
                </c:pt>
                <c:pt idx="278">
                  <c:v>40345.0</c:v>
                </c:pt>
                <c:pt idx="279">
                  <c:v>40338.0</c:v>
                </c:pt>
                <c:pt idx="280">
                  <c:v>40331.0</c:v>
                </c:pt>
                <c:pt idx="281">
                  <c:v>40324.0</c:v>
                </c:pt>
                <c:pt idx="282">
                  <c:v>40317.0</c:v>
                </c:pt>
                <c:pt idx="283">
                  <c:v>40310.0</c:v>
                </c:pt>
                <c:pt idx="284">
                  <c:v>40303.0</c:v>
                </c:pt>
                <c:pt idx="285">
                  <c:v>40296.0</c:v>
                </c:pt>
                <c:pt idx="286">
                  <c:v>40289.0</c:v>
                </c:pt>
                <c:pt idx="287">
                  <c:v>40282.0</c:v>
                </c:pt>
                <c:pt idx="288">
                  <c:v>40275.0</c:v>
                </c:pt>
                <c:pt idx="289">
                  <c:v>40268.0</c:v>
                </c:pt>
                <c:pt idx="290">
                  <c:v>40261.0</c:v>
                </c:pt>
                <c:pt idx="291">
                  <c:v>40254.0</c:v>
                </c:pt>
                <c:pt idx="292">
                  <c:v>40247.0</c:v>
                </c:pt>
                <c:pt idx="293">
                  <c:v>40240.0</c:v>
                </c:pt>
                <c:pt idx="294">
                  <c:v>40233.0</c:v>
                </c:pt>
                <c:pt idx="295">
                  <c:v>40226.0</c:v>
                </c:pt>
                <c:pt idx="296">
                  <c:v>40219.0</c:v>
                </c:pt>
                <c:pt idx="297">
                  <c:v>40212.0</c:v>
                </c:pt>
                <c:pt idx="298">
                  <c:v>40205.0</c:v>
                </c:pt>
                <c:pt idx="299">
                  <c:v>40198.0</c:v>
                </c:pt>
                <c:pt idx="300">
                  <c:v>40191.0</c:v>
                </c:pt>
                <c:pt idx="301">
                  <c:v>40184.0</c:v>
                </c:pt>
                <c:pt idx="302">
                  <c:v>40177.0</c:v>
                </c:pt>
                <c:pt idx="303">
                  <c:v>40163.0</c:v>
                </c:pt>
                <c:pt idx="304">
                  <c:v>40156.0</c:v>
                </c:pt>
                <c:pt idx="305">
                  <c:v>40149.0</c:v>
                </c:pt>
                <c:pt idx="306">
                  <c:v>40142.0</c:v>
                </c:pt>
                <c:pt idx="307">
                  <c:v>40135.0</c:v>
                </c:pt>
                <c:pt idx="308">
                  <c:v>40128.0</c:v>
                </c:pt>
                <c:pt idx="309">
                  <c:v>40121.0</c:v>
                </c:pt>
                <c:pt idx="310">
                  <c:v>40114.0</c:v>
                </c:pt>
                <c:pt idx="311">
                  <c:v>40107.0</c:v>
                </c:pt>
                <c:pt idx="312">
                  <c:v>40100.0</c:v>
                </c:pt>
                <c:pt idx="313">
                  <c:v>40093.0</c:v>
                </c:pt>
                <c:pt idx="314">
                  <c:v>40086.0</c:v>
                </c:pt>
                <c:pt idx="315">
                  <c:v>40079.0</c:v>
                </c:pt>
                <c:pt idx="316">
                  <c:v>40072.0</c:v>
                </c:pt>
                <c:pt idx="317">
                  <c:v>40065.0</c:v>
                </c:pt>
                <c:pt idx="318">
                  <c:v>40058.0</c:v>
                </c:pt>
                <c:pt idx="319">
                  <c:v>40051.0</c:v>
                </c:pt>
                <c:pt idx="320">
                  <c:v>40044.0</c:v>
                </c:pt>
                <c:pt idx="321">
                  <c:v>40037.0</c:v>
                </c:pt>
                <c:pt idx="322">
                  <c:v>40030.0</c:v>
                </c:pt>
                <c:pt idx="323">
                  <c:v>40023.0</c:v>
                </c:pt>
                <c:pt idx="324">
                  <c:v>40016.0</c:v>
                </c:pt>
                <c:pt idx="325">
                  <c:v>40009.0</c:v>
                </c:pt>
                <c:pt idx="326">
                  <c:v>40002.0</c:v>
                </c:pt>
                <c:pt idx="327">
                  <c:v>39995.0</c:v>
                </c:pt>
                <c:pt idx="328">
                  <c:v>39988.0</c:v>
                </c:pt>
                <c:pt idx="329">
                  <c:v>39981.0</c:v>
                </c:pt>
                <c:pt idx="330">
                  <c:v>39974.0</c:v>
                </c:pt>
                <c:pt idx="331">
                  <c:v>39967.0</c:v>
                </c:pt>
                <c:pt idx="332">
                  <c:v>39960.0</c:v>
                </c:pt>
                <c:pt idx="333">
                  <c:v>39953.0</c:v>
                </c:pt>
                <c:pt idx="334">
                  <c:v>39939.0</c:v>
                </c:pt>
                <c:pt idx="335">
                  <c:v>39925.0</c:v>
                </c:pt>
                <c:pt idx="336">
                  <c:v>39918.0</c:v>
                </c:pt>
                <c:pt idx="337">
                  <c:v>39911.0</c:v>
                </c:pt>
                <c:pt idx="338">
                  <c:v>39904.0</c:v>
                </c:pt>
                <c:pt idx="339">
                  <c:v>39897.0</c:v>
                </c:pt>
                <c:pt idx="340">
                  <c:v>39883.0</c:v>
                </c:pt>
                <c:pt idx="341">
                  <c:v>39876.0</c:v>
                </c:pt>
                <c:pt idx="342">
                  <c:v>39869.0</c:v>
                </c:pt>
                <c:pt idx="343">
                  <c:v>39862.0</c:v>
                </c:pt>
                <c:pt idx="344">
                  <c:v>39855.0</c:v>
                </c:pt>
                <c:pt idx="345">
                  <c:v>39848.0</c:v>
                </c:pt>
                <c:pt idx="346">
                  <c:v>39841.0</c:v>
                </c:pt>
                <c:pt idx="347">
                  <c:v>39834.0</c:v>
                </c:pt>
                <c:pt idx="348">
                  <c:v>39827.0</c:v>
                </c:pt>
                <c:pt idx="349">
                  <c:v>39820.0</c:v>
                </c:pt>
                <c:pt idx="350">
                  <c:v>39806.0</c:v>
                </c:pt>
                <c:pt idx="351">
                  <c:v>39799.0</c:v>
                </c:pt>
                <c:pt idx="352">
                  <c:v>39792.0</c:v>
                </c:pt>
                <c:pt idx="353">
                  <c:v>39785.0</c:v>
                </c:pt>
                <c:pt idx="354">
                  <c:v>39778.0</c:v>
                </c:pt>
                <c:pt idx="355">
                  <c:v>39771.0</c:v>
                </c:pt>
                <c:pt idx="356">
                  <c:v>39764.0</c:v>
                </c:pt>
                <c:pt idx="357">
                  <c:v>39757.0</c:v>
                </c:pt>
                <c:pt idx="358">
                  <c:v>39750.0</c:v>
                </c:pt>
                <c:pt idx="359">
                  <c:v>39743.0</c:v>
                </c:pt>
                <c:pt idx="360">
                  <c:v>39736.0</c:v>
                </c:pt>
                <c:pt idx="361">
                  <c:v>39729.0</c:v>
                </c:pt>
                <c:pt idx="362">
                  <c:v>39722.0</c:v>
                </c:pt>
                <c:pt idx="363">
                  <c:v>39715.0</c:v>
                </c:pt>
                <c:pt idx="364">
                  <c:v>39708.0</c:v>
                </c:pt>
                <c:pt idx="365">
                  <c:v>39701.0</c:v>
                </c:pt>
                <c:pt idx="366">
                  <c:v>39694.0</c:v>
                </c:pt>
                <c:pt idx="367">
                  <c:v>39687.0</c:v>
                </c:pt>
                <c:pt idx="368">
                  <c:v>39680.0</c:v>
                </c:pt>
                <c:pt idx="369">
                  <c:v>39673.0</c:v>
                </c:pt>
                <c:pt idx="370">
                  <c:v>39666.0</c:v>
                </c:pt>
                <c:pt idx="371">
                  <c:v>39659.0</c:v>
                </c:pt>
                <c:pt idx="372">
                  <c:v>39652.0</c:v>
                </c:pt>
                <c:pt idx="373">
                  <c:v>39645.0</c:v>
                </c:pt>
                <c:pt idx="374">
                  <c:v>39638.0</c:v>
                </c:pt>
                <c:pt idx="375">
                  <c:v>39630.0</c:v>
                </c:pt>
                <c:pt idx="376">
                  <c:v>39624.0</c:v>
                </c:pt>
                <c:pt idx="377">
                  <c:v>39617.0</c:v>
                </c:pt>
                <c:pt idx="378">
                  <c:v>39610.0</c:v>
                </c:pt>
                <c:pt idx="379">
                  <c:v>39603.0</c:v>
                </c:pt>
                <c:pt idx="380">
                  <c:v>39596.0</c:v>
                </c:pt>
                <c:pt idx="381">
                  <c:v>39589.0</c:v>
                </c:pt>
                <c:pt idx="382">
                  <c:v>39582.0</c:v>
                </c:pt>
                <c:pt idx="383">
                  <c:v>39575.0</c:v>
                </c:pt>
                <c:pt idx="384">
                  <c:v>39568.0</c:v>
                </c:pt>
                <c:pt idx="385">
                  <c:v>39561.0</c:v>
                </c:pt>
                <c:pt idx="386">
                  <c:v>39554.0</c:v>
                </c:pt>
                <c:pt idx="387">
                  <c:v>39547.0</c:v>
                </c:pt>
                <c:pt idx="388">
                  <c:v>39540.0</c:v>
                </c:pt>
                <c:pt idx="389">
                  <c:v>39526.0</c:v>
                </c:pt>
                <c:pt idx="390">
                  <c:v>39519.0</c:v>
                </c:pt>
                <c:pt idx="391">
                  <c:v>39512.0</c:v>
                </c:pt>
                <c:pt idx="392">
                  <c:v>39498.0</c:v>
                </c:pt>
                <c:pt idx="393">
                  <c:v>39491.0</c:v>
                </c:pt>
                <c:pt idx="394">
                  <c:v>39484.0</c:v>
                </c:pt>
                <c:pt idx="395">
                  <c:v>39477.0</c:v>
                </c:pt>
                <c:pt idx="396">
                  <c:v>39470.0</c:v>
                </c:pt>
                <c:pt idx="397">
                  <c:v>39463.0</c:v>
                </c:pt>
                <c:pt idx="398">
                  <c:v>39456.0</c:v>
                </c:pt>
                <c:pt idx="399">
                  <c:v>39449.0</c:v>
                </c:pt>
                <c:pt idx="400">
                  <c:v>39442.0</c:v>
                </c:pt>
                <c:pt idx="401">
                  <c:v>39435.0</c:v>
                </c:pt>
                <c:pt idx="402">
                  <c:v>39428.0</c:v>
                </c:pt>
                <c:pt idx="403">
                  <c:v>39421.0</c:v>
                </c:pt>
                <c:pt idx="404">
                  <c:v>39414.0</c:v>
                </c:pt>
                <c:pt idx="405">
                  <c:v>39407.0</c:v>
                </c:pt>
                <c:pt idx="406">
                  <c:v>39400.0</c:v>
                </c:pt>
                <c:pt idx="407">
                  <c:v>39393.0</c:v>
                </c:pt>
                <c:pt idx="408">
                  <c:v>39386.0</c:v>
                </c:pt>
                <c:pt idx="409">
                  <c:v>39379.0</c:v>
                </c:pt>
                <c:pt idx="410">
                  <c:v>39372.0</c:v>
                </c:pt>
                <c:pt idx="411">
                  <c:v>39365.0</c:v>
                </c:pt>
                <c:pt idx="412">
                  <c:v>39358.0</c:v>
                </c:pt>
                <c:pt idx="413">
                  <c:v>39351.0</c:v>
                </c:pt>
                <c:pt idx="414">
                  <c:v>39344.0</c:v>
                </c:pt>
                <c:pt idx="415">
                  <c:v>39337.0</c:v>
                </c:pt>
                <c:pt idx="416">
                  <c:v>39330.0</c:v>
                </c:pt>
                <c:pt idx="417">
                  <c:v>39323.0</c:v>
                </c:pt>
                <c:pt idx="418">
                  <c:v>39316.0</c:v>
                </c:pt>
                <c:pt idx="419">
                  <c:v>39309.0</c:v>
                </c:pt>
                <c:pt idx="420">
                  <c:v>39302.0</c:v>
                </c:pt>
                <c:pt idx="421">
                  <c:v>39295.0</c:v>
                </c:pt>
                <c:pt idx="422">
                  <c:v>39288.0</c:v>
                </c:pt>
                <c:pt idx="423">
                  <c:v>39281.0</c:v>
                </c:pt>
                <c:pt idx="424">
                  <c:v>39274.0</c:v>
                </c:pt>
                <c:pt idx="425">
                  <c:v>39267.0</c:v>
                </c:pt>
                <c:pt idx="426">
                  <c:v>39260.0</c:v>
                </c:pt>
                <c:pt idx="427">
                  <c:v>39253.0</c:v>
                </c:pt>
                <c:pt idx="428">
                  <c:v>39246.0</c:v>
                </c:pt>
                <c:pt idx="429">
                  <c:v>39239.0</c:v>
                </c:pt>
                <c:pt idx="430">
                  <c:v>39232.0</c:v>
                </c:pt>
                <c:pt idx="431">
                  <c:v>39225.0</c:v>
                </c:pt>
                <c:pt idx="432">
                  <c:v>39218.0</c:v>
                </c:pt>
                <c:pt idx="433">
                  <c:v>39211.0</c:v>
                </c:pt>
                <c:pt idx="434">
                  <c:v>39204.0</c:v>
                </c:pt>
                <c:pt idx="435">
                  <c:v>39197.0</c:v>
                </c:pt>
                <c:pt idx="436">
                  <c:v>39190.0</c:v>
                </c:pt>
                <c:pt idx="437">
                  <c:v>39183.0</c:v>
                </c:pt>
                <c:pt idx="438">
                  <c:v>39176.0</c:v>
                </c:pt>
                <c:pt idx="439">
                  <c:v>39169.0</c:v>
                </c:pt>
                <c:pt idx="440">
                  <c:v>39162.0</c:v>
                </c:pt>
                <c:pt idx="441">
                  <c:v>39155.0</c:v>
                </c:pt>
                <c:pt idx="442">
                  <c:v>39148.0</c:v>
                </c:pt>
                <c:pt idx="443">
                  <c:v>39141.0</c:v>
                </c:pt>
                <c:pt idx="444">
                  <c:v>39134.0</c:v>
                </c:pt>
                <c:pt idx="445">
                  <c:v>39127.0</c:v>
                </c:pt>
                <c:pt idx="446">
                  <c:v>39120.0</c:v>
                </c:pt>
                <c:pt idx="447">
                  <c:v>39113.0</c:v>
                </c:pt>
                <c:pt idx="448">
                  <c:v>39106.0</c:v>
                </c:pt>
                <c:pt idx="449">
                  <c:v>39099.0</c:v>
                </c:pt>
                <c:pt idx="450">
                  <c:v>39092.0</c:v>
                </c:pt>
                <c:pt idx="451">
                  <c:v>39085.0</c:v>
                </c:pt>
                <c:pt idx="452">
                  <c:v>39078.0</c:v>
                </c:pt>
                <c:pt idx="453">
                  <c:v>39071.0</c:v>
                </c:pt>
                <c:pt idx="454">
                  <c:v>39064.0</c:v>
                </c:pt>
                <c:pt idx="455">
                  <c:v>39050.0</c:v>
                </c:pt>
                <c:pt idx="456">
                  <c:v>39043.0</c:v>
                </c:pt>
                <c:pt idx="457">
                  <c:v>39036.0</c:v>
                </c:pt>
                <c:pt idx="458">
                  <c:v>39029.0</c:v>
                </c:pt>
                <c:pt idx="459">
                  <c:v>39021.0</c:v>
                </c:pt>
                <c:pt idx="460">
                  <c:v>39015.0</c:v>
                </c:pt>
                <c:pt idx="461">
                  <c:v>39008.0</c:v>
                </c:pt>
                <c:pt idx="462">
                  <c:v>39001.0</c:v>
                </c:pt>
                <c:pt idx="463">
                  <c:v>38994.0</c:v>
                </c:pt>
                <c:pt idx="464">
                  <c:v>38987.0</c:v>
                </c:pt>
                <c:pt idx="465">
                  <c:v>38980.0</c:v>
                </c:pt>
                <c:pt idx="466">
                  <c:v>38973.0</c:v>
                </c:pt>
                <c:pt idx="467">
                  <c:v>38966.0</c:v>
                </c:pt>
                <c:pt idx="468">
                  <c:v>38958.0</c:v>
                </c:pt>
                <c:pt idx="469">
                  <c:v>38952.0</c:v>
                </c:pt>
                <c:pt idx="470">
                  <c:v>38945.0</c:v>
                </c:pt>
                <c:pt idx="471">
                  <c:v>38938.0</c:v>
                </c:pt>
                <c:pt idx="472">
                  <c:v>38931.0</c:v>
                </c:pt>
                <c:pt idx="473">
                  <c:v>38924.0</c:v>
                </c:pt>
                <c:pt idx="474">
                  <c:v>38917.0</c:v>
                </c:pt>
                <c:pt idx="475">
                  <c:v>38903.0</c:v>
                </c:pt>
                <c:pt idx="476">
                  <c:v>38896.0</c:v>
                </c:pt>
                <c:pt idx="477">
                  <c:v>38889.0</c:v>
                </c:pt>
                <c:pt idx="478">
                  <c:v>38882.0</c:v>
                </c:pt>
                <c:pt idx="479">
                  <c:v>38875.0</c:v>
                </c:pt>
                <c:pt idx="480">
                  <c:v>38868.0</c:v>
                </c:pt>
                <c:pt idx="481">
                  <c:v>38861.0</c:v>
                </c:pt>
                <c:pt idx="482">
                  <c:v>38854.0</c:v>
                </c:pt>
                <c:pt idx="483">
                  <c:v>38847.0</c:v>
                </c:pt>
              </c:numCache>
            </c:numRef>
          </c:cat>
          <c:val>
            <c:numRef>
              <c:f>'3g. Peruvian Fishmeal Prices'!$B$10:$B$493</c:f>
              <c:numCache>
                <c:formatCode>General</c:formatCode>
                <c:ptCount val="484"/>
                <c:pt idx="0">
                  <c:v>1570.0</c:v>
                </c:pt>
                <c:pt idx="1">
                  <c:v>1570.0</c:v>
                </c:pt>
                <c:pt idx="2">
                  <c:v>1620.0</c:v>
                </c:pt>
                <c:pt idx="3">
                  <c:v>1640.0</c:v>
                </c:pt>
                <c:pt idx="4">
                  <c:v>1620.0</c:v>
                </c:pt>
                <c:pt idx="5">
                  <c:v>1650.0</c:v>
                </c:pt>
                <c:pt idx="6">
                  <c:v>1560.0</c:v>
                </c:pt>
                <c:pt idx="7">
                  <c:v>1540.0</c:v>
                </c:pt>
                <c:pt idx="8">
                  <c:v>1550.0</c:v>
                </c:pt>
                <c:pt idx="9">
                  <c:v>1580.0</c:v>
                </c:pt>
                <c:pt idx="10">
                  <c:v>1600.0</c:v>
                </c:pt>
                <c:pt idx="11">
                  <c:v>1600.0</c:v>
                </c:pt>
                <c:pt idx="12">
                  <c:v>1600.0</c:v>
                </c:pt>
                <c:pt idx="13">
                  <c:v>1650.0</c:v>
                </c:pt>
                <c:pt idx="14">
                  <c:v>1700.0</c:v>
                </c:pt>
                <c:pt idx="15">
                  <c:v>1750.0</c:v>
                </c:pt>
                <c:pt idx="16">
                  <c:v>1800.0</c:v>
                </c:pt>
                <c:pt idx="17">
                  <c:v>1800.0</c:v>
                </c:pt>
                <c:pt idx="18">
                  <c:v>1800.0</c:v>
                </c:pt>
                <c:pt idx="19">
                  <c:v>1800.0</c:v>
                </c:pt>
                <c:pt idx="20">
                  <c:v>1850.0</c:v>
                </c:pt>
                <c:pt idx="21">
                  <c:v>1940.0</c:v>
                </c:pt>
                <c:pt idx="22">
                  <c:v>1940.0</c:v>
                </c:pt>
                <c:pt idx="23">
                  <c:v>1890.0</c:v>
                </c:pt>
                <c:pt idx="24">
                  <c:v>1890.0</c:v>
                </c:pt>
                <c:pt idx="25">
                  <c:v>1840.0</c:v>
                </c:pt>
                <c:pt idx="26">
                  <c:v>1740.0</c:v>
                </c:pt>
                <c:pt idx="27">
                  <c:v>1740.0</c:v>
                </c:pt>
                <c:pt idx="28">
                  <c:v>1690.0</c:v>
                </c:pt>
                <c:pt idx="29">
                  <c:v>1670.0</c:v>
                </c:pt>
                <c:pt idx="30">
                  <c:v>1650.0</c:v>
                </c:pt>
                <c:pt idx="31">
                  <c:v>1650.0</c:v>
                </c:pt>
                <c:pt idx="32">
                  <c:v>1650.0</c:v>
                </c:pt>
                <c:pt idx="33">
                  <c:v>1650.0</c:v>
                </c:pt>
                <c:pt idx="34">
                  <c:v>1620.0</c:v>
                </c:pt>
                <c:pt idx="35">
                  <c:v>1600.0</c:v>
                </c:pt>
                <c:pt idx="36">
                  <c:v>1530.0</c:v>
                </c:pt>
                <c:pt idx="37">
                  <c:v>1530.0</c:v>
                </c:pt>
                <c:pt idx="38">
                  <c:v>1550.0</c:v>
                </c:pt>
                <c:pt idx="39">
                  <c:v>1600.0</c:v>
                </c:pt>
                <c:pt idx="40">
                  <c:v>1600.0</c:v>
                </c:pt>
                <c:pt idx="41">
                  <c:v>1635.0</c:v>
                </c:pt>
                <c:pt idx="42">
                  <c:v>1650.0</c:v>
                </c:pt>
                <c:pt idx="43">
                  <c:v>1685.0</c:v>
                </c:pt>
                <c:pt idx="44">
                  <c:v>1750.0</c:v>
                </c:pt>
                <c:pt idx="45">
                  <c:v>1770.0</c:v>
                </c:pt>
                <c:pt idx="46">
                  <c:v>1820.0</c:v>
                </c:pt>
                <c:pt idx="47">
                  <c:v>1840.0</c:v>
                </c:pt>
                <c:pt idx="48">
                  <c:v>1850.0</c:v>
                </c:pt>
                <c:pt idx="49">
                  <c:v>1950.0</c:v>
                </c:pt>
                <c:pt idx="50">
                  <c:v>1950.0</c:v>
                </c:pt>
                <c:pt idx="51">
                  <c:v>1950.0</c:v>
                </c:pt>
                <c:pt idx="52">
                  <c:v>1970.0</c:v>
                </c:pt>
                <c:pt idx="53">
                  <c:v>1970.0</c:v>
                </c:pt>
                <c:pt idx="54">
                  <c:v>2050.0</c:v>
                </c:pt>
                <c:pt idx="55">
                  <c:v>2200.0</c:v>
                </c:pt>
                <c:pt idx="56">
                  <c:v>2200.0</c:v>
                </c:pt>
                <c:pt idx="57">
                  <c:v>2250.0</c:v>
                </c:pt>
                <c:pt idx="58">
                  <c:v>2300.0</c:v>
                </c:pt>
                <c:pt idx="59">
                  <c:v>2300.0</c:v>
                </c:pt>
                <c:pt idx="60">
                  <c:v>2300.0</c:v>
                </c:pt>
                <c:pt idx="61">
                  <c:v>2350.0</c:v>
                </c:pt>
                <c:pt idx="62">
                  <c:v>2350.0</c:v>
                </c:pt>
                <c:pt idx="63">
                  <c:v>1700.0</c:v>
                </c:pt>
                <c:pt idx="64">
                  <c:v>2380.0</c:v>
                </c:pt>
                <c:pt idx="65">
                  <c:v>2380.0</c:v>
                </c:pt>
                <c:pt idx="66">
                  <c:v>2380.0</c:v>
                </c:pt>
                <c:pt idx="67">
                  <c:v>2380.0</c:v>
                </c:pt>
                <c:pt idx="68">
                  <c:v>2400.0</c:v>
                </c:pt>
                <c:pt idx="69">
                  <c:v>2360.0</c:v>
                </c:pt>
                <c:pt idx="70">
                  <c:v>2360.0</c:v>
                </c:pt>
                <c:pt idx="71">
                  <c:v>2370.0</c:v>
                </c:pt>
                <c:pt idx="72">
                  <c:v>2370.0</c:v>
                </c:pt>
                <c:pt idx="73">
                  <c:v>2120.0</c:v>
                </c:pt>
                <c:pt idx="74">
                  <c:v>2080.0</c:v>
                </c:pt>
                <c:pt idx="75">
                  <c:v>2020.0</c:v>
                </c:pt>
                <c:pt idx="76">
                  <c:v>1780.0</c:v>
                </c:pt>
                <c:pt idx="77">
                  <c:v>1780.0</c:v>
                </c:pt>
                <c:pt idx="78">
                  <c:v>1780.0</c:v>
                </c:pt>
                <c:pt idx="79">
                  <c:v>1780.0</c:v>
                </c:pt>
                <c:pt idx="80">
                  <c:v>1800.0</c:v>
                </c:pt>
                <c:pt idx="81">
                  <c:v>1830.0</c:v>
                </c:pt>
                <c:pt idx="82">
                  <c:v>1860.0</c:v>
                </c:pt>
                <c:pt idx="83">
                  <c:v>1880.0</c:v>
                </c:pt>
                <c:pt idx="84">
                  <c:v>1880.0</c:v>
                </c:pt>
                <c:pt idx="85">
                  <c:v>1880.0</c:v>
                </c:pt>
                <c:pt idx="86">
                  <c:v>1880.0</c:v>
                </c:pt>
                <c:pt idx="87">
                  <c:v>1890.0</c:v>
                </c:pt>
                <c:pt idx="88">
                  <c:v>1890.0</c:v>
                </c:pt>
                <c:pt idx="89">
                  <c:v>1890.0</c:v>
                </c:pt>
                <c:pt idx="90">
                  <c:v>1890.0</c:v>
                </c:pt>
                <c:pt idx="91">
                  <c:v>1880.0</c:v>
                </c:pt>
                <c:pt idx="92">
                  <c:v>1860.0</c:v>
                </c:pt>
                <c:pt idx="93">
                  <c:v>1830.0</c:v>
                </c:pt>
                <c:pt idx="94">
                  <c:v>1710.0</c:v>
                </c:pt>
                <c:pt idx="95">
                  <c:v>1680.0</c:v>
                </c:pt>
                <c:pt idx="96">
                  <c:v>1630.0</c:v>
                </c:pt>
                <c:pt idx="97">
                  <c:v>1600.0</c:v>
                </c:pt>
                <c:pt idx="98">
                  <c:v>1600.0</c:v>
                </c:pt>
                <c:pt idx="99">
                  <c:v>1620.0</c:v>
                </c:pt>
                <c:pt idx="100">
                  <c:v>1600.0</c:v>
                </c:pt>
                <c:pt idx="101">
                  <c:v>1580.0</c:v>
                </c:pt>
                <c:pt idx="102">
                  <c:v>1580.0</c:v>
                </c:pt>
                <c:pt idx="103">
                  <c:v>1580.0</c:v>
                </c:pt>
                <c:pt idx="104">
                  <c:v>1580.0</c:v>
                </c:pt>
                <c:pt idx="105">
                  <c:v>1520.0</c:v>
                </c:pt>
                <c:pt idx="106">
                  <c:v>1520.0</c:v>
                </c:pt>
                <c:pt idx="107">
                  <c:v>1510.0</c:v>
                </c:pt>
                <c:pt idx="108">
                  <c:v>1510.0</c:v>
                </c:pt>
                <c:pt idx="109">
                  <c:v>1500.0</c:v>
                </c:pt>
                <c:pt idx="110">
                  <c:v>1490.0</c:v>
                </c:pt>
                <c:pt idx="111">
                  <c:v>1480.0</c:v>
                </c:pt>
                <c:pt idx="112">
                  <c:v>2380.0</c:v>
                </c:pt>
                <c:pt idx="113">
                  <c:v>1430.0</c:v>
                </c:pt>
                <c:pt idx="114">
                  <c:v>1430.0</c:v>
                </c:pt>
                <c:pt idx="115">
                  <c:v>1430.0</c:v>
                </c:pt>
                <c:pt idx="116">
                  <c:v>1430.0</c:v>
                </c:pt>
                <c:pt idx="117">
                  <c:v>1440.0</c:v>
                </c:pt>
                <c:pt idx="118">
                  <c:v>1460.0</c:v>
                </c:pt>
                <c:pt idx="119">
                  <c:v>1480.0</c:v>
                </c:pt>
                <c:pt idx="120">
                  <c:v>1480.0</c:v>
                </c:pt>
                <c:pt idx="121">
                  <c:v>1480.0</c:v>
                </c:pt>
                <c:pt idx="122">
                  <c:v>1460.0</c:v>
                </c:pt>
                <c:pt idx="123">
                  <c:v>1455.0</c:v>
                </c:pt>
                <c:pt idx="124">
                  <c:v>1450.0</c:v>
                </c:pt>
                <c:pt idx="125">
                  <c:v>1430.0</c:v>
                </c:pt>
                <c:pt idx="126">
                  <c:v>1410.0</c:v>
                </c:pt>
                <c:pt idx="127">
                  <c:v>1400.0</c:v>
                </c:pt>
                <c:pt idx="128">
                  <c:v>1420.0</c:v>
                </c:pt>
                <c:pt idx="129">
                  <c:v>1400.0</c:v>
                </c:pt>
                <c:pt idx="130">
                  <c:v>1400.0</c:v>
                </c:pt>
                <c:pt idx="131">
                  <c:v>1470.0</c:v>
                </c:pt>
                <c:pt idx="132">
                  <c:v>1500.0</c:v>
                </c:pt>
                <c:pt idx="133">
                  <c:v>1520.0</c:v>
                </c:pt>
                <c:pt idx="134">
                  <c:v>1520.0</c:v>
                </c:pt>
                <c:pt idx="135">
                  <c:v>1540.0</c:v>
                </c:pt>
                <c:pt idx="136">
                  <c:v>1540.0</c:v>
                </c:pt>
                <c:pt idx="137">
                  <c:v>1520.0</c:v>
                </c:pt>
                <c:pt idx="138">
                  <c:v>1550.0</c:v>
                </c:pt>
                <c:pt idx="139">
                  <c:v>1650.0</c:v>
                </c:pt>
                <c:pt idx="140">
                  <c:v>1700.0</c:v>
                </c:pt>
                <c:pt idx="141">
                  <c:v>1750.0</c:v>
                </c:pt>
                <c:pt idx="142">
                  <c:v>1750.0</c:v>
                </c:pt>
                <c:pt idx="143">
                  <c:v>1750.0</c:v>
                </c:pt>
                <c:pt idx="144">
                  <c:v>1850.0</c:v>
                </c:pt>
                <c:pt idx="145">
                  <c:v>1950.0</c:v>
                </c:pt>
                <c:pt idx="146">
                  <c:v>1950.0</c:v>
                </c:pt>
                <c:pt idx="147">
                  <c:v>1900.0</c:v>
                </c:pt>
                <c:pt idx="148">
                  <c:v>1900.0</c:v>
                </c:pt>
                <c:pt idx="149">
                  <c:v>1900.0</c:v>
                </c:pt>
                <c:pt idx="150">
                  <c:v>2100.0</c:v>
                </c:pt>
                <c:pt idx="151">
                  <c:v>2100.0</c:v>
                </c:pt>
                <c:pt idx="152">
                  <c:v>2100.0</c:v>
                </c:pt>
                <c:pt idx="153">
                  <c:v>2100.0</c:v>
                </c:pt>
                <c:pt idx="154">
                  <c:v>2100.0</c:v>
                </c:pt>
                <c:pt idx="155">
                  <c:v>2100.0</c:v>
                </c:pt>
                <c:pt idx="156">
                  <c:v>2100.0</c:v>
                </c:pt>
                <c:pt idx="157">
                  <c:v>2100.0</c:v>
                </c:pt>
                <c:pt idx="158">
                  <c:v>2050.0</c:v>
                </c:pt>
                <c:pt idx="159">
                  <c:v>2070.0</c:v>
                </c:pt>
                <c:pt idx="160">
                  <c:v>2050.0</c:v>
                </c:pt>
                <c:pt idx="161">
                  <c:v>2020.0</c:v>
                </c:pt>
                <c:pt idx="162">
                  <c:v>2020.0</c:v>
                </c:pt>
                <c:pt idx="163">
                  <c:v>2070.0</c:v>
                </c:pt>
                <c:pt idx="164">
                  <c:v>2070.0</c:v>
                </c:pt>
                <c:pt idx="165">
                  <c:v>2070.0</c:v>
                </c:pt>
                <c:pt idx="166">
                  <c:v>2080.0</c:v>
                </c:pt>
                <c:pt idx="167">
                  <c:v>2080.0</c:v>
                </c:pt>
                <c:pt idx="168">
                  <c:v>2070.0</c:v>
                </c:pt>
                <c:pt idx="169">
                  <c:v>1780.0</c:v>
                </c:pt>
                <c:pt idx="170">
                  <c:v>1610.0</c:v>
                </c:pt>
                <c:pt idx="171">
                  <c:v>1600.0</c:v>
                </c:pt>
                <c:pt idx="172">
                  <c:v>1580.0</c:v>
                </c:pt>
                <c:pt idx="173">
                  <c:v>1580.0</c:v>
                </c:pt>
                <c:pt idx="174">
                  <c:v>1580.0</c:v>
                </c:pt>
                <c:pt idx="175">
                  <c:v>1550.0</c:v>
                </c:pt>
                <c:pt idx="176">
                  <c:v>1550.0</c:v>
                </c:pt>
                <c:pt idx="177">
                  <c:v>1600.0</c:v>
                </c:pt>
                <c:pt idx="178">
                  <c:v>1620.0</c:v>
                </c:pt>
                <c:pt idx="179">
                  <c:v>1650.0</c:v>
                </c:pt>
                <c:pt idx="180">
                  <c:v>1660.0</c:v>
                </c:pt>
                <c:pt idx="181">
                  <c:v>1670.0</c:v>
                </c:pt>
                <c:pt idx="182">
                  <c:v>1680.0</c:v>
                </c:pt>
                <c:pt idx="183">
                  <c:v>1680.0</c:v>
                </c:pt>
                <c:pt idx="184">
                  <c:v>1680.0</c:v>
                </c:pt>
                <c:pt idx="185">
                  <c:v>1680.0</c:v>
                </c:pt>
                <c:pt idx="186">
                  <c:v>1680.0</c:v>
                </c:pt>
                <c:pt idx="187">
                  <c:v>1680.0</c:v>
                </c:pt>
                <c:pt idx="188">
                  <c:v>1630.0</c:v>
                </c:pt>
                <c:pt idx="189">
                  <c:v>1600.0</c:v>
                </c:pt>
                <c:pt idx="190">
                  <c:v>1580.0</c:v>
                </c:pt>
                <c:pt idx="191">
                  <c:v>1550.0</c:v>
                </c:pt>
                <c:pt idx="192">
                  <c:v>1530.0</c:v>
                </c:pt>
                <c:pt idx="193">
                  <c:v>1500.0</c:v>
                </c:pt>
                <c:pt idx="194">
                  <c:v>1480.0</c:v>
                </c:pt>
                <c:pt idx="195">
                  <c:v>1480.0</c:v>
                </c:pt>
                <c:pt idx="196">
                  <c:v>1450.0</c:v>
                </c:pt>
                <c:pt idx="197">
                  <c:v>1370.0</c:v>
                </c:pt>
                <c:pt idx="198">
                  <c:v>1350.0</c:v>
                </c:pt>
                <c:pt idx="199">
                  <c:v>1330.0</c:v>
                </c:pt>
                <c:pt idx="200">
                  <c:v>1300.0</c:v>
                </c:pt>
                <c:pt idx="201">
                  <c:v>1280.0</c:v>
                </c:pt>
                <c:pt idx="202">
                  <c:v>1270.0</c:v>
                </c:pt>
                <c:pt idx="203">
                  <c:v>1260.0</c:v>
                </c:pt>
                <c:pt idx="204">
                  <c:v>1250.0</c:v>
                </c:pt>
                <c:pt idx="205">
                  <c:v>1230.0</c:v>
                </c:pt>
                <c:pt idx="206">
                  <c:v>1250.0</c:v>
                </c:pt>
                <c:pt idx="207">
                  <c:v>1250.0</c:v>
                </c:pt>
                <c:pt idx="208">
                  <c:v>1230.0</c:v>
                </c:pt>
                <c:pt idx="209">
                  <c:v>1230.0</c:v>
                </c:pt>
                <c:pt idx="210">
                  <c:v>1180.0</c:v>
                </c:pt>
                <c:pt idx="211">
                  <c:v>1180.0</c:v>
                </c:pt>
                <c:pt idx="212">
                  <c:v>1240.0</c:v>
                </c:pt>
                <c:pt idx="213">
                  <c:v>1260.0</c:v>
                </c:pt>
                <c:pt idx="214">
                  <c:v>1260.0</c:v>
                </c:pt>
                <c:pt idx="215">
                  <c:v>1280.0</c:v>
                </c:pt>
                <c:pt idx="216">
                  <c:v>1270.0</c:v>
                </c:pt>
                <c:pt idx="217">
                  <c:v>1270.0</c:v>
                </c:pt>
                <c:pt idx="218">
                  <c:v>1350.0</c:v>
                </c:pt>
                <c:pt idx="219">
                  <c:v>1280.0</c:v>
                </c:pt>
                <c:pt idx="220">
                  <c:v>1380.0</c:v>
                </c:pt>
                <c:pt idx="221">
                  <c:v>1410.0</c:v>
                </c:pt>
                <c:pt idx="222">
                  <c:v>1410.0</c:v>
                </c:pt>
                <c:pt idx="223">
                  <c:v>1420.0</c:v>
                </c:pt>
                <c:pt idx="224">
                  <c:v>1430.0</c:v>
                </c:pt>
                <c:pt idx="225">
                  <c:v>1420.0</c:v>
                </c:pt>
                <c:pt idx="226">
                  <c:v>1420.0</c:v>
                </c:pt>
                <c:pt idx="227">
                  <c:v>1420.0</c:v>
                </c:pt>
                <c:pt idx="228">
                  <c:v>1420.0</c:v>
                </c:pt>
                <c:pt idx="229">
                  <c:v>1380.0</c:v>
                </c:pt>
                <c:pt idx="230">
                  <c:v>1360.0</c:v>
                </c:pt>
                <c:pt idx="231">
                  <c:v>1360.0</c:v>
                </c:pt>
                <c:pt idx="232">
                  <c:v>1360.0</c:v>
                </c:pt>
                <c:pt idx="233">
                  <c:v>1280.0</c:v>
                </c:pt>
                <c:pt idx="234">
                  <c:v>1330.0</c:v>
                </c:pt>
                <c:pt idx="235">
                  <c:v>1380.0</c:v>
                </c:pt>
                <c:pt idx="236">
                  <c:v>1400.0</c:v>
                </c:pt>
                <c:pt idx="237">
                  <c:v>1430.0</c:v>
                </c:pt>
                <c:pt idx="238">
                  <c:v>1460.0</c:v>
                </c:pt>
                <c:pt idx="239">
                  <c:v>1560.0</c:v>
                </c:pt>
                <c:pt idx="240">
                  <c:v>1600.0</c:v>
                </c:pt>
                <c:pt idx="241">
                  <c:v>1610.0</c:v>
                </c:pt>
                <c:pt idx="242">
                  <c:v>1630.0</c:v>
                </c:pt>
                <c:pt idx="243">
                  <c:v>1830.0</c:v>
                </c:pt>
                <c:pt idx="244">
                  <c:v>1860.0</c:v>
                </c:pt>
                <c:pt idx="245">
                  <c:v>1860.0</c:v>
                </c:pt>
                <c:pt idx="246">
                  <c:v>1860.0</c:v>
                </c:pt>
                <c:pt idx="247">
                  <c:v>1820.0</c:v>
                </c:pt>
                <c:pt idx="248">
                  <c:v>1750.0</c:v>
                </c:pt>
                <c:pt idx="249">
                  <c:v>1750.0</c:v>
                </c:pt>
                <c:pt idx="250">
                  <c:v>1500.0</c:v>
                </c:pt>
                <c:pt idx="251">
                  <c:v>1500.0</c:v>
                </c:pt>
                <c:pt idx="252">
                  <c:v>1440.0</c:v>
                </c:pt>
                <c:pt idx="253">
                  <c:v>1425.0</c:v>
                </c:pt>
                <c:pt idx="254">
                  <c:v>1400.0</c:v>
                </c:pt>
                <c:pt idx="255">
                  <c:v>1390.0</c:v>
                </c:pt>
                <c:pt idx="256">
                  <c:v>1380.0</c:v>
                </c:pt>
                <c:pt idx="257">
                  <c:v>1430.0</c:v>
                </c:pt>
                <c:pt idx="258">
                  <c:v>1450.0</c:v>
                </c:pt>
                <c:pt idx="259">
                  <c:v>1430.0</c:v>
                </c:pt>
                <c:pt idx="260">
                  <c:v>1480.0</c:v>
                </c:pt>
                <c:pt idx="261">
                  <c:v>1480.0</c:v>
                </c:pt>
                <c:pt idx="262">
                  <c:v>1480.0</c:v>
                </c:pt>
                <c:pt idx="263">
                  <c:v>1480.0</c:v>
                </c:pt>
                <c:pt idx="264">
                  <c:v>1530.0</c:v>
                </c:pt>
                <c:pt idx="265">
                  <c:v>1550.0</c:v>
                </c:pt>
                <c:pt idx="266">
                  <c:v>1550.0</c:v>
                </c:pt>
                <c:pt idx="267">
                  <c:v>1520.0</c:v>
                </c:pt>
                <c:pt idx="268">
                  <c:v>1520.0</c:v>
                </c:pt>
                <c:pt idx="269">
                  <c:v>1520.0</c:v>
                </c:pt>
                <c:pt idx="270">
                  <c:v>1490.0</c:v>
                </c:pt>
                <c:pt idx="271">
                  <c:v>1490.0</c:v>
                </c:pt>
                <c:pt idx="272">
                  <c:v>1470.0</c:v>
                </c:pt>
                <c:pt idx="273">
                  <c:v>1470.0</c:v>
                </c:pt>
                <c:pt idx="274">
                  <c:v>1500.0</c:v>
                </c:pt>
                <c:pt idx="275">
                  <c:v>1500.0</c:v>
                </c:pt>
                <c:pt idx="276">
                  <c:v>1550.0</c:v>
                </c:pt>
                <c:pt idx="277">
                  <c:v>1580.0</c:v>
                </c:pt>
                <c:pt idx="278">
                  <c:v>1620.0</c:v>
                </c:pt>
                <c:pt idx="279">
                  <c:v>1680.0</c:v>
                </c:pt>
                <c:pt idx="280">
                  <c:v>1730.0</c:v>
                </c:pt>
                <c:pt idx="281">
                  <c:v>1740.0</c:v>
                </c:pt>
                <c:pt idx="282">
                  <c:v>1770.0</c:v>
                </c:pt>
                <c:pt idx="283">
                  <c:v>1820.0</c:v>
                </c:pt>
                <c:pt idx="284">
                  <c:v>1830.0</c:v>
                </c:pt>
                <c:pt idx="285">
                  <c:v>1840.0</c:v>
                </c:pt>
                <c:pt idx="286">
                  <c:v>1880.0</c:v>
                </c:pt>
                <c:pt idx="287">
                  <c:v>2020.0</c:v>
                </c:pt>
                <c:pt idx="288">
                  <c:v>2020.0</c:v>
                </c:pt>
                <c:pt idx="289">
                  <c:v>2000.0</c:v>
                </c:pt>
                <c:pt idx="290">
                  <c:v>1780.0</c:v>
                </c:pt>
                <c:pt idx="291">
                  <c:v>1730.0</c:v>
                </c:pt>
                <c:pt idx="292">
                  <c:v>1730.0</c:v>
                </c:pt>
                <c:pt idx="293">
                  <c:v>1730.0</c:v>
                </c:pt>
                <c:pt idx="294">
                  <c:v>1680.0</c:v>
                </c:pt>
                <c:pt idx="295">
                  <c:v>1680.0</c:v>
                </c:pt>
                <c:pt idx="296">
                  <c:v>1700.0</c:v>
                </c:pt>
                <c:pt idx="297">
                  <c:v>1700.0</c:v>
                </c:pt>
                <c:pt idx="298">
                  <c:v>1690.0</c:v>
                </c:pt>
                <c:pt idx="299">
                  <c:v>1690.0</c:v>
                </c:pt>
                <c:pt idx="300">
                  <c:v>1670.0</c:v>
                </c:pt>
                <c:pt idx="301">
                  <c:v>1670.0</c:v>
                </c:pt>
                <c:pt idx="302">
                  <c:v>1630.0</c:v>
                </c:pt>
                <c:pt idx="303">
                  <c:v>1630.0</c:v>
                </c:pt>
                <c:pt idx="304">
                  <c:v>1600.0</c:v>
                </c:pt>
                <c:pt idx="305">
                  <c:v>1520.0</c:v>
                </c:pt>
                <c:pt idx="306">
                  <c:v>1500.0</c:v>
                </c:pt>
                <c:pt idx="307">
                  <c:v>1460.0</c:v>
                </c:pt>
                <c:pt idx="308">
                  <c:v>1420.0</c:v>
                </c:pt>
                <c:pt idx="309">
                  <c:v>1390.0</c:v>
                </c:pt>
                <c:pt idx="310">
                  <c:v>1360.0</c:v>
                </c:pt>
                <c:pt idx="311">
                  <c:v>1320.0</c:v>
                </c:pt>
                <c:pt idx="312">
                  <c:v>1320.0</c:v>
                </c:pt>
                <c:pt idx="313">
                  <c:v>1310.0</c:v>
                </c:pt>
                <c:pt idx="314">
                  <c:v>1290.0</c:v>
                </c:pt>
                <c:pt idx="315">
                  <c:v>1270.0</c:v>
                </c:pt>
                <c:pt idx="316">
                  <c:v>1250.0</c:v>
                </c:pt>
                <c:pt idx="317">
                  <c:v>1220.0</c:v>
                </c:pt>
                <c:pt idx="318">
                  <c:v>1185.0</c:v>
                </c:pt>
                <c:pt idx="319">
                  <c:v>1170.0</c:v>
                </c:pt>
                <c:pt idx="320">
                  <c:v>1140.0</c:v>
                </c:pt>
                <c:pt idx="321">
                  <c:v>1130.0</c:v>
                </c:pt>
                <c:pt idx="322">
                  <c:v>1130.0</c:v>
                </c:pt>
                <c:pt idx="323">
                  <c:v>1100.0</c:v>
                </c:pt>
                <c:pt idx="324">
                  <c:v>1100.0</c:v>
                </c:pt>
                <c:pt idx="325">
                  <c:v>1080.0</c:v>
                </c:pt>
                <c:pt idx="326">
                  <c:v>1080.0</c:v>
                </c:pt>
                <c:pt idx="327">
                  <c:v>1070.0</c:v>
                </c:pt>
                <c:pt idx="328">
                  <c:v>1025.0</c:v>
                </c:pt>
                <c:pt idx="329">
                  <c:v>1020.0</c:v>
                </c:pt>
                <c:pt idx="330">
                  <c:v>1010.0</c:v>
                </c:pt>
                <c:pt idx="331">
                  <c:v>1000.0</c:v>
                </c:pt>
                <c:pt idx="332">
                  <c:v>990.0</c:v>
                </c:pt>
                <c:pt idx="333">
                  <c:v>980.0</c:v>
                </c:pt>
                <c:pt idx="334">
                  <c:v>940.0</c:v>
                </c:pt>
                <c:pt idx="335">
                  <c:v>930.0</c:v>
                </c:pt>
                <c:pt idx="336">
                  <c:v>920.0</c:v>
                </c:pt>
                <c:pt idx="337">
                  <c:v>920.0</c:v>
                </c:pt>
                <c:pt idx="338">
                  <c:v>930.0</c:v>
                </c:pt>
                <c:pt idx="339">
                  <c:v>925.0</c:v>
                </c:pt>
                <c:pt idx="340">
                  <c:v>925.0</c:v>
                </c:pt>
                <c:pt idx="341">
                  <c:v>930.0</c:v>
                </c:pt>
                <c:pt idx="342">
                  <c:v>930.0</c:v>
                </c:pt>
                <c:pt idx="343">
                  <c:v>930.0</c:v>
                </c:pt>
                <c:pt idx="344">
                  <c:v>930.0</c:v>
                </c:pt>
                <c:pt idx="345">
                  <c:v>925.0</c:v>
                </c:pt>
                <c:pt idx="346">
                  <c:v>920.0</c:v>
                </c:pt>
                <c:pt idx="347">
                  <c:v>905.0</c:v>
                </c:pt>
                <c:pt idx="348">
                  <c:v>905.0</c:v>
                </c:pt>
                <c:pt idx="349">
                  <c:v>885.0</c:v>
                </c:pt>
                <c:pt idx="350">
                  <c:v>890.0</c:v>
                </c:pt>
                <c:pt idx="351">
                  <c:v>890.0</c:v>
                </c:pt>
                <c:pt idx="352">
                  <c:v>890.0</c:v>
                </c:pt>
                <c:pt idx="353">
                  <c:v>880.0</c:v>
                </c:pt>
                <c:pt idx="354">
                  <c:v>880.0</c:v>
                </c:pt>
                <c:pt idx="355">
                  <c:v>875.0</c:v>
                </c:pt>
                <c:pt idx="356">
                  <c:v>865.0</c:v>
                </c:pt>
                <c:pt idx="357">
                  <c:v>870.0</c:v>
                </c:pt>
                <c:pt idx="358">
                  <c:v>900.0</c:v>
                </c:pt>
                <c:pt idx="359">
                  <c:v>910.0</c:v>
                </c:pt>
                <c:pt idx="360">
                  <c:v>920.0</c:v>
                </c:pt>
                <c:pt idx="361">
                  <c:v>920.0</c:v>
                </c:pt>
                <c:pt idx="362">
                  <c:v>940.0</c:v>
                </c:pt>
                <c:pt idx="363">
                  <c:v>960.0</c:v>
                </c:pt>
                <c:pt idx="364">
                  <c:v>960.0</c:v>
                </c:pt>
                <c:pt idx="365">
                  <c:v>960.0</c:v>
                </c:pt>
                <c:pt idx="366">
                  <c:v>980.0</c:v>
                </c:pt>
                <c:pt idx="367">
                  <c:v>1030.0</c:v>
                </c:pt>
                <c:pt idx="368">
                  <c:v>1060.0</c:v>
                </c:pt>
                <c:pt idx="369">
                  <c:v>1080.0</c:v>
                </c:pt>
                <c:pt idx="370">
                  <c:v>1090.0</c:v>
                </c:pt>
                <c:pt idx="371">
                  <c:v>1100.0</c:v>
                </c:pt>
                <c:pt idx="372">
                  <c:v>1100.0</c:v>
                </c:pt>
                <c:pt idx="373">
                  <c:v>1110.0</c:v>
                </c:pt>
                <c:pt idx="374">
                  <c:v>1110.0</c:v>
                </c:pt>
                <c:pt idx="375">
                  <c:v>1110.0</c:v>
                </c:pt>
                <c:pt idx="376">
                  <c:v>1000.0</c:v>
                </c:pt>
                <c:pt idx="377">
                  <c:v>1070.0</c:v>
                </c:pt>
                <c:pt idx="378">
                  <c:v>1070.0</c:v>
                </c:pt>
                <c:pt idx="379">
                  <c:v>1075.0</c:v>
                </c:pt>
                <c:pt idx="380">
                  <c:v>1085.0</c:v>
                </c:pt>
                <c:pt idx="381">
                  <c:v>1100.0</c:v>
                </c:pt>
                <c:pt idx="382">
                  <c:v>1100.0</c:v>
                </c:pt>
                <c:pt idx="383">
                  <c:v>1100.0</c:v>
                </c:pt>
                <c:pt idx="384">
                  <c:v>1120.0</c:v>
                </c:pt>
                <c:pt idx="385">
                  <c:v>1080.0</c:v>
                </c:pt>
                <c:pt idx="386">
                  <c:v>1060.0</c:v>
                </c:pt>
                <c:pt idx="387">
                  <c:v>1060.0</c:v>
                </c:pt>
                <c:pt idx="388">
                  <c:v>1040.0</c:v>
                </c:pt>
                <c:pt idx="389">
                  <c:v>1030.0</c:v>
                </c:pt>
                <c:pt idx="390">
                  <c:v>1030.0</c:v>
                </c:pt>
                <c:pt idx="391">
                  <c:v>1020.0</c:v>
                </c:pt>
                <c:pt idx="392">
                  <c:v>980.0</c:v>
                </c:pt>
                <c:pt idx="393">
                  <c:v>980.0</c:v>
                </c:pt>
                <c:pt idx="394">
                  <c:v>975.0</c:v>
                </c:pt>
                <c:pt idx="395">
                  <c:v>975.0</c:v>
                </c:pt>
                <c:pt idx="396">
                  <c:v>955.0</c:v>
                </c:pt>
                <c:pt idx="397">
                  <c:v>935.0</c:v>
                </c:pt>
                <c:pt idx="398">
                  <c:v>925.0</c:v>
                </c:pt>
                <c:pt idx="399">
                  <c:v>925.0</c:v>
                </c:pt>
                <c:pt idx="400">
                  <c:v>925.0</c:v>
                </c:pt>
                <c:pt idx="401">
                  <c:v>925.0</c:v>
                </c:pt>
                <c:pt idx="402">
                  <c:v>925.0</c:v>
                </c:pt>
                <c:pt idx="403">
                  <c:v>920.0</c:v>
                </c:pt>
                <c:pt idx="404">
                  <c:v>920.0</c:v>
                </c:pt>
                <c:pt idx="405">
                  <c:v>900.0</c:v>
                </c:pt>
                <c:pt idx="406">
                  <c:v>900.0</c:v>
                </c:pt>
                <c:pt idx="407">
                  <c:v>890.0</c:v>
                </c:pt>
                <c:pt idx="408">
                  <c:v>890.0</c:v>
                </c:pt>
                <c:pt idx="409">
                  <c:v>900.0</c:v>
                </c:pt>
                <c:pt idx="410">
                  <c:v>910.0</c:v>
                </c:pt>
                <c:pt idx="411">
                  <c:v>920.0</c:v>
                </c:pt>
                <c:pt idx="412">
                  <c:v>920.0</c:v>
                </c:pt>
                <c:pt idx="413">
                  <c:v>920.0</c:v>
                </c:pt>
                <c:pt idx="414">
                  <c:v>920.0</c:v>
                </c:pt>
                <c:pt idx="415">
                  <c:v>930.0</c:v>
                </c:pt>
                <c:pt idx="416">
                  <c:v>930.0</c:v>
                </c:pt>
                <c:pt idx="417">
                  <c:v>930.0</c:v>
                </c:pt>
                <c:pt idx="418">
                  <c:v>930.0</c:v>
                </c:pt>
                <c:pt idx="419">
                  <c:v>930.0</c:v>
                </c:pt>
                <c:pt idx="420">
                  <c:v>870.0</c:v>
                </c:pt>
                <c:pt idx="421">
                  <c:v>890.0</c:v>
                </c:pt>
                <c:pt idx="422">
                  <c:v>890.0</c:v>
                </c:pt>
                <c:pt idx="423">
                  <c:v>900.0</c:v>
                </c:pt>
                <c:pt idx="424">
                  <c:v>920.0</c:v>
                </c:pt>
                <c:pt idx="425">
                  <c:v>950.0</c:v>
                </c:pt>
                <c:pt idx="426">
                  <c:v>1000.0</c:v>
                </c:pt>
                <c:pt idx="427">
                  <c:v>1030.0</c:v>
                </c:pt>
                <c:pt idx="428">
                  <c:v>1070.0</c:v>
                </c:pt>
                <c:pt idx="429">
                  <c:v>1080.0</c:v>
                </c:pt>
                <c:pt idx="430">
                  <c:v>1125.0</c:v>
                </c:pt>
                <c:pt idx="431">
                  <c:v>1140.0</c:v>
                </c:pt>
                <c:pt idx="432">
                  <c:v>1140.0</c:v>
                </c:pt>
                <c:pt idx="433">
                  <c:v>1150.0</c:v>
                </c:pt>
                <c:pt idx="434">
                  <c:v>1180.0</c:v>
                </c:pt>
                <c:pt idx="435">
                  <c:v>1180.0</c:v>
                </c:pt>
                <c:pt idx="436">
                  <c:v>1195.0</c:v>
                </c:pt>
                <c:pt idx="437">
                  <c:v>1200.0</c:v>
                </c:pt>
                <c:pt idx="438">
                  <c:v>1200.0</c:v>
                </c:pt>
                <c:pt idx="439">
                  <c:v>1200.0</c:v>
                </c:pt>
                <c:pt idx="440">
                  <c:v>1190.0</c:v>
                </c:pt>
                <c:pt idx="441">
                  <c:v>1200.0</c:v>
                </c:pt>
                <c:pt idx="442">
                  <c:v>1200.0</c:v>
                </c:pt>
                <c:pt idx="443">
                  <c:v>1200.0</c:v>
                </c:pt>
                <c:pt idx="444">
                  <c:v>1200.0</c:v>
                </c:pt>
                <c:pt idx="445">
                  <c:v>1200.0</c:v>
                </c:pt>
                <c:pt idx="446">
                  <c:v>1200.0</c:v>
                </c:pt>
                <c:pt idx="447">
                  <c:v>1190.0</c:v>
                </c:pt>
                <c:pt idx="448">
                  <c:v>1180.0</c:v>
                </c:pt>
                <c:pt idx="449">
                  <c:v>1160.0</c:v>
                </c:pt>
                <c:pt idx="450">
                  <c:v>1155.0</c:v>
                </c:pt>
                <c:pt idx="451">
                  <c:v>1130.0</c:v>
                </c:pt>
                <c:pt idx="452">
                  <c:v>1130.0</c:v>
                </c:pt>
                <c:pt idx="453">
                  <c:v>1130.0</c:v>
                </c:pt>
                <c:pt idx="454">
                  <c:v>1120.0</c:v>
                </c:pt>
                <c:pt idx="455">
                  <c:v>1140.0</c:v>
                </c:pt>
                <c:pt idx="456">
                  <c:v>1150.0</c:v>
                </c:pt>
                <c:pt idx="457">
                  <c:v>1150.0</c:v>
                </c:pt>
                <c:pt idx="458">
                  <c:v>1135.0</c:v>
                </c:pt>
                <c:pt idx="459">
                  <c:v>1135.0</c:v>
                </c:pt>
                <c:pt idx="460">
                  <c:v>1130.0</c:v>
                </c:pt>
                <c:pt idx="461">
                  <c:v>1130.0</c:v>
                </c:pt>
                <c:pt idx="462">
                  <c:v>1100.0</c:v>
                </c:pt>
                <c:pt idx="463">
                  <c:v>1100.0</c:v>
                </c:pt>
                <c:pt idx="464">
                  <c:v>1100.0</c:v>
                </c:pt>
                <c:pt idx="465">
                  <c:v>1080.0</c:v>
                </c:pt>
                <c:pt idx="466">
                  <c:v>1080.0</c:v>
                </c:pt>
                <c:pt idx="467">
                  <c:v>1100.0</c:v>
                </c:pt>
                <c:pt idx="468">
                  <c:v>1120.0</c:v>
                </c:pt>
                <c:pt idx="469">
                  <c:v>1130.0</c:v>
                </c:pt>
                <c:pt idx="470">
                  <c:v>1150.0</c:v>
                </c:pt>
                <c:pt idx="471">
                  <c:v>1250.0</c:v>
                </c:pt>
                <c:pt idx="472">
                  <c:v>1280.0</c:v>
                </c:pt>
                <c:pt idx="473">
                  <c:v>1280.0</c:v>
                </c:pt>
                <c:pt idx="474">
                  <c:v>1300.0</c:v>
                </c:pt>
                <c:pt idx="475">
                  <c:v>1370.0</c:v>
                </c:pt>
                <c:pt idx="476">
                  <c:v>1380.0</c:v>
                </c:pt>
                <c:pt idx="477">
                  <c:v>1380.0</c:v>
                </c:pt>
                <c:pt idx="478">
                  <c:v>1400.0</c:v>
                </c:pt>
                <c:pt idx="479">
                  <c:v>1380.0</c:v>
                </c:pt>
                <c:pt idx="480">
                  <c:v>1380.0</c:v>
                </c:pt>
                <c:pt idx="481">
                  <c:v>1330.0</c:v>
                </c:pt>
                <c:pt idx="482">
                  <c:v>1180.0</c:v>
                </c:pt>
                <c:pt idx="483">
                  <c:v>1130.0</c:v>
                </c:pt>
              </c:numCache>
            </c:numRef>
          </c:val>
          <c:smooth val="0"/>
        </c:ser>
        <c:dLbls>
          <c:showLegendKey val="0"/>
          <c:showVal val="0"/>
          <c:showCatName val="0"/>
          <c:showSerName val="0"/>
          <c:showPercent val="0"/>
          <c:showBubbleSize val="0"/>
        </c:dLbls>
        <c:marker val="1"/>
        <c:smooth val="0"/>
        <c:axId val="-2125375256"/>
        <c:axId val="2120673144"/>
      </c:lineChart>
      <c:dateAx>
        <c:axId val="-2125375256"/>
        <c:scaling>
          <c:orientation val="minMax"/>
        </c:scaling>
        <c:delete val="0"/>
        <c:axPos val="b"/>
        <c:numFmt formatCode="m/d/yy" sourceLinked="1"/>
        <c:majorTickMark val="out"/>
        <c:minorTickMark val="none"/>
        <c:tickLblPos val="nextTo"/>
        <c:crossAx val="2120673144"/>
        <c:crosses val="autoZero"/>
        <c:auto val="1"/>
        <c:lblOffset val="100"/>
        <c:baseTimeUnit val="days"/>
      </c:dateAx>
      <c:valAx>
        <c:axId val="2120673144"/>
        <c:scaling>
          <c:orientation val="minMax"/>
        </c:scaling>
        <c:delete val="0"/>
        <c:axPos val="l"/>
        <c:majorGridlines/>
        <c:numFmt formatCode="General" sourceLinked="1"/>
        <c:majorTickMark val="out"/>
        <c:minorTickMark val="none"/>
        <c:tickLblPos val="nextTo"/>
        <c:crossAx val="-2125375256"/>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South</a:t>
            </a:r>
            <a:r>
              <a:rPr lang="en-US" sz="1400" baseline="0"/>
              <a:t> African Pilchard - TAC (in tons)</a:t>
            </a:r>
            <a:endParaRPr lang="en-US" sz="1400"/>
          </a:p>
        </c:rich>
      </c:tx>
      <c:layout/>
      <c:overlay val="0"/>
    </c:title>
    <c:autoTitleDeleted val="0"/>
    <c:plotArea>
      <c:layout/>
      <c:lineChart>
        <c:grouping val="standard"/>
        <c:varyColors val="0"/>
        <c:ser>
          <c:idx val="0"/>
          <c:order val="0"/>
          <c:tx>
            <c:strRef>
              <c:f>'3h. Segmental Volume Drivers'!$D$7</c:f>
              <c:strCache>
                <c:ptCount val="1"/>
                <c:pt idx="0">
                  <c:v>Oceana's Own Quota</c:v>
                </c:pt>
              </c:strCache>
            </c:strRef>
          </c:tx>
          <c:spPr>
            <a:ln>
              <a:solidFill>
                <a:schemeClr val="accent5">
                  <a:lumMod val="60000"/>
                  <a:lumOff val="40000"/>
                </a:schemeClr>
              </a:solidFill>
            </a:ln>
          </c:spPr>
          <c:marker>
            <c:symbol val="none"/>
          </c:marker>
          <c:cat>
            <c:strRef>
              <c:f>'3h. Segmental Volume Drivers'!$L$6:$O$6</c:f>
              <c:strCache>
                <c:ptCount val="4"/>
                <c:pt idx="0">
                  <c:v>2012A</c:v>
                </c:pt>
                <c:pt idx="1">
                  <c:v>2013A</c:v>
                </c:pt>
                <c:pt idx="2">
                  <c:v>2014A</c:v>
                </c:pt>
                <c:pt idx="3">
                  <c:v>2015A</c:v>
                </c:pt>
              </c:strCache>
            </c:strRef>
          </c:cat>
          <c:val>
            <c:numRef>
              <c:f>'3h. Segmental Volume Drivers'!$E$7:$O$7</c:f>
              <c:numCache>
                <c:formatCode>_-* #,##0_-;\-* #,##0_-;_-* "-"_-;_-@_-</c:formatCode>
                <c:ptCount val="4"/>
                <c:pt idx="0">
                  <c:v>14447.0</c:v>
                </c:pt>
                <c:pt idx="1">
                  <c:v>13508.0</c:v>
                </c:pt>
                <c:pt idx="2">
                  <c:v>13500.0</c:v>
                </c:pt>
                <c:pt idx="3">
                  <c:v>21368.32</c:v>
                </c:pt>
              </c:numCache>
            </c:numRef>
          </c:val>
          <c:smooth val="0"/>
        </c:ser>
        <c:ser>
          <c:idx val="1"/>
          <c:order val="1"/>
          <c:tx>
            <c:strRef>
              <c:f>'3h. Segmental Volume Drivers'!$D$10</c:f>
              <c:strCache>
                <c:ptCount val="1"/>
                <c:pt idx="0">
                  <c:v>Oceana's Contracted Quota</c:v>
                </c:pt>
              </c:strCache>
            </c:strRef>
          </c:tx>
          <c:spPr>
            <a:ln>
              <a:solidFill>
                <a:schemeClr val="accent5">
                  <a:lumMod val="75000"/>
                </a:schemeClr>
              </a:solidFill>
            </a:ln>
          </c:spPr>
          <c:marker>
            <c:symbol val="none"/>
          </c:marker>
          <c:cat>
            <c:strRef>
              <c:f>'3h. Segmental Volume Drivers'!$L$6:$O$6</c:f>
              <c:strCache>
                <c:ptCount val="4"/>
                <c:pt idx="0">
                  <c:v>2012A</c:v>
                </c:pt>
                <c:pt idx="1">
                  <c:v>2013A</c:v>
                </c:pt>
                <c:pt idx="2">
                  <c:v>2014A</c:v>
                </c:pt>
                <c:pt idx="3">
                  <c:v>2015A</c:v>
                </c:pt>
              </c:strCache>
            </c:strRef>
          </c:cat>
          <c:val>
            <c:numRef>
              <c:f>'3h. Segmental Volume Drivers'!$E$10:$O$10</c:f>
              <c:numCache>
                <c:formatCode>_-* #,##0_-;\-* #,##0_-;_-* "-"_-;_-@_-</c:formatCode>
                <c:ptCount val="4"/>
                <c:pt idx="0">
                  <c:v>15731.0</c:v>
                </c:pt>
                <c:pt idx="1">
                  <c:v>16215.0</c:v>
                </c:pt>
                <c:pt idx="2">
                  <c:v>16200.0</c:v>
                </c:pt>
                <c:pt idx="3">
                  <c:v>15024.6</c:v>
                </c:pt>
              </c:numCache>
            </c:numRef>
          </c:val>
          <c:smooth val="0"/>
        </c:ser>
        <c:ser>
          <c:idx val="2"/>
          <c:order val="2"/>
          <c:tx>
            <c:strRef>
              <c:f>'3h. Segmental Volume Drivers'!$D$13</c:f>
              <c:strCache>
                <c:ptCount val="1"/>
                <c:pt idx="0">
                  <c:v>Other than Oceana Quota</c:v>
                </c:pt>
              </c:strCache>
            </c:strRef>
          </c:tx>
          <c:spPr>
            <a:ln>
              <a:solidFill>
                <a:schemeClr val="accent1">
                  <a:lumMod val="20000"/>
                  <a:lumOff val="80000"/>
                </a:schemeClr>
              </a:solidFill>
            </a:ln>
          </c:spPr>
          <c:marker>
            <c:symbol val="none"/>
          </c:marker>
          <c:cat>
            <c:strRef>
              <c:f>'3h. Segmental Volume Drivers'!$L$6:$O$6</c:f>
              <c:strCache>
                <c:ptCount val="4"/>
                <c:pt idx="0">
                  <c:v>2012A</c:v>
                </c:pt>
                <c:pt idx="1">
                  <c:v>2013A</c:v>
                </c:pt>
                <c:pt idx="2">
                  <c:v>2014A</c:v>
                </c:pt>
                <c:pt idx="3">
                  <c:v>2015A</c:v>
                </c:pt>
              </c:strCache>
            </c:strRef>
          </c:cat>
          <c:val>
            <c:numRef>
              <c:f>'3h. Segmental Volume Drivers'!$E$13:$O$13</c:f>
              <c:numCache>
                <c:formatCode>_-* #,##0_-;\-* #,##0_-;_-* "-"_-;_-@_-</c:formatCode>
                <c:ptCount val="4"/>
                <c:pt idx="0">
                  <c:v>70417.0</c:v>
                </c:pt>
                <c:pt idx="1">
                  <c:v>60277.0</c:v>
                </c:pt>
                <c:pt idx="2">
                  <c:v>603</c:v>
                </c:pt>
                <c:pt idx="3">
                  <c:v>47077.08</c:v>
                </c:pt>
              </c:numCache>
            </c:numRef>
          </c:val>
          <c:smooth val="0"/>
        </c:ser>
        <c:ser>
          <c:idx val="3"/>
          <c:order val="3"/>
          <c:tx>
            <c:strRef>
              <c:f>'3h. Segmental Volume Drivers'!$D$16</c:f>
              <c:strCache>
                <c:ptCount val="1"/>
                <c:pt idx="0">
                  <c:v>Total</c:v>
                </c:pt>
              </c:strCache>
            </c:strRef>
          </c:tx>
          <c:spPr>
            <a:ln>
              <a:solidFill>
                <a:schemeClr val="tx2">
                  <a:lumMod val="50000"/>
                </a:schemeClr>
              </a:solidFill>
            </a:ln>
          </c:spPr>
          <c:marker>
            <c:symbol val="none"/>
          </c:marker>
          <c:cat>
            <c:strRef>
              <c:f>'3h. Segmental Volume Drivers'!$L$6:$O$6</c:f>
              <c:strCache>
                <c:ptCount val="4"/>
                <c:pt idx="0">
                  <c:v>2012A</c:v>
                </c:pt>
                <c:pt idx="1">
                  <c:v>2013A</c:v>
                </c:pt>
                <c:pt idx="2">
                  <c:v>2014A</c:v>
                </c:pt>
                <c:pt idx="3">
                  <c:v>2015A</c:v>
                </c:pt>
              </c:strCache>
            </c:strRef>
          </c:cat>
          <c:val>
            <c:numRef>
              <c:f>'3h. Segmental Volume Drivers'!$E$16:$O$16</c:f>
              <c:numCache>
                <c:formatCode>_-* #,##0_-;\-* #,##0_-;_-* "-"_-;_-@_-</c:formatCode>
                <c:ptCount val="4"/>
                <c:pt idx="0">
                  <c:v>100595.0</c:v>
                </c:pt>
                <c:pt idx="1">
                  <c:v>90000.0</c:v>
                </c:pt>
                <c:pt idx="2">
                  <c:v>90000.0</c:v>
                </c:pt>
                <c:pt idx="3">
                  <c:v>83470.0</c:v>
                </c:pt>
              </c:numCache>
            </c:numRef>
          </c:val>
          <c:smooth val="0"/>
        </c:ser>
        <c:ser>
          <c:idx val="4"/>
          <c:order val="4"/>
          <c:tx>
            <c:strRef>
              <c:f>'3h. Segmental Volume Drivers'!$D$18</c:f>
              <c:strCache>
                <c:ptCount val="1"/>
                <c:pt idx="0">
                  <c:v>Total Attributable to Oceana</c:v>
                </c:pt>
              </c:strCache>
            </c:strRef>
          </c:tx>
          <c:spPr>
            <a:ln>
              <a:solidFill>
                <a:schemeClr val="tx2">
                  <a:lumMod val="60000"/>
                  <a:lumOff val="40000"/>
                </a:schemeClr>
              </a:solidFill>
            </a:ln>
          </c:spPr>
          <c:marker>
            <c:symbol val="none"/>
          </c:marker>
          <c:cat>
            <c:strRef>
              <c:f>'3h. Segmental Volume Drivers'!$L$6:$O$6</c:f>
              <c:strCache>
                <c:ptCount val="4"/>
                <c:pt idx="0">
                  <c:v>2012A</c:v>
                </c:pt>
                <c:pt idx="1">
                  <c:v>2013A</c:v>
                </c:pt>
                <c:pt idx="2">
                  <c:v>2014A</c:v>
                </c:pt>
                <c:pt idx="3">
                  <c:v>2015A</c:v>
                </c:pt>
              </c:strCache>
            </c:strRef>
          </c:cat>
          <c:val>
            <c:numRef>
              <c:f>'3h. Segmental Volume Drivers'!$E$18:$O$18</c:f>
              <c:numCache>
                <c:formatCode>_-* #,##0_-;\-* #,##0_-;_-* "-"_-;_-@_-</c:formatCode>
                <c:ptCount val="4"/>
                <c:pt idx="0">
                  <c:v>30178.0</c:v>
                </c:pt>
                <c:pt idx="1">
                  <c:v>29723.0</c:v>
                </c:pt>
                <c:pt idx="2">
                  <c:v>29700.0</c:v>
                </c:pt>
                <c:pt idx="3">
                  <c:v>36392.92</c:v>
                </c:pt>
              </c:numCache>
            </c:numRef>
          </c:val>
          <c:smooth val="0"/>
        </c:ser>
        <c:dLbls>
          <c:showLegendKey val="0"/>
          <c:showVal val="0"/>
          <c:showCatName val="0"/>
          <c:showSerName val="0"/>
          <c:showPercent val="0"/>
          <c:showBubbleSize val="0"/>
        </c:dLbls>
        <c:marker val="1"/>
        <c:smooth val="0"/>
        <c:axId val="-2114053256"/>
        <c:axId val="-2114050232"/>
      </c:lineChart>
      <c:catAx>
        <c:axId val="-2114053256"/>
        <c:scaling>
          <c:orientation val="minMax"/>
        </c:scaling>
        <c:delete val="0"/>
        <c:axPos val="b"/>
        <c:numFmt formatCode="General" sourceLinked="1"/>
        <c:majorTickMark val="out"/>
        <c:minorTickMark val="none"/>
        <c:tickLblPos val="nextTo"/>
        <c:crossAx val="-2114050232"/>
        <c:crosses val="autoZero"/>
        <c:auto val="1"/>
        <c:lblAlgn val="ctr"/>
        <c:lblOffset val="100"/>
        <c:noMultiLvlLbl val="0"/>
      </c:catAx>
      <c:valAx>
        <c:axId val="-2114050232"/>
        <c:scaling>
          <c:orientation val="minMax"/>
        </c:scaling>
        <c:delete val="0"/>
        <c:axPos val="l"/>
        <c:majorGridlines/>
        <c:numFmt formatCode="_-* #,##0_-;\-* #,##0_-;_-* &quot;-&quot;_-;_-@_-" sourceLinked="1"/>
        <c:majorTickMark val="out"/>
        <c:minorTickMark val="none"/>
        <c:tickLblPos val="nextTo"/>
        <c:crossAx val="-2114053256"/>
        <c:crosses val="autoZero"/>
        <c:crossBetween val="between"/>
      </c:valAx>
    </c:plotArea>
    <c:legend>
      <c:legendPos val="r"/>
      <c:layout/>
      <c:overlay val="0"/>
      <c:spPr>
        <a:ln>
          <a:noFill/>
        </a:ln>
      </c:spPr>
    </c:legend>
    <c:plotVisOnly val="1"/>
    <c:dispBlanksAs val="gap"/>
    <c:showDLblsOverMax val="0"/>
  </c:chart>
  <c:spPr>
    <a:ln>
      <a:noFill/>
    </a:ln>
  </c:spPr>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Divisional Contribution</a:t>
            </a:r>
            <a:r>
              <a:rPr lang="en-US" baseline="0"/>
              <a:t> to Revenue, 2012-2016.</a:t>
            </a:r>
            <a:endParaRPr lang="en-US"/>
          </a:p>
        </c:rich>
      </c:tx>
      <c:overlay val="0"/>
    </c:title>
    <c:autoTitleDeleted val="0"/>
    <c:plotArea>
      <c:layout/>
      <c:barChart>
        <c:barDir val="col"/>
        <c:grouping val="clustered"/>
        <c:varyColors val="0"/>
        <c:ser>
          <c:idx val="0"/>
          <c:order val="0"/>
          <c:tx>
            <c:v>Inshore Fishing</c:v>
          </c:tx>
          <c:spPr>
            <a:solidFill>
              <a:schemeClr val="tx2">
                <a:lumMod val="50000"/>
              </a:schemeClr>
            </a:solidFill>
          </c:spPr>
          <c:invertIfNegative val="0"/>
          <c:cat>
            <c:strRef>
              <c:f>'All Together'!$L$4:$P$4</c:f>
              <c:strCache>
                <c:ptCount val="5"/>
                <c:pt idx="0">
                  <c:v>2012A</c:v>
                </c:pt>
                <c:pt idx="1">
                  <c:v>2013A</c:v>
                </c:pt>
                <c:pt idx="2">
                  <c:v>2014A</c:v>
                </c:pt>
                <c:pt idx="3">
                  <c:v>2015A</c:v>
                </c:pt>
                <c:pt idx="4">
                  <c:v>2016E</c:v>
                </c:pt>
              </c:strCache>
            </c:strRef>
          </c:cat>
          <c:val>
            <c:numRef>
              <c:f>'All Together'!$L$7:$P$7</c:f>
              <c:numCache>
                <c:formatCode>0%</c:formatCode>
                <c:ptCount val="5"/>
                <c:pt idx="0">
                  <c:v>0.631047745554977</c:v>
                </c:pt>
                <c:pt idx="1">
                  <c:v>0.638361413963683</c:v>
                </c:pt>
                <c:pt idx="2">
                  <c:v>0.692970855706556</c:v>
                </c:pt>
                <c:pt idx="3">
                  <c:v>0.619431533997744</c:v>
                </c:pt>
                <c:pt idx="4">
                  <c:v>0.536222717986297</c:v>
                </c:pt>
              </c:numCache>
            </c:numRef>
          </c:val>
        </c:ser>
        <c:ser>
          <c:idx val="1"/>
          <c:order val="1"/>
          <c:tx>
            <c:v>Mid and Deep Water Fishing</c:v>
          </c:tx>
          <c:spPr>
            <a:solidFill>
              <a:schemeClr val="accent5">
                <a:lumMod val="60000"/>
                <a:lumOff val="40000"/>
              </a:schemeClr>
            </a:solidFill>
          </c:spPr>
          <c:invertIfNegative val="0"/>
          <c:cat>
            <c:strRef>
              <c:f>'All Together'!$L$4:$P$4</c:f>
              <c:strCache>
                <c:ptCount val="5"/>
                <c:pt idx="0">
                  <c:v>2012A</c:v>
                </c:pt>
                <c:pt idx="1">
                  <c:v>2013A</c:v>
                </c:pt>
                <c:pt idx="2">
                  <c:v>2014A</c:v>
                </c:pt>
                <c:pt idx="3">
                  <c:v>2015A</c:v>
                </c:pt>
                <c:pt idx="4">
                  <c:v>2016E</c:v>
                </c:pt>
              </c:strCache>
            </c:strRef>
          </c:cat>
          <c:val>
            <c:numRef>
              <c:f>'All Together'!$L$11:$P$11</c:f>
              <c:numCache>
                <c:formatCode>0%</c:formatCode>
                <c:ptCount val="5"/>
                <c:pt idx="0">
                  <c:v>0.308755836711704</c:v>
                </c:pt>
                <c:pt idx="1">
                  <c:v>0.292226875383943</c:v>
                </c:pt>
                <c:pt idx="2">
                  <c:v>0.238824766318975</c:v>
                </c:pt>
                <c:pt idx="3">
                  <c:v>0.213129279920477</c:v>
                </c:pt>
                <c:pt idx="4">
                  <c:v>0.163924848415093</c:v>
                </c:pt>
              </c:numCache>
            </c:numRef>
          </c:val>
        </c:ser>
        <c:ser>
          <c:idx val="2"/>
          <c:order val="2"/>
          <c:tx>
            <c:v>C.C.S.</c:v>
          </c:tx>
          <c:spPr>
            <a:solidFill>
              <a:schemeClr val="tx2">
                <a:lumMod val="60000"/>
                <a:lumOff val="40000"/>
              </a:schemeClr>
            </a:solidFill>
          </c:spPr>
          <c:invertIfNegative val="0"/>
          <c:cat>
            <c:strRef>
              <c:f>'All Together'!$L$4:$P$4</c:f>
              <c:strCache>
                <c:ptCount val="5"/>
                <c:pt idx="0">
                  <c:v>2012A</c:v>
                </c:pt>
                <c:pt idx="1">
                  <c:v>2013A</c:v>
                </c:pt>
                <c:pt idx="2">
                  <c:v>2014A</c:v>
                </c:pt>
                <c:pt idx="3">
                  <c:v>2015A</c:v>
                </c:pt>
                <c:pt idx="4">
                  <c:v>2016E</c:v>
                </c:pt>
              </c:strCache>
            </c:strRef>
          </c:cat>
          <c:val>
            <c:numRef>
              <c:f>'All Together'!$L$15:$P$15</c:f>
              <c:numCache>
                <c:formatCode>0%</c:formatCode>
                <c:ptCount val="5"/>
                <c:pt idx="0">
                  <c:v>0.0601964177333195</c:v>
                </c:pt>
                <c:pt idx="1">
                  <c:v>0.0694117106523748</c:v>
                </c:pt>
                <c:pt idx="2">
                  <c:v>0.0682043779744694</c:v>
                </c:pt>
                <c:pt idx="3">
                  <c:v>0.0743367769656773</c:v>
                </c:pt>
                <c:pt idx="4">
                  <c:v>0.0592332748517122</c:v>
                </c:pt>
              </c:numCache>
            </c:numRef>
          </c:val>
        </c:ser>
        <c:ser>
          <c:idx val="3"/>
          <c:order val="3"/>
          <c:tx>
            <c:v>Daybrook</c:v>
          </c:tx>
          <c:spPr>
            <a:solidFill>
              <a:srgbClr val="660066"/>
            </a:solidFill>
          </c:spPr>
          <c:invertIfNegative val="0"/>
          <c:cat>
            <c:strRef>
              <c:f>'All Together'!$L$4:$P$4</c:f>
              <c:strCache>
                <c:ptCount val="5"/>
                <c:pt idx="0">
                  <c:v>2012A</c:v>
                </c:pt>
                <c:pt idx="1">
                  <c:v>2013A</c:v>
                </c:pt>
                <c:pt idx="2">
                  <c:v>2014A</c:v>
                </c:pt>
                <c:pt idx="3">
                  <c:v>2015A</c:v>
                </c:pt>
                <c:pt idx="4">
                  <c:v>2016E</c:v>
                </c:pt>
              </c:strCache>
            </c:strRef>
          </c:cat>
          <c:val>
            <c:numRef>
              <c:f>'All Together'!$L$19:$P$19</c:f>
              <c:numCache>
                <c:formatCode>0%</c:formatCode>
                <c:ptCount val="5"/>
                <c:pt idx="3">
                  <c:v>0.0931024091161019</c:v>
                </c:pt>
                <c:pt idx="4">
                  <c:v>0.240619158746898</c:v>
                </c:pt>
              </c:numCache>
            </c:numRef>
          </c:val>
        </c:ser>
        <c:dLbls>
          <c:showLegendKey val="0"/>
          <c:showVal val="0"/>
          <c:showCatName val="0"/>
          <c:showSerName val="0"/>
          <c:showPercent val="0"/>
          <c:showBubbleSize val="0"/>
        </c:dLbls>
        <c:gapWidth val="150"/>
        <c:axId val="2064054472"/>
        <c:axId val="2114931224"/>
      </c:barChart>
      <c:catAx>
        <c:axId val="2064054472"/>
        <c:scaling>
          <c:orientation val="minMax"/>
        </c:scaling>
        <c:delete val="0"/>
        <c:axPos val="b"/>
        <c:majorTickMark val="out"/>
        <c:minorTickMark val="none"/>
        <c:tickLblPos val="nextTo"/>
        <c:txPr>
          <a:bodyPr/>
          <a:lstStyle/>
          <a:p>
            <a:pPr>
              <a:defRPr b="1"/>
            </a:pPr>
            <a:endParaRPr lang="en-US"/>
          </a:p>
        </c:txPr>
        <c:crossAx val="2114931224"/>
        <c:crosses val="autoZero"/>
        <c:auto val="1"/>
        <c:lblAlgn val="ctr"/>
        <c:lblOffset val="100"/>
        <c:noMultiLvlLbl val="0"/>
      </c:catAx>
      <c:valAx>
        <c:axId val="2114931224"/>
        <c:scaling>
          <c:orientation val="minMax"/>
        </c:scaling>
        <c:delete val="0"/>
        <c:axPos val="l"/>
        <c:majorGridlines/>
        <c:numFmt formatCode="0%" sourceLinked="1"/>
        <c:majorTickMark val="out"/>
        <c:minorTickMark val="none"/>
        <c:tickLblPos val="nextTo"/>
        <c:crossAx val="2064054472"/>
        <c:crosses val="autoZero"/>
        <c:crossBetween val="between"/>
      </c:valAx>
    </c:plotArea>
    <c:legend>
      <c:legendPos val="b"/>
      <c:overlay val="0"/>
      <c:txPr>
        <a:bodyPr/>
        <a:lstStyle/>
        <a:p>
          <a:pPr>
            <a:defRPr sz="12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Namibian Pilchard - TAC (in tons)</a:t>
            </a:r>
          </a:p>
        </c:rich>
      </c:tx>
      <c:layout/>
      <c:overlay val="0"/>
    </c:title>
    <c:autoTitleDeleted val="0"/>
    <c:plotArea>
      <c:layout/>
      <c:lineChart>
        <c:grouping val="standard"/>
        <c:varyColors val="0"/>
        <c:ser>
          <c:idx val="0"/>
          <c:order val="0"/>
          <c:tx>
            <c:strRef>
              <c:f>'3h. Segmental Volume Drivers'!$D$23</c:f>
              <c:strCache>
                <c:ptCount val="1"/>
                <c:pt idx="0">
                  <c:v>Oceana's Own Quota</c:v>
                </c:pt>
              </c:strCache>
            </c:strRef>
          </c:tx>
          <c:spPr>
            <a:ln>
              <a:solidFill>
                <a:schemeClr val="accent5">
                  <a:lumMod val="40000"/>
                  <a:lumOff val="60000"/>
                </a:schemeClr>
              </a:solidFill>
            </a:ln>
          </c:spPr>
          <c:marker>
            <c:symbol val="none"/>
          </c:marker>
          <c:cat>
            <c:strRef>
              <c:f>'3h. Segmental Volume Drivers'!$L$22:$O$22</c:f>
              <c:strCache>
                <c:ptCount val="4"/>
                <c:pt idx="0">
                  <c:v>2012A</c:v>
                </c:pt>
                <c:pt idx="1">
                  <c:v>2013A</c:v>
                </c:pt>
                <c:pt idx="2">
                  <c:v>2014A</c:v>
                </c:pt>
                <c:pt idx="3">
                  <c:v>2015A</c:v>
                </c:pt>
              </c:strCache>
            </c:strRef>
          </c:cat>
          <c:val>
            <c:numRef>
              <c:f>'3h. Segmental Volume Drivers'!$E$23:$O$23</c:f>
              <c:numCache>
                <c:formatCode>_-* #,##0_-;\-* #,##0_-;_-* "-"_-;_-@_-</c:formatCode>
                <c:ptCount val="4"/>
                <c:pt idx="0">
                  <c:v>9912.0</c:v>
                </c:pt>
                <c:pt idx="1">
                  <c:v>7975.0</c:v>
                </c:pt>
                <c:pt idx="2">
                  <c:v>6240.0</c:v>
                </c:pt>
                <c:pt idx="3">
                  <c:v>5200.0</c:v>
                </c:pt>
              </c:numCache>
            </c:numRef>
          </c:val>
          <c:smooth val="0"/>
        </c:ser>
        <c:ser>
          <c:idx val="1"/>
          <c:order val="1"/>
          <c:tx>
            <c:strRef>
              <c:f>'3h. Segmental Volume Drivers'!$D$26</c:f>
              <c:strCache>
                <c:ptCount val="1"/>
                <c:pt idx="0">
                  <c:v>Oceana's Contracted Quota</c:v>
                </c:pt>
              </c:strCache>
            </c:strRef>
          </c:tx>
          <c:spPr>
            <a:ln>
              <a:solidFill>
                <a:schemeClr val="accent5">
                  <a:lumMod val="75000"/>
                </a:schemeClr>
              </a:solidFill>
            </a:ln>
          </c:spPr>
          <c:marker>
            <c:symbol val="none"/>
          </c:marker>
          <c:cat>
            <c:strRef>
              <c:f>'3h. Segmental Volume Drivers'!$L$22:$O$22</c:f>
              <c:strCache>
                <c:ptCount val="4"/>
                <c:pt idx="0">
                  <c:v>2012A</c:v>
                </c:pt>
                <c:pt idx="1">
                  <c:v>2013A</c:v>
                </c:pt>
                <c:pt idx="2">
                  <c:v>2014A</c:v>
                </c:pt>
                <c:pt idx="3">
                  <c:v>2015A</c:v>
                </c:pt>
              </c:strCache>
            </c:strRef>
          </c:cat>
          <c:val>
            <c:numRef>
              <c:f>'3h. Segmental Volume Drivers'!$E$26:$O$26</c:f>
              <c:numCache>
                <c:formatCode>_-* #,##0_-;\-* #,##0_-;_-* "-"_-;_-@_-</c:formatCode>
                <c:ptCount val="4"/>
                <c:pt idx="0">
                  <c:v>7066.0</c:v>
                </c:pt>
                <c:pt idx="1">
                  <c:v>4149.0</c:v>
                </c:pt>
                <c:pt idx="2">
                  <c:v>9120.0</c:v>
                </c:pt>
                <c:pt idx="3">
                  <c:v>7600.0</c:v>
                </c:pt>
              </c:numCache>
            </c:numRef>
          </c:val>
          <c:smooth val="0"/>
        </c:ser>
        <c:ser>
          <c:idx val="2"/>
          <c:order val="2"/>
          <c:tx>
            <c:strRef>
              <c:f>'3h. Segmental Volume Drivers'!$D$29</c:f>
              <c:strCache>
                <c:ptCount val="1"/>
                <c:pt idx="0">
                  <c:v>Other than Oceana Quota</c:v>
                </c:pt>
              </c:strCache>
            </c:strRef>
          </c:tx>
          <c:spPr>
            <a:ln>
              <a:solidFill>
                <a:schemeClr val="accent1">
                  <a:lumMod val="20000"/>
                  <a:lumOff val="80000"/>
                </a:schemeClr>
              </a:solidFill>
            </a:ln>
          </c:spPr>
          <c:marker>
            <c:symbol val="none"/>
          </c:marker>
          <c:cat>
            <c:strRef>
              <c:f>'3h. Segmental Volume Drivers'!$L$22:$O$22</c:f>
              <c:strCache>
                <c:ptCount val="4"/>
                <c:pt idx="0">
                  <c:v>2012A</c:v>
                </c:pt>
                <c:pt idx="1">
                  <c:v>2013A</c:v>
                </c:pt>
                <c:pt idx="2">
                  <c:v>2014A</c:v>
                </c:pt>
                <c:pt idx="3">
                  <c:v>2015A</c:v>
                </c:pt>
              </c:strCache>
            </c:strRef>
          </c:cat>
          <c:val>
            <c:numRef>
              <c:f>'3h. Segmental Volume Drivers'!$E$29:$O$29</c:f>
              <c:numCache>
                <c:formatCode>_-* #,##0_-;\-* #,##0_-;_-* "-"_-;_-@_-</c:formatCode>
                <c:ptCount val="4"/>
                <c:pt idx="0">
                  <c:v>14022.0</c:v>
                </c:pt>
                <c:pt idx="1">
                  <c:v>12876.0</c:v>
                </c:pt>
                <c:pt idx="2">
                  <c:v>14640.0</c:v>
                </c:pt>
                <c:pt idx="3">
                  <c:v>12200.0</c:v>
                </c:pt>
              </c:numCache>
            </c:numRef>
          </c:val>
          <c:smooth val="0"/>
        </c:ser>
        <c:ser>
          <c:idx val="3"/>
          <c:order val="3"/>
          <c:tx>
            <c:strRef>
              <c:f>'3h. Segmental Volume Drivers'!$D$32</c:f>
              <c:strCache>
                <c:ptCount val="1"/>
                <c:pt idx="0">
                  <c:v>Total</c:v>
                </c:pt>
              </c:strCache>
            </c:strRef>
          </c:tx>
          <c:spPr>
            <a:ln>
              <a:solidFill>
                <a:schemeClr val="tx2">
                  <a:lumMod val="50000"/>
                </a:schemeClr>
              </a:solidFill>
            </a:ln>
          </c:spPr>
          <c:marker>
            <c:symbol val="none"/>
          </c:marker>
          <c:cat>
            <c:strRef>
              <c:f>'3h. Segmental Volume Drivers'!$L$22:$O$22</c:f>
              <c:strCache>
                <c:ptCount val="4"/>
                <c:pt idx="0">
                  <c:v>2012A</c:v>
                </c:pt>
                <c:pt idx="1">
                  <c:v>2013A</c:v>
                </c:pt>
                <c:pt idx="2">
                  <c:v>2014A</c:v>
                </c:pt>
                <c:pt idx="3">
                  <c:v>2015A</c:v>
                </c:pt>
              </c:strCache>
            </c:strRef>
          </c:cat>
          <c:val>
            <c:numRef>
              <c:f>'3h. Segmental Volume Drivers'!$E$32:$O$32</c:f>
              <c:numCache>
                <c:formatCode>_-* #,##0_-;\-* #,##0_-;_-* "-"_-;_-@_-</c:formatCode>
                <c:ptCount val="4"/>
                <c:pt idx="0">
                  <c:v>31000.0</c:v>
                </c:pt>
                <c:pt idx="1">
                  <c:v>25000.0</c:v>
                </c:pt>
                <c:pt idx="2">
                  <c:v>30000.0</c:v>
                </c:pt>
                <c:pt idx="3">
                  <c:v>25000.0</c:v>
                </c:pt>
              </c:numCache>
            </c:numRef>
          </c:val>
          <c:smooth val="0"/>
        </c:ser>
        <c:ser>
          <c:idx val="4"/>
          <c:order val="4"/>
          <c:tx>
            <c:strRef>
              <c:f>'3h. Segmental Volume Drivers'!$D$34</c:f>
              <c:strCache>
                <c:ptCount val="1"/>
                <c:pt idx="0">
                  <c:v>Total Attributable to Oceana</c:v>
                </c:pt>
              </c:strCache>
            </c:strRef>
          </c:tx>
          <c:spPr>
            <a:ln>
              <a:solidFill>
                <a:schemeClr val="tx2">
                  <a:lumMod val="60000"/>
                  <a:lumOff val="40000"/>
                </a:schemeClr>
              </a:solidFill>
            </a:ln>
          </c:spPr>
          <c:marker>
            <c:symbol val="none"/>
          </c:marker>
          <c:cat>
            <c:strRef>
              <c:f>'3h. Segmental Volume Drivers'!$L$22:$O$22</c:f>
              <c:strCache>
                <c:ptCount val="4"/>
                <c:pt idx="0">
                  <c:v>2012A</c:v>
                </c:pt>
                <c:pt idx="1">
                  <c:v>2013A</c:v>
                </c:pt>
                <c:pt idx="2">
                  <c:v>2014A</c:v>
                </c:pt>
                <c:pt idx="3">
                  <c:v>2015A</c:v>
                </c:pt>
              </c:strCache>
            </c:strRef>
          </c:cat>
          <c:val>
            <c:numRef>
              <c:f>'3h. Segmental Volume Drivers'!$E$34:$O$34</c:f>
              <c:numCache>
                <c:formatCode>_-* #,##0_-;\-* #,##0_-;_-* "-"_-;_-@_-</c:formatCode>
                <c:ptCount val="4"/>
                <c:pt idx="0">
                  <c:v>16978.0</c:v>
                </c:pt>
                <c:pt idx="1">
                  <c:v>12124.0</c:v>
                </c:pt>
                <c:pt idx="2">
                  <c:v>15360.0</c:v>
                </c:pt>
                <c:pt idx="3">
                  <c:v>12800.0</c:v>
                </c:pt>
              </c:numCache>
            </c:numRef>
          </c:val>
          <c:smooth val="0"/>
        </c:ser>
        <c:dLbls>
          <c:showLegendKey val="0"/>
          <c:showVal val="0"/>
          <c:showCatName val="0"/>
          <c:showSerName val="0"/>
          <c:showPercent val="0"/>
          <c:showBubbleSize val="0"/>
        </c:dLbls>
        <c:marker val="1"/>
        <c:smooth val="0"/>
        <c:axId val="-2124701816"/>
        <c:axId val="-2125283832"/>
      </c:lineChart>
      <c:catAx>
        <c:axId val="-2124701816"/>
        <c:scaling>
          <c:orientation val="minMax"/>
        </c:scaling>
        <c:delete val="0"/>
        <c:axPos val="b"/>
        <c:numFmt formatCode="General" sourceLinked="1"/>
        <c:majorTickMark val="out"/>
        <c:minorTickMark val="none"/>
        <c:tickLblPos val="nextTo"/>
        <c:crossAx val="-2125283832"/>
        <c:crosses val="autoZero"/>
        <c:auto val="1"/>
        <c:lblAlgn val="ctr"/>
        <c:lblOffset val="100"/>
        <c:noMultiLvlLbl val="0"/>
      </c:catAx>
      <c:valAx>
        <c:axId val="-2125283832"/>
        <c:scaling>
          <c:orientation val="minMax"/>
        </c:scaling>
        <c:delete val="0"/>
        <c:axPos val="l"/>
        <c:majorGridlines/>
        <c:numFmt formatCode="_-* #,##0_-;\-* #,##0_-;_-* &quot;-&quot;_-;_-@_-" sourceLinked="1"/>
        <c:majorTickMark val="out"/>
        <c:minorTickMark val="none"/>
        <c:tickLblPos val="nextTo"/>
        <c:crossAx val="-2124701816"/>
        <c:crosses val="autoZero"/>
        <c:crossBetween val="between"/>
      </c:valAx>
    </c:plotArea>
    <c:legend>
      <c:legendPos val="r"/>
      <c:layout>
        <c:manualLayout>
          <c:xMode val="edge"/>
          <c:yMode val="edge"/>
          <c:x val="0.657259380973959"/>
          <c:y val="0.306943253968254"/>
          <c:w val="0.304999172451091"/>
          <c:h val="0.542714317340494"/>
        </c:manualLayout>
      </c:layout>
      <c:overlay val="0"/>
    </c:legend>
    <c:plotVisOnly val="1"/>
    <c:dispBlanksAs val="gap"/>
    <c:showDLblsOverMax val="0"/>
  </c:chart>
  <c:spPr>
    <a:ln>
      <a:noFill/>
    </a:ln>
  </c:spPr>
  <c:printSettings>
    <c:headerFooter/>
    <c:pageMargins b="1.0" l="0.75" r="0.75" t="1.0"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South African Anchovy - TAC (in tons)</a:t>
            </a:r>
          </a:p>
        </c:rich>
      </c:tx>
      <c:layout/>
      <c:overlay val="0"/>
    </c:title>
    <c:autoTitleDeleted val="0"/>
    <c:plotArea>
      <c:layout/>
      <c:lineChart>
        <c:grouping val="standard"/>
        <c:varyColors val="0"/>
        <c:ser>
          <c:idx val="0"/>
          <c:order val="0"/>
          <c:tx>
            <c:strRef>
              <c:f>'3h. Segmental Volume Drivers'!$D$39</c:f>
              <c:strCache>
                <c:ptCount val="1"/>
                <c:pt idx="0">
                  <c:v>Oceana's Own Quota</c:v>
                </c:pt>
              </c:strCache>
            </c:strRef>
          </c:tx>
          <c:spPr>
            <a:ln>
              <a:solidFill>
                <a:schemeClr val="tx2">
                  <a:lumMod val="20000"/>
                  <a:lumOff val="80000"/>
                </a:schemeClr>
              </a:solidFill>
            </a:ln>
          </c:spPr>
          <c:marker>
            <c:symbol val="none"/>
          </c:marker>
          <c:cat>
            <c:strRef>
              <c:f>'3h. Segmental Volume Drivers'!$L$38:$O$38</c:f>
              <c:strCache>
                <c:ptCount val="4"/>
                <c:pt idx="0">
                  <c:v>2012A</c:v>
                </c:pt>
                <c:pt idx="1">
                  <c:v>2013A</c:v>
                </c:pt>
                <c:pt idx="2">
                  <c:v>2014A</c:v>
                </c:pt>
                <c:pt idx="3">
                  <c:v>2015A</c:v>
                </c:pt>
              </c:strCache>
            </c:strRef>
          </c:cat>
          <c:val>
            <c:numRef>
              <c:f>'3h. Segmental Volume Drivers'!$E$39:$O$39</c:f>
              <c:numCache>
                <c:formatCode>_-* #,##0_-;\-* #,##0_-;_-* "-"_-;_-@_-</c:formatCode>
                <c:ptCount val="4"/>
                <c:pt idx="0">
                  <c:v>59100.0</c:v>
                </c:pt>
                <c:pt idx="1">
                  <c:v>77766.0</c:v>
                </c:pt>
                <c:pt idx="2">
                  <c:v>160001.0</c:v>
                </c:pt>
                <c:pt idx="3">
                  <c:v>211170.0</c:v>
                </c:pt>
              </c:numCache>
            </c:numRef>
          </c:val>
          <c:smooth val="0"/>
        </c:ser>
        <c:ser>
          <c:idx val="1"/>
          <c:order val="1"/>
          <c:tx>
            <c:strRef>
              <c:f>'3h. Segmental Volume Drivers'!$D$42</c:f>
              <c:strCache>
                <c:ptCount val="1"/>
                <c:pt idx="0">
                  <c:v>Oceana's Contracted Quota</c:v>
                </c:pt>
              </c:strCache>
            </c:strRef>
          </c:tx>
          <c:spPr>
            <a:ln>
              <a:solidFill>
                <a:schemeClr val="tx2">
                  <a:lumMod val="60000"/>
                  <a:lumOff val="40000"/>
                </a:schemeClr>
              </a:solidFill>
            </a:ln>
          </c:spPr>
          <c:marker>
            <c:symbol val="none"/>
          </c:marker>
          <c:cat>
            <c:strRef>
              <c:f>'3h. Segmental Volume Drivers'!$L$38:$O$38</c:f>
              <c:strCache>
                <c:ptCount val="4"/>
                <c:pt idx="0">
                  <c:v>2012A</c:v>
                </c:pt>
                <c:pt idx="1">
                  <c:v>2013A</c:v>
                </c:pt>
                <c:pt idx="2">
                  <c:v>2014A</c:v>
                </c:pt>
                <c:pt idx="3">
                  <c:v>2015A</c:v>
                </c:pt>
              </c:strCache>
            </c:strRef>
          </c:cat>
          <c:val>
            <c:numRef>
              <c:f>'3h. Segmental Volume Drivers'!$E$42:$O$42</c:f>
              <c:numCache>
                <c:formatCode>_-* #,##0_-;\-* #,##0_-;_-* "-"_-;_-@_-</c:formatCode>
                <c:ptCount val="4"/>
                <c:pt idx="0">
                  <c:v>59624.0</c:v>
                </c:pt>
                <c:pt idx="1">
                  <c:v>88256.0</c:v>
                </c:pt>
                <c:pt idx="2">
                  <c:v>108000.0</c:v>
                </c:pt>
                <c:pt idx="3">
                  <c:v>110250.0</c:v>
                </c:pt>
              </c:numCache>
            </c:numRef>
          </c:val>
          <c:smooth val="0"/>
        </c:ser>
        <c:ser>
          <c:idx val="2"/>
          <c:order val="2"/>
          <c:tx>
            <c:strRef>
              <c:f>'3h. Segmental Volume Drivers'!$D$45</c:f>
              <c:strCache>
                <c:ptCount val="1"/>
                <c:pt idx="0">
                  <c:v>Other than Oceana Quota</c:v>
                </c:pt>
              </c:strCache>
            </c:strRef>
          </c:tx>
          <c:spPr>
            <a:ln>
              <a:solidFill>
                <a:schemeClr val="accent5">
                  <a:lumMod val="60000"/>
                  <a:lumOff val="40000"/>
                </a:schemeClr>
              </a:solidFill>
            </a:ln>
          </c:spPr>
          <c:marker>
            <c:symbol val="none"/>
          </c:marker>
          <c:cat>
            <c:strRef>
              <c:f>'3h. Segmental Volume Drivers'!$L$38:$O$38</c:f>
              <c:strCache>
                <c:ptCount val="4"/>
                <c:pt idx="0">
                  <c:v>2012A</c:v>
                </c:pt>
                <c:pt idx="1">
                  <c:v>2013A</c:v>
                </c:pt>
                <c:pt idx="2">
                  <c:v>2014A</c:v>
                </c:pt>
                <c:pt idx="3">
                  <c:v>2015A</c:v>
                </c:pt>
              </c:strCache>
            </c:strRef>
          </c:cat>
          <c:val>
            <c:numRef>
              <c:f>'3h. Segmental Volume Drivers'!$E$45:$O$45</c:f>
              <c:numCache>
                <c:formatCode>_-* #,##0_-;\-* #,##0_-;_-* "-"_-;_-@_-</c:formatCode>
                <c:ptCount val="4"/>
                <c:pt idx="0">
                  <c:v>233944.0</c:v>
                </c:pt>
                <c:pt idx="1">
                  <c:v>283978.0</c:v>
                </c:pt>
                <c:pt idx="2">
                  <c:v>181999.0</c:v>
                </c:pt>
                <c:pt idx="3">
                  <c:v>128580.0</c:v>
                </c:pt>
              </c:numCache>
            </c:numRef>
          </c:val>
          <c:smooth val="0"/>
        </c:ser>
        <c:ser>
          <c:idx val="3"/>
          <c:order val="3"/>
          <c:tx>
            <c:strRef>
              <c:f>'3h. Segmental Volume Drivers'!$D$48</c:f>
              <c:strCache>
                <c:ptCount val="1"/>
                <c:pt idx="0">
                  <c:v>Total</c:v>
                </c:pt>
              </c:strCache>
            </c:strRef>
          </c:tx>
          <c:spPr>
            <a:ln>
              <a:solidFill>
                <a:schemeClr val="tx2">
                  <a:lumMod val="50000"/>
                </a:schemeClr>
              </a:solidFill>
            </a:ln>
          </c:spPr>
          <c:marker>
            <c:symbol val="none"/>
          </c:marker>
          <c:cat>
            <c:strRef>
              <c:f>'3h. Segmental Volume Drivers'!$L$38:$O$38</c:f>
              <c:strCache>
                <c:ptCount val="4"/>
                <c:pt idx="0">
                  <c:v>2012A</c:v>
                </c:pt>
                <c:pt idx="1">
                  <c:v>2013A</c:v>
                </c:pt>
                <c:pt idx="2">
                  <c:v>2014A</c:v>
                </c:pt>
                <c:pt idx="3">
                  <c:v>2015A</c:v>
                </c:pt>
              </c:strCache>
            </c:strRef>
          </c:cat>
          <c:val>
            <c:numRef>
              <c:f>'3h. Segmental Volume Drivers'!$E$48:$O$48</c:f>
              <c:numCache>
                <c:formatCode>_-* #,##0_-;\-* #,##0_-;_-* "-"_-;_-@_-</c:formatCode>
                <c:ptCount val="4"/>
                <c:pt idx="0">
                  <c:v>352668.0</c:v>
                </c:pt>
                <c:pt idx="1">
                  <c:v>450000.0</c:v>
                </c:pt>
                <c:pt idx="2">
                  <c:v>450000.0</c:v>
                </c:pt>
                <c:pt idx="3">
                  <c:v>450000.0</c:v>
                </c:pt>
              </c:numCache>
            </c:numRef>
          </c:val>
          <c:smooth val="0"/>
        </c:ser>
        <c:ser>
          <c:idx val="4"/>
          <c:order val="4"/>
          <c:tx>
            <c:strRef>
              <c:f>'3h. Segmental Volume Drivers'!$D$50</c:f>
              <c:strCache>
                <c:ptCount val="1"/>
                <c:pt idx="0">
                  <c:v>Total Attributable to Oceana</c:v>
                </c:pt>
              </c:strCache>
            </c:strRef>
          </c:tx>
          <c:spPr>
            <a:ln>
              <a:solidFill>
                <a:schemeClr val="accent5">
                  <a:lumMod val="75000"/>
                </a:schemeClr>
              </a:solidFill>
            </a:ln>
          </c:spPr>
          <c:marker>
            <c:symbol val="none"/>
          </c:marker>
          <c:cat>
            <c:strRef>
              <c:f>'3h. Segmental Volume Drivers'!$L$38:$O$38</c:f>
              <c:strCache>
                <c:ptCount val="4"/>
                <c:pt idx="0">
                  <c:v>2012A</c:v>
                </c:pt>
                <c:pt idx="1">
                  <c:v>2013A</c:v>
                </c:pt>
                <c:pt idx="2">
                  <c:v>2014A</c:v>
                </c:pt>
                <c:pt idx="3">
                  <c:v>2015A</c:v>
                </c:pt>
              </c:strCache>
            </c:strRef>
          </c:cat>
          <c:val>
            <c:numRef>
              <c:f>'3h. Segmental Volume Drivers'!$E$50:$O$50</c:f>
              <c:numCache>
                <c:formatCode>_-* #,##0_-;\-* #,##0_-;_-* "-"_-;_-@_-</c:formatCode>
                <c:ptCount val="4"/>
                <c:pt idx="0">
                  <c:v>118724.0</c:v>
                </c:pt>
                <c:pt idx="1">
                  <c:v>166022.0</c:v>
                </c:pt>
                <c:pt idx="2">
                  <c:v>268001.0</c:v>
                </c:pt>
                <c:pt idx="3">
                  <c:v>321420.0</c:v>
                </c:pt>
              </c:numCache>
            </c:numRef>
          </c:val>
          <c:smooth val="0"/>
        </c:ser>
        <c:dLbls>
          <c:showLegendKey val="0"/>
          <c:showVal val="0"/>
          <c:showCatName val="0"/>
          <c:showSerName val="0"/>
          <c:showPercent val="0"/>
          <c:showBubbleSize val="0"/>
        </c:dLbls>
        <c:marker val="1"/>
        <c:smooth val="0"/>
        <c:axId val="-2125367208"/>
        <c:axId val="2105972168"/>
      </c:lineChart>
      <c:catAx>
        <c:axId val="-2125367208"/>
        <c:scaling>
          <c:orientation val="minMax"/>
        </c:scaling>
        <c:delete val="0"/>
        <c:axPos val="b"/>
        <c:numFmt formatCode="General" sourceLinked="1"/>
        <c:majorTickMark val="out"/>
        <c:minorTickMark val="none"/>
        <c:tickLblPos val="nextTo"/>
        <c:crossAx val="2105972168"/>
        <c:crosses val="autoZero"/>
        <c:auto val="1"/>
        <c:lblAlgn val="ctr"/>
        <c:lblOffset val="100"/>
        <c:noMultiLvlLbl val="0"/>
      </c:catAx>
      <c:valAx>
        <c:axId val="2105972168"/>
        <c:scaling>
          <c:orientation val="minMax"/>
        </c:scaling>
        <c:delete val="0"/>
        <c:axPos val="l"/>
        <c:majorGridlines/>
        <c:numFmt formatCode="_-* #,##0_-;\-* #,##0_-;_-* &quot;-&quot;_-;_-@_-" sourceLinked="1"/>
        <c:majorTickMark val="out"/>
        <c:minorTickMark val="none"/>
        <c:tickLblPos val="nextTo"/>
        <c:crossAx val="-2125367208"/>
        <c:crosses val="autoZero"/>
        <c:crossBetween val="between"/>
      </c:valAx>
    </c:plotArea>
    <c:legend>
      <c:legendPos val="r"/>
      <c:layout/>
      <c:overlay val="0"/>
    </c:legend>
    <c:plotVisOnly val="1"/>
    <c:dispBlanksAs val="gap"/>
    <c:showDLblsOverMax val="0"/>
  </c:chart>
  <c:spPr>
    <a:ln>
      <a:noFill/>
    </a:ln>
  </c:spPr>
  <c:printSettings>
    <c:headerFooter/>
    <c:pageMargins b="1.0" l="0.75" r="0.75" t="1.0"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South African Horse Mackerel</a:t>
            </a:r>
            <a:r>
              <a:rPr lang="en-US" sz="1400" baseline="0"/>
              <a:t> - TAC</a:t>
            </a:r>
            <a:r>
              <a:rPr lang="en-US" sz="1400"/>
              <a:t> (in tons)</a:t>
            </a:r>
          </a:p>
        </c:rich>
      </c:tx>
      <c:layout/>
      <c:overlay val="0"/>
    </c:title>
    <c:autoTitleDeleted val="0"/>
    <c:plotArea>
      <c:layout>
        <c:manualLayout>
          <c:layoutTarget val="inner"/>
          <c:xMode val="edge"/>
          <c:yMode val="edge"/>
          <c:x val="0.0959695836718323"/>
          <c:y val="0.138461538461538"/>
          <c:w val="0.521931874643137"/>
          <c:h val="0.745590248334343"/>
        </c:manualLayout>
      </c:layout>
      <c:lineChart>
        <c:grouping val="standard"/>
        <c:varyColors val="0"/>
        <c:ser>
          <c:idx val="0"/>
          <c:order val="0"/>
          <c:tx>
            <c:strRef>
              <c:f>'3h. Segmental Volume Drivers'!$D$111</c:f>
              <c:strCache>
                <c:ptCount val="1"/>
                <c:pt idx="0">
                  <c:v>Oceana's Own Quota</c:v>
                </c:pt>
              </c:strCache>
            </c:strRef>
          </c:tx>
          <c:spPr>
            <a:ln>
              <a:solidFill>
                <a:schemeClr val="tx2">
                  <a:lumMod val="40000"/>
                  <a:lumOff val="6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Drivers'!$E$111:$O$111</c:f>
              <c:numCache>
                <c:formatCode>_-* #,##0_-;\-* #,##0_-;_-* "-"_-;_-@_-</c:formatCode>
                <c:ptCount val="4"/>
                <c:pt idx="0">
                  <c:v>10942.0</c:v>
                </c:pt>
                <c:pt idx="1">
                  <c:v>12035.0</c:v>
                </c:pt>
                <c:pt idx="2">
                  <c:v>13239.0</c:v>
                </c:pt>
                <c:pt idx="3">
                  <c:v>15103.0</c:v>
                </c:pt>
              </c:numCache>
            </c:numRef>
          </c:val>
          <c:smooth val="0"/>
        </c:ser>
        <c:ser>
          <c:idx val="1"/>
          <c:order val="1"/>
          <c:tx>
            <c:strRef>
              <c:f>'3h. Segmental Volume Drivers'!$D$114</c:f>
              <c:strCache>
                <c:ptCount val="1"/>
                <c:pt idx="0">
                  <c:v>Oceana's Contracted Quota</c:v>
                </c:pt>
              </c:strCache>
            </c:strRef>
          </c:tx>
          <c:spPr>
            <a:ln>
              <a:solidFill>
                <a:schemeClr val="accent1">
                  <a:lumMod val="20000"/>
                  <a:lumOff val="8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Drivers'!$E$114:$O$114</c:f>
              <c:numCache>
                <c:formatCode>_-* #,##0_-;\-* #,##0_-;_-* "-"_-;_-@_-</c:formatCode>
                <c:ptCount val="4"/>
                <c:pt idx="0">
                  <c:v>15307.0</c:v>
                </c:pt>
                <c:pt idx="1">
                  <c:v>13589.0</c:v>
                </c:pt>
                <c:pt idx="2">
                  <c:v>11435.0</c:v>
                </c:pt>
                <c:pt idx="3">
                  <c:v>10000.0</c:v>
                </c:pt>
              </c:numCache>
            </c:numRef>
          </c:val>
          <c:smooth val="0"/>
        </c:ser>
        <c:ser>
          <c:idx val="2"/>
          <c:order val="2"/>
          <c:tx>
            <c:strRef>
              <c:f>'3h. Segmental Volume Drivers'!$D$117</c:f>
              <c:strCache>
                <c:ptCount val="1"/>
                <c:pt idx="0">
                  <c:v>Other than Oceana Quota</c:v>
                </c:pt>
              </c:strCache>
            </c:strRef>
          </c:tx>
          <c:spPr>
            <a:ln>
              <a:solidFill>
                <a:schemeClr val="tx2">
                  <a:lumMod val="60000"/>
                  <a:lumOff val="4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Drivers'!$E$117:$O$117</c:f>
              <c:numCache>
                <c:formatCode>_-* #,##0_-;\-* #,##0_-;_-* "-"_-;_-@_-</c:formatCode>
                <c:ptCount val="4"/>
                <c:pt idx="0">
                  <c:v>5251.0</c:v>
                </c:pt>
                <c:pt idx="1">
                  <c:v>9026.0</c:v>
                </c:pt>
                <c:pt idx="2">
                  <c:v>13442.0</c:v>
                </c:pt>
                <c:pt idx="3">
                  <c:v>16824.0</c:v>
                </c:pt>
              </c:numCache>
            </c:numRef>
          </c:val>
          <c:smooth val="0"/>
        </c:ser>
        <c:ser>
          <c:idx val="3"/>
          <c:order val="3"/>
          <c:tx>
            <c:strRef>
              <c:f>'3h. Segmental Volume Drivers'!$D$120</c:f>
              <c:strCache>
                <c:ptCount val="1"/>
                <c:pt idx="0">
                  <c:v>Total</c:v>
                </c:pt>
              </c:strCache>
            </c:strRef>
          </c:tx>
          <c:spPr>
            <a:ln>
              <a:solidFill>
                <a:srgbClr val="10253F"/>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Drivers'!$E$120:$O$120</c:f>
              <c:numCache>
                <c:formatCode>_-* #,##0_-;\-* #,##0_-;_-* "-"_-;_-@_-</c:formatCode>
                <c:ptCount val="4"/>
                <c:pt idx="0">
                  <c:v>31500.0</c:v>
                </c:pt>
                <c:pt idx="1">
                  <c:v>34650.0</c:v>
                </c:pt>
                <c:pt idx="2">
                  <c:v>38116.0</c:v>
                </c:pt>
                <c:pt idx="3">
                  <c:v>41927.0</c:v>
                </c:pt>
              </c:numCache>
            </c:numRef>
          </c:val>
          <c:smooth val="0"/>
        </c:ser>
        <c:ser>
          <c:idx val="4"/>
          <c:order val="4"/>
          <c:tx>
            <c:strRef>
              <c:f>'3h. Segmental Volume Drivers'!$D$122</c:f>
              <c:strCache>
                <c:ptCount val="1"/>
                <c:pt idx="0">
                  <c:v>Total Attributable to Oceana</c:v>
                </c:pt>
              </c:strCache>
            </c:strRef>
          </c:tx>
          <c:spPr>
            <a:ln>
              <a:solidFill>
                <a:schemeClr val="accent1">
                  <a:lumMod val="75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Drivers'!$E$122:$O$122</c:f>
              <c:numCache>
                <c:formatCode>_-* #,##0_-;\-* #,##0_-;_-* "-"_-;_-@_-</c:formatCode>
                <c:ptCount val="4"/>
                <c:pt idx="0">
                  <c:v>26249.0</c:v>
                </c:pt>
                <c:pt idx="1">
                  <c:v>25624.0</c:v>
                </c:pt>
                <c:pt idx="2">
                  <c:v>24674.0</c:v>
                </c:pt>
                <c:pt idx="3">
                  <c:v>25103.0</c:v>
                </c:pt>
              </c:numCache>
            </c:numRef>
          </c:val>
          <c:smooth val="0"/>
        </c:ser>
        <c:dLbls>
          <c:showLegendKey val="0"/>
          <c:showVal val="0"/>
          <c:showCatName val="0"/>
          <c:showSerName val="0"/>
          <c:showPercent val="0"/>
          <c:showBubbleSize val="0"/>
        </c:dLbls>
        <c:marker val="1"/>
        <c:smooth val="0"/>
        <c:axId val="-2108323912"/>
        <c:axId val="-2108320856"/>
      </c:lineChart>
      <c:catAx>
        <c:axId val="-2108323912"/>
        <c:scaling>
          <c:orientation val="minMax"/>
        </c:scaling>
        <c:delete val="0"/>
        <c:axPos val="b"/>
        <c:numFmt formatCode="_-* #,##0_-;\-* #,##0_-;_-* &quot;-&quot;_-;_-@_-" sourceLinked="1"/>
        <c:majorTickMark val="out"/>
        <c:minorTickMark val="none"/>
        <c:tickLblPos val="nextTo"/>
        <c:crossAx val="-2108320856"/>
        <c:crosses val="autoZero"/>
        <c:auto val="1"/>
        <c:lblAlgn val="ctr"/>
        <c:lblOffset val="100"/>
        <c:noMultiLvlLbl val="0"/>
      </c:catAx>
      <c:valAx>
        <c:axId val="-2108320856"/>
        <c:scaling>
          <c:orientation val="minMax"/>
        </c:scaling>
        <c:delete val="0"/>
        <c:axPos val="l"/>
        <c:majorGridlines/>
        <c:numFmt formatCode="_-* #,##0_-;\-* #,##0_-;_-* &quot;-&quot;_-;_-@_-" sourceLinked="1"/>
        <c:majorTickMark val="out"/>
        <c:minorTickMark val="none"/>
        <c:tickLblPos val="nextTo"/>
        <c:crossAx val="-2108323912"/>
        <c:crosses val="autoZero"/>
        <c:crossBetween val="between"/>
      </c:valAx>
    </c:plotArea>
    <c:legend>
      <c:legendPos val="r"/>
      <c:layout>
        <c:manualLayout>
          <c:xMode val="edge"/>
          <c:yMode val="edge"/>
          <c:x val="0.657490898844823"/>
          <c:y val="0.144971835251363"/>
          <c:w val="0.324913794253019"/>
          <c:h val="0.813132949727438"/>
        </c:manualLayout>
      </c:layout>
      <c:overlay val="0"/>
    </c:legend>
    <c:plotVisOnly val="1"/>
    <c:dispBlanksAs val="gap"/>
    <c:showDLblsOverMax val="0"/>
  </c:chart>
  <c:spPr>
    <a:ln>
      <a:noFill/>
    </a:ln>
  </c:spPr>
  <c:printSettings>
    <c:headerFooter/>
    <c:pageMargins b="1.0" l="0.75" r="0.75" t="1.0"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South African Hake</a:t>
            </a:r>
            <a:r>
              <a:rPr lang="en-US" sz="1400" baseline="0"/>
              <a:t> - TAC (in tons)</a:t>
            </a:r>
            <a:endParaRPr lang="en-US" sz="1400"/>
          </a:p>
        </c:rich>
      </c:tx>
      <c:layout/>
      <c:overlay val="0"/>
    </c:title>
    <c:autoTitleDeleted val="0"/>
    <c:plotArea>
      <c:layout/>
      <c:lineChart>
        <c:grouping val="standard"/>
        <c:varyColors val="0"/>
        <c:ser>
          <c:idx val="0"/>
          <c:order val="0"/>
          <c:tx>
            <c:strRef>
              <c:f>'3h. Segmental Volume Drivers'!$D$143</c:f>
              <c:strCache>
                <c:ptCount val="1"/>
                <c:pt idx="0">
                  <c:v>Oceana's Own Quota</c:v>
                </c:pt>
              </c:strCache>
            </c:strRef>
          </c:tx>
          <c:marker>
            <c:symbol val="none"/>
          </c:marker>
          <c:cat>
            <c:strRef>
              <c:f>'3h. Segmental Volume Drivers'!$E$110:$O$110</c:f>
              <c:strCache>
                <c:ptCount val="4"/>
                <c:pt idx="0">
                  <c:v>2012A</c:v>
                </c:pt>
                <c:pt idx="1">
                  <c:v>2013A</c:v>
                </c:pt>
                <c:pt idx="2">
                  <c:v>2014A</c:v>
                </c:pt>
                <c:pt idx="3">
                  <c:v>2015A</c:v>
                </c:pt>
              </c:strCache>
            </c:strRef>
          </c:cat>
          <c:val>
            <c:numRef>
              <c:f>'3h. Segmental Volume Drivers'!$E$143:$O$143</c:f>
              <c:numCache>
                <c:formatCode>_-* #,##0_-;\-* #,##0_-;_-* "-"_-;_-@_-</c:formatCode>
                <c:ptCount val="4"/>
                <c:pt idx="0">
                  <c:v>4314.0</c:v>
                </c:pt>
                <c:pt idx="1">
                  <c:v>7826.0</c:v>
                </c:pt>
                <c:pt idx="2">
                  <c:v>7783.0</c:v>
                </c:pt>
                <c:pt idx="3">
                  <c:v>13444.0</c:v>
                </c:pt>
              </c:numCache>
            </c:numRef>
          </c:val>
          <c:smooth val="0"/>
        </c:ser>
        <c:ser>
          <c:idx val="1"/>
          <c:order val="1"/>
          <c:tx>
            <c:strRef>
              <c:f>'3h. Segmental Volume Drivers'!$D$146</c:f>
              <c:strCache>
                <c:ptCount val="1"/>
                <c:pt idx="0">
                  <c:v>Oceana's Contracted Quota</c:v>
                </c:pt>
              </c:strCache>
            </c:strRef>
          </c:tx>
          <c:spPr>
            <a:ln>
              <a:solidFill>
                <a:schemeClr val="tx2">
                  <a:lumMod val="40000"/>
                  <a:lumOff val="6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Drivers'!$E$146:$O$146</c:f>
              <c:numCache>
                <c:formatCode>_-* #,##0_-;\-* #,##0_-;_-* "-"_-;_-@_-</c:formatCode>
                <c:ptCount val="4"/>
                <c:pt idx="0">
                  <c:v>2778.0</c:v>
                </c:pt>
                <c:pt idx="1">
                  <c:v>2858.0</c:v>
                </c:pt>
                <c:pt idx="2">
                  <c:v>2591.0</c:v>
                </c:pt>
                <c:pt idx="3">
                  <c:v>2460.0</c:v>
                </c:pt>
              </c:numCache>
            </c:numRef>
          </c:val>
          <c:smooth val="0"/>
        </c:ser>
        <c:ser>
          <c:idx val="2"/>
          <c:order val="2"/>
          <c:tx>
            <c:strRef>
              <c:f>'3h. Segmental Volume Drivers'!$D$149</c:f>
              <c:strCache>
                <c:ptCount val="1"/>
                <c:pt idx="0">
                  <c:v>Other than Oceana Quota</c:v>
                </c:pt>
              </c:strCache>
            </c:strRef>
          </c:tx>
          <c:spPr>
            <a:ln>
              <a:solidFill>
                <a:schemeClr val="accent1">
                  <a:lumMod val="75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Drivers'!$E$149:$O$149</c:f>
              <c:numCache>
                <c:formatCode>_-* #,##0_-;\-* #,##0_-;_-* "-"_-;_-@_-</c:formatCode>
                <c:ptCount val="4"/>
                <c:pt idx="0">
                  <c:v>129810.0</c:v>
                </c:pt>
                <c:pt idx="1">
                  <c:v>119353.0</c:v>
                </c:pt>
                <c:pt idx="2">
                  <c:v>119194.0</c:v>
                </c:pt>
                <c:pt idx="3">
                  <c:v>107116.0</c:v>
                </c:pt>
              </c:numCache>
            </c:numRef>
          </c:val>
          <c:smooth val="0"/>
        </c:ser>
        <c:ser>
          <c:idx val="3"/>
          <c:order val="3"/>
          <c:tx>
            <c:strRef>
              <c:f>'3h. Segmental Volume Drivers'!$D$152</c:f>
              <c:strCache>
                <c:ptCount val="1"/>
                <c:pt idx="0">
                  <c:v>Total</c:v>
                </c:pt>
              </c:strCache>
            </c:strRef>
          </c:tx>
          <c:spPr>
            <a:ln>
              <a:solidFill>
                <a:schemeClr val="tx2">
                  <a:lumMod val="5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Drivers'!$E$152:$O$152</c:f>
              <c:numCache>
                <c:formatCode>_-* #,##0_-;\-* #,##0_-;_-* "-"_-;_-@_-</c:formatCode>
                <c:ptCount val="4"/>
                <c:pt idx="0">
                  <c:v>136902.0</c:v>
                </c:pt>
                <c:pt idx="1">
                  <c:v>130037.0</c:v>
                </c:pt>
                <c:pt idx="2">
                  <c:v>129568.0</c:v>
                </c:pt>
                <c:pt idx="3">
                  <c:v>123020.0</c:v>
                </c:pt>
              </c:numCache>
            </c:numRef>
          </c:val>
          <c:smooth val="0"/>
        </c:ser>
        <c:ser>
          <c:idx val="4"/>
          <c:order val="4"/>
          <c:tx>
            <c:strRef>
              <c:f>'3h. Segmental Volume Drivers'!$D$154</c:f>
              <c:strCache>
                <c:ptCount val="1"/>
                <c:pt idx="0">
                  <c:v>Total Attributable to Oceana</c:v>
                </c:pt>
              </c:strCache>
            </c:strRef>
          </c:tx>
          <c:spPr>
            <a:ln>
              <a:solidFill>
                <a:schemeClr val="accent5">
                  <a:lumMod val="75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Drivers'!$E$154:$O$154</c:f>
              <c:numCache>
                <c:formatCode>_-* #,##0_-;\-* #,##0_-;_-* "-"_-;_-@_-</c:formatCode>
                <c:ptCount val="4"/>
                <c:pt idx="0">
                  <c:v>7092.0</c:v>
                </c:pt>
                <c:pt idx="1">
                  <c:v>10684.0</c:v>
                </c:pt>
                <c:pt idx="2">
                  <c:v>10374.0</c:v>
                </c:pt>
                <c:pt idx="3">
                  <c:v>15904.0</c:v>
                </c:pt>
              </c:numCache>
            </c:numRef>
          </c:val>
          <c:smooth val="0"/>
        </c:ser>
        <c:dLbls>
          <c:showLegendKey val="0"/>
          <c:showVal val="0"/>
          <c:showCatName val="0"/>
          <c:showSerName val="0"/>
          <c:showPercent val="0"/>
          <c:showBubbleSize val="0"/>
        </c:dLbls>
        <c:marker val="1"/>
        <c:smooth val="0"/>
        <c:axId val="2119087720"/>
        <c:axId val="2118750504"/>
      </c:lineChart>
      <c:catAx>
        <c:axId val="2119087720"/>
        <c:scaling>
          <c:orientation val="minMax"/>
        </c:scaling>
        <c:delete val="0"/>
        <c:axPos val="b"/>
        <c:numFmt formatCode="_-* #,##0_-;\-* #,##0_-;_-* &quot;-&quot;_-;_-@_-" sourceLinked="1"/>
        <c:majorTickMark val="out"/>
        <c:minorTickMark val="none"/>
        <c:tickLblPos val="nextTo"/>
        <c:crossAx val="2118750504"/>
        <c:crosses val="autoZero"/>
        <c:auto val="1"/>
        <c:lblAlgn val="ctr"/>
        <c:lblOffset val="100"/>
        <c:noMultiLvlLbl val="0"/>
      </c:catAx>
      <c:valAx>
        <c:axId val="2118750504"/>
        <c:scaling>
          <c:orientation val="minMax"/>
        </c:scaling>
        <c:delete val="0"/>
        <c:axPos val="l"/>
        <c:majorGridlines/>
        <c:numFmt formatCode="_-* #,##0_-;\-* #,##0_-;_-* &quot;-&quot;_-;_-@_-" sourceLinked="1"/>
        <c:majorTickMark val="out"/>
        <c:minorTickMark val="none"/>
        <c:tickLblPos val="nextTo"/>
        <c:crossAx val="2119087720"/>
        <c:crosses val="autoZero"/>
        <c:crossBetween val="between"/>
      </c:valAx>
    </c:plotArea>
    <c:legend>
      <c:legendPos val="r"/>
      <c:layout>
        <c:manualLayout>
          <c:xMode val="edge"/>
          <c:yMode val="edge"/>
          <c:x val="0.657492915592727"/>
          <c:y val="0.15176065808526"/>
          <c:w val="0.324911881109073"/>
          <c:h val="0.810678572474552"/>
        </c:manualLayout>
      </c:layout>
      <c:overlay val="0"/>
    </c:legend>
    <c:plotVisOnly val="1"/>
    <c:dispBlanksAs val="gap"/>
    <c:showDLblsOverMax val="0"/>
  </c:chart>
  <c:spPr>
    <a:ln>
      <a:noFill/>
    </a:ln>
  </c:spPr>
  <c:printSettings>
    <c:headerFooter/>
    <c:pageMargins b="1.0" l="0.75" r="0.75" t="1.0"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Lobster</a:t>
            </a:r>
            <a:r>
              <a:rPr lang="en-US" sz="1400" baseline="0"/>
              <a:t> - TAC (in tons)</a:t>
            </a:r>
            <a:endParaRPr lang="en-US" sz="1400"/>
          </a:p>
        </c:rich>
      </c:tx>
      <c:layout/>
      <c:overlay val="0"/>
    </c:title>
    <c:autoTitleDeleted val="0"/>
    <c:plotArea>
      <c:layout/>
      <c:lineChart>
        <c:grouping val="standard"/>
        <c:varyColors val="0"/>
        <c:ser>
          <c:idx val="0"/>
          <c:order val="0"/>
          <c:tx>
            <c:strRef>
              <c:f>'3h. Segmental Volume Drivers'!$D$55</c:f>
              <c:strCache>
                <c:ptCount val="1"/>
                <c:pt idx="0">
                  <c:v>Oceana's Own Quota</c:v>
                </c:pt>
              </c:strCache>
            </c:strRef>
          </c:tx>
          <c:spPr>
            <a:ln>
              <a:solidFill>
                <a:schemeClr val="accent1">
                  <a:lumMod val="75000"/>
                </a:schemeClr>
              </a:solidFill>
            </a:ln>
          </c:spPr>
          <c:marker>
            <c:symbol val="none"/>
          </c:marker>
          <c:cat>
            <c:strRef>
              <c:f>'3h. Segmental Volume Drivers'!$E$54:$O$54</c:f>
              <c:strCache>
                <c:ptCount val="4"/>
                <c:pt idx="0">
                  <c:v>2012A</c:v>
                </c:pt>
                <c:pt idx="1">
                  <c:v>2013A</c:v>
                </c:pt>
                <c:pt idx="2">
                  <c:v>2014A</c:v>
                </c:pt>
                <c:pt idx="3">
                  <c:v>2015A</c:v>
                </c:pt>
              </c:strCache>
            </c:strRef>
          </c:cat>
          <c:val>
            <c:numRef>
              <c:f>'3h. Segmental Volume Drivers'!$E$55:$O$55</c:f>
              <c:numCache>
                <c:formatCode>_-* #,##0_-;\-* #,##0_-;_-* "-"_-;_-@_-</c:formatCode>
                <c:ptCount val="4"/>
                <c:pt idx="0">
                  <c:v>327.0</c:v>
                </c:pt>
                <c:pt idx="1">
                  <c:v>328.0</c:v>
                </c:pt>
                <c:pt idx="2">
                  <c:v>288.0</c:v>
                </c:pt>
                <c:pt idx="3">
                  <c:v>238.0</c:v>
                </c:pt>
              </c:numCache>
            </c:numRef>
          </c:val>
          <c:smooth val="0"/>
        </c:ser>
        <c:ser>
          <c:idx val="1"/>
          <c:order val="1"/>
          <c:tx>
            <c:strRef>
              <c:f>'3h. Segmental Volume Drivers'!$D$58</c:f>
              <c:strCache>
                <c:ptCount val="1"/>
                <c:pt idx="0">
                  <c:v>Oceana's Contracted Quota</c:v>
                </c:pt>
              </c:strCache>
            </c:strRef>
          </c:tx>
          <c:spPr>
            <a:ln>
              <a:solidFill>
                <a:schemeClr val="accent5">
                  <a:lumMod val="75000"/>
                </a:schemeClr>
              </a:solidFill>
            </a:ln>
          </c:spPr>
          <c:marker>
            <c:symbol val="none"/>
          </c:marker>
          <c:cat>
            <c:strRef>
              <c:f>'3h. Segmental Volume Drivers'!$E$54:$O$54</c:f>
              <c:strCache>
                <c:ptCount val="4"/>
                <c:pt idx="0">
                  <c:v>2012A</c:v>
                </c:pt>
                <c:pt idx="1">
                  <c:v>2013A</c:v>
                </c:pt>
                <c:pt idx="2">
                  <c:v>2014A</c:v>
                </c:pt>
                <c:pt idx="3">
                  <c:v>2015A</c:v>
                </c:pt>
              </c:strCache>
            </c:strRef>
          </c:cat>
          <c:val>
            <c:numRef>
              <c:f>'3h. Segmental Volume Drivers'!$E$58:$O$58</c:f>
              <c:numCache>
                <c:formatCode>_-* #,##0_-;\-* #,##0_-;_-* "-"_-;_-@_-</c:formatCode>
                <c:ptCount val="4"/>
                <c:pt idx="0">
                  <c:v>201.0</c:v>
                </c:pt>
                <c:pt idx="1">
                  <c:v>180.0</c:v>
                </c:pt>
                <c:pt idx="2">
                  <c:v>324.0</c:v>
                </c:pt>
                <c:pt idx="3">
                  <c:v>208.0</c:v>
                </c:pt>
              </c:numCache>
            </c:numRef>
          </c:val>
          <c:smooth val="0"/>
        </c:ser>
        <c:ser>
          <c:idx val="2"/>
          <c:order val="2"/>
          <c:tx>
            <c:strRef>
              <c:f>'3h. Segmental Volume Drivers'!$D$61</c:f>
              <c:strCache>
                <c:ptCount val="1"/>
                <c:pt idx="0">
                  <c:v>Other than Oceana Quota</c:v>
                </c:pt>
              </c:strCache>
            </c:strRef>
          </c:tx>
          <c:spPr>
            <a:ln>
              <a:solidFill>
                <a:schemeClr val="accent1">
                  <a:lumMod val="40000"/>
                  <a:lumOff val="60000"/>
                </a:schemeClr>
              </a:solidFill>
            </a:ln>
          </c:spPr>
          <c:marker>
            <c:symbol val="none"/>
          </c:marker>
          <c:cat>
            <c:strRef>
              <c:f>'3h. Segmental Volume Drivers'!$E$54:$O$54</c:f>
              <c:strCache>
                <c:ptCount val="4"/>
                <c:pt idx="0">
                  <c:v>2012A</c:v>
                </c:pt>
                <c:pt idx="1">
                  <c:v>2013A</c:v>
                </c:pt>
                <c:pt idx="2">
                  <c:v>2014A</c:v>
                </c:pt>
                <c:pt idx="3">
                  <c:v>2015A</c:v>
                </c:pt>
              </c:strCache>
            </c:strRef>
          </c:cat>
          <c:val>
            <c:numRef>
              <c:f>'3h. Segmental Volume Drivers'!$E$61:$O$61</c:f>
              <c:numCache>
                <c:formatCode>_-* #,##0_-;\-* #,##0_-;_-* "-"_-;_-@_-</c:formatCode>
                <c:ptCount val="4"/>
                <c:pt idx="0">
                  <c:v>1897.0</c:v>
                </c:pt>
                <c:pt idx="1">
                  <c:v>1924.0</c:v>
                </c:pt>
                <c:pt idx="2">
                  <c:v>1555.0</c:v>
                </c:pt>
                <c:pt idx="3">
                  <c:v>1355.0</c:v>
                </c:pt>
              </c:numCache>
            </c:numRef>
          </c:val>
          <c:smooth val="0"/>
        </c:ser>
        <c:ser>
          <c:idx val="3"/>
          <c:order val="3"/>
          <c:tx>
            <c:strRef>
              <c:f>'3h. Segmental Volume Drivers'!$D$64</c:f>
              <c:strCache>
                <c:ptCount val="1"/>
                <c:pt idx="0">
                  <c:v>Total</c:v>
                </c:pt>
              </c:strCache>
            </c:strRef>
          </c:tx>
          <c:spPr>
            <a:ln>
              <a:solidFill>
                <a:srgbClr val="10253F"/>
              </a:solidFill>
            </a:ln>
          </c:spPr>
          <c:marker>
            <c:symbol val="none"/>
          </c:marker>
          <c:cat>
            <c:strRef>
              <c:f>'3h. Segmental Volume Drivers'!$E$54:$O$54</c:f>
              <c:strCache>
                <c:ptCount val="4"/>
                <c:pt idx="0">
                  <c:v>2012A</c:v>
                </c:pt>
                <c:pt idx="1">
                  <c:v>2013A</c:v>
                </c:pt>
                <c:pt idx="2">
                  <c:v>2014A</c:v>
                </c:pt>
                <c:pt idx="3">
                  <c:v>2015A</c:v>
                </c:pt>
              </c:strCache>
            </c:strRef>
          </c:cat>
          <c:val>
            <c:numRef>
              <c:f>'3h. Segmental Volume Drivers'!$E$64:$O$64</c:f>
              <c:numCache>
                <c:formatCode>_-* #,##0_-;\-* #,##0_-;_-* "-"_-;_-@_-</c:formatCode>
                <c:ptCount val="4"/>
                <c:pt idx="0">
                  <c:v>2425.0</c:v>
                </c:pt>
                <c:pt idx="1">
                  <c:v>2432.0</c:v>
                </c:pt>
                <c:pt idx="2">
                  <c:v>2167.0</c:v>
                </c:pt>
                <c:pt idx="3">
                  <c:v>1801.0</c:v>
                </c:pt>
              </c:numCache>
            </c:numRef>
          </c:val>
          <c:smooth val="0"/>
        </c:ser>
        <c:ser>
          <c:idx val="4"/>
          <c:order val="4"/>
          <c:tx>
            <c:strRef>
              <c:f>'3h. Segmental Volume Drivers'!$D$66</c:f>
              <c:strCache>
                <c:ptCount val="1"/>
                <c:pt idx="0">
                  <c:v>Total Attributable to Oceana</c:v>
                </c:pt>
              </c:strCache>
            </c:strRef>
          </c:tx>
          <c:spPr>
            <a:ln>
              <a:solidFill>
                <a:schemeClr val="accent5">
                  <a:lumMod val="40000"/>
                  <a:lumOff val="60000"/>
                </a:schemeClr>
              </a:solidFill>
            </a:ln>
          </c:spPr>
          <c:marker>
            <c:symbol val="none"/>
          </c:marker>
          <c:cat>
            <c:strRef>
              <c:f>'3h. Segmental Volume Drivers'!$E$54:$O$54</c:f>
              <c:strCache>
                <c:ptCount val="4"/>
                <c:pt idx="0">
                  <c:v>2012A</c:v>
                </c:pt>
                <c:pt idx="1">
                  <c:v>2013A</c:v>
                </c:pt>
                <c:pt idx="2">
                  <c:v>2014A</c:v>
                </c:pt>
                <c:pt idx="3">
                  <c:v>2015A</c:v>
                </c:pt>
              </c:strCache>
            </c:strRef>
          </c:cat>
          <c:val>
            <c:numRef>
              <c:f>'3h. Segmental Volume Drivers'!$E$66:$O$66</c:f>
              <c:numCache>
                <c:formatCode>_-* #,##0_-;\-* #,##0_-;_-* "-"_-;_-@_-</c:formatCode>
                <c:ptCount val="4"/>
                <c:pt idx="0">
                  <c:v>528.0</c:v>
                </c:pt>
                <c:pt idx="1">
                  <c:v>508.0</c:v>
                </c:pt>
                <c:pt idx="2">
                  <c:v>612.0</c:v>
                </c:pt>
                <c:pt idx="3">
                  <c:v>446.0</c:v>
                </c:pt>
              </c:numCache>
            </c:numRef>
          </c:val>
          <c:smooth val="0"/>
        </c:ser>
        <c:dLbls>
          <c:showLegendKey val="0"/>
          <c:showVal val="0"/>
          <c:showCatName val="0"/>
          <c:showSerName val="0"/>
          <c:showPercent val="0"/>
          <c:showBubbleSize val="0"/>
        </c:dLbls>
        <c:marker val="1"/>
        <c:smooth val="0"/>
        <c:axId val="2141997288"/>
        <c:axId val="2142200200"/>
      </c:lineChart>
      <c:catAx>
        <c:axId val="2141997288"/>
        <c:scaling>
          <c:orientation val="minMax"/>
        </c:scaling>
        <c:delete val="0"/>
        <c:axPos val="b"/>
        <c:majorTickMark val="out"/>
        <c:minorTickMark val="none"/>
        <c:tickLblPos val="nextTo"/>
        <c:crossAx val="2142200200"/>
        <c:crosses val="autoZero"/>
        <c:auto val="1"/>
        <c:lblAlgn val="ctr"/>
        <c:lblOffset val="100"/>
        <c:noMultiLvlLbl val="0"/>
      </c:catAx>
      <c:valAx>
        <c:axId val="2142200200"/>
        <c:scaling>
          <c:orientation val="minMax"/>
        </c:scaling>
        <c:delete val="0"/>
        <c:axPos val="l"/>
        <c:majorGridlines/>
        <c:numFmt formatCode="_-* #,##0_-;\-* #,##0_-;_-* &quot;-&quot;_-;_-@_-" sourceLinked="1"/>
        <c:majorTickMark val="out"/>
        <c:minorTickMark val="none"/>
        <c:tickLblPos val="nextTo"/>
        <c:crossAx val="2141997288"/>
        <c:crosses val="autoZero"/>
        <c:crossBetween val="between"/>
      </c:valAx>
    </c:plotArea>
    <c:legend>
      <c:legendPos val="r"/>
      <c:layout/>
      <c:overlay val="0"/>
    </c:legend>
    <c:plotVisOnly val="1"/>
    <c:dispBlanksAs val="gap"/>
    <c:showDLblsOverMax val="0"/>
  </c:chart>
  <c:spPr>
    <a:ln>
      <a:noFill/>
    </a:ln>
  </c:spPr>
  <c:printSettings>
    <c:headerFooter/>
    <c:pageMargins b="1.0" l="0.75" r="0.75" t="1.0"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Squid - TAE (in permits)</a:t>
            </a:r>
          </a:p>
        </c:rich>
      </c:tx>
      <c:layout/>
      <c:overlay val="0"/>
    </c:title>
    <c:autoTitleDeleted val="0"/>
    <c:plotArea>
      <c:layout/>
      <c:lineChart>
        <c:grouping val="standard"/>
        <c:varyColors val="0"/>
        <c:ser>
          <c:idx val="0"/>
          <c:order val="0"/>
          <c:tx>
            <c:strRef>
              <c:f>'3h. Segmental Volume Drivers'!$D$71</c:f>
              <c:strCache>
                <c:ptCount val="1"/>
                <c:pt idx="0">
                  <c:v>Oceana's Own Permits</c:v>
                </c:pt>
              </c:strCache>
            </c:strRef>
          </c:tx>
          <c:spPr>
            <a:ln>
              <a:solidFill>
                <a:schemeClr val="accent1">
                  <a:lumMod val="20000"/>
                  <a:lumOff val="80000"/>
                </a:schemeClr>
              </a:solidFill>
            </a:ln>
          </c:spPr>
          <c:marker>
            <c:symbol val="none"/>
          </c:marker>
          <c:cat>
            <c:strRef>
              <c:f>'3h. Segmental Volume Drivers'!$E$70:$O$70</c:f>
              <c:strCache>
                <c:ptCount val="4"/>
                <c:pt idx="0">
                  <c:v>2012A</c:v>
                </c:pt>
                <c:pt idx="1">
                  <c:v>2013A</c:v>
                </c:pt>
                <c:pt idx="2">
                  <c:v>2014A</c:v>
                </c:pt>
                <c:pt idx="3">
                  <c:v>2015A</c:v>
                </c:pt>
              </c:strCache>
            </c:strRef>
          </c:cat>
          <c:val>
            <c:numRef>
              <c:f>'3h. Segmental Volume Drivers'!$E$71:$O$71</c:f>
              <c:numCache>
                <c:formatCode>_-* #,##0_-;\-* #,##0_-;_-* "-"_-;_-@_-</c:formatCode>
                <c:ptCount val="4"/>
                <c:pt idx="0">
                  <c:v>104.0</c:v>
                </c:pt>
                <c:pt idx="1">
                  <c:v>104.0</c:v>
                </c:pt>
                <c:pt idx="2">
                  <c:v>104.0</c:v>
                </c:pt>
                <c:pt idx="3">
                  <c:v>104.0</c:v>
                </c:pt>
              </c:numCache>
            </c:numRef>
          </c:val>
          <c:smooth val="0"/>
        </c:ser>
        <c:ser>
          <c:idx val="1"/>
          <c:order val="1"/>
          <c:tx>
            <c:strRef>
              <c:f>'3h. Segmental Volume Drivers'!$D$74</c:f>
              <c:strCache>
                <c:ptCount val="1"/>
                <c:pt idx="0">
                  <c:v>Oceana's Contracted Permits</c:v>
                </c:pt>
              </c:strCache>
            </c:strRef>
          </c:tx>
          <c:spPr>
            <a:ln>
              <a:solidFill>
                <a:schemeClr val="accent5">
                  <a:lumMod val="75000"/>
                </a:schemeClr>
              </a:solidFill>
            </a:ln>
          </c:spPr>
          <c:marker>
            <c:symbol val="none"/>
          </c:marker>
          <c:cat>
            <c:strRef>
              <c:f>'3h. Segmental Volume Drivers'!$E$70:$O$70</c:f>
              <c:strCache>
                <c:ptCount val="4"/>
                <c:pt idx="0">
                  <c:v>2012A</c:v>
                </c:pt>
                <c:pt idx="1">
                  <c:v>2013A</c:v>
                </c:pt>
                <c:pt idx="2">
                  <c:v>2014A</c:v>
                </c:pt>
                <c:pt idx="3">
                  <c:v>2015A</c:v>
                </c:pt>
              </c:strCache>
            </c:strRef>
          </c:cat>
          <c:val>
            <c:numRef>
              <c:f>'3h. Segmental Volume Drivers'!$E$74:$O$74</c:f>
              <c:numCache>
                <c:formatCode>_-* #,##0_-;\-* #,##0_-;_-* "-"_-;_-@_-</c:formatCode>
                <c:ptCount val="4"/>
                <c:pt idx="0">
                  <c:v>270.0</c:v>
                </c:pt>
                <c:pt idx="1">
                  <c:v>270.0</c:v>
                </c:pt>
                <c:pt idx="2">
                  <c:v>233.0</c:v>
                </c:pt>
                <c:pt idx="3">
                  <c:v>257.0</c:v>
                </c:pt>
              </c:numCache>
            </c:numRef>
          </c:val>
          <c:smooth val="0"/>
        </c:ser>
        <c:ser>
          <c:idx val="2"/>
          <c:order val="2"/>
          <c:tx>
            <c:strRef>
              <c:f>'3h. Segmental Volume Drivers'!$D$77</c:f>
              <c:strCache>
                <c:ptCount val="1"/>
                <c:pt idx="0">
                  <c:v>Other than Oceana Permits</c:v>
                </c:pt>
              </c:strCache>
            </c:strRef>
          </c:tx>
          <c:spPr>
            <a:ln>
              <a:solidFill>
                <a:srgbClr val="558ED5"/>
              </a:solidFill>
            </a:ln>
          </c:spPr>
          <c:marker>
            <c:symbol val="none"/>
          </c:marker>
          <c:cat>
            <c:strRef>
              <c:f>'3h. Segmental Volume Drivers'!$E$70:$O$70</c:f>
              <c:strCache>
                <c:ptCount val="4"/>
                <c:pt idx="0">
                  <c:v>2012A</c:v>
                </c:pt>
                <c:pt idx="1">
                  <c:v>2013A</c:v>
                </c:pt>
                <c:pt idx="2">
                  <c:v>2014A</c:v>
                </c:pt>
                <c:pt idx="3">
                  <c:v>2015A</c:v>
                </c:pt>
              </c:strCache>
            </c:strRef>
          </c:cat>
          <c:val>
            <c:numRef>
              <c:f>'3h. Segmental Volume Drivers'!$E$77:$O$77</c:f>
              <c:numCache>
                <c:formatCode>_-* #,##0_-;\-* #,##0_-;_-* "-"_-;_-@_-</c:formatCode>
                <c:ptCount val="4"/>
                <c:pt idx="0">
                  <c:v>2049.0</c:v>
                </c:pt>
                <c:pt idx="1">
                  <c:v>2049.0</c:v>
                </c:pt>
                <c:pt idx="2">
                  <c:v>2085.0</c:v>
                </c:pt>
                <c:pt idx="3">
                  <c:v>2061.0</c:v>
                </c:pt>
              </c:numCache>
            </c:numRef>
          </c:val>
          <c:smooth val="0"/>
        </c:ser>
        <c:ser>
          <c:idx val="3"/>
          <c:order val="3"/>
          <c:tx>
            <c:strRef>
              <c:f>'3h. Segmental Volume Drivers'!$D$80</c:f>
              <c:strCache>
                <c:ptCount val="1"/>
                <c:pt idx="0">
                  <c:v>Total</c:v>
                </c:pt>
              </c:strCache>
            </c:strRef>
          </c:tx>
          <c:spPr>
            <a:ln>
              <a:solidFill>
                <a:schemeClr val="tx2">
                  <a:lumMod val="50000"/>
                </a:schemeClr>
              </a:solidFill>
            </a:ln>
          </c:spPr>
          <c:marker>
            <c:symbol val="none"/>
          </c:marker>
          <c:cat>
            <c:strRef>
              <c:f>'3h. Segmental Volume Drivers'!$E$70:$O$70</c:f>
              <c:strCache>
                <c:ptCount val="4"/>
                <c:pt idx="0">
                  <c:v>2012A</c:v>
                </c:pt>
                <c:pt idx="1">
                  <c:v>2013A</c:v>
                </c:pt>
                <c:pt idx="2">
                  <c:v>2014A</c:v>
                </c:pt>
                <c:pt idx="3">
                  <c:v>2015A</c:v>
                </c:pt>
              </c:strCache>
            </c:strRef>
          </c:cat>
          <c:val>
            <c:numRef>
              <c:f>'3h. Segmental Volume Drivers'!$E$80:$O$80</c:f>
              <c:numCache>
                <c:formatCode>_-* #,##0_-;\-* #,##0_-;_-* "-"_-;_-@_-</c:formatCode>
                <c:ptCount val="4"/>
                <c:pt idx="0">
                  <c:v>2423.0</c:v>
                </c:pt>
                <c:pt idx="1">
                  <c:v>2423.0</c:v>
                </c:pt>
                <c:pt idx="2">
                  <c:v>2423.0</c:v>
                </c:pt>
                <c:pt idx="3">
                  <c:v>2423.0</c:v>
                </c:pt>
              </c:numCache>
            </c:numRef>
          </c:val>
          <c:smooth val="0"/>
        </c:ser>
        <c:ser>
          <c:idx val="4"/>
          <c:order val="4"/>
          <c:tx>
            <c:strRef>
              <c:f>'3h. Segmental Volume Drivers'!$D$82</c:f>
              <c:strCache>
                <c:ptCount val="1"/>
                <c:pt idx="0">
                  <c:v>Total Attributable to Oceana</c:v>
                </c:pt>
              </c:strCache>
            </c:strRef>
          </c:tx>
          <c:spPr>
            <a:ln>
              <a:solidFill>
                <a:schemeClr val="accent1">
                  <a:lumMod val="75000"/>
                </a:schemeClr>
              </a:solidFill>
            </a:ln>
          </c:spPr>
          <c:marker>
            <c:symbol val="none"/>
          </c:marker>
          <c:cat>
            <c:strRef>
              <c:f>'3h. Segmental Volume Drivers'!$E$70:$O$70</c:f>
              <c:strCache>
                <c:ptCount val="4"/>
                <c:pt idx="0">
                  <c:v>2012A</c:v>
                </c:pt>
                <c:pt idx="1">
                  <c:v>2013A</c:v>
                </c:pt>
                <c:pt idx="2">
                  <c:v>2014A</c:v>
                </c:pt>
                <c:pt idx="3">
                  <c:v>2015A</c:v>
                </c:pt>
              </c:strCache>
            </c:strRef>
          </c:cat>
          <c:val>
            <c:numRef>
              <c:f>'3h. Segmental Volume Drivers'!$E$82:$O$82</c:f>
              <c:numCache>
                <c:formatCode>_-* #,##0_-;\-* #,##0_-;_-* "-"_-;_-@_-</c:formatCode>
                <c:ptCount val="4"/>
                <c:pt idx="0">
                  <c:v>374.0</c:v>
                </c:pt>
                <c:pt idx="1">
                  <c:v>374.0</c:v>
                </c:pt>
                <c:pt idx="2">
                  <c:v>337.0</c:v>
                </c:pt>
                <c:pt idx="3">
                  <c:v>361.0</c:v>
                </c:pt>
              </c:numCache>
            </c:numRef>
          </c:val>
          <c:smooth val="0"/>
        </c:ser>
        <c:dLbls>
          <c:showLegendKey val="0"/>
          <c:showVal val="0"/>
          <c:showCatName val="0"/>
          <c:showSerName val="0"/>
          <c:showPercent val="0"/>
          <c:showBubbleSize val="0"/>
        </c:dLbls>
        <c:marker val="1"/>
        <c:smooth val="0"/>
        <c:axId val="-2125408216"/>
        <c:axId val="2106395000"/>
      </c:lineChart>
      <c:catAx>
        <c:axId val="-2125408216"/>
        <c:scaling>
          <c:orientation val="minMax"/>
        </c:scaling>
        <c:delete val="0"/>
        <c:axPos val="b"/>
        <c:majorTickMark val="out"/>
        <c:minorTickMark val="none"/>
        <c:tickLblPos val="nextTo"/>
        <c:crossAx val="2106395000"/>
        <c:crosses val="autoZero"/>
        <c:auto val="1"/>
        <c:lblAlgn val="ctr"/>
        <c:lblOffset val="100"/>
        <c:noMultiLvlLbl val="0"/>
      </c:catAx>
      <c:valAx>
        <c:axId val="2106395000"/>
        <c:scaling>
          <c:orientation val="minMax"/>
        </c:scaling>
        <c:delete val="0"/>
        <c:axPos val="l"/>
        <c:majorGridlines/>
        <c:numFmt formatCode="_-* #,##0_-;\-* #,##0_-;_-* &quot;-&quot;_-;_-@_-" sourceLinked="1"/>
        <c:majorTickMark val="out"/>
        <c:minorTickMark val="none"/>
        <c:tickLblPos val="nextTo"/>
        <c:crossAx val="-2125408216"/>
        <c:crosses val="autoZero"/>
        <c:crossBetween val="between"/>
      </c:valAx>
    </c:plotArea>
    <c:legend>
      <c:legendPos val="r"/>
      <c:layout/>
      <c:overlay val="0"/>
    </c:legend>
    <c:plotVisOnly val="1"/>
    <c:dispBlanksAs val="gap"/>
    <c:showDLblsOverMax val="0"/>
  </c:chart>
  <c:spPr>
    <a:ln>
      <a:noFill/>
    </a:ln>
  </c:spPr>
  <c:printSettings>
    <c:headerFooter/>
    <c:pageMargins b="1.0" l="0.75" r="0.75" t="1.0"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Namibian Horse Mackerel - TAC (in tons)</a:t>
            </a:r>
          </a:p>
        </c:rich>
      </c:tx>
      <c:layout/>
      <c:overlay val="0"/>
    </c:title>
    <c:autoTitleDeleted val="0"/>
    <c:plotArea>
      <c:layout/>
      <c:lineChart>
        <c:grouping val="standard"/>
        <c:varyColors val="0"/>
        <c:ser>
          <c:idx val="0"/>
          <c:order val="0"/>
          <c:tx>
            <c:strRef>
              <c:f>'3h. Segmental Volume Drivers'!$D$127</c:f>
              <c:strCache>
                <c:ptCount val="1"/>
                <c:pt idx="0">
                  <c:v>Oceana's Own Quota or Co-owned or Contracted (since FY14)</c:v>
                </c:pt>
              </c:strCache>
            </c:strRef>
          </c:tx>
          <c:spPr>
            <a:ln>
              <a:solidFill>
                <a:schemeClr val="tx2">
                  <a:lumMod val="40000"/>
                  <a:lumOff val="6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Drivers'!$E$127:$O$127</c:f>
              <c:numCache>
                <c:formatCode>_-* #,##0_-;\-* #,##0_-;_-* "-"_-;_-@_-</c:formatCode>
                <c:ptCount val="4"/>
                <c:pt idx="0">
                  <c:v>45856.0</c:v>
                </c:pt>
                <c:pt idx="1">
                  <c:v>53015.0</c:v>
                </c:pt>
                <c:pt idx="2">
                  <c:v>73316.0</c:v>
                </c:pt>
                <c:pt idx="3">
                  <c:v>79731.0</c:v>
                </c:pt>
              </c:numCache>
            </c:numRef>
          </c:val>
          <c:smooth val="0"/>
        </c:ser>
        <c:ser>
          <c:idx val="1"/>
          <c:order val="1"/>
          <c:tx>
            <c:strRef>
              <c:f>'3h. Segmental Volume Drivers'!$D$130</c:f>
              <c:strCache>
                <c:ptCount val="1"/>
                <c:pt idx="0">
                  <c:v>Oceana's Contracted Quota</c:v>
                </c:pt>
              </c:strCache>
            </c:strRef>
          </c:tx>
          <c:spPr>
            <a:ln>
              <a:solidFill>
                <a:schemeClr val="accent1">
                  <a:lumMod val="20000"/>
                  <a:lumOff val="8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Drivers'!$E$130:$O$130</c:f>
              <c:numCache>
                <c:formatCode>_-* #,##0_-;\-* #,##0_-;_-* "-"_-;_-@_-</c:formatCode>
                <c:ptCount val="4"/>
                <c:pt idx="0">
                  <c:v>45764.0</c:v>
                </c:pt>
                <c:pt idx="1">
                  <c:v>17860.0</c:v>
                </c:pt>
              </c:numCache>
            </c:numRef>
          </c:val>
          <c:smooth val="0"/>
        </c:ser>
        <c:ser>
          <c:idx val="2"/>
          <c:order val="2"/>
          <c:tx>
            <c:strRef>
              <c:f>'3h. Segmental Volume Drivers'!$D$133</c:f>
              <c:strCache>
                <c:ptCount val="1"/>
                <c:pt idx="0">
                  <c:v>Other than Oceana Quota</c:v>
                </c:pt>
              </c:strCache>
            </c:strRef>
          </c:tx>
          <c:spPr>
            <a:ln>
              <a:solidFill>
                <a:schemeClr val="tx2">
                  <a:lumMod val="60000"/>
                  <a:lumOff val="40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Drivers'!$E$133:$O$133</c:f>
              <c:numCache>
                <c:formatCode>_-* #,##0_-;\-* #,##0_-;_-* "-"_-;_-@_-</c:formatCode>
                <c:ptCount val="4"/>
                <c:pt idx="0">
                  <c:v>228380.0</c:v>
                </c:pt>
                <c:pt idx="1">
                  <c:v>279125.0</c:v>
                </c:pt>
                <c:pt idx="2">
                  <c:v>276684.0</c:v>
                </c:pt>
                <c:pt idx="3">
                  <c:v>270269.0</c:v>
                </c:pt>
              </c:numCache>
            </c:numRef>
          </c:val>
          <c:smooth val="0"/>
        </c:ser>
        <c:ser>
          <c:idx val="3"/>
          <c:order val="3"/>
          <c:tx>
            <c:strRef>
              <c:f>'3h. Segmental Volume Drivers'!$D$136</c:f>
              <c:strCache>
                <c:ptCount val="1"/>
                <c:pt idx="0">
                  <c:v>Total</c:v>
                </c:pt>
              </c:strCache>
            </c:strRef>
          </c:tx>
          <c:spPr>
            <a:ln>
              <a:solidFill>
                <a:srgbClr val="10253F"/>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Drivers'!$E$136:$O$136</c:f>
              <c:numCache>
                <c:formatCode>_-* #,##0_-;\-* #,##0_-;_-* "-"_-;_-@_-</c:formatCode>
                <c:ptCount val="4"/>
                <c:pt idx="0">
                  <c:v>320000.0</c:v>
                </c:pt>
                <c:pt idx="1">
                  <c:v>350000.0</c:v>
                </c:pt>
                <c:pt idx="2">
                  <c:v>350000.0</c:v>
                </c:pt>
                <c:pt idx="3">
                  <c:v>350000.0</c:v>
                </c:pt>
              </c:numCache>
            </c:numRef>
          </c:val>
          <c:smooth val="0"/>
        </c:ser>
        <c:ser>
          <c:idx val="4"/>
          <c:order val="4"/>
          <c:tx>
            <c:strRef>
              <c:f>'3h. Segmental Volume Drivers'!$D$138</c:f>
              <c:strCache>
                <c:ptCount val="1"/>
                <c:pt idx="0">
                  <c:v>Total Attributable to Oceana</c:v>
                </c:pt>
              </c:strCache>
            </c:strRef>
          </c:tx>
          <c:spPr>
            <a:ln>
              <a:solidFill>
                <a:schemeClr val="accent1">
                  <a:lumMod val="75000"/>
                </a:schemeClr>
              </a:solidFill>
            </a:ln>
          </c:spPr>
          <c:marker>
            <c:symbol val="none"/>
          </c:marker>
          <c:cat>
            <c:strRef>
              <c:f>'3h. Segmental Volume Drivers'!$E$110:$O$110</c:f>
              <c:strCache>
                <c:ptCount val="4"/>
                <c:pt idx="0">
                  <c:v>2012A</c:v>
                </c:pt>
                <c:pt idx="1">
                  <c:v>2013A</c:v>
                </c:pt>
                <c:pt idx="2">
                  <c:v>2014A</c:v>
                </c:pt>
                <c:pt idx="3">
                  <c:v>2015A</c:v>
                </c:pt>
              </c:strCache>
            </c:strRef>
          </c:cat>
          <c:val>
            <c:numRef>
              <c:f>'3h. Segmental Volume Drivers'!$E$138:$O$138</c:f>
              <c:numCache>
                <c:formatCode>_-* #,##0_-;\-* #,##0_-;_-* "-"_-;_-@_-</c:formatCode>
                <c:ptCount val="4"/>
                <c:pt idx="0">
                  <c:v>91620.0</c:v>
                </c:pt>
                <c:pt idx="1">
                  <c:v>70875.0</c:v>
                </c:pt>
                <c:pt idx="2">
                  <c:v>73316.0</c:v>
                </c:pt>
                <c:pt idx="3">
                  <c:v>79731.0</c:v>
                </c:pt>
              </c:numCache>
            </c:numRef>
          </c:val>
          <c:smooth val="0"/>
        </c:ser>
        <c:dLbls>
          <c:showLegendKey val="0"/>
          <c:showVal val="0"/>
          <c:showCatName val="0"/>
          <c:showSerName val="0"/>
          <c:showPercent val="0"/>
          <c:showBubbleSize val="0"/>
        </c:dLbls>
        <c:marker val="1"/>
        <c:smooth val="0"/>
        <c:axId val="-2108219960"/>
        <c:axId val="2106509224"/>
      </c:lineChart>
      <c:catAx>
        <c:axId val="-2108219960"/>
        <c:scaling>
          <c:orientation val="minMax"/>
        </c:scaling>
        <c:delete val="0"/>
        <c:axPos val="b"/>
        <c:numFmt formatCode="_-* #,##0_-;\-* #,##0_-;_-* &quot;-&quot;_-;_-@_-" sourceLinked="1"/>
        <c:majorTickMark val="out"/>
        <c:minorTickMark val="none"/>
        <c:tickLblPos val="nextTo"/>
        <c:crossAx val="2106509224"/>
        <c:crosses val="autoZero"/>
        <c:auto val="1"/>
        <c:lblAlgn val="ctr"/>
        <c:lblOffset val="100"/>
        <c:noMultiLvlLbl val="0"/>
      </c:catAx>
      <c:valAx>
        <c:axId val="2106509224"/>
        <c:scaling>
          <c:orientation val="minMax"/>
        </c:scaling>
        <c:delete val="0"/>
        <c:axPos val="l"/>
        <c:majorGridlines/>
        <c:numFmt formatCode="_-* #,##0_-;\-* #,##0_-;_-* &quot;-&quot;_-;_-@_-" sourceLinked="1"/>
        <c:majorTickMark val="out"/>
        <c:minorTickMark val="none"/>
        <c:tickLblPos val="nextTo"/>
        <c:crossAx val="-2108219960"/>
        <c:crosses val="autoZero"/>
        <c:crossBetween val="between"/>
      </c:valAx>
    </c:plotArea>
    <c:legend>
      <c:legendPos val="r"/>
      <c:layout>
        <c:manualLayout>
          <c:xMode val="edge"/>
          <c:yMode val="edge"/>
          <c:x val="0.657490898844823"/>
          <c:y val="0.174465475469412"/>
          <c:w val="0.324913794253019"/>
          <c:h val="0.796453361599031"/>
        </c:manualLayout>
      </c:layout>
      <c:overlay val="0"/>
    </c:legend>
    <c:plotVisOnly val="1"/>
    <c:dispBlanksAs val="gap"/>
    <c:showDLblsOverMax val="0"/>
  </c:chart>
  <c:spPr>
    <a:ln>
      <a:noFill/>
    </a:ln>
  </c:spPr>
  <c:printSettings>
    <c:headerFooter/>
    <c:pageMargins b="1.0" l="0.75" r="0.75" t="1.0"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b="1"/>
            </a:pPr>
            <a:r>
              <a:rPr lang="en-US" sz="1400" b="1"/>
              <a:t>Historical Prices</a:t>
            </a:r>
            <a:r>
              <a:rPr lang="en-US" sz="1400" b="1" baseline="0"/>
              <a:t> Chicken vs. Pilchards (ZAR per Kg.) </a:t>
            </a:r>
            <a:endParaRPr lang="en-US" sz="1400" b="1"/>
          </a:p>
        </c:rich>
      </c:tx>
      <c:layout>
        <c:manualLayout>
          <c:xMode val="edge"/>
          <c:yMode val="edge"/>
          <c:x val="0.167740001042916"/>
          <c:y val="0.0455698300870286"/>
        </c:manualLayout>
      </c:layout>
      <c:overlay val="0"/>
    </c:title>
    <c:autoTitleDeleted val="0"/>
    <c:plotArea>
      <c:layout/>
      <c:lineChart>
        <c:grouping val="standard"/>
        <c:varyColors val="0"/>
        <c:ser>
          <c:idx val="0"/>
          <c:order val="0"/>
          <c:tx>
            <c:strRef>
              <c:f>'4a. Information for Tables'!$D$157</c:f>
              <c:strCache>
                <c:ptCount val="1"/>
                <c:pt idx="0">
                  <c:v>Chicken Portions (Frozen)</c:v>
                </c:pt>
              </c:strCache>
            </c:strRef>
          </c:tx>
          <c:spPr>
            <a:ln>
              <a:solidFill>
                <a:srgbClr val="FF0000"/>
              </a:solidFill>
            </a:ln>
          </c:spPr>
          <c:marker>
            <c:symbol val="none"/>
          </c:marker>
          <c:cat>
            <c:strRef>
              <c:f>'4a. Information for Tables'!$E$155:$M$155</c:f>
              <c:strCache>
                <c:ptCount val="9"/>
                <c:pt idx="0">
                  <c:v>2008A</c:v>
                </c:pt>
                <c:pt idx="1">
                  <c:v>2009A</c:v>
                </c:pt>
                <c:pt idx="2">
                  <c:v>2010A</c:v>
                </c:pt>
                <c:pt idx="3">
                  <c:v>2011A</c:v>
                </c:pt>
                <c:pt idx="4">
                  <c:v>2012A</c:v>
                </c:pt>
                <c:pt idx="5">
                  <c:v>2013A</c:v>
                </c:pt>
                <c:pt idx="6">
                  <c:v>2014A</c:v>
                </c:pt>
                <c:pt idx="7">
                  <c:v>2015A</c:v>
                </c:pt>
                <c:pt idx="8">
                  <c:v>2016A</c:v>
                </c:pt>
              </c:strCache>
            </c:strRef>
          </c:cat>
          <c:val>
            <c:numRef>
              <c:f>'4a. Information for Tables'!$E$157:$M$157</c:f>
              <c:numCache>
                <c:formatCode>General</c:formatCode>
                <c:ptCount val="9"/>
                <c:pt idx="0">
                  <c:v>22.71</c:v>
                </c:pt>
                <c:pt idx="1">
                  <c:v>24.87</c:v>
                </c:pt>
                <c:pt idx="2">
                  <c:v>22.8</c:v>
                </c:pt>
                <c:pt idx="3">
                  <c:v>22.8</c:v>
                </c:pt>
                <c:pt idx="4">
                  <c:v>23.14</c:v>
                </c:pt>
                <c:pt idx="5">
                  <c:v>24.58</c:v>
                </c:pt>
                <c:pt idx="6">
                  <c:v>26.43</c:v>
                </c:pt>
                <c:pt idx="7">
                  <c:v>28.81</c:v>
                </c:pt>
                <c:pt idx="8">
                  <c:v>40.21</c:v>
                </c:pt>
              </c:numCache>
            </c:numRef>
          </c:val>
          <c:smooth val="0"/>
        </c:ser>
        <c:ser>
          <c:idx val="1"/>
          <c:order val="1"/>
          <c:tx>
            <c:strRef>
              <c:f>'4a. Information for Tables'!$D$159</c:f>
              <c:strCache>
                <c:ptCount val="1"/>
                <c:pt idx="0">
                  <c:v>Pilchard (Tinned)</c:v>
                </c:pt>
              </c:strCache>
            </c:strRef>
          </c:tx>
          <c:spPr>
            <a:ln>
              <a:solidFill>
                <a:schemeClr val="tx2">
                  <a:lumMod val="50000"/>
                </a:schemeClr>
              </a:solidFill>
            </a:ln>
          </c:spPr>
          <c:marker>
            <c:symbol val="none"/>
          </c:marker>
          <c:cat>
            <c:strRef>
              <c:f>'4a. Information for Tables'!$E$155:$M$155</c:f>
              <c:strCache>
                <c:ptCount val="9"/>
                <c:pt idx="0">
                  <c:v>2008A</c:v>
                </c:pt>
                <c:pt idx="1">
                  <c:v>2009A</c:v>
                </c:pt>
                <c:pt idx="2">
                  <c:v>2010A</c:v>
                </c:pt>
                <c:pt idx="3">
                  <c:v>2011A</c:v>
                </c:pt>
                <c:pt idx="4">
                  <c:v>2012A</c:v>
                </c:pt>
                <c:pt idx="5">
                  <c:v>2013A</c:v>
                </c:pt>
                <c:pt idx="6">
                  <c:v>2014A</c:v>
                </c:pt>
                <c:pt idx="7">
                  <c:v>2015A</c:v>
                </c:pt>
                <c:pt idx="8">
                  <c:v>2016A</c:v>
                </c:pt>
              </c:strCache>
            </c:strRef>
          </c:cat>
          <c:val>
            <c:numRef>
              <c:f>'4a. Information for Tables'!$E$159:$M$159</c:f>
              <c:numCache>
                <c:formatCode>General</c:formatCode>
                <c:ptCount val="9"/>
                <c:pt idx="0">
                  <c:v>25.55</c:v>
                </c:pt>
                <c:pt idx="1">
                  <c:v>40.425</c:v>
                </c:pt>
                <c:pt idx="2">
                  <c:v>30.8</c:v>
                </c:pt>
                <c:pt idx="3">
                  <c:v>33.275</c:v>
                </c:pt>
                <c:pt idx="4">
                  <c:v>33.575</c:v>
                </c:pt>
                <c:pt idx="5">
                  <c:v>36.225</c:v>
                </c:pt>
                <c:pt idx="6">
                  <c:v>37.575</c:v>
                </c:pt>
                <c:pt idx="7">
                  <c:v>39.975</c:v>
                </c:pt>
                <c:pt idx="8">
                  <c:v>41.55</c:v>
                </c:pt>
              </c:numCache>
            </c:numRef>
          </c:val>
          <c:smooth val="0"/>
        </c:ser>
        <c:dLbls>
          <c:showLegendKey val="0"/>
          <c:showVal val="0"/>
          <c:showCatName val="0"/>
          <c:showSerName val="0"/>
          <c:showPercent val="0"/>
          <c:showBubbleSize val="0"/>
        </c:dLbls>
        <c:marker val="1"/>
        <c:smooth val="0"/>
        <c:axId val="-2108433080"/>
        <c:axId val="-2108041800"/>
      </c:lineChart>
      <c:catAx>
        <c:axId val="-2108433080"/>
        <c:scaling>
          <c:orientation val="minMax"/>
        </c:scaling>
        <c:delete val="0"/>
        <c:axPos val="b"/>
        <c:majorTickMark val="out"/>
        <c:minorTickMark val="none"/>
        <c:tickLblPos val="nextTo"/>
        <c:crossAx val="-2108041800"/>
        <c:crosses val="autoZero"/>
        <c:auto val="1"/>
        <c:lblAlgn val="ctr"/>
        <c:lblOffset val="100"/>
        <c:noMultiLvlLbl val="0"/>
      </c:catAx>
      <c:valAx>
        <c:axId val="-2108041800"/>
        <c:scaling>
          <c:orientation val="minMax"/>
        </c:scaling>
        <c:delete val="0"/>
        <c:axPos val="l"/>
        <c:majorGridlines/>
        <c:numFmt formatCode="General" sourceLinked="1"/>
        <c:majorTickMark val="out"/>
        <c:minorTickMark val="none"/>
        <c:tickLblPos val="nextTo"/>
        <c:crossAx val="-2108433080"/>
        <c:crosses val="autoZero"/>
        <c:crossBetween val="between"/>
      </c:valAx>
    </c:plotArea>
    <c:legend>
      <c:legendPos val="b"/>
      <c:layout/>
      <c:overlay val="0"/>
      <c:txPr>
        <a:bodyPr/>
        <a:lstStyle/>
        <a:p>
          <a:pPr>
            <a:defRPr sz="12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Omega</a:t>
            </a:r>
            <a:r>
              <a:rPr lang="en-US" sz="1600" baseline="0"/>
              <a:t> Protein, Animal Nutrition EBIT Margin (%)</a:t>
            </a:r>
            <a:endParaRPr lang="en-US" sz="1600"/>
          </a:p>
        </c:rich>
      </c:tx>
      <c:layout/>
      <c:overlay val="0"/>
    </c:title>
    <c:autoTitleDeleted val="0"/>
    <c:plotArea>
      <c:layout/>
      <c:lineChart>
        <c:grouping val="standard"/>
        <c:varyColors val="0"/>
        <c:ser>
          <c:idx val="0"/>
          <c:order val="0"/>
          <c:spPr>
            <a:ln>
              <a:solidFill>
                <a:srgbClr val="10253F"/>
              </a:solidFill>
            </a:ln>
          </c:spPr>
          <c:marker>
            <c:symbol val="none"/>
          </c:marker>
          <c:trendline>
            <c:trendlineType val="linear"/>
            <c:dispRSqr val="0"/>
            <c:dispEq val="0"/>
          </c:trendline>
          <c:cat>
            <c:strRef>
              <c:f>'4b. Information for Graphs'!$P$390:$U$390</c:f>
              <c:strCache>
                <c:ptCount val="6"/>
                <c:pt idx="0">
                  <c:v>2010A</c:v>
                </c:pt>
                <c:pt idx="1">
                  <c:v>2011A</c:v>
                </c:pt>
                <c:pt idx="2">
                  <c:v>2012A</c:v>
                </c:pt>
                <c:pt idx="3">
                  <c:v>2013A</c:v>
                </c:pt>
                <c:pt idx="4">
                  <c:v>2014</c:v>
                </c:pt>
                <c:pt idx="5">
                  <c:v>2015A</c:v>
                </c:pt>
              </c:strCache>
            </c:strRef>
          </c:cat>
          <c:val>
            <c:numRef>
              <c:f>'4b. Information for Graphs'!$P$391:$U$391</c:f>
              <c:numCache>
                <c:formatCode>0%</c:formatCode>
                <c:ptCount val="6"/>
                <c:pt idx="0">
                  <c:v>0.178696372675382</c:v>
                </c:pt>
                <c:pt idx="1">
                  <c:v>0.215930532328605</c:v>
                </c:pt>
                <c:pt idx="2">
                  <c:v>0.136150234741784</c:v>
                </c:pt>
                <c:pt idx="3">
                  <c:v>0.31924882629108</c:v>
                </c:pt>
                <c:pt idx="4">
                  <c:v>0.258196721311475</c:v>
                </c:pt>
                <c:pt idx="5">
                  <c:v>0.345454545454545</c:v>
                </c:pt>
              </c:numCache>
            </c:numRef>
          </c:val>
          <c:smooth val="0"/>
        </c:ser>
        <c:dLbls>
          <c:showLegendKey val="0"/>
          <c:showVal val="0"/>
          <c:showCatName val="0"/>
          <c:showSerName val="0"/>
          <c:showPercent val="0"/>
          <c:showBubbleSize val="0"/>
        </c:dLbls>
        <c:marker val="1"/>
        <c:smooth val="0"/>
        <c:axId val="-2108454856"/>
        <c:axId val="-2108057240"/>
      </c:lineChart>
      <c:catAx>
        <c:axId val="-2108454856"/>
        <c:scaling>
          <c:orientation val="minMax"/>
        </c:scaling>
        <c:delete val="0"/>
        <c:axPos val="b"/>
        <c:majorTickMark val="out"/>
        <c:minorTickMark val="none"/>
        <c:tickLblPos val="nextTo"/>
        <c:crossAx val="-2108057240"/>
        <c:crosses val="autoZero"/>
        <c:auto val="1"/>
        <c:lblAlgn val="ctr"/>
        <c:lblOffset val="100"/>
        <c:noMultiLvlLbl val="0"/>
      </c:catAx>
      <c:valAx>
        <c:axId val="-2108057240"/>
        <c:scaling>
          <c:orientation val="minMax"/>
        </c:scaling>
        <c:delete val="0"/>
        <c:axPos val="l"/>
        <c:majorGridlines/>
        <c:numFmt formatCode="0%" sourceLinked="1"/>
        <c:majorTickMark val="out"/>
        <c:minorTickMark val="none"/>
        <c:tickLblPos val="nextTo"/>
        <c:crossAx val="-2108454856"/>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Bidvest Fishing</a:t>
            </a:r>
            <a:r>
              <a:rPr lang="en-US" sz="1400" baseline="0"/>
              <a:t> Division EBIT Margin (%)</a:t>
            </a:r>
            <a:endParaRPr lang="en-US" sz="1400"/>
          </a:p>
        </c:rich>
      </c:tx>
      <c:layout/>
      <c:overlay val="0"/>
    </c:title>
    <c:autoTitleDeleted val="0"/>
    <c:plotArea>
      <c:layout/>
      <c:barChart>
        <c:barDir val="col"/>
        <c:grouping val="clustered"/>
        <c:varyColors val="0"/>
        <c:ser>
          <c:idx val="0"/>
          <c:order val="0"/>
          <c:spPr>
            <a:solidFill>
              <a:srgbClr val="C6D9F1"/>
            </a:solidFill>
          </c:spPr>
          <c:invertIfNegative val="0"/>
          <c:dPt>
            <c:idx val="5"/>
            <c:invertIfNegative val="0"/>
            <c:bubble3D val="0"/>
            <c:spPr>
              <a:solidFill>
                <a:schemeClr val="tx2">
                  <a:lumMod val="50000"/>
                </a:schemeClr>
              </a:solidFill>
            </c:spPr>
          </c:dPt>
          <c:dLbls>
            <c:txPr>
              <a:bodyPr/>
              <a:lstStyle/>
              <a:p>
                <a:pPr>
                  <a:defRPr b="1"/>
                </a:pPr>
                <a:endParaRPr lang="en-US"/>
              </a:p>
            </c:txPr>
            <c:showLegendKey val="0"/>
            <c:showVal val="1"/>
            <c:showCatName val="0"/>
            <c:showSerName val="0"/>
            <c:showPercent val="0"/>
            <c:showBubbleSize val="0"/>
            <c:showLeaderLines val="0"/>
          </c:dLbls>
          <c:cat>
            <c:strRef>
              <c:f>'4b. Information for Graphs'!$E$393:$J$393</c:f>
              <c:strCache>
                <c:ptCount val="6"/>
                <c:pt idx="0">
                  <c:v>2012A</c:v>
                </c:pt>
                <c:pt idx="1">
                  <c:v>2013A</c:v>
                </c:pt>
                <c:pt idx="2">
                  <c:v>2014A</c:v>
                </c:pt>
                <c:pt idx="3">
                  <c:v>2015A</c:v>
                </c:pt>
                <c:pt idx="4">
                  <c:v>1H 2015</c:v>
                </c:pt>
                <c:pt idx="5">
                  <c:v>1H 2016</c:v>
                </c:pt>
              </c:strCache>
            </c:strRef>
          </c:cat>
          <c:val>
            <c:numRef>
              <c:f>'4b. Information for Graphs'!$E$409:$J$409</c:f>
              <c:numCache>
                <c:formatCode>0%</c:formatCode>
                <c:ptCount val="6"/>
                <c:pt idx="0">
                  <c:v>0.376091336467428</c:v>
                </c:pt>
                <c:pt idx="1">
                  <c:v>0.332284455632473</c:v>
                </c:pt>
                <c:pt idx="2">
                  <c:v>0.24488567990373</c:v>
                </c:pt>
                <c:pt idx="3">
                  <c:v>0.229083665338645</c:v>
                </c:pt>
                <c:pt idx="4">
                  <c:v>0.189069423929099</c:v>
                </c:pt>
                <c:pt idx="5">
                  <c:v>0.144050104384134</c:v>
                </c:pt>
              </c:numCache>
            </c:numRef>
          </c:val>
        </c:ser>
        <c:dLbls>
          <c:showLegendKey val="0"/>
          <c:showVal val="1"/>
          <c:showCatName val="0"/>
          <c:showSerName val="0"/>
          <c:showPercent val="0"/>
          <c:showBubbleSize val="0"/>
        </c:dLbls>
        <c:gapWidth val="150"/>
        <c:axId val="2113146696"/>
        <c:axId val="-2126966072"/>
      </c:barChart>
      <c:catAx>
        <c:axId val="2113146696"/>
        <c:scaling>
          <c:orientation val="minMax"/>
        </c:scaling>
        <c:delete val="0"/>
        <c:axPos val="b"/>
        <c:majorTickMark val="out"/>
        <c:minorTickMark val="none"/>
        <c:tickLblPos val="nextTo"/>
        <c:crossAx val="-2126966072"/>
        <c:crosses val="autoZero"/>
        <c:auto val="1"/>
        <c:lblAlgn val="ctr"/>
        <c:lblOffset val="100"/>
        <c:noMultiLvlLbl val="0"/>
      </c:catAx>
      <c:valAx>
        <c:axId val="-2126966072"/>
        <c:scaling>
          <c:orientation val="minMax"/>
        </c:scaling>
        <c:delete val="0"/>
        <c:axPos val="l"/>
        <c:majorGridlines/>
        <c:numFmt formatCode="0%" sourceLinked="1"/>
        <c:majorTickMark val="out"/>
        <c:minorTickMark val="none"/>
        <c:tickLblPos val="nextTo"/>
        <c:crossAx val="2113146696"/>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Divisional Contribution</a:t>
            </a:r>
            <a:r>
              <a:rPr lang="en-US" baseline="0"/>
              <a:t> to EBIT, 2012-2016.</a:t>
            </a:r>
            <a:endParaRPr lang="en-US"/>
          </a:p>
        </c:rich>
      </c:tx>
      <c:overlay val="0"/>
    </c:title>
    <c:autoTitleDeleted val="0"/>
    <c:plotArea>
      <c:layout/>
      <c:barChart>
        <c:barDir val="col"/>
        <c:grouping val="clustered"/>
        <c:varyColors val="0"/>
        <c:ser>
          <c:idx val="0"/>
          <c:order val="0"/>
          <c:tx>
            <c:v>Inshore Fishing</c:v>
          </c:tx>
          <c:spPr>
            <a:solidFill>
              <a:schemeClr val="tx2">
                <a:lumMod val="50000"/>
              </a:schemeClr>
            </a:solidFill>
          </c:spPr>
          <c:invertIfNegative val="0"/>
          <c:cat>
            <c:strRef>
              <c:f>'All Together'!$L$28:$P$28</c:f>
              <c:strCache>
                <c:ptCount val="5"/>
                <c:pt idx="0">
                  <c:v>2012A</c:v>
                </c:pt>
                <c:pt idx="1">
                  <c:v>2013A</c:v>
                </c:pt>
                <c:pt idx="2">
                  <c:v>2014A</c:v>
                </c:pt>
                <c:pt idx="3">
                  <c:v>2015A</c:v>
                </c:pt>
                <c:pt idx="4">
                  <c:v>2016E</c:v>
                </c:pt>
              </c:strCache>
            </c:strRef>
          </c:cat>
          <c:val>
            <c:numRef>
              <c:f>'All Together'!$L$31:$P$31</c:f>
              <c:numCache>
                <c:formatCode>0%</c:formatCode>
                <c:ptCount val="5"/>
                <c:pt idx="0">
                  <c:v>0.490107942758693</c:v>
                </c:pt>
                <c:pt idx="1">
                  <c:v>0.320427834240457</c:v>
                </c:pt>
                <c:pt idx="2">
                  <c:v>0.48410352378332</c:v>
                </c:pt>
                <c:pt idx="3">
                  <c:v>0.495483268884245</c:v>
                </c:pt>
                <c:pt idx="4">
                  <c:v>0.404843709626156</c:v>
                </c:pt>
              </c:numCache>
            </c:numRef>
          </c:val>
        </c:ser>
        <c:ser>
          <c:idx val="1"/>
          <c:order val="1"/>
          <c:tx>
            <c:v>Mid and Deep Water Fishing</c:v>
          </c:tx>
          <c:spPr>
            <a:solidFill>
              <a:schemeClr val="accent5">
                <a:lumMod val="60000"/>
                <a:lumOff val="40000"/>
              </a:schemeClr>
            </a:solidFill>
          </c:spPr>
          <c:invertIfNegative val="0"/>
          <c:cat>
            <c:strRef>
              <c:f>'All Together'!$L$28:$P$28</c:f>
              <c:strCache>
                <c:ptCount val="5"/>
                <c:pt idx="0">
                  <c:v>2012A</c:v>
                </c:pt>
                <c:pt idx="1">
                  <c:v>2013A</c:v>
                </c:pt>
                <c:pt idx="2">
                  <c:v>2014A</c:v>
                </c:pt>
                <c:pt idx="3">
                  <c:v>2015A</c:v>
                </c:pt>
                <c:pt idx="4">
                  <c:v>2016E</c:v>
                </c:pt>
              </c:strCache>
            </c:strRef>
          </c:cat>
          <c:val>
            <c:numRef>
              <c:f>'All Together'!$L$36:$P$36</c:f>
              <c:numCache>
                <c:formatCode>0%</c:formatCode>
                <c:ptCount val="5"/>
                <c:pt idx="0">
                  <c:v>0.417113322316374</c:v>
                </c:pt>
                <c:pt idx="1">
                  <c:v>0.568218527379804</c:v>
                </c:pt>
                <c:pt idx="2">
                  <c:v>0.394798116343742</c:v>
                </c:pt>
                <c:pt idx="3">
                  <c:v>0.209500076941787</c:v>
                </c:pt>
                <c:pt idx="4">
                  <c:v>0.145994079376274</c:v>
                </c:pt>
              </c:numCache>
            </c:numRef>
          </c:val>
        </c:ser>
        <c:ser>
          <c:idx val="2"/>
          <c:order val="2"/>
          <c:tx>
            <c:v>C.C.S.</c:v>
          </c:tx>
          <c:spPr>
            <a:solidFill>
              <a:schemeClr val="tx2">
                <a:lumMod val="60000"/>
                <a:lumOff val="40000"/>
              </a:schemeClr>
            </a:solidFill>
          </c:spPr>
          <c:invertIfNegative val="0"/>
          <c:cat>
            <c:strRef>
              <c:f>'All Together'!$L$28:$P$28</c:f>
              <c:strCache>
                <c:ptCount val="5"/>
                <c:pt idx="0">
                  <c:v>2012A</c:v>
                </c:pt>
                <c:pt idx="1">
                  <c:v>2013A</c:v>
                </c:pt>
                <c:pt idx="2">
                  <c:v>2014A</c:v>
                </c:pt>
                <c:pt idx="3">
                  <c:v>2015A</c:v>
                </c:pt>
                <c:pt idx="4">
                  <c:v>2016E</c:v>
                </c:pt>
              </c:strCache>
            </c:strRef>
          </c:cat>
          <c:val>
            <c:numRef>
              <c:f>'All Together'!$L$41:$P$41</c:f>
              <c:numCache>
                <c:formatCode>0%</c:formatCode>
                <c:ptCount val="5"/>
                <c:pt idx="0">
                  <c:v>0.0927787349249323</c:v>
                </c:pt>
                <c:pt idx="1">
                  <c:v>0.111353638379739</c:v>
                </c:pt>
                <c:pt idx="2">
                  <c:v>0.121098359872937</c:v>
                </c:pt>
                <c:pt idx="3">
                  <c:v>0.116698353445751</c:v>
                </c:pt>
                <c:pt idx="4">
                  <c:v>0.0776125994414504</c:v>
                </c:pt>
              </c:numCache>
            </c:numRef>
          </c:val>
        </c:ser>
        <c:ser>
          <c:idx val="3"/>
          <c:order val="3"/>
          <c:tx>
            <c:v>Daybrook</c:v>
          </c:tx>
          <c:spPr>
            <a:solidFill>
              <a:srgbClr val="660066"/>
            </a:solidFill>
          </c:spPr>
          <c:invertIfNegative val="0"/>
          <c:cat>
            <c:strRef>
              <c:f>'All Together'!$L$28:$P$28</c:f>
              <c:strCache>
                <c:ptCount val="5"/>
                <c:pt idx="0">
                  <c:v>2012A</c:v>
                </c:pt>
                <c:pt idx="1">
                  <c:v>2013A</c:v>
                </c:pt>
                <c:pt idx="2">
                  <c:v>2014A</c:v>
                </c:pt>
                <c:pt idx="3">
                  <c:v>2015A</c:v>
                </c:pt>
                <c:pt idx="4">
                  <c:v>2016E</c:v>
                </c:pt>
              </c:strCache>
            </c:strRef>
          </c:cat>
          <c:val>
            <c:numRef>
              <c:f>'All Together'!$L$46:$P$46</c:f>
              <c:numCache>
                <c:formatCode>0%</c:formatCode>
                <c:ptCount val="5"/>
                <c:pt idx="3">
                  <c:v>0.178318300728217</c:v>
                </c:pt>
                <c:pt idx="4">
                  <c:v>0.37154961155612</c:v>
                </c:pt>
              </c:numCache>
            </c:numRef>
          </c:val>
        </c:ser>
        <c:dLbls>
          <c:showLegendKey val="0"/>
          <c:showVal val="0"/>
          <c:showCatName val="0"/>
          <c:showSerName val="0"/>
          <c:showPercent val="0"/>
          <c:showBubbleSize val="0"/>
        </c:dLbls>
        <c:gapWidth val="150"/>
        <c:axId val="-2110661320"/>
        <c:axId val="-2127119384"/>
      </c:barChart>
      <c:catAx>
        <c:axId val="-2110661320"/>
        <c:scaling>
          <c:orientation val="minMax"/>
        </c:scaling>
        <c:delete val="0"/>
        <c:axPos val="b"/>
        <c:majorTickMark val="out"/>
        <c:minorTickMark val="none"/>
        <c:tickLblPos val="nextTo"/>
        <c:txPr>
          <a:bodyPr/>
          <a:lstStyle/>
          <a:p>
            <a:pPr>
              <a:defRPr b="1"/>
            </a:pPr>
            <a:endParaRPr lang="en-US"/>
          </a:p>
        </c:txPr>
        <c:crossAx val="-2127119384"/>
        <c:crosses val="autoZero"/>
        <c:auto val="1"/>
        <c:lblAlgn val="ctr"/>
        <c:lblOffset val="100"/>
        <c:noMultiLvlLbl val="0"/>
      </c:catAx>
      <c:valAx>
        <c:axId val="-2127119384"/>
        <c:scaling>
          <c:orientation val="minMax"/>
        </c:scaling>
        <c:delete val="0"/>
        <c:axPos val="l"/>
        <c:majorGridlines/>
        <c:numFmt formatCode="0%" sourceLinked="1"/>
        <c:majorTickMark val="out"/>
        <c:minorTickMark val="none"/>
        <c:tickLblPos val="nextTo"/>
        <c:crossAx val="-2110661320"/>
        <c:crosses val="autoZero"/>
        <c:crossBetween val="between"/>
      </c:valAx>
    </c:plotArea>
    <c:legend>
      <c:legendPos val="b"/>
      <c:overlay val="0"/>
      <c:txPr>
        <a:bodyPr/>
        <a:lstStyle/>
        <a:p>
          <a:pPr>
            <a:defRPr sz="12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Oceana Geographical Revenue Split</a:t>
            </a:r>
            <a:r>
              <a:rPr lang="en-US" sz="1400" baseline="0"/>
              <a:t>, 2015 (%)</a:t>
            </a:r>
            <a:endParaRPr lang="en-US" sz="1400"/>
          </a:p>
        </c:rich>
      </c:tx>
      <c:layout/>
      <c:overlay val="0"/>
      <c:spPr>
        <a:ln>
          <a:noFill/>
        </a:ln>
      </c:spPr>
    </c:title>
    <c:autoTitleDeleted val="0"/>
    <c:plotArea>
      <c:layout/>
      <c:pieChart>
        <c:varyColors val="1"/>
        <c:ser>
          <c:idx val="0"/>
          <c:order val="0"/>
          <c:dPt>
            <c:idx val="0"/>
            <c:bubble3D val="0"/>
            <c:spPr>
              <a:solidFill>
                <a:schemeClr val="tx2">
                  <a:lumMod val="50000"/>
                </a:schemeClr>
              </a:solidFill>
            </c:spPr>
          </c:dPt>
          <c:dPt>
            <c:idx val="1"/>
            <c:bubble3D val="0"/>
            <c:spPr>
              <a:solidFill>
                <a:schemeClr val="accent1">
                  <a:lumMod val="20000"/>
                  <a:lumOff val="80000"/>
                </a:schemeClr>
              </a:solidFill>
            </c:spPr>
          </c:dPt>
          <c:dPt>
            <c:idx val="2"/>
            <c:bubble3D val="0"/>
            <c:spPr>
              <a:solidFill>
                <a:schemeClr val="accent1">
                  <a:lumMod val="40000"/>
                  <a:lumOff val="60000"/>
                </a:schemeClr>
              </a:solidFill>
            </c:spPr>
          </c:dPt>
          <c:dPt>
            <c:idx val="3"/>
            <c:bubble3D val="0"/>
            <c:spPr>
              <a:solidFill>
                <a:schemeClr val="accent1">
                  <a:lumMod val="60000"/>
                  <a:lumOff val="40000"/>
                </a:schemeClr>
              </a:solidFill>
            </c:spPr>
          </c:dPt>
          <c:dPt>
            <c:idx val="4"/>
            <c:bubble3D val="0"/>
            <c:spPr>
              <a:solidFill>
                <a:schemeClr val="tx2">
                  <a:lumMod val="60000"/>
                  <a:lumOff val="40000"/>
                </a:schemeClr>
              </a:solidFill>
            </c:spPr>
          </c:dPt>
          <c:dLbls>
            <c:dLbl>
              <c:idx val="0"/>
              <c:spPr/>
              <c:txPr>
                <a:bodyPr/>
                <a:lstStyle/>
                <a:p>
                  <a:pPr>
                    <a:defRPr sz="1200" b="1">
                      <a:solidFill>
                        <a:schemeClr val="bg1"/>
                      </a:solidFill>
                    </a:defRPr>
                  </a:pPr>
                  <a:endParaRPr lang="en-US"/>
                </a:p>
              </c:txPr>
              <c:showLegendKey val="0"/>
              <c:showVal val="1"/>
              <c:showCatName val="0"/>
              <c:showSerName val="0"/>
              <c:showPercent val="0"/>
              <c:showBubbleSize val="0"/>
            </c:dLbl>
            <c:txPr>
              <a:bodyPr/>
              <a:lstStyle/>
              <a:p>
                <a:pPr>
                  <a:defRPr sz="1200" b="1"/>
                </a:pPr>
                <a:endParaRPr lang="en-US"/>
              </a:p>
            </c:txPr>
            <c:showLegendKey val="0"/>
            <c:showVal val="1"/>
            <c:showCatName val="0"/>
            <c:showSerName val="0"/>
            <c:showPercent val="0"/>
            <c:showBubbleSize val="0"/>
            <c:showLeaderLines val="1"/>
          </c:dLbls>
          <c:cat>
            <c:strRef>
              <c:f>'4b. Information for Graphs'!$D$12:$D$16</c:f>
              <c:strCache>
                <c:ptCount val="5"/>
                <c:pt idx="0">
                  <c:v>South Africa and Namibia</c:v>
                </c:pt>
                <c:pt idx="1">
                  <c:v>Other Africa</c:v>
                </c:pt>
                <c:pt idx="2">
                  <c:v>Europe</c:v>
                </c:pt>
                <c:pt idx="3">
                  <c:v>Far East</c:v>
                </c:pt>
                <c:pt idx="4">
                  <c:v>US and Canada</c:v>
                </c:pt>
              </c:strCache>
            </c:strRef>
          </c:cat>
          <c:val>
            <c:numRef>
              <c:f>'4b. Information for Graphs'!$E$12:$E$16</c:f>
              <c:numCache>
                <c:formatCode>0%</c:formatCode>
                <c:ptCount val="5"/>
                <c:pt idx="0">
                  <c:v>0.59</c:v>
                </c:pt>
                <c:pt idx="1">
                  <c:v>0.13</c:v>
                </c:pt>
                <c:pt idx="2">
                  <c:v>0.1</c:v>
                </c:pt>
                <c:pt idx="3">
                  <c:v>0.09</c:v>
                </c:pt>
                <c:pt idx="4">
                  <c:v>0.09</c:v>
                </c:pt>
              </c:numCache>
            </c:numRef>
          </c:val>
        </c:ser>
        <c:dLbls>
          <c:showLegendKey val="0"/>
          <c:showVal val="0"/>
          <c:showCatName val="0"/>
          <c:showSerName val="0"/>
          <c:showPercent val="0"/>
          <c:showBubbleSize val="0"/>
          <c:showLeaderLines val="1"/>
        </c:dLbls>
        <c:firstSliceAng val="0"/>
      </c:pieChart>
    </c:plotArea>
    <c:legend>
      <c:legendPos val="b"/>
      <c:layout>
        <c:manualLayout>
          <c:xMode val="edge"/>
          <c:yMode val="edge"/>
          <c:x val="0.012636994949495"/>
          <c:y val="0.783621706758305"/>
          <c:w val="0.923947390572391"/>
          <c:h val="0.187283218785796"/>
        </c:manualLayout>
      </c:layout>
      <c:overlay val="0"/>
      <c:spPr>
        <a:ln>
          <a:noFill/>
        </a:ln>
      </c:spPr>
      <c:txPr>
        <a:bodyPr/>
        <a:lstStyle/>
        <a:p>
          <a:pPr>
            <a:defRPr sz="11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Oceana Segmental</a:t>
            </a:r>
            <a:r>
              <a:rPr lang="en-US" sz="1400" baseline="0"/>
              <a:t> Revenue Split, 2015 (%)</a:t>
            </a:r>
            <a:endParaRPr lang="en-US" sz="1400"/>
          </a:p>
        </c:rich>
      </c:tx>
      <c:layout/>
      <c:overlay val="0"/>
    </c:title>
    <c:autoTitleDeleted val="0"/>
    <c:plotArea>
      <c:layout/>
      <c:pieChart>
        <c:varyColors val="1"/>
        <c:ser>
          <c:idx val="0"/>
          <c:order val="0"/>
          <c:dPt>
            <c:idx val="0"/>
            <c:bubble3D val="0"/>
            <c:spPr>
              <a:solidFill>
                <a:schemeClr val="tx2">
                  <a:lumMod val="50000"/>
                </a:schemeClr>
              </a:solidFill>
            </c:spPr>
          </c:dPt>
          <c:dPt>
            <c:idx val="1"/>
            <c:bubble3D val="0"/>
            <c:spPr>
              <a:solidFill>
                <a:schemeClr val="accent1">
                  <a:lumMod val="40000"/>
                  <a:lumOff val="60000"/>
                </a:schemeClr>
              </a:solidFill>
            </c:spPr>
          </c:dPt>
          <c:dPt>
            <c:idx val="2"/>
            <c:bubble3D val="0"/>
            <c:spPr>
              <a:solidFill>
                <a:schemeClr val="accent1">
                  <a:lumMod val="60000"/>
                  <a:lumOff val="40000"/>
                </a:schemeClr>
              </a:solidFill>
            </c:spPr>
          </c:dPt>
          <c:dPt>
            <c:idx val="3"/>
            <c:bubble3D val="0"/>
            <c:spPr>
              <a:solidFill>
                <a:schemeClr val="tx2">
                  <a:lumMod val="60000"/>
                  <a:lumOff val="40000"/>
                </a:schemeClr>
              </a:solidFill>
            </c:spPr>
          </c:dPt>
          <c:dLbls>
            <c:dLbl>
              <c:idx val="0"/>
              <c:spPr/>
              <c:txPr>
                <a:bodyPr/>
                <a:lstStyle/>
                <a:p>
                  <a:pPr>
                    <a:defRPr sz="1200" b="1">
                      <a:solidFill>
                        <a:srgbClr val="FFFFFF"/>
                      </a:solidFill>
                    </a:defRPr>
                  </a:pPr>
                  <a:endParaRPr lang="en-US"/>
                </a:p>
              </c:txPr>
              <c:showLegendKey val="0"/>
              <c:showVal val="1"/>
              <c:showCatName val="0"/>
              <c:showSerName val="0"/>
              <c:showPercent val="0"/>
              <c:showBubbleSize val="0"/>
            </c:dLbl>
            <c:txPr>
              <a:bodyPr/>
              <a:lstStyle/>
              <a:p>
                <a:pPr>
                  <a:defRPr sz="1200" b="1"/>
                </a:pPr>
                <a:endParaRPr lang="en-US"/>
              </a:p>
            </c:txPr>
            <c:showLegendKey val="0"/>
            <c:showVal val="1"/>
            <c:showCatName val="0"/>
            <c:showSerName val="0"/>
            <c:showPercent val="0"/>
            <c:showBubbleSize val="0"/>
            <c:showLeaderLines val="1"/>
          </c:dLbls>
          <c:cat>
            <c:strRef>
              <c:f>'4b. Information for Graphs'!$G$12:$G$15</c:f>
              <c:strCache>
                <c:ptCount val="4"/>
                <c:pt idx="0">
                  <c:v>Inshore Fishing</c:v>
                </c:pt>
                <c:pt idx="1">
                  <c:v>Mid and Deep Water Fishing</c:v>
                </c:pt>
                <c:pt idx="2">
                  <c:v>Commercial Cold Storage</c:v>
                </c:pt>
                <c:pt idx="3">
                  <c:v>Daybrook</c:v>
                </c:pt>
              </c:strCache>
            </c:strRef>
          </c:cat>
          <c:val>
            <c:numRef>
              <c:f>'4b. Information for Graphs'!$I$12:$I$15</c:f>
              <c:numCache>
                <c:formatCode>0%</c:formatCode>
                <c:ptCount val="4"/>
                <c:pt idx="0">
                  <c:v>0.619431533997744</c:v>
                </c:pt>
                <c:pt idx="1">
                  <c:v>0.213129279920477</c:v>
                </c:pt>
                <c:pt idx="2">
                  <c:v>0.0743367769656773</c:v>
                </c:pt>
                <c:pt idx="3">
                  <c:v>0.0931024091161019</c:v>
                </c:pt>
              </c:numCache>
            </c:numRef>
          </c:val>
        </c:ser>
        <c:dLbls>
          <c:showLegendKey val="0"/>
          <c:showVal val="0"/>
          <c:showCatName val="0"/>
          <c:showSerName val="0"/>
          <c:showPercent val="0"/>
          <c:showBubbleSize val="0"/>
          <c:showLeaderLines val="1"/>
        </c:dLbls>
        <c:firstSliceAng val="0"/>
      </c:pieChart>
    </c:plotArea>
    <c:legend>
      <c:legendPos val="b"/>
      <c:layout>
        <c:manualLayout>
          <c:xMode val="edge"/>
          <c:yMode val="edge"/>
          <c:x val="0.0332869641294838"/>
          <c:y val="0.82713568943417"/>
          <c:w val="0.927870516185477"/>
          <c:h val="0.135655008240249"/>
        </c:manualLayout>
      </c:layout>
      <c:overlay val="0"/>
      <c:txPr>
        <a:bodyPr/>
        <a:lstStyle/>
        <a:p>
          <a:pPr>
            <a:defRPr sz="12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Oceana's</a:t>
            </a:r>
            <a:r>
              <a:rPr lang="en-US" sz="1400" baseline="0"/>
              <a:t> Shareholders Structure (2015).</a:t>
            </a:r>
            <a:endParaRPr lang="en-US" sz="1400"/>
          </a:p>
        </c:rich>
      </c:tx>
      <c:layout/>
      <c:overlay val="0"/>
    </c:title>
    <c:autoTitleDeleted val="0"/>
    <c:plotArea>
      <c:layout/>
      <c:pieChart>
        <c:varyColors val="1"/>
        <c:ser>
          <c:idx val="0"/>
          <c:order val="0"/>
          <c:dPt>
            <c:idx val="0"/>
            <c:bubble3D val="0"/>
            <c:spPr>
              <a:solidFill>
                <a:schemeClr val="tx2">
                  <a:lumMod val="50000"/>
                </a:schemeClr>
              </a:solidFill>
            </c:spPr>
          </c:dPt>
          <c:dPt>
            <c:idx val="1"/>
            <c:bubble3D val="0"/>
            <c:spPr>
              <a:solidFill>
                <a:schemeClr val="accent1">
                  <a:lumMod val="20000"/>
                  <a:lumOff val="80000"/>
                </a:schemeClr>
              </a:solidFill>
            </c:spPr>
          </c:dPt>
          <c:dPt>
            <c:idx val="2"/>
            <c:bubble3D val="0"/>
            <c:spPr>
              <a:solidFill>
                <a:schemeClr val="tx2">
                  <a:lumMod val="40000"/>
                  <a:lumOff val="60000"/>
                </a:schemeClr>
              </a:solidFill>
            </c:spPr>
          </c:dPt>
          <c:dPt>
            <c:idx val="3"/>
            <c:bubble3D val="0"/>
            <c:spPr>
              <a:solidFill>
                <a:schemeClr val="tx2">
                  <a:lumMod val="60000"/>
                  <a:lumOff val="40000"/>
                </a:schemeClr>
              </a:solidFill>
            </c:spPr>
          </c:dPt>
          <c:dLbls>
            <c:dLbl>
              <c:idx val="0"/>
              <c:spPr/>
              <c:txPr>
                <a:bodyPr/>
                <a:lstStyle/>
                <a:p>
                  <a:pPr>
                    <a:defRPr sz="1200" b="1">
                      <a:solidFill>
                        <a:schemeClr val="bg1"/>
                      </a:solidFill>
                    </a:defRPr>
                  </a:pPr>
                  <a:endParaRPr lang="en-US"/>
                </a:p>
              </c:txPr>
              <c:showLegendKey val="0"/>
              <c:showVal val="1"/>
              <c:showCatName val="0"/>
              <c:showSerName val="0"/>
              <c:showPercent val="0"/>
              <c:showBubbleSize val="0"/>
            </c:dLbl>
            <c:txPr>
              <a:bodyPr/>
              <a:lstStyle/>
              <a:p>
                <a:pPr>
                  <a:defRPr sz="1200" b="1"/>
                </a:pPr>
                <a:endParaRPr lang="en-US"/>
              </a:p>
            </c:txPr>
            <c:showLegendKey val="0"/>
            <c:showVal val="1"/>
            <c:showCatName val="0"/>
            <c:showSerName val="0"/>
            <c:showPercent val="0"/>
            <c:showBubbleSize val="0"/>
            <c:showLeaderLines val="1"/>
          </c:dLbls>
          <c:cat>
            <c:strRef>
              <c:f>'4d. Shareholder Structure'!$D$6:$D$9</c:f>
              <c:strCache>
                <c:ptCount val="4"/>
                <c:pt idx="0">
                  <c:v>Tiger Brands</c:v>
                </c:pt>
                <c:pt idx="1">
                  <c:v>Brimstone</c:v>
                </c:pt>
                <c:pt idx="2">
                  <c:v>Oceana Empowerment Trust</c:v>
                </c:pt>
                <c:pt idx="3">
                  <c:v>Other</c:v>
                </c:pt>
              </c:strCache>
            </c:strRef>
          </c:cat>
          <c:val>
            <c:numRef>
              <c:f>'4d. Shareholder Structure'!$F$6:$F$9</c:f>
              <c:numCache>
                <c:formatCode>0.0%</c:formatCode>
                <c:ptCount val="4"/>
                <c:pt idx="0">
                  <c:v>0.421356116989788</c:v>
                </c:pt>
                <c:pt idx="1">
                  <c:v>0.16792185366671</c:v>
                </c:pt>
                <c:pt idx="2">
                  <c:v>0.102024609950932</c:v>
                </c:pt>
                <c:pt idx="3">
                  <c:v>0.30869741939257</c:v>
                </c:pt>
              </c:numCache>
            </c:numRef>
          </c:val>
        </c:ser>
        <c:dLbls>
          <c:showLegendKey val="0"/>
          <c:showVal val="0"/>
          <c:showCatName val="0"/>
          <c:showSerName val="0"/>
          <c:showPercent val="0"/>
          <c:showBubbleSize val="0"/>
          <c:showLeaderLines val="1"/>
        </c:dLbls>
        <c:firstSliceAng val="0"/>
      </c:pieChart>
    </c:plotArea>
    <c:legend>
      <c:legendPos val="b"/>
      <c:layout/>
      <c:overlay val="0"/>
      <c:txPr>
        <a:bodyPr/>
        <a:lstStyle/>
        <a:p>
          <a:pPr>
            <a:defRPr sz="12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'4e. Industry Analysis'!$G$142</c:f>
              <c:strCache>
                <c:ptCount val="1"/>
                <c:pt idx="0">
                  <c:v>2011A</c:v>
                </c:pt>
              </c:strCache>
            </c:strRef>
          </c:tx>
          <c:marker>
            <c:symbol val="none"/>
          </c:marker>
          <c:cat>
            <c:strRef>
              <c:f>'4e. Industry Analysis'!$F$143:$F$145</c:f>
              <c:strCache>
                <c:ptCount val="3"/>
                <c:pt idx="0">
                  <c:v>Capture</c:v>
                </c:pt>
                <c:pt idx="1">
                  <c:v>Aquaculture</c:v>
                </c:pt>
                <c:pt idx="2">
                  <c:v>Total</c:v>
                </c:pt>
              </c:strCache>
            </c:strRef>
          </c:cat>
          <c:val>
            <c:numRef>
              <c:f>'4e. Industry Analysis'!$G$143:$G$145</c:f>
              <c:numCache>
                <c:formatCode>General</c:formatCode>
                <c:ptCount val="3"/>
                <c:pt idx="0">
                  <c:v>90.0</c:v>
                </c:pt>
                <c:pt idx="1">
                  <c:v>64.0</c:v>
                </c:pt>
                <c:pt idx="2">
                  <c:v>154.0</c:v>
                </c:pt>
              </c:numCache>
            </c:numRef>
          </c:val>
          <c:smooth val="0"/>
        </c:ser>
        <c:ser>
          <c:idx val="1"/>
          <c:order val="1"/>
          <c:tx>
            <c:strRef>
              <c:f>'4e. Industry Analysis'!$H$142</c:f>
              <c:strCache>
                <c:ptCount val="1"/>
                <c:pt idx="0">
                  <c:v>2030E</c:v>
                </c:pt>
              </c:strCache>
            </c:strRef>
          </c:tx>
          <c:marker>
            <c:symbol val="none"/>
          </c:marker>
          <c:cat>
            <c:strRef>
              <c:f>'4e. Industry Analysis'!$F$143:$F$145</c:f>
              <c:strCache>
                <c:ptCount val="3"/>
                <c:pt idx="0">
                  <c:v>Capture</c:v>
                </c:pt>
                <c:pt idx="1">
                  <c:v>Aquaculture</c:v>
                </c:pt>
                <c:pt idx="2">
                  <c:v>Total</c:v>
                </c:pt>
              </c:strCache>
            </c:strRef>
          </c:cat>
          <c:val>
            <c:numRef>
              <c:f>'4e. Industry Analysis'!$H$143:$H$145</c:f>
              <c:numCache>
                <c:formatCode>General</c:formatCode>
                <c:ptCount val="3"/>
                <c:pt idx="0">
                  <c:v>93.0</c:v>
                </c:pt>
                <c:pt idx="1">
                  <c:v>93.0</c:v>
                </c:pt>
                <c:pt idx="2">
                  <c:v>186.0</c:v>
                </c:pt>
              </c:numCache>
            </c:numRef>
          </c:val>
          <c:smooth val="0"/>
        </c:ser>
        <c:dLbls>
          <c:showLegendKey val="0"/>
          <c:showVal val="0"/>
          <c:showCatName val="0"/>
          <c:showSerName val="0"/>
          <c:showPercent val="0"/>
          <c:showBubbleSize val="0"/>
        </c:dLbls>
        <c:marker val="1"/>
        <c:smooth val="0"/>
        <c:axId val="2141950088"/>
        <c:axId val="2141942360"/>
      </c:lineChart>
      <c:catAx>
        <c:axId val="2141950088"/>
        <c:scaling>
          <c:orientation val="minMax"/>
        </c:scaling>
        <c:delete val="0"/>
        <c:axPos val="b"/>
        <c:majorTickMark val="out"/>
        <c:minorTickMark val="none"/>
        <c:tickLblPos val="nextTo"/>
        <c:crossAx val="2141942360"/>
        <c:crosses val="autoZero"/>
        <c:auto val="1"/>
        <c:lblAlgn val="ctr"/>
        <c:lblOffset val="100"/>
        <c:noMultiLvlLbl val="0"/>
      </c:catAx>
      <c:valAx>
        <c:axId val="2141942360"/>
        <c:scaling>
          <c:orientation val="minMax"/>
        </c:scaling>
        <c:delete val="0"/>
        <c:axPos val="l"/>
        <c:majorGridlines/>
        <c:numFmt formatCode="General" sourceLinked="1"/>
        <c:majorTickMark val="out"/>
        <c:minorTickMark val="none"/>
        <c:tickLblPos val="nextTo"/>
        <c:crossAx val="214195008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World Fish Production (mn</a:t>
            </a:r>
            <a:r>
              <a:rPr lang="en-US" sz="1400" baseline="0"/>
              <a:t> tons)</a:t>
            </a:r>
            <a:endParaRPr lang="en-US" sz="1400"/>
          </a:p>
        </c:rich>
      </c:tx>
      <c:layout/>
      <c:overlay val="0"/>
    </c:title>
    <c:autoTitleDeleted val="0"/>
    <c:plotArea>
      <c:layout/>
      <c:lineChart>
        <c:grouping val="standard"/>
        <c:varyColors val="0"/>
        <c:ser>
          <c:idx val="0"/>
          <c:order val="0"/>
          <c:tx>
            <c:strRef>
              <c:f>'4e. Industry Analysis'!$F$143</c:f>
              <c:strCache>
                <c:ptCount val="1"/>
                <c:pt idx="0">
                  <c:v>Capture</c:v>
                </c:pt>
              </c:strCache>
            </c:strRef>
          </c:tx>
          <c:spPr>
            <a:ln>
              <a:solidFill>
                <a:schemeClr val="tx2">
                  <a:lumMod val="50000"/>
                </a:schemeClr>
              </a:solidFill>
            </a:ln>
          </c:spPr>
          <c:marker>
            <c:symbol val="none"/>
          </c:marker>
          <c:cat>
            <c:strRef>
              <c:f>'4e. Industry Analysis'!$G$142:$H$142</c:f>
              <c:strCache>
                <c:ptCount val="2"/>
                <c:pt idx="0">
                  <c:v>2011A</c:v>
                </c:pt>
                <c:pt idx="1">
                  <c:v>2030E</c:v>
                </c:pt>
              </c:strCache>
            </c:strRef>
          </c:cat>
          <c:val>
            <c:numRef>
              <c:f>'4e. Industry Analysis'!$G$143:$H$143</c:f>
              <c:numCache>
                <c:formatCode>General</c:formatCode>
                <c:ptCount val="2"/>
                <c:pt idx="0">
                  <c:v>90.0</c:v>
                </c:pt>
                <c:pt idx="1">
                  <c:v>93.0</c:v>
                </c:pt>
              </c:numCache>
            </c:numRef>
          </c:val>
          <c:smooth val="0"/>
        </c:ser>
        <c:ser>
          <c:idx val="1"/>
          <c:order val="1"/>
          <c:tx>
            <c:strRef>
              <c:f>'4e. Industry Analysis'!$F$144</c:f>
              <c:strCache>
                <c:ptCount val="1"/>
                <c:pt idx="0">
                  <c:v>Aquaculture</c:v>
                </c:pt>
              </c:strCache>
            </c:strRef>
          </c:tx>
          <c:spPr>
            <a:ln>
              <a:solidFill>
                <a:schemeClr val="accent1">
                  <a:lumMod val="40000"/>
                  <a:lumOff val="60000"/>
                </a:schemeClr>
              </a:solidFill>
            </a:ln>
          </c:spPr>
          <c:marker>
            <c:symbol val="none"/>
          </c:marker>
          <c:cat>
            <c:strRef>
              <c:f>'4e. Industry Analysis'!$G$142:$H$142</c:f>
              <c:strCache>
                <c:ptCount val="2"/>
                <c:pt idx="0">
                  <c:v>2011A</c:v>
                </c:pt>
                <c:pt idx="1">
                  <c:v>2030E</c:v>
                </c:pt>
              </c:strCache>
            </c:strRef>
          </c:cat>
          <c:val>
            <c:numRef>
              <c:f>'4e. Industry Analysis'!$G$144:$H$144</c:f>
              <c:numCache>
                <c:formatCode>General</c:formatCode>
                <c:ptCount val="2"/>
                <c:pt idx="0">
                  <c:v>64.0</c:v>
                </c:pt>
                <c:pt idx="1">
                  <c:v>93.0</c:v>
                </c:pt>
              </c:numCache>
            </c:numRef>
          </c:val>
          <c:smooth val="0"/>
        </c:ser>
        <c:dLbls>
          <c:showLegendKey val="0"/>
          <c:showVal val="0"/>
          <c:showCatName val="0"/>
          <c:showSerName val="0"/>
          <c:showPercent val="0"/>
          <c:showBubbleSize val="0"/>
        </c:dLbls>
        <c:marker val="1"/>
        <c:smooth val="0"/>
        <c:axId val="-2110098312"/>
        <c:axId val="2105953128"/>
      </c:lineChart>
      <c:catAx>
        <c:axId val="-2110098312"/>
        <c:scaling>
          <c:orientation val="minMax"/>
        </c:scaling>
        <c:delete val="0"/>
        <c:axPos val="b"/>
        <c:majorTickMark val="out"/>
        <c:minorTickMark val="none"/>
        <c:tickLblPos val="nextTo"/>
        <c:crossAx val="2105953128"/>
        <c:crosses val="autoZero"/>
        <c:auto val="1"/>
        <c:lblAlgn val="ctr"/>
        <c:lblOffset val="100"/>
        <c:noMultiLvlLbl val="0"/>
      </c:catAx>
      <c:valAx>
        <c:axId val="2105953128"/>
        <c:scaling>
          <c:orientation val="minMax"/>
        </c:scaling>
        <c:delete val="0"/>
        <c:axPos val="l"/>
        <c:majorGridlines/>
        <c:numFmt formatCode="General" sourceLinked="1"/>
        <c:majorTickMark val="out"/>
        <c:minorTickMark val="none"/>
        <c:tickLblPos val="nextTo"/>
        <c:crossAx val="-2110098312"/>
        <c:crosses val="autoZero"/>
        <c:crossBetween val="between"/>
      </c:valAx>
    </c:plotArea>
    <c:legend>
      <c:legendPos val="r"/>
      <c:layout/>
      <c:overlay val="0"/>
    </c:legend>
    <c:plotVisOnly val="1"/>
    <c:dispBlanksAs val="gap"/>
    <c:showDLblsOverMax val="0"/>
  </c:chart>
  <c:spPr>
    <a:ln>
      <a:noFill/>
    </a:ln>
  </c:spPr>
  <c:printSettings>
    <c:headerFooter/>
    <c:pageMargins b="1.0" l="0.75" r="0.75" t="1.0"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400"/>
            </a:pPr>
            <a:r>
              <a:rPr lang="en-US" sz="1400"/>
              <a:t>Required increased in food calories to feed 9.6 bn</a:t>
            </a:r>
            <a:r>
              <a:rPr lang="en-US" sz="1400" baseline="0"/>
              <a:t> people</a:t>
            </a:r>
            <a:endParaRPr lang="en-US" sz="1400"/>
          </a:p>
        </c:rich>
      </c:tx>
      <c:layout/>
      <c:overlay val="0"/>
    </c:title>
    <c:autoTitleDeleted val="0"/>
    <c:plotArea>
      <c:layout/>
      <c:barChart>
        <c:barDir val="col"/>
        <c:grouping val="clustered"/>
        <c:varyColors val="0"/>
        <c:ser>
          <c:idx val="0"/>
          <c:order val="0"/>
          <c:spPr>
            <a:solidFill>
              <a:schemeClr val="tx2">
                <a:lumMod val="50000"/>
              </a:schemeClr>
            </a:solidFill>
          </c:spPr>
          <c:invertIfNegative val="0"/>
          <c:cat>
            <c:strRef>
              <c:f>'4e. Industry Analysis'!$D$5:$E$5</c:f>
              <c:strCache>
                <c:ptCount val="2"/>
                <c:pt idx="0">
                  <c:v>2006A</c:v>
                </c:pt>
                <c:pt idx="1">
                  <c:v>2050E</c:v>
                </c:pt>
              </c:strCache>
            </c:strRef>
          </c:cat>
          <c:val>
            <c:numRef>
              <c:f>'4e. Industry Analysis'!$D$6:$E$6</c:f>
              <c:numCache>
                <c:formatCode>0%</c:formatCode>
                <c:ptCount val="2"/>
                <c:pt idx="0">
                  <c:v>1.0</c:v>
                </c:pt>
                <c:pt idx="1">
                  <c:v>1.69</c:v>
                </c:pt>
              </c:numCache>
            </c:numRef>
          </c:val>
        </c:ser>
        <c:dLbls>
          <c:showLegendKey val="0"/>
          <c:showVal val="0"/>
          <c:showCatName val="0"/>
          <c:showSerName val="0"/>
          <c:showPercent val="0"/>
          <c:showBubbleSize val="0"/>
        </c:dLbls>
        <c:gapWidth val="150"/>
        <c:axId val="2121200488"/>
        <c:axId val="2106412936"/>
      </c:barChart>
      <c:catAx>
        <c:axId val="2121200488"/>
        <c:scaling>
          <c:orientation val="minMax"/>
        </c:scaling>
        <c:delete val="0"/>
        <c:axPos val="b"/>
        <c:majorTickMark val="out"/>
        <c:minorTickMark val="none"/>
        <c:tickLblPos val="nextTo"/>
        <c:crossAx val="2106412936"/>
        <c:crosses val="autoZero"/>
        <c:auto val="1"/>
        <c:lblAlgn val="ctr"/>
        <c:lblOffset val="100"/>
        <c:noMultiLvlLbl val="0"/>
      </c:catAx>
      <c:valAx>
        <c:axId val="2106412936"/>
        <c:scaling>
          <c:orientation val="minMax"/>
        </c:scaling>
        <c:delete val="0"/>
        <c:axPos val="l"/>
        <c:majorGridlines/>
        <c:numFmt formatCode="0%" sourceLinked="1"/>
        <c:majorTickMark val="out"/>
        <c:minorTickMark val="none"/>
        <c:tickLblPos val="nextTo"/>
        <c:crossAx val="2121200488"/>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numRef>
              <c:f>'4f. JALSH vs Oceana Prices'!$B$9:$B$2759</c:f>
              <c:numCache>
                <c:formatCode>m/d/yy</c:formatCode>
                <c:ptCount val="2751"/>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50">
                  <c:v>41397.0</c:v>
                </c:pt>
                <c:pt idx="751">
                  <c:v>41396.0</c:v>
                </c:pt>
                <c:pt idx="752">
                  <c:v>41394.0</c:v>
                </c:pt>
                <c:pt idx="753">
                  <c:v>41393.0</c:v>
                </c:pt>
                <c:pt idx="754">
                  <c:v>41390.0</c:v>
                </c:pt>
                <c:pt idx="755">
                  <c:v>41389.0</c:v>
                </c:pt>
                <c:pt idx="756">
                  <c:v>41388.0</c:v>
                </c:pt>
                <c:pt idx="757">
                  <c:v>41387.0</c:v>
                </c:pt>
                <c:pt idx="758">
                  <c:v>41386.0</c:v>
                </c:pt>
                <c:pt idx="759">
                  <c:v>41383.0</c:v>
                </c:pt>
                <c:pt idx="760">
                  <c:v>41382.0</c:v>
                </c:pt>
                <c:pt idx="761">
                  <c:v>41381.0</c:v>
                </c:pt>
                <c:pt idx="762">
                  <c:v>41380.0</c:v>
                </c:pt>
                <c:pt idx="763">
                  <c:v>41379.0</c:v>
                </c:pt>
                <c:pt idx="764">
                  <c:v>41376.0</c:v>
                </c:pt>
                <c:pt idx="765">
                  <c:v>41375.0</c:v>
                </c:pt>
                <c:pt idx="766">
                  <c:v>41374.0</c:v>
                </c:pt>
                <c:pt idx="767">
                  <c:v>41373.0</c:v>
                </c:pt>
                <c:pt idx="768">
                  <c:v>41372.0</c:v>
                </c:pt>
                <c:pt idx="769">
                  <c:v>41369.0</c:v>
                </c:pt>
                <c:pt idx="770">
                  <c:v>41368.0</c:v>
                </c:pt>
                <c:pt idx="771">
                  <c:v>41367.0</c:v>
                </c:pt>
                <c:pt idx="772">
                  <c:v>41366.0</c:v>
                </c:pt>
                <c:pt idx="773">
                  <c:v>41361.0</c:v>
                </c:pt>
                <c:pt idx="774">
                  <c:v>41360.0</c:v>
                </c:pt>
                <c:pt idx="775">
                  <c:v>41359.0</c:v>
                </c:pt>
                <c:pt idx="776">
                  <c:v>41358.0</c:v>
                </c:pt>
                <c:pt idx="777">
                  <c:v>41355.0</c:v>
                </c:pt>
                <c:pt idx="778">
                  <c:v>41353.0</c:v>
                </c:pt>
                <c:pt idx="779">
                  <c:v>41352.0</c:v>
                </c:pt>
                <c:pt idx="780">
                  <c:v>41351.0</c:v>
                </c:pt>
                <c:pt idx="781">
                  <c:v>41348.0</c:v>
                </c:pt>
                <c:pt idx="782">
                  <c:v>41347.0</c:v>
                </c:pt>
                <c:pt idx="783">
                  <c:v>41346.0</c:v>
                </c:pt>
                <c:pt idx="784">
                  <c:v>41345.0</c:v>
                </c:pt>
                <c:pt idx="785">
                  <c:v>41344.0</c:v>
                </c:pt>
                <c:pt idx="786">
                  <c:v>41341.0</c:v>
                </c:pt>
                <c:pt idx="787">
                  <c:v>41340.0</c:v>
                </c:pt>
                <c:pt idx="788">
                  <c:v>41339.0</c:v>
                </c:pt>
                <c:pt idx="789">
                  <c:v>41338.0</c:v>
                </c:pt>
                <c:pt idx="790">
                  <c:v>41337.0</c:v>
                </c:pt>
                <c:pt idx="791">
                  <c:v>41334.0</c:v>
                </c:pt>
                <c:pt idx="792">
                  <c:v>41333.0</c:v>
                </c:pt>
                <c:pt idx="793">
                  <c:v>41332.0</c:v>
                </c:pt>
                <c:pt idx="794">
                  <c:v>41331.0</c:v>
                </c:pt>
                <c:pt idx="795">
                  <c:v>41330.0</c:v>
                </c:pt>
                <c:pt idx="796">
                  <c:v>41327.0</c:v>
                </c:pt>
                <c:pt idx="797">
                  <c:v>41326.0</c:v>
                </c:pt>
                <c:pt idx="798">
                  <c:v>41325.0</c:v>
                </c:pt>
                <c:pt idx="799">
                  <c:v>41324.0</c:v>
                </c:pt>
                <c:pt idx="800">
                  <c:v>41323.0</c:v>
                </c:pt>
                <c:pt idx="801">
                  <c:v>41320.0</c:v>
                </c:pt>
                <c:pt idx="802">
                  <c:v>41319.0</c:v>
                </c:pt>
                <c:pt idx="803">
                  <c:v>41318.0</c:v>
                </c:pt>
                <c:pt idx="804">
                  <c:v>41317.0</c:v>
                </c:pt>
                <c:pt idx="805">
                  <c:v>41316.0</c:v>
                </c:pt>
                <c:pt idx="806">
                  <c:v>41313.0</c:v>
                </c:pt>
                <c:pt idx="807">
                  <c:v>41312.0</c:v>
                </c:pt>
                <c:pt idx="808">
                  <c:v>41311.0</c:v>
                </c:pt>
                <c:pt idx="809">
                  <c:v>41310.0</c:v>
                </c:pt>
                <c:pt idx="810">
                  <c:v>41309.0</c:v>
                </c:pt>
                <c:pt idx="811">
                  <c:v>41306.0</c:v>
                </c:pt>
                <c:pt idx="812">
                  <c:v>41305.0</c:v>
                </c:pt>
                <c:pt idx="813">
                  <c:v>41304.0</c:v>
                </c:pt>
                <c:pt idx="814">
                  <c:v>41303.0</c:v>
                </c:pt>
                <c:pt idx="815">
                  <c:v>41302.0</c:v>
                </c:pt>
                <c:pt idx="816">
                  <c:v>41299.0</c:v>
                </c:pt>
                <c:pt idx="817">
                  <c:v>41298.0</c:v>
                </c:pt>
                <c:pt idx="818">
                  <c:v>41297.0</c:v>
                </c:pt>
                <c:pt idx="819">
                  <c:v>41296.0</c:v>
                </c:pt>
                <c:pt idx="820">
                  <c:v>41295.0</c:v>
                </c:pt>
                <c:pt idx="821">
                  <c:v>41292.0</c:v>
                </c:pt>
                <c:pt idx="822">
                  <c:v>41291.0</c:v>
                </c:pt>
                <c:pt idx="823">
                  <c:v>41290.0</c:v>
                </c:pt>
                <c:pt idx="824">
                  <c:v>41289.0</c:v>
                </c:pt>
                <c:pt idx="825">
                  <c:v>41288.0</c:v>
                </c:pt>
                <c:pt idx="826">
                  <c:v>41285.0</c:v>
                </c:pt>
                <c:pt idx="827">
                  <c:v>41284.0</c:v>
                </c:pt>
                <c:pt idx="828">
                  <c:v>41283.0</c:v>
                </c:pt>
                <c:pt idx="829">
                  <c:v>41282.0</c:v>
                </c:pt>
                <c:pt idx="830">
                  <c:v>41281.0</c:v>
                </c:pt>
                <c:pt idx="831">
                  <c:v>41278.0</c:v>
                </c:pt>
                <c:pt idx="832">
                  <c:v>41277.0</c:v>
                </c:pt>
                <c:pt idx="833">
                  <c:v>41276.0</c:v>
                </c:pt>
                <c:pt idx="834">
                  <c:v>41274.0</c:v>
                </c:pt>
                <c:pt idx="835">
                  <c:v>41271.0</c:v>
                </c:pt>
                <c:pt idx="836">
                  <c:v>41270.0</c:v>
                </c:pt>
                <c:pt idx="837">
                  <c:v>41267.0</c:v>
                </c:pt>
                <c:pt idx="838">
                  <c:v>41264.0</c:v>
                </c:pt>
                <c:pt idx="839">
                  <c:v>41263.0</c:v>
                </c:pt>
                <c:pt idx="840">
                  <c:v>41262.0</c:v>
                </c:pt>
                <c:pt idx="841">
                  <c:v>41261.0</c:v>
                </c:pt>
                <c:pt idx="842">
                  <c:v>41257.0</c:v>
                </c:pt>
                <c:pt idx="843">
                  <c:v>41256.0</c:v>
                </c:pt>
                <c:pt idx="844">
                  <c:v>41255.0</c:v>
                </c:pt>
                <c:pt idx="845">
                  <c:v>41254.0</c:v>
                </c:pt>
                <c:pt idx="846">
                  <c:v>41253.0</c:v>
                </c:pt>
                <c:pt idx="847">
                  <c:v>41250.0</c:v>
                </c:pt>
                <c:pt idx="848">
                  <c:v>41249.0</c:v>
                </c:pt>
                <c:pt idx="849">
                  <c:v>41248.0</c:v>
                </c:pt>
                <c:pt idx="850">
                  <c:v>41247.0</c:v>
                </c:pt>
                <c:pt idx="851">
                  <c:v>41246.0</c:v>
                </c:pt>
                <c:pt idx="852">
                  <c:v>41243.0</c:v>
                </c:pt>
                <c:pt idx="853">
                  <c:v>41242.0</c:v>
                </c:pt>
                <c:pt idx="854">
                  <c:v>41241.0</c:v>
                </c:pt>
                <c:pt idx="855">
                  <c:v>41240.0</c:v>
                </c:pt>
                <c:pt idx="856">
                  <c:v>41239.0</c:v>
                </c:pt>
                <c:pt idx="857">
                  <c:v>41236.0</c:v>
                </c:pt>
                <c:pt idx="858">
                  <c:v>41235.0</c:v>
                </c:pt>
                <c:pt idx="859">
                  <c:v>41234.0</c:v>
                </c:pt>
                <c:pt idx="860">
                  <c:v>41233.0</c:v>
                </c:pt>
                <c:pt idx="861">
                  <c:v>41232.0</c:v>
                </c:pt>
                <c:pt idx="862">
                  <c:v>41229.0</c:v>
                </c:pt>
                <c:pt idx="863">
                  <c:v>41228.0</c:v>
                </c:pt>
                <c:pt idx="864">
                  <c:v>41227.0</c:v>
                </c:pt>
                <c:pt idx="865">
                  <c:v>41226.0</c:v>
                </c:pt>
                <c:pt idx="866">
                  <c:v>41225.0</c:v>
                </c:pt>
                <c:pt idx="867">
                  <c:v>41222.0</c:v>
                </c:pt>
                <c:pt idx="868">
                  <c:v>41221.0</c:v>
                </c:pt>
                <c:pt idx="869">
                  <c:v>41220.0</c:v>
                </c:pt>
                <c:pt idx="870">
                  <c:v>41219.0</c:v>
                </c:pt>
                <c:pt idx="871">
                  <c:v>41218.0</c:v>
                </c:pt>
                <c:pt idx="872">
                  <c:v>41215.0</c:v>
                </c:pt>
                <c:pt idx="873">
                  <c:v>41214.0</c:v>
                </c:pt>
                <c:pt idx="874">
                  <c:v>41213.0</c:v>
                </c:pt>
                <c:pt idx="875">
                  <c:v>41212.0</c:v>
                </c:pt>
                <c:pt idx="876">
                  <c:v>41211.0</c:v>
                </c:pt>
                <c:pt idx="877">
                  <c:v>41208.0</c:v>
                </c:pt>
                <c:pt idx="878">
                  <c:v>41207.0</c:v>
                </c:pt>
                <c:pt idx="879">
                  <c:v>41206.0</c:v>
                </c:pt>
                <c:pt idx="880">
                  <c:v>41205.0</c:v>
                </c:pt>
                <c:pt idx="881">
                  <c:v>41204.0</c:v>
                </c:pt>
                <c:pt idx="882">
                  <c:v>41201.0</c:v>
                </c:pt>
                <c:pt idx="883">
                  <c:v>41200.0</c:v>
                </c:pt>
                <c:pt idx="884">
                  <c:v>41199.0</c:v>
                </c:pt>
                <c:pt idx="885">
                  <c:v>41198.0</c:v>
                </c:pt>
                <c:pt idx="886">
                  <c:v>41197.0</c:v>
                </c:pt>
                <c:pt idx="887">
                  <c:v>41194.0</c:v>
                </c:pt>
                <c:pt idx="888">
                  <c:v>41193.0</c:v>
                </c:pt>
                <c:pt idx="889">
                  <c:v>41192.0</c:v>
                </c:pt>
                <c:pt idx="890">
                  <c:v>41191.0</c:v>
                </c:pt>
                <c:pt idx="891">
                  <c:v>41190.0</c:v>
                </c:pt>
                <c:pt idx="892">
                  <c:v>41187.0</c:v>
                </c:pt>
                <c:pt idx="893">
                  <c:v>41186.0</c:v>
                </c:pt>
                <c:pt idx="894">
                  <c:v>41185.0</c:v>
                </c:pt>
                <c:pt idx="895">
                  <c:v>41184.0</c:v>
                </c:pt>
                <c:pt idx="896">
                  <c:v>41183.0</c:v>
                </c:pt>
                <c:pt idx="897">
                  <c:v>41180.0</c:v>
                </c:pt>
                <c:pt idx="898">
                  <c:v>41179.0</c:v>
                </c:pt>
                <c:pt idx="899">
                  <c:v>41178.0</c:v>
                </c:pt>
                <c:pt idx="900">
                  <c:v>41177.0</c:v>
                </c:pt>
                <c:pt idx="901">
                  <c:v>41173.0</c:v>
                </c:pt>
                <c:pt idx="902">
                  <c:v>41172.0</c:v>
                </c:pt>
                <c:pt idx="903">
                  <c:v>41171.0</c:v>
                </c:pt>
                <c:pt idx="904">
                  <c:v>41170.0</c:v>
                </c:pt>
                <c:pt idx="905">
                  <c:v>41169.0</c:v>
                </c:pt>
                <c:pt idx="906">
                  <c:v>41166.0</c:v>
                </c:pt>
                <c:pt idx="907">
                  <c:v>41165.0</c:v>
                </c:pt>
                <c:pt idx="908">
                  <c:v>41164.0</c:v>
                </c:pt>
                <c:pt idx="909">
                  <c:v>41163.0</c:v>
                </c:pt>
                <c:pt idx="910">
                  <c:v>41162.0</c:v>
                </c:pt>
                <c:pt idx="911">
                  <c:v>41159.0</c:v>
                </c:pt>
                <c:pt idx="912">
                  <c:v>41158.0</c:v>
                </c:pt>
                <c:pt idx="913">
                  <c:v>41157.0</c:v>
                </c:pt>
                <c:pt idx="914">
                  <c:v>41156.0</c:v>
                </c:pt>
                <c:pt idx="915">
                  <c:v>41155.0</c:v>
                </c:pt>
                <c:pt idx="916">
                  <c:v>41152.0</c:v>
                </c:pt>
                <c:pt idx="917">
                  <c:v>41151.0</c:v>
                </c:pt>
                <c:pt idx="918">
                  <c:v>41150.0</c:v>
                </c:pt>
                <c:pt idx="919">
                  <c:v>41149.0</c:v>
                </c:pt>
                <c:pt idx="920">
                  <c:v>41148.0</c:v>
                </c:pt>
                <c:pt idx="921">
                  <c:v>41145.0</c:v>
                </c:pt>
                <c:pt idx="922">
                  <c:v>41144.0</c:v>
                </c:pt>
                <c:pt idx="923">
                  <c:v>41143.0</c:v>
                </c:pt>
                <c:pt idx="924">
                  <c:v>41142.0</c:v>
                </c:pt>
                <c:pt idx="925">
                  <c:v>41141.0</c:v>
                </c:pt>
                <c:pt idx="926">
                  <c:v>41138.0</c:v>
                </c:pt>
                <c:pt idx="927">
                  <c:v>41137.0</c:v>
                </c:pt>
                <c:pt idx="928">
                  <c:v>41136.0</c:v>
                </c:pt>
                <c:pt idx="929">
                  <c:v>41135.0</c:v>
                </c:pt>
                <c:pt idx="930">
                  <c:v>41134.0</c:v>
                </c:pt>
                <c:pt idx="931">
                  <c:v>41131.0</c:v>
                </c:pt>
                <c:pt idx="932">
                  <c:v>41129.0</c:v>
                </c:pt>
                <c:pt idx="933">
                  <c:v>41128.0</c:v>
                </c:pt>
                <c:pt idx="934">
                  <c:v>41127.0</c:v>
                </c:pt>
                <c:pt idx="935">
                  <c:v>41124.0</c:v>
                </c:pt>
                <c:pt idx="936">
                  <c:v>41123.0</c:v>
                </c:pt>
                <c:pt idx="937">
                  <c:v>41122.0</c:v>
                </c:pt>
                <c:pt idx="938">
                  <c:v>41121.0</c:v>
                </c:pt>
                <c:pt idx="939">
                  <c:v>41120.0</c:v>
                </c:pt>
                <c:pt idx="940">
                  <c:v>41117.0</c:v>
                </c:pt>
                <c:pt idx="941">
                  <c:v>41116.0</c:v>
                </c:pt>
                <c:pt idx="942">
                  <c:v>41115.0</c:v>
                </c:pt>
                <c:pt idx="943">
                  <c:v>41114.0</c:v>
                </c:pt>
                <c:pt idx="944">
                  <c:v>41113.0</c:v>
                </c:pt>
                <c:pt idx="945">
                  <c:v>41110.0</c:v>
                </c:pt>
                <c:pt idx="946">
                  <c:v>41109.0</c:v>
                </c:pt>
                <c:pt idx="947">
                  <c:v>41108.0</c:v>
                </c:pt>
                <c:pt idx="948">
                  <c:v>41107.0</c:v>
                </c:pt>
                <c:pt idx="949">
                  <c:v>41106.0</c:v>
                </c:pt>
                <c:pt idx="950">
                  <c:v>41103.0</c:v>
                </c:pt>
                <c:pt idx="951">
                  <c:v>41102.0</c:v>
                </c:pt>
                <c:pt idx="952">
                  <c:v>41101.0</c:v>
                </c:pt>
                <c:pt idx="953">
                  <c:v>41100.0</c:v>
                </c:pt>
                <c:pt idx="954">
                  <c:v>41099.0</c:v>
                </c:pt>
                <c:pt idx="955">
                  <c:v>41096.0</c:v>
                </c:pt>
                <c:pt idx="956">
                  <c:v>41095.0</c:v>
                </c:pt>
                <c:pt idx="957">
                  <c:v>41094.0</c:v>
                </c:pt>
                <c:pt idx="958">
                  <c:v>41093.0</c:v>
                </c:pt>
                <c:pt idx="959">
                  <c:v>41092.0</c:v>
                </c:pt>
                <c:pt idx="960">
                  <c:v>41089.0</c:v>
                </c:pt>
                <c:pt idx="961">
                  <c:v>41088.0</c:v>
                </c:pt>
                <c:pt idx="962">
                  <c:v>41087.0</c:v>
                </c:pt>
                <c:pt idx="963">
                  <c:v>41086.0</c:v>
                </c:pt>
                <c:pt idx="964">
                  <c:v>41085.0</c:v>
                </c:pt>
                <c:pt idx="965">
                  <c:v>41082.0</c:v>
                </c:pt>
                <c:pt idx="966">
                  <c:v>41081.0</c:v>
                </c:pt>
                <c:pt idx="967">
                  <c:v>41080.0</c:v>
                </c:pt>
                <c:pt idx="968">
                  <c:v>41079.0</c:v>
                </c:pt>
                <c:pt idx="969">
                  <c:v>41078.0</c:v>
                </c:pt>
                <c:pt idx="970">
                  <c:v>41075.0</c:v>
                </c:pt>
                <c:pt idx="971">
                  <c:v>41074.0</c:v>
                </c:pt>
                <c:pt idx="972">
                  <c:v>41073.0</c:v>
                </c:pt>
                <c:pt idx="973">
                  <c:v>41072.0</c:v>
                </c:pt>
                <c:pt idx="974">
                  <c:v>41071.0</c:v>
                </c:pt>
                <c:pt idx="975">
                  <c:v>41068.0</c:v>
                </c:pt>
                <c:pt idx="976">
                  <c:v>41067.0</c:v>
                </c:pt>
                <c:pt idx="977">
                  <c:v>41066.0</c:v>
                </c:pt>
                <c:pt idx="978">
                  <c:v>41065.0</c:v>
                </c:pt>
                <c:pt idx="979">
                  <c:v>41064.0</c:v>
                </c:pt>
                <c:pt idx="980">
                  <c:v>41061.0</c:v>
                </c:pt>
                <c:pt idx="981">
                  <c:v>41060.0</c:v>
                </c:pt>
                <c:pt idx="982">
                  <c:v>41059.0</c:v>
                </c:pt>
                <c:pt idx="983">
                  <c:v>41058.0</c:v>
                </c:pt>
                <c:pt idx="984">
                  <c:v>41057.0</c:v>
                </c:pt>
                <c:pt idx="985">
                  <c:v>41054.0</c:v>
                </c:pt>
                <c:pt idx="986">
                  <c:v>41053.0</c:v>
                </c:pt>
                <c:pt idx="987">
                  <c:v>41052.0</c:v>
                </c:pt>
                <c:pt idx="988">
                  <c:v>41051.0</c:v>
                </c:pt>
                <c:pt idx="989">
                  <c:v>41050.0</c:v>
                </c:pt>
                <c:pt idx="990">
                  <c:v>41047.0</c:v>
                </c:pt>
                <c:pt idx="991">
                  <c:v>41046.0</c:v>
                </c:pt>
                <c:pt idx="992">
                  <c:v>41045.0</c:v>
                </c:pt>
                <c:pt idx="993">
                  <c:v>41044.0</c:v>
                </c:pt>
                <c:pt idx="994">
                  <c:v>41043.0</c:v>
                </c:pt>
                <c:pt idx="995">
                  <c:v>41040.0</c:v>
                </c:pt>
                <c:pt idx="996">
                  <c:v>41039.0</c:v>
                </c:pt>
                <c:pt idx="997">
                  <c:v>41038.0</c:v>
                </c:pt>
                <c:pt idx="998">
                  <c:v>41037.0</c:v>
                </c:pt>
                <c:pt idx="999">
                  <c:v>41036.0</c:v>
                </c:pt>
                <c:pt idx="1000">
                  <c:v>41033.0</c:v>
                </c:pt>
                <c:pt idx="1001">
                  <c:v>41032.0</c:v>
                </c:pt>
                <c:pt idx="1002">
                  <c:v>41031.0</c:v>
                </c:pt>
                <c:pt idx="1003">
                  <c:v>41029.0</c:v>
                </c:pt>
                <c:pt idx="1004">
                  <c:v>41025.0</c:v>
                </c:pt>
                <c:pt idx="1005">
                  <c:v>41024.0</c:v>
                </c:pt>
                <c:pt idx="1006">
                  <c:v>41023.0</c:v>
                </c:pt>
                <c:pt idx="1007">
                  <c:v>41022.0</c:v>
                </c:pt>
                <c:pt idx="1008">
                  <c:v>41019.0</c:v>
                </c:pt>
                <c:pt idx="1009">
                  <c:v>41018.0</c:v>
                </c:pt>
                <c:pt idx="1010">
                  <c:v>41017.0</c:v>
                </c:pt>
                <c:pt idx="1011">
                  <c:v>41016.0</c:v>
                </c:pt>
                <c:pt idx="1012">
                  <c:v>41015.0</c:v>
                </c:pt>
                <c:pt idx="1013">
                  <c:v>41012.0</c:v>
                </c:pt>
                <c:pt idx="1014">
                  <c:v>41011.0</c:v>
                </c:pt>
                <c:pt idx="1015">
                  <c:v>41010.0</c:v>
                </c:pt>
                <c:pt idx="1016">
                  <c:v>41009.0</c:v>
                </c:pt>
                <c:pt idx="1017">
                  <c:v>41004.0</c:v>
                </c:pt>
                <c:pt idx="1018">
                  <c:v>41003.0</c:v>
                </c:pt>
                <c:pt idx="1019">
                  <c:v>41002.0</c:v>
                </c:pt>
                <c:pt idx="1020">
                  <c:v>41001.0</c:v>
                </c:pt>
                <c:pt idx="1021">
                  <c:v>40998.0</c:v>
                </c:pt>
                <c:pt idx="1022">
                  <c:v>40997.0</c:v>
                </c:pt>
                <c:pt idx="1023">
                  <c:v>40996.0</c:v>
                </c:pt>
                <c:pt idx="1024">
                  <c:v>40995.0</c:v>
                </c:pt>
                <c:pt idx="1025">
                  <c:v>40994.0</c:v>
                </c:pt>
                <c:pt idx="1026">
                  <c:v>40991.0</c:v>
                </c:pt>
                <c:pt idx="1027">
                  <c:v>40990.0</c:v>
                </c:pt>
                <c:pt idx="1028">
                  <c:v>40988.0</c:v>
                </c:pt>
                <c:pt idx="1029">
                  <c:v>40987.0</c:v>
                </c:pt>
                <c:pt idx="1030">
                  <c:v>40984.0</c:v>
                </c:pt>
                <c:pt idx="1031">
                  <c:v>40983.0</c:v>
                </c:pt>
                <c:pt idx="1032">
                  <c:v>40982.0</c:v>
                </c:pt>
                <c:pt idx="1033">
                  <c:v>40981.0</c:v>
                </c:pt>
                <c:pt idx="1034">
                  <c:v>40980.0</c:v>
                </c:pt>
                <c:pt idx="1035">
                  <c:v>40977.0</c:v>
                </c:pt>
                <c:pt idx="1036">
                  <c:v>40976.0</c:v>
                </c:pt>
                <c:pt idx="1037">
                  <c:v>40975.0</c:v>
                </c:pt>
                <c:pt idx="1038">
                  <c:v>40974.0</c:v>
                </c:pt>
                <c:pt idx="1039">
                  <c:v>40973.0</c:v>
                </c:pt>
                <c:pt idx="1040">
                  <c:v>40970.0</c:v>
                </c:pt>
                <c:pt idx="1041">
                  <c:v>40969.0</c:v>
                </c:pt>
                <c:pt idx="1042">
                  <c:v>40968.0</c:v>
                </c:pt>
                <c:pt idx="1043">
                  <c:v>40967.0</c:v>
                </c:pt>
                <c:pt idx="1044">
                  <c:v>40966.0</c:v>
                </c:pt>
                <c:pt idx="1045">
                  <c:v>40963.0</c:v>
                </c:pt>
                <c:pt idx="1046">
                  <c:v>40962.0</c:v>
                </c:pt>
                <c:pt idx="1047">
                  <c:v>40961.0</c:v>
                </c:pt>
                <c:pt idx="1048">
                  <c:v>40960.0</c:v>
                </c:pt>
                <c:pt idx="1049">
                  <c:v>40959.0</c:v>
                </c:pt>
                <c:pt idx="1050">
                  <c:v>40956.0</c:v>
                </c:pt>
                <c:pt idx="1051">
                  <c:v>40955.0</c:v>
                </c:pt>
                <c:pt idx="1052">
                  <c:v>40954.0</c:v>
                </c:pt>
                <c:pt idx="1053">
                  <c:v>40953.0</c:v>
                </c:pt>
                <c:pt idx="1054">
                  <c:v>40952.0</c:v>
                </c:pt>
                <c:pt idx="1055">
                  <c:v>40949.0</c:v>
                </c:pt>
                <c:pt idx="1056">
                  <c:v>40948.0</c:v>
                </c:pt>
                <c:pt idx="1057">
                  <c:v>40947.0</c:v>
                </c:pt>
                <c:pt idx="1058">
                  <c:v>40946.0</c:v>
                </c:pt>
                <c:pt idx="1059">
                  <c:v>40945.0</c:v>
                </c:pt>
                <c:pt idx="1060">
                  <c:v>40942.0</c:v>
                </c:pt>
                <c:pt idx="1061">
                  <c:v>40941.0</c:v>
                </c:pt>
                <c:pt idx="1062">
                  <c:v>40940.0</c:v>
                </c:pt>
                <c:pt idx="1063">
                  <c:v>40939.0</c:v>
                </c:pt>
                <c:pt idx="1064">
                  <c:v>40938.0</c:v>
                </c:pt>
                <c:pt idx="1065">
                  <c:v>40935.0</c:v>
                </c:pt>
                <c:pt idx="1066">
                  <c:v>40934.0</c:v>
                </c:pt>
                <c:pt idx="1067">
                  <c:v>40933.0</c:v>
                </c:pt>
                <c:pt idx="1068">
                  <c:v>40932.0</c:v>
                </c:pt>
                <c:pt idx="1069">
                  <c:v>40931.0</c:v>
                </c:pt>
                <c:pt idx="1070">
                  <c:v>40928.0</c:v>
                </c:pt>
                <c:pt idx="1071">
                  <c:v>40927.0</c:v>
                </c:pt>
                <c:pt idx="1072">
                  <c:v>40926.0</c:v>
                </c:pt>
                <c:pt idx="1073">
                  <c:v>40925.0</c:v>
                </c:pt>
                <c:pt idx="1074">
                  <c:v>40924.0</c:v>
                </c:pt>
                <c:pt idx="1075">
                  <c:v>40921.0</c:v>
                </c:pt>
                <c:pt idx="1076">
                  <c:v>40920.0</c:v>
                </c:pt>
                <c:pt idx="1077">
                  <c:v>40919.0</c:v>
                </c:pt>
                <c:pt idx="1078">
                  <c:v>40918.0</c:v>
                </c:pt>
                <c:pt idx="1079">
                  <c:v>40917.0</c:v>
                </c:pt>
                <c:pt idx="1080">
                  <c:v>40914.0</c:v>
                </c:pt>
                <c:pt idx="1081">
                  <c:v>40913.0</c:v>
                </c:pt>
                <c:pt idx="1082">
                  <c:v>40912.0</c:v>
                </c:pt>
                <c:pt idx="1083">
                  <c:v>40911.0</c:v>
                </c:pt>
                <c:pt idx="1084">
                  <c:v>40907.0</c:v>
                </c:pt>
                <c:pt idx="1085">
                  <c:v>40906.0</c:v>
                </c:pt>
                <c:pt idx="1086">
                  <c:v>40905.0</c:v>
                </c:pt>
                <c:pt idx="1087">
                  <c:v>40900.0</c:v>
                </c:pt>
                <c:pt idx="1088">
                  <c:v>40899.0</c:v>
                </c:pt>
                <c:pt idx="1089">
                  <c:v>40898.0</c:v>
                </c:pt>
                <c:pt idx="1090">
                  <c:v>40897.0</c:v>
                </c:pt>
                <c:pt idx="1091">
                  <c:v>40896.0</c:v>
                </c:pt>
                <c:pt idx="1092">
                  <c:v>40892.0</c:v>
                </c:pt>
                <c:pt idx="1093">
                  <c:v>40891.0</c:v>
                </c:pt>
                <c:pt idx="1094">
                  <c:v>40890.0</c:v>
                </c:pt>
                <c:pt idx="1095">
                  <c:v>40889.0</c:v>
                </c:pt>
                <c:pt idx="1096">
                  <c:v>40886.0</c:v>
                </c:pt>
                <c:pt idx="1097">
                  <c:v>40885.0</c:v>
                </c:pt>
                <c:pt idx="1098">
                  <c:v>40884.0</c:v>
                </c:pt>
                <c:pt idx="1099">
                  <c:v>40883.0</c:v>
                </c:pt>
                <c:pt idx="1100">
                  <c:v>40882.0</c:v>
                </c:pt>
                <c:pt idx="1101">
                  <c:v>40879.0</c:v>
                </c:pt>
                <c:pt idx="1102">
                  <c:v>40878.0</c:v>
                </c:pt>
                <c:pt idx="1103">
                  <c:v>40877.0</c:v>
                </c:pt>
                <c:pt idx="1104">
                  <c:v>40876.0</c:v>
                </c:pt>
                <c:pt idx="1105">
                  <c:v>40875.0</c:v>
                </c:pt>
                <c:pt idx="1106">
                  <c:v>40872.0</c:v>
                </c:pt>
                <c:pt idx="1107">
                  <c:v>40871.0</c:v>
                </c:pt>
                <c:pt idx="1108">
                  <c:v>40870.0</c:v>
                </c:pt>
                <c:pt idx="1109">
                  <c:v>40869.0</c:v>
                </c:pt>
                <c:pt idx="1110">
                  <c:v>40868.0</c:v>
                </c:pt>
                <c:pt idx="1111">
                  <c:v>40865.0</c:v>
                </c:pt>
                <c:pt idx="1112">
                  <c:v>40864.0</c:v>
                </c:pt>
                <c:pt idx="1113">
                  <c:v>40863.0</c:v>
                </c:pt>
                <c:pt idx="1114">
                  <c:v>40862.0</c:v>
                </c:pt>
                <c:pt idx="1115">
                  <c:v>40861.0</c:v>
                </c:pt>
                <c:pt idx="1116">
                  <c:v>40858.0</c:v>
                </c:pt>
                <c:pt idx="1117">
                  <c:v>40857.0</c:v>
                </c:pt>
                <c:pt idx="1118">
                  <c:v>40856.0</c:v>
                </c:pt>
                <c:pt idx="1119">
                  <c:v>40855.0</c:v>
                </c:pt>
                <c:pt idx="1120">
                  <c:v>40854.0</c:v>
                </c:pt>
                <c:pt idx="1121">
                  <c:v>40851.0</c:v>
                </c:pt>
                <c:pt idx="1122">
                  <c:v>40850.0</c:v>
                </c:pt>
                <c:pt idx="1123">
                  <c:v>40849.0</c:v>
                </c:pt>
                <c:pt idx="1124">
                  <c:v>40848.0</c:v>
                </c:pt>
                <c:pt idx="1125">
                  <c:v>40847.0</c:v>
                </c:pt>
                <c:pt idx="1126">
                  <c:v>40844.0</c:v>
                </c:pt>
                <c:pt idx="1127">
                  <c:v>40843.0</c:v>
                </c:pt>
                <c:pt idx="1128">
                  <c:v>40842.0</c:v>
                </c:pt>
                <c:pt idx="1129">
                  <c:v>40841.0</c:v>
                </c:pt>
                <c:pt idx="1130">
                  <c:v>40840.0</c:v>
                </c:pt>
                <c:pt idx="1131">
                  <c:v>40837.0</c:v>
                </c:pt>
                <c:pt idx="1132">
                  <c:v>40836.0</c:v>
                </c:pt>
                <c:pt idx="1133">
                  <c:v>40835.0</c:v>
                </c:pt>
                <c:pt idx="1134">
                  <c:v>40834.0</c:v>
                </c:pt>
                <c:pt idx="1135">
                  <c:v>40833.0</c:v>
                </c:pt>
                <c:pt idx="1136">
                  <c:v>40830.0</c:v>
                </c:pt>
                <c:pt idx="1137">
                  <c:v>40829.0</c:v>
                </c:pt>
                <c:pt idx="1138">
                  <c:v>40828.0</c:v>
                </c:pt>
                <c:pt idx="1139">
                  <c:v>40827.0</c:v>
                </c:pt>
                <c:pt idx="1140">
                  <c:v>40826.0</c:v>
                </c:pt>
                <c:pt idx="1141">
                  <c:v>40823.0</c:v>
                </c:pt>
                <c:pt idx="1142">
                  <c:v>40822.0</c:v>
                </c:pt>
                <c:pt idx="1143">
                  <c:v>40821.0</c:v>
                </c:pt>
                <c:pt idx="1144">
                  <c:v>40820.0</c:v>
                </c:pt>
                <c:pt idx="1145">
                  <c:v>40819.0</c:v>
                </c:pt>
                <c:pt idx="1146">
                  <c:v>40816.0</c:v>
                </c:pt>
                <c:pt idx="1147">
                  <c:v>40815.0</c:v>
                </c:pt>
                <c:pt idx="1148">
                  <c:v>40814.0</c:v>
                </c:pt>
                <c:pt idx="1149">
                  <c:v>40813.0</c:v>
                </c:pt>
                <c:pt idx="1150">
                  <c:v>40812.0</c:v>
                </c:pt>
                <c:pt idx="1151">
                  <c:v>40809.0</c:v>
                </c:pt>
                <c:pt idx="1152">
                  <c:v>40808.0</c:v>
                </c:pt>
                <c:pt idx="1153">
                  <c:v>40807.0</c:v>
                </c:pt>
                <c:pt idx="1154">
                  <c:v>40806.0</c:v>
                </c:pt>
                <c:pt idx="1155">
                  <c:v>40805.0</c:v>
                </c:pt>
                <c:pt idx="1156">
                  <c:v>40802.0</c:v>
                </c:pt>
                <c:pt idx="1157">
                  <c:v>40801.0</c:v>
                </c:pt>
                <c:pt idx="1158">
                  <c:v>40800.0</c:v>
                </c:pt>
                <c:pt idx="1159">
                  <c:v>40799.0</c:v>
                </c:pt>
                <c:pt idx="1160">
                  <c:v>40798.0</c:v>
                </c:pt>
                <c:pt idx="1161">
                  <c:v>40795.0</c:v>
                </c:pt>
                <c:pt idx="1162">
                  <c:v>40794.0</c:v>
                </c:pt>
                <c:pt idx="1163">
                  <c:v>40793.0</c:v>
                </c:pt>
                <c:pt idx="1164">
                  <c:v>40792.0</c:v>
                </c:pt>
                <c:pt idx="1165">
                  <c:v>40791.0</c:v>
                </c:pt>
                <c:pt idx="1166">
                  <c:v>40788.0</c:v>
                </c:pt>
                <c:pt idx="1167">
                  <c:v>40787.0</c:v>
                </c:pt>
                <c:pt idx="1168">
                  <c:v>40786.0</c:v>
                </c:pt>
                <c:pt idx="1169">
                  <c:v>40785.0</c:v>
                </c:pt>
                <c:pt idx="1170">
                  <c:v>40784.0</c:v>
                </c:pt>
                <c:pt idx="1171">
                  <c:v>40781.0</c:v>
                </c:pt>
                <c:pt idx="1172">
                  <c:v>40780.0</c:v>
                </c:pt>
                <c:pt idx="1173">
                  <c:v>40779.0</c:v>
                </c:pt>
                <c:pt idx="1174">
                  <c:v>40778.0</c:v>
                </c:pt>
                <c:pt idx="1175">
                  <c:v>40777.0</c:v>
                </c:pt>
                <c:pt idx="1176">
                  <c:v>40774.0</c:v>
                </c:pt>
                <c:pt idx="1177">
                  <c:v>40773.0</c:v>
                </c:pt>
                <c:pt idx="1178">
                  <c:v>40772.0</c:v>
                </c:pt>
                <c:pt idx="1179">
                  <c:v>40771.0</c:v>
                </c:pt>
                <c:pt idx="1180">
                  <c:v>40770.0</c:v>
                </c:pt>
                <c:pt idx="1181">
                  <c:v>40767.0</c:v>
                </c:pt>
                <c:pt idx="1182">
                  <c:v>40766.0</c:v>
                </c:pt>
                <c:pt idx="1183">
                  <c:v>40765.0</c:v>
                </c:pt>
                <c:pt idx="1184">
                  <c:v>40763.0</c:v>
                </c:pt>
                <c:pt idx="1185">
                  <c:v>40760.0</c:v>
                </c:pt>
                <c:pt idx="1186">
                  <c:v>40759.0</c:v>
                </c:pt>
                <c:pt idx="1187">
                  <c:v>40758.0</c:v>
                </c:pt>
                <c:pt idx="1188">
                  <c:v>40757.0</c:v>
                </c:pt>
                <c:pt idx="1189">
                  <c:v>40756.0</c:v>
                </c:pt>
                <c:pt idx="1190">
                  <c:v>40753.0</c:v>
                </c:pt>
                <c:pt idx="1191">
                  <c:v>40752.0</c:v>
                </c:pt>
                <c:pt idx="1192">
                  <c:v>40751.0</c:v>
                </c:pt>
                <c:pt idx="1193">
                  <c:v>40750.0</c:v>
                </c:pt>
                <c:pt idx="1194">
                  <c:v>40749.0</c:v>
                </c:pt>
                <c:pt idx="1195">
                  <c:v>40746.0</c:v>
                </c:pt>
                <c:pt idx="1196">
                  <c:v>40745.0</c:v>
                </c:pt>
                <c:pt idx="1197">
                  <c:v>40744.0</c:v>
                </c:pt>
                <c:pt idx="1198">
                  <c:v>40743.0</c:v>
                </c:pt>
                <c:pt idx="1199">
                  <c:v>40742.0</c:v>
                </c:pt>
                <c:pt idx="1200">
                  <c:v>40739.0</c:v>
                </c:pt>
                <c:pt idx="1201">
                  <c:v>40738.0</c:v>
                </c:pt>
                <c:pt idx="1202">
                  <c:v>40737.0</c:v>
                </c:pt>
                <c:pt idx="1203">
                  <c:v>40736.0</c:v>
                </c:pt>
                <c:pt idx="1204">
                  <c:v>40735.0</c:v>
                </c:pt>
                <c:pt idx="1205">
                  <c:v>40732.0</c:v>
                </c:pt>
                <c:pt idx="1206">
                  <c:v>40731.0</c:v>
                </c:pt>
                <c:pt idx="1207">
                  <c:v>40730.0</c:v>
                </c:pt>
                <c:pt idx="1208">
                  <c:v>40729.0</c:v>
                </c:pt>
                <c:pt idx="1209">
                  <c:v>40728.0</c:v>
                </c:pt>
                <c:pt idx="1210">
                  <c:v>40725.0</c:v>
                </c:pt>
                <c:pt idx="1211">
                  <c:v>40724.0</c:v>
                </c:pt>
                <c:pt idx="1212">
                  <c:v>40723.0</c:v>
                </c:pt>
                <c:pt idx="1213">
                  <c:v>40722.0</c:v>
                </c:pt>
                <c:pt idx="1214">
                  <c:v>40721.0</c:v>
                </c:pt>
                <c:pt idx="1215">
                  <c:v>40718.0</c:v>
                </c:pt>
                <c:pt idx="1216">
                  <c:v>40717.0</c:v>
                </c:pt>
                <c:pt idx="1217">
                  <c:v>40716.0</c:v>
                </c:pt>
                <c:pt idx="1218">
                  <c:v>40715.0</c:v>
                </c:pt>
                <c:pt idx="1219">
                  <c:v>40714.0</c:v>
                </c:pt>
                <c:pt idx="1220">
                  <c:v>40711.0</c:v>
                </c:pt>
                <c:pt idx="1221">
                  <c:v>40709.0</c:v>
                </c:pt>
                <c:pt idx="1222">
                  <c:v>40708.0</c:v>
                </c:pt>
                <c:pt idx="1223">
                  <c:v>40707.0</c:v>
                </c:pt>
                <c:pt idx="1224">
                  <c:v>40704.0</c:v>
                </c:pt>
                <c:pt idx="1225">
                  <c:v>40703.0</c:v>
                </c:pt>
                <c:pt idx="1226">
                  <c:v>40702.0</c:v>
                </c:pt>
                <c:pt idx="1227">
                  <c:v>40701.0</c:v>
                </c:pt>
                <c:pt idx="1228">
                  <c:v>40700.0</c:v>
                </c:pt>
                <c:pt idx="1229">
                  <c:v>40697.0</c:v>
                </c:pt>
                <c:pt idx="1230">
                  <c:v>40696.0</c:v>
                </c:pt>
                <c:pt idx="1231">
                  <c:v>40695.0</c:v>
                </c:pt>
                <c:pt idx="1232">
                  <c:v>40694.0</c:v>
                </c:pt>
                <c:pt idx="1233">
                  <c:v>40693.0</c:v>
                </c:pt>
                <c:pt idx="1234">
                  <c:v>40690.0</c:v>
                </c:pt>
                <c:pt idx="1235">
                  <c:v>40689.0</c:v>
                </c:pt>
                <c:pt idx="1236">
                  <c:v>40688.0</c:v>
                </c:pt>
                <c:pt idx="1237">
                  <c:v>40687.0</c:v>
                </c:pt>
                <c:pt idx="1238">
                  <c:v>40686.0</c:v>
                </c:pt>
                <c:pt idx="1239">
                  <c:v>40683.0</c:v>
                </c:pt>
                <c:pt idx="1240">
                  <c:v>40682.0</c:v>
                </c:pt>
                <c:pt idx="1241">
                  <c:v>40680.0</c:v>
                </c:pt>
                <c:pt idx="1242">
                  <c:v>40679.0</c:v>
                </c:pt>
                <c:pt idx="1243">
                  <c:v>40676.0</c:v>
                </c:pt>
                <c:pt idx="1244">
                  <c:v>40675.0</c:v>
                </c:pt>
                <c:pt idx="1245">
                  <c:v>40674.0</c:v>
                </c:pt>
                <c:pt idx="1246">
                  <c:v>40673.0</c:v>
                </c:pt>
                <c:pt idx="1247">
                  <c:v>40672.0</c:v>
                </c:pt>
                <c:pt idx="1248">
                  <c:v>40669.0</c:v>
                </c:pt>
                <c:pt idx="1249">
                  <c:v>40668.0</c:v>
                </c:pt>
                <c:pt idx="1250">
                  <c:v>40667.0</c:v>
                </c:pt>
                <c:pt idx="1251">
                  <c:v>40666.0</c:v>
                </c:pt>
                <c:pt idx="1252">
                  <c:v>40662.0</c:v>
                </c:pt>
                <c:pt idx="1253">
                  <c:v>40661.0</c:v>
                </c:pt>
                <c:pt idx="1254">
                  <c:v>40659.0</c:v>
                </c:pt>
                <c:pt idx="1255">
                  <c:v>40654.0</c:v>
                </c:pt>
                <c:pt idx="1256">
                  <c:v>40653.0</c:v>
                </c:pt>
                <c:pt idx="1257">
                  <c:v>40652.0</c:v>
                </c:pt>
                <c:pt idx="1258">
                  <c:v>40651.0</c:v>
                </c:pt>
                <c:pt idx="1259">
                  <c:v>40648.0</c:v>
                </c:pt>
                <c:pt idx="1260">
                  <c:v>40647.0</c:v>
                </c:pt>
                <c:pt idx="1261">
                  <c:v>40646.0</c:v>
                </c:pt>
                <c:pt idx="1262">
                  <c:v>40645.0</c:v>
                </c:pt>
                <c:pt idx="1263">
                  <c:v>40644.0</c:v>
                </c:pt>
                <c:pt idx="1264">
                  <c:v>40641.0</c:v>
                </c:pt>
                <c:pt idx="1265">
                  <c:v>40640.0</c:v>
                </c:pt>
                <c:pt idx="1266">
                  <c:v>40639.0</c:v>
                </c:pt>
                <c:pt idx="1267">
                  <c:v>40638.0</c:v>
                </c:pt>
                <c:pt idx="1268">
                  <c:v>40637.0</c:v>
                </c:pt>
                <c:pt idx="1269">
                  <c:v>40634.0</c:v>
                </c:pt>
                <c:pt idx="1270">
                  <c:v>40633.0</c:v>
                </c:pt>
                <c:pt idx="1271">
                  <c:v>40632.0</c:v>
                </c:pt>
                <c:pt idx="1272">
                  <c:v>40631.0</c:v>
                </c:pt>
                <c:pt idx="1273">
                  <c:v>40630.0</c:v>
                </c:pt>
                <c:pt idx="1274">
                  <c:v>40627.0</c:v>
                </c:pt>
                <c:pt idx="1275">
                  <c:v>40626.0</c:v>
                </c:pt>
                <c:pt idx="1276">
                  <c:v>40625.0</c:v>
                </c:pt>
                <c:pt idx="1277">
                  <c:v>40624.0</c:v>
                </c:pt>
                <c:pt idx="1278">
                  <c:v>40620.0</c:v>
                </c:pt>
                <c:pt idx="1279">
                  <c:v>40619.0</c:v>
                </c:pt>
                <c:pt idx="1280">
                  <c:v>40618.0</c:v>
                </c:pt>
                <c:pt idx="1281">
                  <c:v>40617.0</c:v>
                </c:pt>
                <c:pt idx="1282">
                  <c:v>40616.0</c:v>
                </c:pt>
                <c:pt idx="1283">
                  <c:v>40613.0</c:v>
                </c:pt>
                <c:pt idx="1284">
                  <c:v>40612.0</c:v>
                </c:pt>
                <c:pt idx="1285">
                  <c:v>40611.0</c:v>
                </c:pt>
                <c:pt idx="1286">
                  <c:v>40610.0</c:v>
                </c:pt>
                <c:pt idx="1287">
                  <c:v>40609.0</c:v>
                </c:pt>
                <c:pt idx="1288">
                  <c:v>40606.0</c:v>
                </c:pt>
                <c:pt idx="1289">
                  <c:v>40605.0</c:v>
                </c:pt>
                <c:pt idx="1290">
                  <c:v>40604.0</c:v>
                </c:pt>
                <c:pt idx="1291">
                  <c:v>40603.0</c:v>
                </c:pt>
                <c:pt idx="1292">
                  <c:v>40602.0</c:v>
                </c:pt>
                <c:pt idx="1293">
                  <c:v>40599.0</c:v>
                </c:pt>
                <c:pt idx="1294">
                  <c:v>40598.0</c:v>
                </c:pt>
                <c:pt idx="1295">
                  <c:v>40597.0</c:v>
                </c:pt>
                <c:pt idx="1296">
                  <c:v>40596.0</c:v>
                </c:pt>
                <c:pt idx="1297">
                  <c:v>40595.0</c:v>
                </c:pt>
                <c:pt idx="1298">
                  <c:v>40592.0</c:v>
                </c:pt>
                <c:pt idx="1299">
                  <c:v>40591.0</c:v>
                </c:pt>
                <c:pt idx="1300">
                  <c:v>40590.0</c:v>
                </c:pt>
                <c:pt idx="1301">
                  <c:v>40589.0</c:v>
                </c:pt>
                <c:pt idx="1302">
                  <c:v>40588.0</c:v>
                </c:pt>
                <c:pt idx="1303">
                  <c:v>40585.0</c:v>
                </c:pt>
                <c:pt idx="1304">
                  <c:v>40584.0</c:v>
                </c:pt>
                <c:pt idx="1305">
                  <c:v>40583.0</c:v>
                </c:pt>
                <c:pt idx="1306">
                  <c:v>40582.0</c:v>
                </c:pt>
                <c:pt idx="1307">
                  <c:v>40581.0</c:v>
                </c:pt>
                <c:pt idx="1308">
                  <c:v>40578.0</c:v>
                </c:pt>
                <c:pt idx="1309">
                  <c:v>40577.0</c:v>
                </c:pt>
                <c:pt idx="1310">
                  <c:v>40576.0</c:v>
                </c:pt>
                <c:pt idx="1311">
                  <c:v>40575.0</c:v>
                </c:pt>
                <c:pt idx="1312">
                  <c:v>40574.0</c:v>
                </c:pt>
                <c:pt idx="1313">
                  <c:v>40571.0</c:v>
                </c:pt>
                <c:pt idx="1314">
                  <c:v>40570.0</c:v>
                </c:pt>
                <c:pt idx="1315">
                  <c:v>40569.0</c:v>
                </c:pt>
                <c:pt idx="1316">
                  <c:v>40568.0</c:v>
                </c:pt>
                <c:pt idx="1317">
                  <c:v>40567.0</c:v>
                </c:pt>
                <c:pt idx="1318">
                  <c:v>40564.0</c:v>
                </c:pt>
                <c:pt idx="1319">
                  <c:v>40563.0</c:v>
                </c:pt>
                <c:pt idx="1320">
                  <c:v>40562.0</c:v>
                </c:pt>
                <c:pt idx="1321">
                  <c:v>40561.0</c:v>
                </c:pt>
                <c:pt idx="1322">
                  <c:v>40560.0</c:v>
                </c:pt>
                <c:pt idx="1323">
                  <c:v>40557.0</c:v>
                </c:pt>
                <c:pt idx="1324">
                  <c:v>40556.0</c:v>
                </c:pt>
                <c:pt idx="1325">
                  <c:v>40555.0</c:v>
                </c:pt>
                <c:pt idx="1326">
                  <c:v>40554.0</c:v>
                </c:pt>
                <c:pt idx="1327">
                  <c:v>40553.0</c:v>
                </c:pt>
                <c:pt idx="1328">
                  <c:v>40550.0</c:v>
                </c:pt>
                <c:pt idx="1329">
                  <c:v>40549.0</c:v>
                </c:pt>
                <c:pt idx="1330">
                  <c:v>40548.0</c:v>
                </c:pt>
                <c:pt idx="1331">
                  <c:v>40547.0</c:v>
                </c:pt>
                <c:pt idx="1332">
                  <c:v>40546.0</c:v>
                </c:pt>
                <c:pt idx="1333">
                  <c:v>40543.0</c:v>
                </c:pt>
                <c:pt idx="1334">
                  <c:v>40542.0</c:v>
                </c:pt>
                <c:pt idx="1335">
                  <c:v>40541.0</c:v>
                </c:pt>
                <c:pt idx="1336">
                  <c:v>40540.0</c:v>
                </c:pt>
                <c:pt idx="1337">
                  <c:v>40536.0</c:v>
                </c:pt>
                <c:pt idx="1338">
                  <c:v>40535.0</c:v>
                </c:pt>
                <c:pt idx="1339">
                  <c:v>40534.0</c:v>
                </c:pt>
                <c:pt idx="1340">
                  <c:v>40533.0</c:v>
                </c:pt>
                <c:pt idx="1341">
                  <c:v>40532.0</c:v>
                </c:pt>
                <c:pt idx="1342">
                  <c:v>40529.0</c:v>
                </c:pt>
                <c:pt idx="1343">
                  <c:v>40527.0</c:v>
                </c:pt>
                <c:pt idx="1344">
                  <c:v>40526.0</c:v>
                </c:pt>
                <c:pt idx="1345">
                  <c:v>40525.0</c:v>
                </c:pt>
                <c:pt idx="1346">
                  <c:v>40522.0</c:v>
                </c:pt>
                <c:pt idx="1347">
                  <c:v>40521.0</c:v>
                </c:pt>
                <c:pt idx="1348">
                  <c:v>40520.0</c:v>
                </c:pt>
                <c:pt idx="1349">
                  <c:v>40519.0</c:v>
                </c:pt>
                <c:pt idx="1350">
                  <c:v>40518.0</c:v>
                </c:pt>
                <c:pt idx="1351">
                  <c:v>40515.0</c:v>
                </c:pt>
                <c:pt idx="1352">
                  <c:v>40514.0</c:v>
                </c:pt>
                <c:pt idx="1353">
                  <c:v>40513.0</c:v>
                </c:pt>
                <c:pt idx="1354">
                  <c:v>40512.0</c:v>
                </c:pt>
                <c:pt idx="1355">
                  <c:v>40511.0</c:v>
                </c:pt>
                <c:pt idx="1356">
                  <c:v>40508.0</c:v>
                </c:pt>
                <c:pt idx="1357">
                  <c:v>40507.0</c:v>
                </c:pt>
                <c:pt idx="1358">
                  <c:v>40506.0</c:v>
                </c:pt>
                <c:pt idx="1359">
                  <c:v>40505.0</c:v>
                </c:pt>
                <c:pt idx="1360">
                  <c:v>40504.0</c:v>
                </c:pt>
                <c:pt idx="1361">
                  <c:v>40501.0</c:v>
                </c:pt>
                <c:pt idx="1362">
                  <c:v>40500.0</c:v>
                </c:pt>
                <c:pt idx="1363">
                  <c:v>40499.0</c:v>
                </c:pt>
                <c:pt idx="1364">
                  <c:v>40498.0</c:v>
                </c:pt>
                <c:pt idx="1365">
                  <c:v>40497.0</c:v>
                </c:pt>
                <c:pt idx="1366">
                  <c:v>40494.0</c:v>
                </c:pt>
                <c:pt idx="1367">
                  <c:v>40493.0</c:v>
                </c:pt>
                <c:pt idx="1368">
                  <c:v>40492.0</c:v>
                </c:pt>
                <c:pt idx="1369">
                  <c:v>40491.0</c:v>
                </c:pt>
                <c:pt idx="1370">
                  <c:v>40490.0</c:v>
                </c:pt>
                <c:pt idx="1371">
                  <c:v>40487.0</c:v>
                </c:pt>
                <c:pt idx="1372">
                  <c:v>40486.0</c:v>
                </c:pt>
                <c:pt idx="1373">
                  <c:v>40485.0</c:v>
                </c:pt>
                <c:pt idx="1374">
                  <c:v>40484.0</c:v>
                </c:pt>
                <c:pt idx="1375">
                  <c:v>40483.0</c:v>
                </c:pt>
                <c:pt idx="1376">
                  <c:v>40480.0</c:v>
                </c:pt>
                <c:pt idx="1377">
                  <c:v>40479.0</c:v>
                </c:pt>
                <c:pt idx="1378">
                  <c:v>40478.0</c:v>
                </c:pt>
                <c:pt idx="1379">
                  <c:v>40477.0</c:v>
                </c:pt>
                <c:pt idx="1380">
                  <c:v>40476.0</c:v>
                </c:pt>
                <c:pt idx="1381">
                  <c:v>40473.0</c:v>
                </c:pt>
                <c:pt idx="1382">
                  <c:v>40472.0</c:v>
                </c:pt>
                <c:pt idx="1383">
                  <c:v>40471.0</c:v>
                </c:pt>
                <c:pt idx="1384">
                  <c:v>40470.0</c:v>
                </c:pt>
                <c:pt idx="1385">
                  <c:v>40469.0</c:v>
                </c:pt>
                <c:pt idx="1386">
                  <c:v>40466.0</c:v>
                </c:pt>
                <c:pt idx="1387">
                  <c:v>40465.0</c:v>
                </c:pt>
                <c:pt idx="1388">
                  <c:v>40464.0</c:v>
                </c:pt>
                <c:pt idx="1389">
                  <c:v>40463.0</c:v>
                </c:pt>
                <c:pt idx="1390">
                  <c:v>40462.0</c:v>
                </c:pt>
                <c:pt idx="1391">
                  <c:v>40459.0</c:v>
                </c:pt>
                <c:pt idx="1392">
                  <c:v>40458.0</c:v>
                </c:pt>
                <c:pt idx="1393">
                  <c:v>40457.0</c:v>
                </c:pt>
                <c:pt idx="1394">
                  <c:v>40456.0</c:v>
                </c:pt>
                <c:pt idx="1395">
                  <c:v>40455.0</c:v>
                </c:pt>
                <c:pt idx="1396">
                  <c:v>40452.0</c:v>
                </c:pt>
                <c:pt idx="1397">
                  <c:v>40451.0</c:v>
                </c:pt>
                <c:pt idx="1398">
                  <c:v>40450.0</c:v>
                </c:pt>
                <c:pt idx="1399">
                  <c:v>40449.0</c:v>
                </c:pt>
                <c:pt idx="1400">
                  <c:v>40448.0</c:v>
                </c:pt>
                <c:pt idx="1401">
                  <c:v>40444.0</c:v>
                </c:pt>
                <c:pt idx="1402">
                  <c:v>40443.0</c:v>
                </c:pt>
                <c:pt idx="1403">
                  <c:v>40442.0</c:v>
                </c:pt>
                <c:pt idx="1404">
                  <c:v>40441.0</c:v>
                </c:pt>
                <c:pt idx="1405">
                  <c:v>40438.0</c:v>
                </c:pt>
                <c:pt idx="1406">
                  <c:v>40437.0</c:v>
                </c:pt>
                <c:pt idx="1407">
                  <c:v>40436.0</c:v>
                </c:pt>
                <c:pt idx="1408">
                  <c:v>40435.0</c:v>
                </c:pt>
                <c:pt idx="1409">
                  <c:v>40434.0</c:v>
                </c:pt>
                <c:pt idx="1410">
                  <c:v>40431.0</c:v>
                </c:pt>
                <c:pt idx="1411">
                  <c:v>40430.0</c:v>
                </c:pt>
                <c:pt idx="1412">
                  <c:v>40429.0</c:v>
                </c:pt>
                <c:pt idx="1413">
                  <c:v>40428.0</c:v>
                </c:pt>
                <c:pt idx="1414">
                  <c:v>40427.0</c:v>
                </c:pt>
                <c:pt idx="1415">
                  <c:v>40424.0</c:v>
                </c:pt>
                <c:pt idx="1416">
                  <c:v>40423.0</c:v>
                </c:pt>
                <c:pt idx="1417">
                  <c:v>40422.0</c:v>
                </c:pt>
                <c:pt idx="1418">
                  <c:v>40421.0</c:v>
                </c:pt>
                <c:pt idx="1419">
                  <c:v>40420.0</c:v>
                </c:pt>
                <c:pt idx="1420">
                  <c:v>40417.0</c:v>
                </c:pt>
                <c:pt idx="1421">
                  <c:v>40416.0</c:v>
                </c:pt>
                <c:pt idx="1422">
                  <c:v>40415.0</c:v>
                </c:pt>
                <c:pt idx="1423">
                  <c:v>40414.0</c:v>
                </c:pt>
                <c:pt idx="1424">
                  <c:v>40413.0</c:v>
                </c:pt>
                <c:pt idx="1425">
                  <c:v>40410.0</c:v>
                </c:pt>
                <c:pt idx="1426">
                  <c:v>40409.0</c:v>
                </c:pt>
                <c:pt idx="1427">
                  <c:v>40408.0</c:v>
                </c:pt>
                <c:pt idx="1428">
                  <c:v>40407.0</c:v>
                </c:pt>
                <c:pt idx="1429">
                  <c:v>40406.0</c:v>
                </c:pt>
                <c:pt idx="1430">
                  <c:v>40403.0</c:v>
                </c:pt>
                <c:pt idx="1431">
                  <c:v>40402.0</c:v>
                </c:pt>
                <c:pt idx="1432">
                  <c:v>40401.0</c:v>
                </c:pt>
                <c:pt idx="1433">
                  <c:v>40400.0</c:v>
                </c:pt>
                <c:pt idx="1434">
                  <c:v>40396.0</c:v>
                </c:pt>
                <c:pt idx="1435">
                  <c:v>40395.0</c:v>
                </c:pt>
                <c:pt idx="1436">
                  <c:v>40394.0</c:v>
                </c:pt>
                <c:pt idx="1437">
                  <c:v>40393.0</c:v>
                </c:pt>
                <c:pt idx="1438">
                  <c:v>40392.0</c:v>
                </c:pt>
                <c:pt idx="1439">
                  <c:v>40389.0</c:v>
                </c:pt>
                <c:pt idx="1440">
                  <c:v>40388.0</c:v>
                </c:pt>
                <c:pt idx="1441">
                  <c:v>40387.0</c:v>
                </c:pt>
                <c:pt idx="1442">
                  <c:v>40386.0</c:v>
                </c:pt>
                <c:pt idx="1443">
                  <c:v>40385.0</c:v>
                </c:pt>
                <c:pt idx="1444">
                  <c:v>40382.0</c:v>
                </c:pt>
                <c:pt idx="1445">
                  <c:v>40381.0</c:v>
                </c:pt>
                <c:pt idx="1446">
                  <c:v>40380.0</c:v>
                </c:pt>
                <c:pt idx="1447">
                  <c:v>40379.0</c:v>
                </c:pt>
                <c:pt idx="1448">
                  <c:v>40378.0</c:v>
                </c:pt>
                <c:pt idx="1449">
                  <c:v>40375.0</c:v>
                </c:pt>
                <c:pt idx="1450">
                  <c:v>40374.0</c:v>
                </c:pt>
                <c:pt idx="1451">
                  <c:v>40373.0</c:v>
                </c:pt>
                <c:pt idx="1452">
                  <c:v>40372.0</c:v>
                </c:pt>
                <c:pt idx="1453">
                  <c:v>40371.0</c:v>
                </c:pt>
                <c:pt idx="1454">
                  <c:v>40368.0</c:v>
                </c:pt>
                <c:pt idx="1455">
                  <c:v>40367.0</c:v>
                </c:pt>
                <c:pt idx="1456">
                  <c:v>40366.0</c:v>
                </c:pt>
                <c:pt idx="1457">
                  <c:v>40365.0</c:v>
                </c:pt>
                <c:pt idx="1458">
                  <c:v>40364.0</c:v>
                </c:pt>
                <c:pt idx="1459">
                  <c:v>40361.0</c:v>
                </c:pt>
                <c:pt idx="1460">
                  <c:v>40360.0</c:v>
                </c:pt>
                <c:pt idx="1461">
                  <c:v>40359.0</c:v>
                </c:pt>
                <c:pt idx="1462">
                  <c:v>40358.0</c:v>
                </c:pt>
                <c:pt idx="1463">
                  <c:v>40357.0</c:v>
                </c:pt>
                <c:pt idx="1464">
                  <c:v>40354.0</c:v>
                </c:pt>
                <c:pt idx="1465">
                  <c:v>40353.0</c:v>
                </c:pt>
                <c:pt idx="1466">
                  <c:v>40352.0</c:v>
                </c:pt>
                <c:pt idx="1467">
                  <c:v>40351.0</c:v>
                </c:pt>
                <c:pt idx="1468">
                  <c:v>40350.0</c:v>
                </c:pt>
                <c:pt idx="1469">
                  <c:v>40347.0</c:v>
                </c:pt>
                <c:pt idx="1470">
                  <c:v>40346.0</c:v>
                </c:pt>
                <c:pt idx="1471">
                  <c:v>40344.0</c:v>
                </c:pt>
                <c:pt idx="1472">
                  <c:v>40343.0</c:v>
                </c:pt>
                <c:pt idx="1473">
                  <c:v>40340.0</c:v>
                </c:pt>
                <c:pt idx="1474">
                  <c:v>40339.0</c:v>
                </c:pt>
                <c:pt idx="1475">
                  <c:v>40338.0</c:v>
                </c:pt>
                <c:pt idx="1476">
                  <c:v>40337.0</c:v>
                </c:pt>
                <c:pt idx="1477">
                  <c:v>40336.0</c:v>
                </c:pt>
                <c:pt idx="1478">
                  <c:v>40333.0</c:v>
                </c:pt>
                <c:pt idx="1479">
                  <c:v>40332.0</c:v>
                </c:pt>
                <c:pt idx="1480">
                  <c:v>40331.0</c:v>
                </c:pt>
                <c:pt idx="1481">
                  <c:v>40330.0</c:v>
                </c:pt>
                <c:pt idx="1482">
                  <c:v>40329.0</c:v>
                </c:pt>
                <c:pt idx="1483">
                  <c:v>40326.0</c:v>
                </c:pt>
                <c:pt idx="1484">
                  <c:v>40325.0</c:v>
                </c:pt>
                <c:pt idx="1485">
                  <c:v>40324.0</c:v>
                </c:pt>
                <c:pt idx="1486">
                  <c:v>40323.0</c:v>
                </c:pt>
                <c:pt idx="1487">
                  <c:v>40322.0</c:v>
                </c:pt>
                <c:pt idx="1488">
                  <c:v>40319.0</c:v>
                </c:pt>
                <c:pt idx="1489">
                  <c:v>40318.0</c:v>
                </c:pt>
                <c:pt idx="1490">
                  <c:v>40317.0</c:v>
                </c:pt>
                <c:pt idx="1491">
                  <c:v>40316.0</c:v>
                </c:pt>
                <c:pt idx="1492">
                  <c:v>40315.0</c:v>
                </c:pt>
                <c:pt idx="1493">
                  <c:v>40312.0</c:v>
                </c:pt>
                <c:pt idx="1494">
                  <c:v>40311.0</c:v>
                </c:pt>
                <c:pt idx="1495">
                  <c:v>40310.0</c:v>
                </c:pt>
                <c:pt idx="1496">
                  <c:v>40309.0</c:v>
                </c:pt>
                <c:pt idx="1497">
                  <c:v>40308.0</c:v>
                </c:pt>
                <c:pt idx="1498">
                  <c:v>40305.0</c:v>
                </c:pt>
                <c:pt idx="1499">
                  <c:v>40304.0</c:v>
                </c:pt>
                <c:pt idx="1500">
                  <c:v>40303.0</c:v>
                </c:pt>
                <c:pt idx="1501">
                  <c:v>40302.0</c:v>
                </c:pt>
                <c:pt idx="1503">
                  <c:v>40301.0</c:v>
                </c:pt>
                <c:pt idx="1504">
                  <c:v>40298.0</c:v>
                </c:pt>
                <c:pt idx="1505">
                  <c:v>40297.0</c:v>
                </c:pt>
                <c:pt idx="1506">
                  <c:v>40296.0</c:v>
                </c:pt>
                <c:pt idx="1507">
                  <c:v>40294.0</c:v>
                </c:pt>
                <c:pt idx="1508">
                  <c:v>40291.0</c:v>
                </c:pt>
                <c:pt idx="1509">
                  <c:v>40290.0</c:v>
                </c:pt>
                <c:pt idx="1510">
                  <c:v>40289.0</c:v>
                </c:pt>
                <c:pt idx="1511">
                  <c:v>40288.0</c:v>
                </c:pt>
                <c:pt idx="1512">
                  <c:v>40287.0</c:v>
                </c:pt>
                <c:pt idx="1513">
                  <c:v>40284.0</c:v>
                </c:pt>
                <c:pt idx="1514">
                  <c:v>40283.0</c:v>
                </c:pt>
                <c:pt idx="1515">
                  <c:v>40282.0</c:v>
                </c:pt>
                <c:pt idx="1516">
                  <c:v>40281.0</c:v>
                </c:pt>
                <c:pt idx="1517">
                  <c:v>40280.0</c:v>
                </c:pt>
                <c:pt idx="1518">
                  <c:v>40277.0</c:v>
                </c:pt>
                <c:pt idx="1519">
                  <c:v>40276.0</c:v>
                </c:pt>
                <c:pt idx="1520">
                  <c:v>40275.0</c:v>
                </c:pt>
                <c:pt idx="1521">
                  <c:v>40274.0</c:v>
                </c:pt>
                <c:pt idx="1522">
                  <c:v>40269.0</c:v>
                </c:pt>
                <c:pt idx="1523">
                  <c:v>40268.0</c:v>
                </c:pt>
                <c:pt idx="1524">
                  <c:v>40267.0</c:v>
                </c:pt>
                <c:pt idx="1525">
                  <c:v>40266.0</c:v>
                </c:pt>
                <c:pt idx="1526">
                  <c:v>40263.0</c:v>
                </c:pt>
                <c:pt idx="1527">
                  <c:v>40262.0</c:v>
                </c:pt>
                <c:pt idx="1528">
                  <c:v>40261.0</c:v>
                </c:pt>
                <c:pt idx="1529">
                  <c:v>40260.0</c:v>
                </c:pt>
                <c:pt idx="1530">
                  <c:v>40256.0</c:v>
                </c:pt>
                <c:pt idx="1531">
                  <c:v>40255.0</c:v>
                </c:pt>
                <c:pt idx="1532">
                  <c:v>40254.0</c:v>
                </c:pt>
                <c:pt idx="1533">
                  <c:v>40253.0</c:v>
                </c:pt>
                <c:pt idx="1534">
                  <c:v>40252.0</c:v>
                </c:pt>
                <c:pt idx="1535">
                  <c:v>40249.0</c:v>
                </c:pt>
                <c:pt idx="1536">
                  <c:v>40248.0</c:v>
                </c:pt>
                <c:pt idx="1537">
                  <c:v>40247.0</c:v>
                </c:pt>
                <c:pt idx="1538">
                  <c:v>40246.0</c:v>
                </c:pt>
                <c:pt idx="1539">
                  <c:v>40245.0</c:v>
                </c:pt>
                <c:pt idx="1540">
                  <c:v>40242.0</c:v>
                </c:pt>
                <c:pt idx="1541">
                  <c:v>40241.0</c:v>
                </c:pt>
                <c:pt idx="1542">
                  <c:v>40240.0</c:v>
                </c:pt>
                <c:pt idx="1543">
                  <c:v>40239.0</c:v>
                </c:pt>
                <c:pt idx="1544">
                  <c:v>40238.0</c:v>
                </c:pt>
                <c:pt idx="1545">
                  <c:v>40235.0</c:v>
                </c:pt>
                <c:pt idx="1546">
                  <c:v>40234.0</c:v>
                </c:pt>
                <c:pt idx="1547">
                  <c:v>40233.0</c:v>
                </c:pt>
                <c:pt idx="1548">
                  <c:v>40232.0</c:v>
                </c:pt>
                <c:pt idx="1549">
                  <c:v>40231.0</c:v>
                </c:pt>
                <c:pt idx="1550">
                  <c:v>40228.0</c:v>
                </c:pt>
                <c:pt idx="1551">
                  <c:v>40227.0</c:v>
                </c:pt>
                <c:pt idx="1552">
                  <c:v>40226.0</c:v>
                </c:pt>
                <c:pt idx="1553">
                  <c:v>40225.0</c:v>
                </c:pt>
                <c:pt idx="1554">
                  <c:v>40224.0</c:v>
                </c:pt>
                <c:pt idx="1555">
                  <c:v>40221.0</c:v>
                </c:pt>
                <c:pt idx="1556">
                  <c:v>40220.0</c:v>
                </c:pt>
                <c:pt idx="1557">
                  <c:v>40219.0</c:v>
                </c:pt>
                <c:pt idx="1558">
                  <c:v>40218.0</c:v>
                </c:pt>
                <c:pt idx="1559">
                  <c:v>40217.0</c:v>
                </c:pt>
                <c:pt idx="1560">
                  <c:v>40214.0</c:v>
                </c:pt>
                <c:pt idx="1561">
                  <c:v>40213.0</c:v>
                </c:pt>
                <c:pt idx="1562">
                  <c:v>40212.0</c:v>
                </c:pt>
                <c:pt idx="1563">
                  <c:v>40211.0</c:v>
                </c:pt>
                <c:pt idx="1564">
                  <c:v>40210.0</c:v>
                </c:pt>
                <c:pt idx="1565">
                  <c:v>40207.0</c:v>
                </c:pt>
                <c:pt idx="1566">
                  <c:v>40206.0</c:v>
                </c:pt>
                <c:pt idx="1567">
                  <c:v>40205.0</c:v>
                </c:pt>
                <c:pt idx="1568">
                  <c:v>40204.0</c:v>
                </c:pt>
                <c:pt idx="1569">
                  <c:v>40203.0</c:v>
                </c:pt>
                <c:pt idx="1570">
                  <c:v>40200.0</c:v>
                </c:pt>
                <c:pt idx="1571">
                  <c:v>40199.0</c:v>
                </c:pt>
                <c:pt idx="1572">
                  <c:v>40198.0</c:v>
                </c:pt>
                <c:pt idx="1573">
                  <c:v>40197.0</c:v>
                </c:pt>
                <c:pt idx="1574">
                  <c:v>40196.0</c:v>
                </c:pt>
                <c:pt idx="1575">
                  <c:v>40193.0</c:v>
                </c:pt>
                <c:pt idx="1576">
                  <c:v>40192.0</c:v>
                </c:pt>
                <c:pt idx="1577">
                  <c:v>40191.0</c:v>
                </c:pt>
                <c:pt idx="1578">
                  <c:v>40190.0</c:v>
                </c:pt>
                <c:pt idx="1579">
                  <c:v>40189.0</c:v>
                </c:pt>
                <c:pt idx="1580">
                  <c:v>40186.0</c:v>
                </c:pt>
                <c:pt idx="1581">
                  <c:v>40185.0</c:v>
                </c:pt>
                <c:pt idx="1582">
                  <c:v>40184.0</c:v>
                </c:pt>
                <c:pt idx="1583">
                  <c:v>40183.0</c:v>
                </c:pt>
                <c:pt idx="1584">
                  <c:v>40182.0</c:v>
                </c:pt>
                <c:pt idx="1585">
                  <c:v>40178.0</c:v>
                </c:pt>
                <c:pt idx="1586">
                  <c:v>40177.0</c:v>
                </c:pt>
                <c:pt idx="1587">
                  <c:v>40176.0</c:v>
                </c:pt>
                <c:pt idx="1588">
                  <c:v>40175.0</c:v>
                </c:pt>
                <c:pt idx="1589">
                  <c:v>40171.0</c:v>
                </c:pt>
                <c:pt idx="1590">
                  <c:v>40170.0</c:v>
                </c:pt>
                <c:pt idx="1591">
                  <c:v>40169.0</c:v>
                </c:pt>
                <c:pt idx="1592">
                  <c:v>40168.0</c:v>
                </c:pt>
                <c:pt idx="1593">
                  <c:v>40165.0</c:v>
                </c:pt>
                <c:pt idx="1594">
                  <c:v>40164.0</c:v>
                </c:pt>
                <c:pt idx="1595">
                  <c:v>40162.0</c:v>
                </c:pt>
                <c:pt idx="1596">
                  <c:v>40161.0</c:v>
                </c:pt>
                <c:pt idx="1597">
                  <c:v>40158.0</c:v>
                </c:pt>
                <c:pt idx="1598">
                  <c:v>40157.0</c:v>
                </c:pt>
                <c:pt idx="1599">
                  <c:v>40156.0</c:v>
                </c:pt>
                <c:pt idx="1600">
                  <c:v>40155.0</c:v>
                </c:pt>
                <c:pt idx="1601">
                  <c:v>40154.0</c:v>
                </c:pt>
                <c:pt idx="1602">
                  <c:v>40151.0</c:v>
                </c:pt>
                <c:pt idx="1603">
                  <c:v>40150.0</c:v>
                </c:pt>
                <c:pt idx="1604">
                  <c:v>40149.0</c:v>
                </c:pt>
                <c:pt idx="1605">
                  <c:v>40148.0</c:v>
                </c:pt>
                <c:pt idx="1606">
                  <c:v>40147.0</c:v>
                </c:pt>
                <c:pt idx="1607">
                  <c:v>40144.0</c:v>
                </c:pt>
                <c:pt idx="1608">
                  <c:v>40143.0</c:v>
                </c:pt>
                <c:pt idx="1609">
                  <c:v>40142.0</c:v>
                </c:pt>
                <c:pt idx="1610">
                  <c:v>40141.0</c:v>
                </c:pt>
                <c:pt idx="1611">
                  <c:v>40140.0</c:v>
                </c:pt>
                <c:pt idx="1612">
                  <c:v>40137.0</c:v>
                </c:pt>
                <c:pt idx="1613">
                  <c:v>40136.0</c:v>
                </c:pt>
                <c:pt idx="1614">
                  <c:v>40135.0</c:v>
                </c:pt>
                <c:pt idx="1615">
                  <c:v>40134.0</c:v>
                </c:pt>
                <c:pt idx="1616">
                  <c:v>40133.0</c:v>
                </c:pt>
                <c:pt idx="1617">
                  <c:v>40130.0</c:v>
                </c:pt>
                <c:pt idx="1618">
                  <c:v>40129.0</c:v>
                </c:pt>
                <c:pt idx="1619">
                  <c:v>40128.0</c:v>
                </c:pt>
                <c:pt idx="1620">
                  <c:v>40127.0</c:v>
                </c:pt>
                <c:pt idx="1621">
                  <c:v>40126.0</c:v>
                </c:pt>
                <c:pt idx="1622">
                  <c:v>40123.0</c:v>
                </c:pt>
                <c:pt idx="1623">
                  <c:v>40122.0</c:v>
                </c:pt>
                <c:pt idx="1624">
                  <c:v>40121.0</c:v>
                </c:pt>
                <c:pt idx="1625">
                  <c:v>40120.0</c:v>
                </c:pt>
                <c:pt idx="1626">
                  <c:v>40119.0</c:v>
                </c:pt>
                <c:pt idx="1627">
                  <c:v>40116.0</c:v>
                </c:pt>
                <c:pt idx="1628">
                  <c:v>40115.0</c:v>
                </c:pt>
                <c:pt idx="1629">
                  <c:v>40114.0</c:v>
                </c:pt>
                <c:pt idx="1630">
                  <c:v>40113.0</c:v>
                </c:pt>
                <c:pt idx="1631">
                  <c:v>40112.0</c:v>
                </c:pt>
                <c:pt idx="1632">
                  <c:v>40109.0</c:v>
                </c:pt>
                <c:pt idx="1633">
                  <c:v>40108.0</c:v>
                </c:pt>
                <c:pt idx="1634">
                  <c:v>40107.0</c:v>
                </c:pt>
                <c:pt idx="1635">
                  <c:v>40106.0</c:v>
                </c:pt>
                <c:pt idx="1636">
                  <c:v>40105.0</c:v>
                </c:pt>
                <c:pt idx="1637">
                  <c:v>40102.0</c:v>
                </c:pt>
                <c:pt idx="1638">
                  <c:v>40101.0</c:v>
                </c:pt>
                <c:pt idx="1639">
                  <c:v>40100.0</c:v>
                </c:pt>
                <c:pt idx="1640">
                  <c:v>40099.0</c:v>
                </c:pt>
                <c:pt idx="1641">
                  <c:v>40098.0</c:v>
                </c:pt>
                <c:pt idx="1642">
                  <c:v>40095.0</c:v>
                </c:pt>
                <c:pt idx="1643">
                  <c:v>40094.0</c:v>
                </c:pt>
                <c:pt idx="1644">
                  <c:v>40093.0</c:v>
                </c:pt>
                <c:pt idx="1645">
                  <c:v>40092.0</c:v>
                </c:pt>
                <c:pt idx="1646">
                  <c:v>40091.0</c:v>
                </c:pt>
                <c:pt idx="1647">
                  <c:v>40088.0</c:v>
                </c:pt>
                <c:pt idx="1648">
                  <c:v>40087.0</c:v>
                </c:pt>
                <c:pt idx="1649">
                  <c:v>40086.0</c:v>
                </c:pt>
                <c:pt idx="1650">
                  <c:v>40085.0</c:v>
                </c:pt>
                <c:pt idx="1651">
                  <c:v>40084.0</c:v>
                </c:pt>
                <c:pt idx="1652">
                  <c:v>40081.0</c:v>
                </c:pt>
                <c:pt idx="1653">
                  <c:v>40079.0</c:v>
                </c:pt>
                <c:pt idx="1654">
                  <c:v>40078.0</c:v>
                </c:pt>
                <c:pt idx="1655">
                  <c:v>40077.0</c:v>
                </c:pt>
                <c:pt idx="1656">
                  <c:v>40074.0</c:v>
                </c:pt>
                <c:pt idx="1657">
                  <c:v>40073.0</c:v>
                </c:pt>
                <c:pt idx="1658">
                  <c:v>40072.0</c:v>
                </c:pt>
                <c:pt idx="1659">
                  <c:v>40071.0</c:v>
                </c:pt>
                <c:pt idx="1660">
                  <c:v>40070.0</c:v>
                </c:pt>
                <c:pt idx="1661">
                  <c:v>40067.0</c:v>
                </c:pt>
                <c:pt idx="1662">
                  <c:v>40066.0</c:v>
                </c:pt>
                <c:pt idx="1663">
                  <c:v>40065.0</c:v>
                </c:pt>
                <c:pt idx="1664">
                  <c:v>40064.0</c:v>
                </c:pt>
                <c:pt idx="1665">
                  <c:v>40063.0</c:v>
                </c:pt>
                <c:pt idx="1666">
                  <c:v>40060.0</c:v>
                </c:pt>
                <c:pt idx="1667">
                  <c:v>40059.0</c:v>
                </c:pt>
                <c:pt idx="1668">
                  <c:v>40058.0</c:v>
                </c:pt>
                <c:pt idx="1669">
                  <c:v>40057.0</c:v>
                </c:pt>
                <c:pt idx="1670">
                  <c:v>40056.0</c:v>
                </c:pt>
                <c:pt idx="1671">
                  <c:v>40053.0</c:v>
                </c:pt>
                <c:pt idx="1672">
                  <c:v>40052.0</c:v>
                </c:pt>
                <c:pt idx="1673">
                  <c:v>40051.0</c:v>
                </c:pt>
                <c:pt idx="1674">
                  <c:v>40050.0</c:v>
                </c:pt>
                <c:pt idx="1675">
                  <c:v>40049.0</c:v>
                </c:pt>
                <c:pt idx="1676">
                  <c:v>40046.0</c:v>
                </c:pt>
                <c:pt idx="1677">
                  <c:v>40045.0</c:v>
                </c:pt>
                <c:pt idx="1678">
                  <c:v>40044.0</c:v>
                </c:pt>
                <c:pt idx="1679">
                  <c:v>40043.0</c:v>
                </c:pt>
                <c:pt idx="1680">
                  <c:v>40042.0</c:v>
                </c:pt>
                <c:pt idx="1681">
                  <c:v>40039.0</c:v>
                </c:pt>
                <c:pt idx="1682">
                  <c:v>40038.0</c:v>
                </c:pt>
                <c:pt idx="1683">
                  <c:v>40037.0</c:v>
                </c:pt>
                <c:pt idx="1684">
                  <c:v>40036.0</c:v>
                </c:pt>
                <c:pt idx="1685">
                  <c:v>40032.0</c:v>
                </c:pt>
                <c:pt idx="1686">
                  <c:v>40031.0</c:v>
                </c:pt>
                <c:pt idx="1687">
                  <c:v>40030.0</c:v>
                </c:pt>
                <c:pt idx="1688">
                  <c:v>40029.0</c:v>
                </c:pt>
                <c:pt idx="1689">
                  <c:v>40028.0</c:v>
                </c:pt>
                <c:pt idx="1690">
                  <c:v>40025.0</c:v>
                </c:pt>
                <c:pt idx="1691">
                  <c:v>40024.0</c:v>
                </c:pt>
                <c:pt idx="1692">
                  <c:v>40023.0</c:v>
                </c:pt>
                <c:pt idx="1693">
                  <c:v>40022.0</c:v>
                </c:pt>
                <c:pt idx="1694">
                  <c:v>40021.0</c:v>
                </c:pt>
                <c:pt idx="1695">
                  <c:v>40018.0</c:v>
                </c:pt>
                <c:pt idx="1696">
                  <c:v>40017.0</c:v>
                </c:pt>
                <c:pt idx="1697">
                  <c:v>40016.0</c:v>
                </c:pt>
                <c:pt idx="1698">
                  <c:v>40015.0</c:v>
                </c:pt>
                <c:pt idx="1699">
                  <c:v>40014.0</c:v>
                </c:pt>
                <c:pt idx="1700">
                  <c:v>40011.0</c:v>
                </c:pt>
                <c:pt idx="1701">
                  <c:v>40010.0</c:v>
                </c:pt>
                <c:pt idx="1702">
                  <c:v>40009.0</c:v>
                </c:pt>
                <c:pt idx="1703">
                  <c:v>40008.0</c:v>
                </c:pt>
                <c:pt idx="1704">
                  <c:v>40007.0</c:v>
                </c:pt>
                <c:pt idx="1705">
                  <c:v>40004.0</c:v>
                </c:pt>
                <c:pt idx="1706">
                  <c:v>40003.0</c:v>
                </c:pt>
                <c:pt idx="1707">
                  <c:v>40002.0</c:v>
                </c:pt>
                <c:pt idx="1708">
                  <c:v>40001.0</c:v>
                </c:pt>
                <c:pt idx="1709">
                  <c:v>40000.0</c:v>
                </c:pt>
                <c:pt idx="1710">
                  <c:v>39997.0</c:v>
                </c:pt>
                <c:pt idx="1711">
                  <c:v>39996.0</c:v>
                </c:pt>
                <c:pt idx="1712">
                  <c:v>39995.0</c:v>
                </c:pt>
                <c:pt idx="1713">
                  <c:v>39994.0</c:v>
                </c:pt>
                <c:pt idx="1714">
                  <c:v>39993.0</c:v>
                </c:pt>
                <c:pt idx="1715">
                  <c:v>39990.0</c:v>
                </c:pt>
                <c:pt idx="1716">
                  <c:v>39989.0</c:v>
                </c:pt>
                <c:pt idx="1717">
                  <c:v>39988.0</c:v>
                </c:pt>
                <c:pt idx="1718">
                  <c:v>39987.0</c:v>
                </c:pt>
                <c:pt idx="1719">
                  <c:v>39986.0</c:v>
                </c:pt>
                <c:pt idx="1720">
                  <c:v>39983.0</c:v>
                </c:pt>
                <c:pt idx="1721">
                  <c:v>39982.0</c:v>
                </c:pt>
                <c:pt idx="1722">
                  <c:v>39981.0</c:v>
                </c:pt>
                <c:pt idx="1723">
                  <c:v>39979.0</c:v>
                </c:pt>
                <c:pt idx="1724">
                  <c:v>39976.0</c:v>
                </c:pt>
                <c:pt idx="1725">
                  <c:v>39975.0</c:v>
                </c:pt>
                <c:pt idx="1726">
                  <c:v>39974.0</c:v>
                </c:pt>
                <c:pt idx="1727">
                  <c:v>39973.0</c:v>
                </c:pt>
                <c:pt idx="1728">
                  <c:v>39972.0</c:v>
                </c:pt>
                <c:pt idx="1729">
                  <c:v>39969.0</c:v>
                </c:pt>
                <c:pt idx="1730">
                  <c:v>39968.0</c:v>
                </c:pt>
                <c:pt idx="1731">
                  <c:v>39967.0</c:v>
                </c:pt>
                <c:pt idx="1732">
                  <c:v>39966.0</c:v>
                </c:pt>
                <c:pt idx="1733">
                  <c:v>39965.0</c:v>
                </c:pt>
                <c:pt idx="1734">
                  <c:v>39962.0</c:v>
                </c:pt>
                <c:pt idx="1735">
                  <c:v>39961.0</c:v>
                </c:pt>
                <c:pt idx="1736">
                  <c:v>39960.0</c:v>
                </c:pt>
                <c:pt idx="1737">
                  <c:v>39959.0</c:v>
                </c:pt>
                <c:pt idx="1738">
                  <c:v>39958.0</c:v>
                </c:pt>
                <c:pt idx="1739">
                  <c:v>39955.0</c:v>
                </c:pt>
                <c:pt idx="1740">
                  <c:v>39954.0</c:v>
                </c:pt>
                <c:pt idx="1741">
                  <c:v>39953.0</c:v>
                </c:pt>
                <c:pt idx="1742">
                  <c:v>39952.0</c:v>
                </c:pt>
                <c:pt idx="1743">
                  <c:v>39951.0</c:v>
                </c:pt>
                <c:pt idx="1744">
                  <c:v>39948.0</c:v>
                </c:pt>
                <c:pt idx="1745">
                  <c:v>39947.0</c:v>
                </c:pt>
                <c:pt idx="1746">
                  <c:v>39946.0</c:v>
                </c:pt>
                <c:pt idx="1747">
                  <c:v>39945.0</c:v>
                </c:pt>
                <c:pt idx="1748">
                  <c:v>39944.0</c:v>
                </c:pt>
                <c:pt idx="1749">
                  <c:v>39941.0</c:v>
                </c:pt>
                <c:pt idx="1750">
                  <c:v>39940.0</c:v>
                </c:pt>
                <c:pt idx="1751">
                  <c:v>39939.0</c:v>
                </c:pt>
                <c:pt idx="1752">
                  <c:v>39938.0</c:v>
                </c:pt>
                <c:pt idx="1753">
                  <c:v>39937.0</c:v>
                </c:pt>
                <c:pt idx="1754">
                  <c:v>39933.0</c:v>
                </c:pt>
                <c:pt idx="1755">
                  <c:v>39932.0</c:v>
                </c:pt>
                <c:pt idx="1756">
                  <c:v>39931.0</c:v>
                </c:pt>
                <c:pt idx="1757">
                  <c:v>39927.0</c:v>
                </c:pt>
                <c:pt idx="1758">
                  <c:v>39926.0</c:v>
                </c:pt>
                <c:pt idx="1759">
                  <c:v>39924.0</c:v>
                </c:pt>
                <c:pt idx="1760">
                  <c:v>39923.0</c:v>
                </c:pt>
                <c:pt idx="1761">
                  <c:v>39920.0</c:v>
                </c:pt>
                <c:pt idx="1762">
                  <c:v>39919.0</c:v>
                </c:pt>
                <c:pt idx="1763">
                  <c:v>39918.0</c:v>
                </c:pt>
                <c:pt idx="1764">
                  <c:v>39917.0</c:v>
                </c:pt>
                <c:pt idx="1765">
                  <c:v>39912.0</c:v>
                </c:pt>
                <c:pt idx="1766">
                  <c:v>39911.0</c:v>
                </c:pt>
                <c:pt idx="1767">
                  <c:v>39910.0</c:v>
                </c:pt>
                <c:pt idx="1768">
                  <c:v>39909.0</c:v>
                </c:pt>
                <c:pt idx="1769">
                  <c:v>39906.0</c:v>
                </c:pt>
                <c:pt idx="1770">
                  <c:v>39905.0</c:v>
                </c:pt>
                <c:pt idx="1771">
                  <c:v>39904.0</c:v>
                </c:pt>
                <c:pt idx="1772">
                  <c:v>39903.0</c:v>
                </c:pt>
                <c:pt idx="1773">
                  <c:v>39902.0</c:v>
                </c:pt>
                <c:pt idx="1774">
                  <c:v>39899.0</c:v>
                </c:pt>
                <c:pt idx="1775">
                  <c:v>39898.0</c:v>
                </c:pt>
                <c:pt idx="1776">
                  <c:v>39897.0</c:v>
                </c:pt>
                <c:pt idx="1777">
                  <c:v>39896.0</c:v>
                </c:pt>
                <c:pt idx="1778">
                  <c:v>39895.0</c:v>
                </c:pt>
                <c:pt idx="1779">
                  <c:v>39892.0</c:v>
                </c:pt>
                <c:pt idx="1780">
                  <c:v>39891.0</c:v>
                </c:pt>
                <c:pt idx="1781">
                  <c:v>39890.0</c:v>
                </c:pt>
                <c:pt idx="1782">
                  <c:v>39889.0</c:v>
                </c:pt>
                <c:pt idx="1783">
                  <c:v>39888.0</c:v>
                </c:pt>
                <c:pt idx="1784">
                  <c:v>39885.0</c:v>
                </c:pt>
                <c:pt idx="1785">
                  <c:v>39884.0</c:v>
                </c:pt>
                <c:pt idx="1786">
                  <c:v>39883.0</c:v>
                </c:pt>
                <c:pt idx="1787">
                  <c:v>39882.0</c:v>
                </c:pt>
                <c:pt idx="1788">
                  <c:v>39881.0</c:v>
                </c:pt>
                <c:pt idx="1789">
                  <c:v>39878.0</c:v>
                </c:pt>
                <c:pt idx="1790">
                  <c:v>39877.0</c:v>
                </c:pt>
                <c:pt idx="1791">
                  <c:v>39876.0</c:v>
                </c:pt>
                <c:pt idx="1792">
                  <c:v>39875.0</c:v>
                </c:pt>
                <c:pt idx="1793">
                  <c:v>39874.0</c:v>
                </c:pt>
                <c:pt idx="1794">
                  <c:v>39871.0</c:v>
                </c:pt>
                <c:pt idx="1795">
                  <c:v>39870.0</c:v>
                </c:pt>
                <c:pt idx="1796">
                  <c:v>39869.0</c:v>
                </c:pt>
                <c:pt idx="1797">
                  <c:v>39868.0</c:v>
                </c:pt>
                <c:pt idx="1798">
                  <c:v>39867.0</c:v>
                </c:pt>
                <c:pt idx="1799">
                  <c:v>39864.0</c:v>
                </c:pt>
                <c:pt idx="1800">
                  <c:v>39863.0</c:v>
                </c:pt>
                <c:pt idx="1801">
                  <c:v>39862.0</c:v>
                </c:pt>
                <c:pt idx="1802">
                  <c:v>39861.0</c:v>
                </c:pt>
                <c:pt idx="1803">
                  <c:v>39860.0</c:v>
                </c:pt>
                <c:pt idx="1804">
                  <c:v>39857.0</c:v>
                </c:pt>
                <c:pt idx="1805">
                  <c:v>39856.0</c:v>
                </c:pt>
                <c:pt idx="1806">
                  <c:v>39855.0</c:v>
                </c:pt>
                <c:pt idx="1807">
                  <c:v>39854.0</c:v>
                </c:pt>
                <c:pt idx="1808">
                  <c:v>39853.0</c:v>
                </c:pt>
                <c:pt idx="1809">
                  <c:v>39850.0</c:v>
                </c:pt>
                <c:pt idx="1810">
                  <c:v>39849.0</c:v>
                </c:pt>
                <c:pt idx="1811">
                  <c:v>39848.0</c:v>
                </c:pt>
                <c:pt idx="1812">
                  <c:v>39847.0</c:v>
                </c:pt>
                <c:pt idx="1813">
                  <c:v>39846.0</c:v>
                </c:pt>
                <c:pt idx="1814">
                  <c:v>39843.0</c:v>
                </c:pt>
                <c:pt idx="1815">
                  <c:v>39842.0</c:v>
                </c:pt>
                <c:pt idx="1816">
                  <c:v>39841.0</c:v>
                </c:pt>
                <c:pt idx="1817">
                  <c:v>39840.0</c:v>
                </c:pt>
                <c:pt idx="1818">
                  <c:v>39839.0</c:v>
                </c:pt>
                <c:pt idx="1819">
                  <c:v>39836.0</c:v>
                </c:pt>
                <c:pt idx="1820">
                  <c:v>39835.0</c:v>
                </c:pt>
                <c:pt idx="1821">
                  <c:v>39834.0</c:v>
                </c:pt>
                <c:pt idx="1822">
                  <c:v>39833.0</c:v>
                </c:pt>
                <c:pt idx="1823">
                  <c:v>39832.0</c:v>
                </c:pt>
                <c:pt idx="1824">
                  <c:v>39829.0</c:v>
                </c:pt>
                <c:pt idx="1825">
                  <c:v>39828.0</c:v>
                </c:pt>
                <c:pt idx="1826">
                  <c:v>39827.0</c:v>
                </c:pt>
                <c:pt idx="1827">
                  <c:v>39826.0</c:v>
                </c:pt>
                <c:pt idx="1828">
                  <c:v>39825.0</c:v>
                </c:pt>
                <c:pt idx="1829">
                  <c:v>39822.0</c:v>
                </c:pt>
                <c:pt idx="1830">
                  <c:v>39821.0</c:v>
                </c:pt>
                <c:pt idx="1831">
                  <c:v>39820.0</c:v>
                </c:pt>
                <c:pt idx="1832">
                  <c:v>39819.0</c:v>
                </c:pt>
                <c:pt idx="1833">
                  <c:v>39818.0</c:v>
                </c:pt>
                <c:pt idx="1834">
                  <c:v>39815.0</c:v>
                </c:pt>
                <c:pt idx="1835">
                  <c:v>39813.0</c:v>
                </c:pt>
                <c:pt idx="1836">
                  <c:v>39812.0</c:v>
                </c:pt>
                <c:pt idx="1837">
                  <c:v>39811.0</c:v>
                </c:pt>
                <c:pt idx="1838">
                  <c:v>39806.0</c:v>
                </c:pt>
                <c:pt idx="1839">
                  <c:v>39805.0</c:v>
                </c:pt>
                <c:pt idx="1840">
                  <c:v>39804.0</c:v>
                </c:pt>
                <c:pt idx="1841">
                  <c:v>39801.0</c:v>
                </c:pt>
                <c:pt idx="1842">
                  <c:v>39800.0</c:v>
                </c:pt>
                <c:pt idx="1843">
                  <c:v>39799.0</c:v>
                </c:pt>
                <c:pt idx="1844">
                  <c:v>39797.0</c:v>
                </c:pt>
                <c:pt idx="1845">
                  <c:v>39794.0</c:v>
                </c:pt>
                <c:pt idx="1846">
                  <c:v>39793.0</c:v>
                </c:pt>
                <c:pt idx="1847">
                  <c:v>39792.0</c:v>
                </c:pt>
                <c:pt idx="1848">
                  <c:v>39791.0</c:v>
                </c:pt>
                <c:pt idx="1849">
                  <c:v>39790.0</c:v>
                </c:pt>
                <c:pt idx="1850">
                  <c:v>39787.0</c:v>
                </c:pt>
                <c:pt idx="1851">
                  <c:v>39786.0</c:v>
                </c:pt>
                <c:pt idx="1852">
                  <c:v>39785.0</c:v>
                </c:pt>
                <c:pt idx="1853">
                  <c:v>39784.0</c:v>
                </c:pt>
                <c:pt idx="1854">
                  <c:v>39783.0</c:v>
                </c:pt>
                <c:pt idx="1855">
                  <c:v>39780.0</c:v>
                </c:pt>
                <c:pt idx="1856">
                  <c:v>39779.0</c:v>
                </c:pt>
                <c:pt idx="1857">
                  <c:v>39778.0</c:v>
                </c:pt>
                <c:pt idx="1858">
                  <c:v>39777.0</c:v>
                </c:pt>
                <c:pt idx="1859">
                  <c:v>39776.0</c:v>
                </c:pt>
                <c:pt idx="1860">
                  <c:v>39773.0</c:v>
                </c:pt>
                <c:pt idx="1861">
                  <c:v>39772.0</c:v>
                </c:pt>
                <c:pt idx="1862">
                  <c:v>39771.0</c:v>
                </c:pt>
                <c:pt idx="1863">
                  <c:v>39770.0</c:v>
                </c:pt>
                <c:pt idx="1864">
                  <c:v>39769.0</c:v>
                </c:pt>
                <c:pt idx="1865">
                  <c:v>39766.0</c:v>
                </c:pt>
                <c:pt idx="1866">
                  <c:v>39765.0</c:v>
                </c:pt>
                <c:pt idx="1867">
                  <c:v>39764.0</c:v>
                </c:pt>
                <c:pt idx="1868">
                  <c:v>39763.0</c:v>
                </c:pt>
                <c:pt idx="1869">
                  <c:v>39762.0</c:v>
                </c:pt>
                <c:pt idx="1870">
                  <c:v>39759.0</c:v>
                </c:pt>
                <c:pt idx="1871">
                  <c:v>39758.0</c:v>
                </c:pt>
                <c:pt idx="1872">
                  <c:v>39757.0</c:v>
                </c:pt>
                <c:pt idx="1873">
                  <c:v>39756.0</c:v>
                </c:pt>
                <c:pt idx="1874">
                  <c:v>39755.0</c:v>
                </c:pt>
                <c:pt idx="1875">
                  <c:v>39752.0</c:v>
                </c:pt>
                <c:pt idx="1876">
                  <c:v>39751.0</c:v>
                </c:pt>
                <c:pt idx="1877">
                  <c:v>39750.0</c:v>
                </c:pt>
                <c:pt idx="1878">
                  <c:v>39749.0</c:v>
                </c:pt>
                <c:pt idx="1879">
                  <c:v>39748.0</c:v>
                </c:pt>
                <c:pt idx="1880">
                  <c:v>39745.0</c:v>
                </c:pt>
                <c:pt idx="1881">
                  <c:v>39744.0</c:v>
                </c:pt>
                <c:pt idx="1882">
                  <c:v>39743.0</c:v>
                </c:pt>
                <c:pt idx="1883">
                  <c:v>39742.0</c:v>
                </c:pt>
                <c:pt idx="1884">
                  <c:v>39741.0</c:v>
                </c:pt>
                <c:pt idx="1885">
                  <c:v>39738.0</c:v>
                </c:pt>
                <c:pt idx="1886">
                  <c:v>39737.0</c:v>
                </c:pt>
                <c:pt idx="1887">
                  <c:v>39736.0</c:v>
                </c:pt>
                <c:pt idx="1888">
                  <c:v>39735.0</c:v>
                </c:pt>
                <c:pt idx="1889">
                  <c:v>39734.0</c:v>
                </c:pt>
                <c:pt idx="1890">
                  <c:v>39731.0</c:v>
                </c:pt>
                <c:pt idx="1891">
                  <c:v>39730.0</c:v>
                </c:pt>
                <c:pt idx="1892">
                  <c:v>39729.0</c:v>
                </c:pt>
                <c:pt idx="1893">
                  <c:v>39728.0</c:v>
                </c:pt>
                <c:pt idx="1894">
                  <c:v>39727.0</c:v>
                </c:pt>
                <c:pt idx="1895">
                  <c:v>39724.0</c:v>
                </c:pt>
                <c:pt idx="1896">
                  <c:v>39723.0</c:v>
                </c:pt>
                <c:pt idx="1897">
                  <c:v>39722.0</c:v>
                </c:pt>
                <c:pt idx="1898">
                  <c:v>39721.0</c:v>
                </c:pt>
                <c:pt idx="1899">
                  <c:v>39720.0</c:v>
                </c:pt>
                <c:pt idx="1900">
                  <c:v>39717.0</c:v>
                </c:pt>
                <c:pt idx="1901">
                  <c:v>39716.0</c:v>
                </c:pt>
                <c:pt idx="1902">
                  <c:v>39714.0</c:v>
                </c:pt>
                <c:pt idx="1903">
                  <c:v>39713.0</c:v>
                </c:pt>
                <c:pt idx="1904">
                  <c:v>39710.0</c:v>
                </c:pt>
                <c:pt idx="1905">
                  <c:v>39709.0</c:v>
                </c:pt>
                <c:pt idx="1906">
                  <c:v>39708.0</c:v>
                </c:pt>
                <c:pt idx="1907">
                  <c:v>39707.0</c:v>
                </c:pt>
                <c:pt idx="1908">
                  <c:v>39706.0</c:v>
                </c:pt>
                <c:pt idx="1909">
                  <c:v>39703.0</c:v>
                </c:pt>
                <c:pt idx="1910">
                  <c:v>39702.0</c:v>
                </c:pt>
                <c:pt idx="1911">
                  <c:v>39701.0</c:v>
                </c:pt>
                <c:pt idx="1912">
                  <c:v>39700.0</c:v>
                </c:pt>
                <c:pt idx="1913">
                  <c:v>39699.0</c:v>
                </c:pt>
                <c:pt idx="1914">
                  <c:v>39696.0</c:v>
                </c:pt>
                <c:pt idx="1915">
                  <c:v>39695.0</c:v>
                </c:pt>
                <c:pt idx="1916">
                  <c:v>39694.0</c:v>
                </c:pt>
                <c:pt idx="1917">
                  <c:v>39693.0</c:v>
                </c:pt>
                <c:pt idx="1918">
                  <c:v>39692.0</c:v>
                </c:pt>
                <c:pt idx="1919">
                  <c:v>39689.0</c:v>
                </c:pt>
                <c:pt idx="1920">
                  <c:v>39688.0</c:v>
                </c:pt>
                <c:pt idx="1921">
                  <c:v>39687.0</c:v>
                </c:pt>
                <c:pt idx="1922">
                  <c:v>39686.0</c:v>
                </c:pt>
                <c:pt idx="1923">
                  <c:v>39685.0</c:v>
                </c:pt>
                <c:pt idx="1924">
                  <c:v>39682.0</c:v>
                </c:pt>
                <c:pt idx="1925">
                  <c:v>39681.0</c:v>
                </c:pt>
                <c:pt idx="1926">
                  <c:v>39680.0</c:v>
                </c:pt>
                <c:pt idx="1927">
                  <c:v>39679.0</c:v>
                </c:pt>
                <c:pt idx="1928">
                  <c:v>39678.0</c:v>
                </c:pt>
                <c:pt idx="1929">
                  <c:v>39675.0</c:v>
                </c:pt>
                <c:pt idx="1930">
                  <c:v>39674.0</c:v>
                </c:pt>
                <c:pt idx="1931">
                  <c:v>39673.0</c:v>
                </c:pt>
                <c:pt idx="1932">
                  <c:v>39672.0</c:v>
                </c:pt>
                <c:pt idx="1933">
                  <c:v>39671.0</c:v>
                </c:pt>
                <c:pt idx="1934">
                  <c:v>39668.0</c:v>
                </c:pt>
                <c:pt idx="1935">
                  <c:v>39667.0</c:v>
                </c:pt>
                <c:pt idx="1936">
                  <c:v>39666.0</c:v>
                </c:pt>
                <c:pt idx="1937">
                  <c:v>39665.0</c:v>
                </c:pt>
                <c:pt idx="1938">
                  <c:v>39664.0</c:v>
                </c:pt>
                <c:pt idx="1939">
                  <c:v>39661.0</c:v>
                </c:pt>
                <c:pt idx="1940">
                  <c:v>39660.0</c:v>
                </c:pt>
                <c:pt idx="1941">
                  <c:v>39659.0</c:v>
                </c:pt>
                <c:pt idx="1942">
                  <c:v>39658.0</c:v>
                </c:pt>
                <c:pt idx="1943">
                  <c:v>39657.0</c:v>
                </c:pt>
                <c:pt idx="1944">
                  <c:v>39654.0</c:v>
                </c:pt>
                <c:pt idx="1945">
                  <c:v>39653.0</c:v>
                </c:pt>
                <c:pt idx="1946">
                  <c:v>39652.0</c:v>
                </c:pt>
                <c:pt idx="1947">
                  <c:v>39651.0</c:v>
                </c:pt>
                <c:pt idx="1948">
                  <c:v>39650.0</c:v>
                </c:pt>
                <c:pt idx="1949">
                  <c:v>39647.0</c:v>
                </c:pt>
                <c:pt idx="1950">
                  <c:v>39646.0</c:v>
                </c:pt>
                <c:pt idx="1951">
                  <c:v>39645.0</c:v>
                </c:pt>
                <c:pt idx="1952">
                  <c:v>39644.0</c:v>
                </c:pt>
                <c:pt idx="1953">
                  <c:v>39643.0</c:v>
                </c:pt>
                <c:pt idx="1954">
                  <c:v>39640.0</c:v>
                </c:pt>
                <c:pt idx="1955">
                  <c:v>39639.0</c:v>
                </c:pt>
                <c:pt idx="1956">
                  <c:v>39638.0</c:v>
                </c:pt>
                <c:pt idx="1957">
                  <c:v>39637.0</c:v>
                </c:pt>
                <c:pt idx="1958">
                  <c:v>39636.0</c:v>
                </c:pt>
                <c:pt idx="1959">
                  <c:v>39633.0</c:v>
                </c:pt>
                <c:pt idx="1960">
                  <c:v>39632.0</c:v>
                </c:pt>
                <c:pt idx="1961">
                  <c:v>39631.0</c:v>
                </c:pt>
                <c:pt idx="1962">
                  <c:v>39630.0</c:v>
                </c:pt>
                <c:pt idx="1963">
                  <c:v>39629.0</c:v>
                </c:pt>
                <c:pt idx="1964">
                  <c:v>39626.0</c:v>
                </c:pt>
                <c:pt idx="1965">
                  <c:v>39625.0</c:v>
                </c:pt>
                <c:pt idx="1966">
                  <c:v>39624.0</c:v>
                </c:pt>
                <c:pt idx="1967">
                  <c:v>39623.0</c:v>
                </c:pt>
                <c:pt idx="1968">
                  <c:v>39622.0</c:v>
                </c:pt>
                <c:pt idx="1969">
                  <c:v>39619.0</c:v>
                </c:pt>
                <c:pt idx="1970">
                  <c:v>39618.0</c:v>
                </c:pt>
                <c:pt idx="1971">
                  <c:v>39617.0</c:v>
                </c:pt>
                <c:pt idx="1972">
                  <c:v>39616.0</c:v>
                </c:pt>
                <c:pt idx="1973">
                  <c:v>39612.0</c:v>
                </c:pt>
                <c:pt idx="1974">
                  <c:v>39611.0</c:v>
                </c:pt>
                <c:pt idx="1975">
                  <c:v>39610.0</c:v>
                </c:pt>
                <c:pt idx="1976">
                  <c:v>39609.0</c:v>
                </c:pt>
                <c:pt idx="1977">
                  <c:v>39608.0</c:v>
                </c:pt>
                <c:pt idx="1978">
                  <c:v>39605.0</c:v>
                </c:pt>
                <c:pt idx="1979">
                  <c:v>39604.0</c:v>
                </c:pt>
                <c:pt idx="1980">
                  <c:v>39603.0</c:v>
                </c:pt>
                <c:pt idx="1981">
                  <c:v>39602.0</c:v>
                </c:pt>
                <c:pt idx="1982">
                  <c:v>39601.0</c:v>
                </c:pt>
                <c:pt idx="1983">
                  <c:v>39598.0</c:v>
                </c:pt>
                <c:pt idx="1984">
                  <c:v>39597.0</c:v>
                </c:pt>
                <c:pt idx="1985">
                  <c:v>39596.0</c:v>
                </c:pt>
                <c:pt idx="1986">
                  <c:v>39595.0</c:v>
                </c:pt>
                <c:pt idx="1987">
                  <c:v>39594.0</c:v>
                </c:pt>
                <c:pt idx="1988">
                  <c:v>39591.0</c:v>
                </c:pt>
                <c:pt idx="1989">
                  <c:v>39590.0</c:v>
                </c:pt>
                <c:pt idx="1990">
                  <c:v>39589.0</c:v>
                </c:pt>
                <c:pt idx="1991">
                  <c:v>39588.0</c:v>
                </c:pt>
                <c:pt idx="1992">
                  <c:v>39587.0</c:v>
                </c:pt>
                <c:pt idx="1993">
                  <c:v>39584.0</c:v>
                </c:pt>
                <c:pt idx="1994">
                  <c:v>39583.0</c:v>
                </c:pt>
                <c:pt idx="1995">
                  <c:v>39582.0</c:v>
                </c:pt>
                <c:pt idx="1996">
                  <c:v>39581.0</c:v>
                </c:pt>
                <c:pt idx="1997">
                  <c:v>39580.0</c:v>
                </c:pt>
                <c:pt idx="1998">
                  <c:v>39577.0</c:v>
                </c:pt>
                <c:pt idx="1999">
                  <c:v>39576.0</c:v>
                </c:pt>
                <c:pt idx="2000">
                  <c:v>39575.0</c:v>
                </c:pt>
                <c:pt idx="2001">
                  <c:v>39574.0</c:v>
                </c:pt>
                <c:pt idx="2002">
                  <c:v>39573.0</c:v>
                </c:pt>
                <c:pt idx="2003">
                  <c:v>39568.0</c:v>
                </c:pt>
                <c:pt idx="2004">
                  <c:v>39567.0</c:v>
                </c:pt>
                <c:pt idx="2005">
                  <c:v>39563.0</c:v>
                </c:pt>
                <c:pt idx="2006">
                  <c:v>39562.0</c:v>
                </c:pt>
                <c:pt idx="2007">
                  <c:v>39561.0</c:v>
                </c:pt>
                <c:pt idx="2008">
                  <c:v>39560.0</c:v>
                </c:pt>
                <c:pt idx="2009">
                  <c:v>39559.0</c:v>
                </c:pt>
                <c:pt idx="2010">
                  <c:v>39556.0</c:v>
                </c:pt>
                <c:pt idx="2011">
                  <c:v>39555.0</c:v>
                </c:pt>
                <c:pt idx="2012">
                  <c:v>39554.0</c:v>
                </c:pt>
                <c:pt idx="2013">
                  <c:v>39553.0</c:v>
                </c:pt>
                <c:pt idx="2014">
                  <c:v>39552.0</c:v>
                </c:pt>
                <c:pt idx="2015">
                  <c:v>39549.0</c:v>
                </c:pt>
                <c:pt idx="2016">
                  <c:v>39548.0</c:v>
                </c:pt>
                <c:pt idx="2017">
                  <c:v>39547.0</c:v>
                </c:pt>
                <c:pt idx="2018">
                  <c:v>39546.0</c:v>
                </c:pt>
                <c:pt idx="2019">
                  <c:v>39545.0</c:v>
                </c:pt>
                <c:pt idx="2020">
                  <c:v>39542.0</c:v>
                </c:pt>
                <c:pt idx="2021">
                  <c:v>39541.0</c:v>
                </c:pt>
                <c:pt idx="2022">
                  <c:v>39540.0</c:v>
                </c:pt>
                <c:pt idx="2023">
                  <c:v>39539.0</c:v>
                </c:pt>
                <c:pt idx="2024">
                  <c:v>39538.0</c:v>
                </c:pt>
                <c:pt idx="2025">
                  <c:v>39535.0</c:v>
                </c:pt>
                <c:pt idx="2026">
                  <c:v>39534.0</c:v>
                </c:pt>
                <c:pt idx="2027">
                  <c:v>39533.0</c:v>
                </c:pt>
                <c:pt idx="2028">
                  <c:v>39532.0</c:v>
                </c:pt>
                <c:pt idx="2029">
                  <c:v>39527.0</c:v>
                </c:pt>
                <c:pt idx="2030">
                  <c:v>39526.0</c:v>
                </c:pt>
                <c:pt idx="2031">
                  <c:v>39525.0</c:v>
                </c:pt>
                <c:pt idx="2032">
                  <c:v>39524.0</c:v>
                </c:pt>
                <c:pt idx="2033">
                  <c:v>39521.0</c:v>
                </c:pt>
                <c:pt idx="2034">
                  <c:v>39520.0</c:v>
                </c:pt>
                <c:pt idx="2035">
                  <c:v>39519.0</c:v>
                </c:pt>
                <c:pt idx="2036">
                  <c:v>39518.0</c:v>
                </c:pt>
                <c:pt idx="2037">
                  <c:v>39517.0</c:v>
                </c:pt>
                <c:pt idx="2038">
                  <c:v>39514.0</c:v>
                </c:pt>
                <c:pt idx="2039">
                  <c:v>39513.0</c:v>
                </c:pt>
                <c:pt idx="2040">
                  <c:v>39512.0</c:v>
                </c:pt>
                <c:pt idx="2041">
                  <c:v>39511.0</c:v>
                </c:pt>
                <c:pt idx="2042">
                  <c:v>39510.0</c:v>
                </c:pt>
                <c:pt idx="2043">
                  <c:v>39507.0</c:v>
                </c:pt>
                <c:pt idx="2044">
                  <c:v>39506.0</c:v>
                </c:pt>
                <c:pt idx="2045">
                  <c:v>39505.0</c:v>
                </c:pt>
                <c:pt idx="2046">
                  <c:v>39504.0</c:v>
                </c:pt>
                <c:pt idx="2047">
                  <c:v>39503.0</c:v>
                </c:pt>
                <c:pt idx="2048">
                  <c:v>39500.0</c:v>
                </c:pt>
                <c:pt idx="2049">
                  <c:v>39499.0</c:v>
                </c:pt>
                <c:pt idx="2050">
                  <c:v>39498.0</c:v>
                </c:pt>
                <c:pt idx="2051">
                  <c:v>39497.0</c:v>
                </c:pt>
                <c:pt idx="2052">
                  <c:v>39496.0</c:v>
                </c:pt>
                <c:pt idx="2053">
                  <c:v>39493.0</c:v>
                </c:pt>
                <c:pt idx="2054">
                  <c:v>39492.0</c:v>
                </c:pt>
                <c:pt idx="2055">
                  <c:v>39491.0</c:v>
                </c:pt>
                <c:pt idx="2056">
                  <c:v>39490.0</c:v>
                </c:pt>
                <c:pt idx="2057">
                  <c:v>39489.0</c:v>
                </c:pt>
                <c:pt idx="2058">
                  <c:v>39486.0</c:v>
                </c:pt>
                <c:pt idx="2059">
                  <c:v>39485.0</c:v>
                </c:pt>
                <c:pt idx="2060">
                  <c:v>39484.0</c:v>
                </c:pt>
                <c:pt idx="2061">
                  <c:v>39483.0</c:v>
                </c:pt>
                <c:pt idx="2062">
                  <c:v>39482.0</c:v>
                </c:pt>
                <c:pt idx="2063">
                  <c:v>39479.0</c:v>
                </c:pt>
                <c:pt idx="2064">
                  <c:v>39478.0</c:v>
                </c:pt>
                <c:pt idx="2065">
                  <c:v>39477.0</c:v>
                </c:pt>
                <c:pt idx="2066">
                  <c:v>39476.0</c:v>
                </c:pt>
                <c:pt idx="2067">
                  <c:v>39475.0</c:v>
                </c:pt>
                <c:pt idx="2068">
                  <c:v>39472.0</c:v>
                </c:pt>
                <c:pt idx="2069">
                  <c:v>39471.0</c:v>
                </c:pt>
                <c:pt idx="2070">
                  <c:v>39470.0</c:v>
                </c:pt>
                <c:pt idx="2071">
                  <c:v>39469.0</c:v>
                </c:pt>
                <c:pt idx="2072">
                  <c:v>39468.0</c:v>
                </c:pt>
                <c:pt idx="2073">
                  <c:v>39465.0</c:v>
                </c:pt>
                <c:pt idx="2074">
                  <c:v>39464.0</c:v>
                </c:pt>
                <c:pt idx="2075">
                  <c:v>39463.0</c:v>
                </c:pt>
                <c:pt idx="2076">
                  <c:v>39462.0</c:v>
                </c:pt>
                <c:pt idx="2077">
                  <c:v>39461.0</c:v>
                </c:pt>
                <c:pt idx="2078">
                  <c:v>39458.0</c:v>
                </c:pt>
                <c:pt idx="2079">
                  <c:v>39457.0</c:v>
                </c:pt>
                <c:pt idx="2080">
                  <c:v>39456.0</c:v>
                </c:pt>
                <c:pt idx="2081">
                  <c:v>39455.0</c:v>
                </c:pt>
                <c:pt idx="2082">
                  <c:v>39454.0</c:v>
                </c:pt>
                <c:pt idx="2083">
                  <c:v>39451.0</c:v>
                </c:pt>
                <c:pt idx="2084">
                  <c:v>39450.0</c:v>
                </c:pt>
                <c:pt idx="2085">
                  <c:v>39449.0</c:v>
                </c:pt>
                <c:pt idx="2086">
                  <c:v>39447.0</c:v>
                </c:pt>
                <c:pt idx="2087">
                  <c:v>39444.0</c:v>
                </c:pt>
                <c:pt idx="2088">
                  <c:v>39443.0</c:v>
                </c:pt>
                <c:pt idx="2089">
                  <c:v>39440.0</c:v>
                </c:pt>
                <c:pt idx="2090">
                  <c:v>39437.0</c:v>
                </c:pt>
                <c:pt idx="2091">
                  <c:v>39436.0</c:v>
                </c:pt>
                <c:pt idx="2092">
                  <c:v>39435.0</c:v>
                </c:pt>
                <c:pt idx="2093">
                  <c:v>39434.0</c:v>
                </c:pt>
                <c:pt idx="2094">
                  <c:v>39430.0</c:v>
                </c:pt>
                <c:pt idx="2095">
                  <c:v>39429.0</c:v>
                </c:pt>
                <c:pt idx="2096">
                  <c:v>39428.0</c:v>
                </c:pt>
                <c:pt idx="2097">
                  <c:v>39427.0</c:v>
                </c:pt>
                <c:pt idx="2098">
                  <c:v>39426.0</c:v>
                </c:pt>
                <c:pt idx="2099">
                  <c:v>39423.0</c:v>
                </c:pt>
                <c:pt idx="2100">
                  <c:v>39422.0</c:v>
                </c:pt>
                <c:pt idx="2101">
                  <c:v>39421.0</c:v>
                </c:pt>
                <c:pt idx="2102">
                  <c:v>39420.0</c:v>
                </c:pt>
                <c:pt idx="2103">
                  <c:v>39419.0</c:v>
                </c:pt>
                <c:pt idx="2104">
                  <c:v>39416.0</c:v>
                </c:pt>
                <c:pt idx="2105">
                  <c:v>39415.0</c:v>
                </c:pt>
                <c:pt idx="2106">
                  <c:v>39414.0</c:v>
                </c:pt>
                <c:pt idx="2107">
                  <c:v>39413.0</c:v>
                </c:pt>
                <c:pt idx="2108">
                  <c:v>39412.0</c:v>
                </c:pt>
                <c:pt idx="2109">
                  <c:v>39409.0</c:v>
                </c:pt>
                <c:pt idx="2110">
                  <c:v>39408.0</c:v>
                </c:pt>
                <c:pt idx="2111">
                  <c:v>39407.0</c:v>
                </c:pt>
                <c:pt idx="2112">
                  <c:v>39406.0</c:v>
                </c:pt>
                <c:pt idx="2113">
                  <c:v>39405.0</c:v>
                </c:pt>
                <c:pt idx="2114">
                  <c:v>39402.0</c:v>
                </c:pt>
                <c:pt idx="2115">
                  <c:v>39401.0</c:v>
                </c:pt>
                <c:pt idx="2116">
                  <c:v>39400.0</c:v>
                </c:pt>
                <c:pt idx="2117">
                  <c:v>39399.0</c:v>
                </c:pt>
                <c:pt idx="2118">
                  <c:v>39398.0</c:v>
                </c:pt>
                <c:pt idx="2119">
                  <c:v>39395.0</c:v>
                </c:pt>
                <c:pt idx="2120">
                  <c:v>39394.0</c:v>
                </c:pt>
                <c:pt idx="2121">
                  <c:v>39393.0</c:v>
                </c:pt>
                <c:pt idx="2122">
                  <c:v>39392.0</c:v>
                </c:pt>
                <c:pt idx="2123">
                  <c:v>39391.0</c:v>
                </c:pt>
                <c:pt idx="2124">
                  <c:v>39388.0</c:v>
                </c:pt>
                <c:pt idx="2125">
                  <c:v>39387.0</c:v>
                </c:pt>
                <c:pt idx="2126">
                  <c:v>39386.0</c:v>
                </c:pt>
                <c:pt idx="2127">
                  <c:v>39385.0</c:v>
                </c:pt>
                <c:pt idx="2128">
                  <c:v>39384.0</c:v>
                </c:pt>
                <c:pt idx="2129">
                  <c:v>39381.0</c:v>
                </c:pt>
                <c:pt idx="2130">
                  <c:v>39380.0</c:v>
                </c:pt>
                <c:pt idx="2131">
                  <c:v>39379.0</c:v>
                </c:pt>
                <c:pt idx="2132">
                  <c:v>39378.0</c:v>
                </c:pt>
                <c:pt idx="2133">
                  <c:v>39377.0</c:v>
                </c:pt>
                <c:pt idx="2134">
                  <c:v>39374.0</c:v>
                </c:pt>
                <c:pt idx="2135">
                  <c:v>39373.0</c:v>
                </c:pt>
                <c:pt idx="2136">
                  <c:v>39372.0</c:v>
                </c:pt>
                <c:pt idx="2137">
                  <c:v>39371.0</c:v>
                </c:pt>
                <c:pt idx="2138">
                  <c:v>39370.0</c:v>
                </c:pt>
                <c:pt idx="2139">
                  <c:v>39367.0</c:v>
                </c:pt>
                <c:pt idx="2140">
                  <c:v>39366.0</c:v>
                </c:pt>
                <c:pt idx="2141">
                  <c:v>39365.0</c:v>
                </c:pt>
                <c:pt idx="2142">
                  <c:v>39364.0</c:v>
                </c:pt>
                <c:pt idx="2143">
                  <c:v>39363.0</c:v>
                </c:pt>
                <c:pt idx="2144">
                  <c:v>39360.0</c:v>
                </c:pt>
                <c:pt idx="2145">
                  <c:v>39359.0</c:v>
                </c:pt>
                <c:pt idx="2146">
                  <c:v>39358.0</c:v>
                </c:pt>
                <c:pt idx="2147">
                  <c:v>39357.0</c:v>
                </c:pt>
                <c:pt idx="2148">
                  <c:v>39356.0</c:v>
                </c:pt>
                <c:pt idx="2149">
                  <c:v>39353.0</c:v>
                </c:pt>
                <c:pt idx="2150">
                  <c:v>39352.0</c:v>
                </c:pt>
                <c:pt idx="2151">
                  <c:v>39351.0</c:v>
                </c:pt>
                <c:pt idx="2152">
                  <c:v>39350.0</c:v>
                </c:pt>
                <c:pt idx="2153">
                  <c:v>39346.0</c:v>
                </c:pt>
                <c:pt idx="2154">
                  <c:v>39345.0</c:v>
                </c:pt>
                <c:pt idx="2155">
                  <c:v>39344.0</c:v>
                </c:pt>
                <c:pt idx="2156">
                  <c:v>39343.0</c:v>
                </c:pt>
                <c:pt idx="2157">
                  <c:v>39342.0</c:v>
                </c:pt>
                <c:pt idx="2158">
                  <c:v>39339.0</c:v>
                </c:pt>
                <c:pt idx="2159">
                  <c:v>39338.0</c:v>
                </c:pt>
                <c:pt idx="2160">
                  <c:v>39337.0</c:v>
                </c:pt>
                <c:pt idx="2161">
                  <c:v>39336.0</c:v>
                </c:pt>
                <c:pt idx="2162">
                  <c:v>39335.0</c:v>
                </c:pt>
                <c:pt idx="2163">
                  <c:v>39332.0</c:v>
                </c:pt>
                <c:pt idx="2164">
                  <c:v>39331.0</c:v>
                </c:pt>
                <c:pt idx="2165">
                  <c:v>39330.0</c:v>
                </c:pt>
                <c:pt idx="2166">
                  <c:v>39329.0</c:v>
                </c:pt>
                <c:pt idx="2167">
                  <c:v>39328.0</c:v>
                </c:pt>
                <c:pt idx="2168">
                  <c:v>39325.0</c:v>
                </c:pt>
                <c:pt idx="2169">
                  <c:v>39324.0</c:v>
                </c:pt>
                <c:pt idx="2170">
                  <c:v>39323.0</c:v>
                </c:pt>
                <c:pt idx="2171">
                  <c:v>39322.0</c:v>
                </c:pt>
                <c:pt idx="2172">
                  <c:v>39321.0</c:v>
                </c:pt>
                <c:pt idx="2173">
                  <c:v>39318.0</c:v>
                </c:pt>
                <c:pt idx="2174">
                  <c:v>39317.0</c:v>
                </c:pt>
                <c:pt idx="2175">
                  <c:v>39316.0</c:v>
                </c:pt>
                <c:pt idx="2176">
                  <c:v>39315.0</c:v>
                </c:pt>
                <c:pt idx="2177">
                  <c:v>39314.0</c:v>
                </c:pt>
                <c:pt idx="2178">
                  <c:v>39311.0</c:v>
                </c:pt>
                <c:pt idx="2179">
                  <c:v>39310.0</c:v>
                </c:pt>
                <c:pt idx="2180">
                  <c:v>39309.0</c:v>
                </c:pt>
                <c:pt idx="2181">
                  <c:v>39308.0</c:v>
                </c:pt>
                <c:pt idx="2182">
                  <c:v>39307.0</c:v>
                </c:pt>
                <c:pt idx="2183">
                  <c:v>39304.0</c:v>
                </c:pt>
                <c:pt idx="2184">
                  <c:v>39302.0</c:v>
                </c:pt>
                <c:pt idx="2185">
                  <c:v>39301.0</c:v>
                </c:pt>
                <c:pt idx="2186">
                  <c:v>39300.0</c:v>
                </c:pt>
                <c:pt idx="2187">
                  <c:v>39297.0</c:v>
                </c:pt>
                <c:pt idx="2188">
                  <c:v>39296.0</c:v>
                </c:pt>
                <c:pt idx="2189">
                  <c:v>39295.0</c:v>
                </c:pt>
                <c:pt idx="2190">
                  <c:v>39294.0</c:v>
                </c:pt>
                <c:pt idx="2191">
                  <c:v>39293.0</c:v>
                </c:pt>
                <c:pt idx="2192">
                  <c:v>39290.0</c:v>
                </c:pt>
                <c:pt idx="2193">
                  <c:v>39289.0</c:v>
                </c:pt>
                <c:pt idx="2194">
                  <c:v>39288.0</c:v>
                </c:pt>
                <c:pt idx="2195">
                  <c:v>39287.0</c:v>
                </c:pt>
                <c:pt idx="2196">
                  <c:v>39286.0</c:v>
                </c:pt>
                <c:pt idx="2197">
                  <c:v>39283.0</c:v>
                </c:pt>
                <c:pt idx="2198">
                  <c:v>39282.0</c:v>
                </c:pt>
                <c:pt idx="2199">
                  <c:v>39281.0</c:v>
                </c:pt>
                <c:pt idx="2200">
                  <c:v>39280.0</c:v>
                </c:pt>
                <c:pt idx="2201">
                  <c:v>39279.0</c:v>
                </c:pt>
                <c:pt idx="2202">
                  <c:v>39276.0</c:v>
                </c:pt>
                <c:pt idx="2203">
                  <c:v>39275.0</c:v>
                </c:pt>
                <c:pt idx="2204">
                  <c:v>39274.0</c:v>
                </c:pt>
                <c:pt idx="2205">
                  <c:v>39273.0</c:v>
                </c:pt>
                <c:pt idx="2206">
                  <c:v>39272.0</c:v>
                </c:pt>
                <c:pt idx="2207">
                  <c:v>39269.0</c:v>
                </c:pt>
                <c:pt idx="2208">
                  <c:v>39268.0</c:v>
                </c:pt>
                <c:pt idx="2209">
                  <c:v>39267.0</c:v>
                </c:pt>
                <c:pt idx="2210">
                  <c:v>39266.0</c:v>
                </c:pt>
                <c:pt idx="2211">
                  <c:v>39265.0</c:v>
                </c:pt>
                <c:pt idx="2212">
                  <c:v>39262.0</c:v>
                </c:pt>
                <c:pt idx="2213">
                  <c:v>39261.0</c:v>
                </c:pt>
                <c:pt idx="2214">
                  <c:v>39260.0</c:v>
                </c:pt>
                <c:pt idx="2215">
                  <c:v>39259.0</c:v>
                </c:pt>
                <c:pt idx="2216">
                  <c:v>39258.0</c:v>
                </c:pt>
                <c:pt idx="2217">
                  <c:v>39255.0</c:v>
                </c:pt>
                <c:pt idx="2218">
                  <c:v>39254.0</c:v>
                </c:pt>
                <c:pt idx="2219">
                  <c:v>39253.0</c:v>
                </c:pt>
                <c:pt idx="2220">
                  <c:v>39252.0</c:v>
                </c:pt>
                <c:pt idx="2221">
                  <c:v>39251.0</c:v>
                </c:pt>
                <c:pt idx="2222">
                  <c:v>39248.0</c:v>
                </c:pt>
                <c:pt idx="2223">
                  <c:v>39247.0</c:v>
                </c:pt>
                <c:pt idx="2224">
                  <c:v>39246.0</c:v>
                </c:pt>
                <c:pt idx="2225">
                  <c:v>39245.0</c:v>
                </c:pt>
                <c:pt idx="2226">
                  <c:v>39244.0</c:v>
                </c:pt>
                <c:pt idx="2227">
                  <c:v>39241.0</c:v>
                </c:pt>
                <c:pt idx="2228">
                  <c:v>39240.0</c:v>
                </c:pt>
                <c:pt idx="2229">
                  <c:v>39239.0</c:v>
                </c:pt>
                <c:pt idx="2230">
                  <c:v>39238.0</c:v>
                </c:pt>
                <c:pt idx="2231">
                  <c:v>39237.0</c:v>
                </c:pt>
                <c:pt idx="2232">
                  <c:v>39234.0</c:v>
                </c:pt>
                <c:pt idx="2233">
                  <c:v>39233.0</c:v>
                </c:pt>
                <c:pt idx="2234">
                  <c:v>39232.0</c:v>
                </c:pt>
                <c:pt idx="2235">
                  <c:v>39231.0</c:v>
                </c:pt>
                <c:pt idx="2236">
                  <c:v>39230.0</c:v>
                </c:pt>
                <c:pt idx="2237">
                  <c:v>39227.0</c:v>
                </c:pt>
                <c:pt idx="2238">
                  <c:v>39226.0</c:v>
                </c:pt>
                <c:pt idx="2239">
                  <c:v>39225.0</c:v>
                </c:pt>
                <c:pt idx="2240">
                  <c:v>39224.0</c:v>
                </c:pt>
                <c:pt idx="2241">
                  <c:v>39223.0</c:v>
                </c:pt>
                <c:pt idx="2242">
                  <c:v>39220.0</c:v>
                </c:pt>
                <c:pt idx="2243">
                  <c:v>39219.0</c:v>
                </c:pt>
                <c:pt idx="2244">
                  <c:v>39218.0</c:v>
                </c:pt>
                <c:pt idx="2245">
                  <c:v>39217.0</c:v>
                </c:pt>
                <c:pt idx="2246">
                  <c:v>39216.0</c:v>
                </c:pt>
                <c:pt idx="2247">
                  <c:v>39213.0</c:v>
                </c:pt>
                <c:pt idx="2248">
                  <c:v>39212.0</c:v>
                </c:pt>
                <c:pt idx="2249">
                  <c:v>39211.0</c:v>
                </c:pt>
                <c:pt idx="2250">
                  <c:v>39210.0</c:v>
                </c:pt>
                <c:pt idx="2251">
                  <c:v>39209.0</c:v>
                </c:pt>
                <c:pt idx="2252">
                  <c:v>39206.0</c:v>
                </c:pt>
                <c:pt idx="2253">
                  <c:v>39205.0</c:v>
                </c:pt>
                <c:pt idx="2254">
                  <c:v>39204.0</c:v>
                </c:pt>
                <c:pt idx="2255">
                  <c:v>39202.0</c:v>
                </c:pt>
                <c:pt idx="2256">
                  <c:v>39198.0</c:v>
                </c:pt>
                <c:pt idx="2257">
                  <c:v>39197.0</c:v>
                </c:pt>
                <c:pt idx="2258">
                  <c:v>39196.0</c:v>
                </c:pt>
                <c:pt idx="2259">
                  <c:v>39195.0</c:v>
                </c:pt>
                <c:pt idx="2260">
                  <c:v>39192.0</c:v>
                </c:pt>
                <c:pt idx="2261">
                  <c:v>39191.0</c:v>
                </c:pt>
                <c:pt idx="2262">
                  <c:v>39190.0</c:v>
                </c:pt>
                <c:pt idx="2263">
                  <c:v>39189.0</c:v>
                </c:pt>
                <c:pt idx="2264">
                  <c:v>39188.0</c:v>
                </c:pt>
                <c:pt idx="2265">
                  <c:v>39185.0</c:v>
                </c:pt>
                <c:pt idx="2266">
                  <c:v>39184.0</c:v>
                </c:pt>
                <c:pt idx="2267">
                  <c:v>39183.0</c:v>
                </c:pt>
                <c:pt idx="2268">
                  <c:v>39182.0</c:v>
                </c:pt>
                <c:pt idx="2269">
                  <c:v>39177.0</c:v>
                </c:pt>
                <c:pt idx="2270">
                  <c:v>39176.0</c:v>
                </c:pt>
                <c:pt idx="2271">
                  <c:v>39175.0</c:v>
                </c:pt>
                <c:pt idx="2272">
                  <c:v>39174.0</c:v>
                </c:pt>
                <c:pt idx="2273">
                  <c:v>39171.0</c:v>
                </c:pt>
                <c:pt idx="2274">
                  <c:v>39170.0</c:v>
                </c:pt>
                <c:pt idx="2275">
                  <c:v>39169.0</c:v>
                </c:pt>
                <c:pt idx="2276">
                  <c:v>39168.0</c:v>
                </c:pt>
                <c:pt idx="2277">
                  <c:v>39167.0</c:v>
                </c:pt>
                <c:pt idx="2278">
                  <c:v>39164.0</c:v>
                </c:pt>
                <c:pt idx="2279">
                  <c:v>39163.0</c:v>
                </c:pt>
                <c:pt idx="2280">
                  <c:v>39161.0</c:v>
                </c:pt>
                <c:pt idx="2281">
                  <c:v>39160.0</c:v>
                </c:pt>
                <c:pt idx="2282">
                  <c:v>39157.0</c:v>
                </c:pt>
                <c:pt idx="2283">
                  <c:v>39156.0</c:v>
                </c:pt>
                <c:pt idx="2284">
                  <c:v>39155.0</c:v>
                </c:pt>
                <c:pt idx="2285">
                  <c:v>39154.0</c:v>
                </c:pt>
                <c:pt idx="2286">
                  <c:v>39153.0</c:v>
                </c:pt>
                <c:pt idx="2287">
                  <c:v>39150.0</c:v>
                </c:pt>
                <c:pt idx="2288">
                  <c:v>39149.0</c:v>
                </c:pt>
                <c:pt idx="2289">
                  <c:v>39148.0</c:v>
                </c:pt>
                <c:pt idx="2290">
                  <c:v>39147.0</c:v>
                </c:pt>
                <c:pt idx="2291">
                  <c:v>39146.0</c:v>
                </c:pt>
                <c:pt idx="2292">
                  <c:v>39143.0</c:v>
                </c:pt>
                <c:pt idx="2293">
                  <c:v>39142.0</c:v>
                </c:pt>
                <c:pt idx="2294">
                  <c:v>39141.0</c:v>
                </c:pt>
                <c:pt idx="2295">
                  <c:v>39140.0</c:v>
                </c:pt>
                <c:pt idx="2296">
                  <c:v>39139.0</c:v>
                </c:pt>
                <c:pt idx="2297">
                  <c:v>39136.0</c:v>
                </c:pt>
                <c:pt idx="2298">
                  <c:v>39135.0</c:v>
                </c:pt>
                <c:pt idx="2299">
                  <c:v>39134.0</c:v>
                </c:pt>
                <c:pt idx="2300">
                  <c:v>39133.0</c:v>
                </c:pt>
                <c:pt idx="2301">
                  <c:v>39132.0</c:v>
                </c:pt>
                <c:pt idx="2302">
                  <c:v>39129.0</c:v>
                </c:pt>
                <c:pt idx="2303">
                  <c:v>39128.0</c:v>
                </c:pt>
                <c:pt idx="2304">
                  <c:v>39127.0</c:v>
                </c:pt>
                <c:pt idx="2305">
                  <c:v>39126.0</c:v>
                </c:pt>
                <c:pt idx="2306">
                  <c:v>39125.0</c:v>
                </c:pt>
                <c:pt idx="2307">
                  <c:v>39122.0</c:v>
                </c:pt>
                <c:pt idx="2308">
                  <c:v>39121.0</c:v>
                </c:pt>
                <c:pt idx="2309">
                  <c:v>39120.0</c:v>
                </c:pt>
                <c:pt idx="2310">
                  <c:v>39119.0</c:v>
                </c:pt>
                <c:pt idx="2311">
                  <c:v>39118.0</c:v>
                </c:pt>
                <c:pt idx="2312">
                  <c:v>39115.0</c:v>
                </c:pt>
                <c:pt idx="2313">
                  <c:v>39114.0</c:v>
                </c:pt>
                <c:pt idx="2314">
                  <c:v>39113.0</c:v>
                </c:pt>
                <c:pt idx="2315">
                  <c:v>39112.0</c:v>
                </c:pt>
                <c:pt idx="2316">
                  <c:v>39111.0</c:v>
                </c:pt>
                <c:pt idx="2317">
                  <c:v>39108.0</c:v>
                </c:pt>
                <c:pt idx="2318">
                  <c:v>39107.0</c:v>
                </c:pt>
                <c:pt idx="2319">
                  <c:v>39106.0</c:v>
                </c:pt>
                <c:pt idx="2320">
                  <c:v>39105.0</c:v>
                </c:pt>
                <c:pt idx="2321">
                  <c:v>39104.0</c:v>
                </c:pt>
                <c:pt idx="2322">
                  <c:v>39101.0</c:v>
                </c:pt>
                <c:pt idx="2323">
                  <c:v>39100.0</c:v>
                </c:pt>
                <c:pt idx="2324">
                  <c:v>39099.0</c:v>
                </c:pt>
                <c:pt idx="2325">
                  <c:v>39098.0</c:v>
                </c:pt>
                <c:pt idx="2326">
                  <c:v>39097.0</c:v>
                </c:pt>
                <c:pt idx="2327">
                  <c:v>39094.0</c:v>
                </c:pt>
                <c:pt idx="2328">
                  <c:v>39093.0</c:v>
                </c:pt>
                <c:pt idx="2329">
                  <c:v>39092.0</c:v>
                </c:pt>
                <c:pt idx="2330">
                  <c:v>39091.0</c:v>
                </c:pt>
                <c:pt idx="2331">
                  <c:v>39090.0</c:v>
                </c:pt>
                <c:pt idx="2332">
                  <c:v>39087.0</c:v>
                </c:pt>
                <c:pt idx="2333">
                  <c:v>39086.0</c:v>
                </c:pt>
                <c:pt idx="2334">
                  <c:v>39085.0</c:v>
                </c:pt>
                <c:pt idx="2335">
                  <c:v>39084.0</c:v>
                </c:pt>
                <c:pt idx="2336">
                  <c:v>39080.0</c:v>
                </c:pt>
                <c:pt idx="2337">
                  <c:v>39079.0</c:v>
                </c:pt>
                <c:pt idx="2338">
                  <c:v>39078.0</c:v>
                </c:pt>
                <c:pt idx="2339">
                  <c:v>39073.0</c:v>
                </c:pt>
                <c:pt idx="2340">
                  <c:v>39072.0</c:v>
                </c:pt>
                <c:pt idx="2341">
                  <c:v>39071.0</c:v>
                </c:pt>
                <c:pt idx="2342">
                  <c:v>39070.0</c:v>
                </c:pt>
                <c:pt idx="2343">
                  <c:v>39069.0</c:v>
                </c:pt>
                <c:pt idx="2344">
                  <c:v>39066.0</c:v>
                </c:pt>
                <c:pt idx="2345">
                  <c:v>39065.0</c:v>
                </c:pt>
                <c:pt idx="2346">
                  <c:v>39064.0</c:v>
                </c:pt>
                <c:pt idx="2347">
                  <c:v>39063.0</c:v>
                </c:pt>
                <c:pt idx="2348">
                  <c:v>39062.0</c:v>
                </c:pt>
                <c:pt idx="2349">
                  <c:v>39059.0</c:v>
                </c:pt>
                <c:pt idx="2350">
                  <c:v>39058.0</c:v>
                </c:pt>
                <c:pt idx="2351">
                  <c:v>39057.0</c:v>
                </c:pt>
                <c:pt idx="2352">
                  <c:v>39056.0</c:v>
                </c:pt>
                <c:pt idx="2353">
                  <c:v>39055.0</c:v>
                </c:pt>
                <c:pt idx="2354">
                  <c:v>39052.0</c:v>
                </c:pt>
                <c:pt idx="2355">
                  <c:v>39051.0</c:v>
                </c:pt>
                <c:pt idx="2356">
                  <c:v>39050.0</c:v>
                </c:pt>
                <c:pt idx="2357">
                  <c:v>39049.0</c:v>
                </c:pt>
                <c:pt idx="2358">
                  <c:v>39048.0</c:v>
                </c:pt>
                <c:pt idx="2359">
                  <c:v>39045.0</c:v>
                </c:pt>
                <c:pt idx="2360">
                  <c:v>39044.0</c:v>
                </c:pt>
                <c:pt idx="2361">
                  <c:v>39043.0</c:v>
                </c:pt>
                <c:pt idx="2362">
                  <c:v>39042.0</c:v>
                </c:pt>
                <c:pt idx="2363">
                  <c:v>39041.0</c:v>
                </c:pt>
                <c:pt idx="2364">
                  <c:v>39038.0</c:v>
                </c:pt>
                <c:pt idx="2365">
                  <c:v>39037.0</c:v>
                </c:pt>
                <c:pt idx="2366">
                  <c:v>39036.0</c:v>
                </c:pt>
                <c:pt idx="2367">
                  <c:v>39035.0</c:v>
                </c:pt>
                <c:pt idx="2368">
                  <c:v>39034.0</c:v>
                </c:pt>
                <c:pt idx="2369">
                  <c:v>39031.0</c:v>
                </c:pt>
                <c:pt idx="2370">
                  <c:v>39030.0</c:v>
                </c:pt>
                <c:pt idx="2371">
                  <c:v>39029.0</c:v>
                </c:pt>
                <c:pt idx="2372">
                  <c:v>39028.0</c:v>
                </c:pt>
                <c:pt idx="2373">
                  <c:v>39027.0</c:v>
                </c:pt>
                <c:pt idx="2374">
                  <c:v>39024.0</c:v>
                </c:pt>
                <c:pt idx="2375">
                  <c:v>39023.0</c:v>
                </c:pt>
                <c:pt idx="2376">
                  <c:v>39022.0</c:v>
                </c:pt>
                <c:pt idx="2377">
                  <c:v>39021.0</c:v>
                </c:pt>
                <c:pt idx="2378">
                  <c:v>39020.0</c:v>
                </c:pt>
                <c:pt idx="2379">
                  <c:v>39017.0</c:v>
                </c:pt>
                <c:pt idx="2380">
                  <c:v>39016.0</c:v>
                </c:pt>
                <c:pt idx="2381">
                  <c:v>39015.0</c:v>
                </c:pt>
                <c:pt idx="2382">
                  <c:v>39014.0</c:v>
                </c:pt>
                <c:pt idx="2383">
                  <c:v>39013.0</c:v>
                </c:pt>
                <c:pt idx="2384">
                  <c:v>39010.0</c:v>
                </c:pt>
                <c:pt idx="2385">
                  <c:v>39009.0</c:v>
                </c:pt>
                <c:pt idx="2386">
                  <c:v>39008.0</c:v>
                </c:pt>
                <c:pt idx="2387">
                  <c:v>39007.0</c:v>
                </c:pt>
                <c:pt idx="2388">
                  <c:v>39006.0</c:v>
                </c:pt>
                <c:pt idx="2389">
                  <c:v>39003.0</c:v>
                </c:pt>
                <c:pt idx="2390">
                  <c:v>39002.0</c:v>
                </c:pt>
                <c:pt idx="2391">
                  <c:v>39001.0</c:v>
                </c:pt>
                <c:pt idx="2392">
                  <c:v>39000.0</c:v>
                </c:pt>
                <c:pt idx="2393">
                  <c:v>38999.0</c:v>
                </c:pt>
                <c:pt idx="2394">
                  <c:v>38996.0</c:v>
                </c:pt>
                <c:pt idx="2395">
                  <c:v>38995.0</c:v>
                </c:pt>
                <c:pt idx="2396">
                  <c:v>38994.0</c:v>
                </c:pt>
                <c:pt idx="2397">
                  <c:v>38993.0</c:v>
                </c:pt>
                <c:pt idx="2398">
                  <c:v>38992.0</c:v>
                </c:pt>
                <c:pt idx="2399">
                  <c:v>38989.0</c:v>
                </c:pt>
                <c:pt idx="2400">
                  <c:v>38988.0</c:v>
                </c:pt>
                <c:pt idx="2401">
                  <c:v>38987.0</c:v>
                </c:pt>
                <c:pt idx="2402">
                  <c:v>38986.0</c:v>
                </c:pt>
                <c:pt idx="2403">
                  <c:v>38982.0</c:v>
                </c:pt>
                <c:pt idx="2404">
                  <c:v>38981.0</c:v>
                </c:pt>
                <c:pt idx="2405">
                  <c:v>38980.0</c:v>
                </c:pt>
                <c:pt idx="2406">
                  <c:v>38979.0</c:v>
                </c:pt>
                <c:pt idx="2407">
                  <c:v>38978.0</c:v>
                </c:pt>
                <c:pt idx="2408">
                  <c:v>38975.0</c:v>
                </c:pt>
                <c:pt idx="2409">
                  <c:v>38974.0</c:v>
                </c:pt>
                <c:pt idx="2410">
                  <c:v>38973.0</c:v>
                </c:pt>
                <c:pt idx="2411">
                  <c:v>38972.0</c:v>
                </c:pt>
                <c:pt idx="2412">
                  <c:v>38971.0</c:v>
                </c:pt>
                <c:pt idx="2413">
                  <c:v>38968.0</c:v>
                </c:pt>
                <c:pt idx="2414">
                  <c:v>38967.0</c:v>
                </c:pt>
                <c:pt idx="2415">
                  <c:v>38966.0</c:v>
                </c:pt>
                <c:pt idx="2416">
                  <c:v>38965.0</c:v>
                </c:pt>
                <c:pt idx="2417">
                  <c:v>38964.0</c:v>
                </c:pt>
                <c:pt idx="2418">
                  <c:v>38961.0</c:v>
                </c:pt>
                <c:pt idx="2419">
                  <c:v>38960.0</c:v>
                </c:pt>
                <c:pt idx="2420">
                  <c:v>38959.0</c:v>
                </c:pt>
                <c:pt idx="2421">
                  <c:v>38958.0</c:v>
                </c:pt>
                <c:pt idx="2422">
                  <c:v>38957.0</c:v>
                </c:pt>
                <c:pt idx="2423">
                  <c:v>38954.0</c:v>
                </c:pt>
                <c:pt idx="2424">
                  <c:v>38953.0</c:v>
                </c:pt>
                <c:pt idx="2425">
                  <c:v>38952.0</c:v>
                </c:pt>
                <c:pt idx="2426">
                  <c:v>38951.0</c:v>
                </c:pt>
                <c:pt idx="2427">
                  <c:v>38950.0</c:v>
                </c:pt>
                <c:pt idx="2428">
                  <c:v>38947.0</c:v>
                </c:pt>
                <c:pt idx="2429">
                  <c:v>38946.0</c:v>
                </c:pt>
                <c:pt idx="2430">
                  <c:v>38945.0</c:v>
                </c:pt>
                <c:pt idx="2431">
                  <c:v>38944.0</c:v>
                </c:pt>
                <c:pt idx="2432">
                  <c:v>38943.0</c:v>
                </c:pt>
                <c:pt idx="2433">
                  <c:v>38940.0</c:v>
                </c:pt>
                <c:pt idx="2434">
                  <c:v>38939.0</c:v>
                </c:pt>
                <c:pt idx="2435">
                  <c:v>38937.0</c:v>
                </c:pt>
                <c:pt idx="2436">
                  <c:v>38936.0</c:v>
                </c:pt>
                <c:pt idx="2437">
                  <c:v>38933.0</c:v>
                </c:pt>
                <c:pt idx="2438">
                  <c:v>38932.0</c:v>
                </c:pt>
                <c:pt idx="2439">
                  <c:v>38931.0</c:v>
                </c:pt>
                <c:pt idx="2440">
                  <c:v>38930.0</c:v>
                </c:pt>
                <c:pt idx="2441">
                  <c:v>38929.0</c:v>
                </c:pt>
                <c:pt idx="2442">
                  <c:v>38926.0</c:v>
                </c:pt>
                <c:pt idx="2443">
                  <c:v>38925.0</c:v>
                </c:pt>
                <c:pt idx="2444">
                  <c:v>38924.0</c:v>
                </c:pt>
                <c:pt idx="2445">
                  <c:v>38923.0</c:v>
                </c:pt>
                <c:pt idx="2446">
                  <c:v>38922.0</c:v>
                </c:pt>
                <c:pt idx="2447">
                  <c:v>38919.0</c:v>
                </c:pt>
                <c:pt idx="2448">
                  <c:v>38918.0</c:v>
                </c:pt>
                <c:pt idx="2449">
                  <c:v>38917.0</c:v>
                </c:pt>
                <c:pt idx="2450">
                  <c:v>38916.0</c:v>
                </c:pt>
                <c:pt idx="2451">
                  <c:v>38915.0</c:v>
                </c:pt>
                <c:pt idx="2452">
                  <c:v>38912.0</c:v>
                </c:pt>
                <c:pt idx="2453">
                  <c:v>38911.0</c:v>
                </c:pt>
                <c:pt idx="2454">
                  <c:v>38910.0</c:v>
                </c:pt>
                <c:pt idx="2455">
                  <c:v>38909.0</c:v>
                </c:pt>
                <c:pt idx="2456">
                  <c:v>38908.0</c:v>
                </c:pt>
                <c:pt idx="2457">
                  <c:v>38905.0</c:v>
                </c:pt>
                <c:pt idx="2458">
                  <c:v>38904.0</c:v>
                </c:pt>
                <c:pt idx="2459">
                  <c:v>38903.0</c:v>
                </c:pt>
                <c:pt idx="2460">
                  <c:v>38902.0</c:v>
                </c:pt>
                <c:pt idx="2461">
                  <c:v>38901.0</c:v>
                </c:pt>
                <c:pt idx="2462">
                  <c:v>38898.0</c:v>
                </c:pt>
                <c:pt idx="2463">
                  <c:v>38897.0</c:v>
                </c:pt>
                <c:pt idx="2464">
                  <c:v>38896.0</c:v>
                </c:pt>
                <c:pt idx="2465">
                  <c:v>38895.0</c:v>
                </c:pt>
                <c:pt idx="2466">
                  <c:v>38894.0</c:v>
                </c:pt>
                <c:pt idx="2467">
                  <c:v>38891.0</c:v>
                </c:pt>
                <c:pt idx="2468">
                  <c:v>38890.0</c:v>
                </c:pt>
                <c:pt idx="2469">
                  <c:v>38889.0</c:v>
                </c:pt>
                <c:pt idx="2470">
                  <c:v>38888.0</c:v>
                </c:pt>
                <c:pt idx="2471">
                  <c:v>38887.0</c:v>
                </c:pt>
                <c:pt idx="2472">
                  <c:v>38883.0</c:v>
                </c:pt>
                <c:pt idx="2473">
                  <c:v>38882.0</c:v>
                </c:pt>
                <c:pt idx="2474">
                  <c:v>38881.0</c:v>
                </c:pt>
                <c:pt idx="2475">
                  <c:v>38880.0</c:v>
                </c:pt>
                <c:pt idx="2476">
                  <c:v>38877.0</c:v>
                </c:pt>
                <c:pt idx="2477">
                  <c:v>38876.0</c:v>
                </c:pt>
                <c:pt idx="2478">
                  <c:v>38875.0</c:v>
                </c:pt>
                <c:pt idx="2479">
                  <c:v>38874.0</c:v>
                </c:pt>
                <c:pt idx="2480">
                  <c:v>38873.0</c:v>
                </c:pt>
                <c:pt idx="2481">
                  <c:v>38870.0</c:v>
                </c:pt>
                <c:pt idx="2482">
                  <c:v>38869.0</c:v>
                </c:pt>
                <c:pt idx="2483">
                  <c:v>38868.0</c:v>
                </c:pt>
                <c:pt idx="2484">
                  <c:v>38867.0</c:v>
                </c:pt>
                <c:pt idx="2485">
                  <c:v>38866.0</c:v>
                </c:pt>
                <c:pt idx="2486">
                  <c:v>38863.0</c:v>
                </c:pt>
                <c:pt idx="2487">
                  <c:v>38862.0</c:v>
                </c:pt>
                <c:pt idx="2488">
                  <c:v>38861.0</c:v>
                </c:pt>
                <c:pt idx="2489">
                  <c:v>38860.0</c:v>
                </c:pt>
                <c:pt idx="2490">
                  <c:v>38859.0</c:v>
                </c:pt>
                <c:pt idx="2491">
                  <c:v>38856.0</c:v>
                </c:pt>
                <c:pt idx="2492">
                  <c:v>38855.0</c:v>
                </c:pt>
                <c:pt idx="2493">
                  <c:v>38854.0</c:v>
                </c:pt>
                <c:pt idx="2494">
                  <c:v>38853.0</c:v>
                </c:pt>
                <c:pt idx="2495">
                  <c:v>38852.0</c:v>
                </c:pt>
                <c:pt idx="2496">
                  <c:v>38849.0</c:v>
                </c:pt>
                <c:pt idx="2497">
                  <c:v>38848.0</c:v>
                </c:pt>
                <c:pt idx="2498">
                  <c:v>38847.0</c:v>
                </c:pt>
                <c:pt idx="2499">
                  <c:v>38846.0</c:v>
                </c:pt>
                <c:pt idx="2500">
                  <c:v>38845.0</c:v>
                </c:pt>
                <c:pt idx="2501">
                  <c:v>38842.0</c:v>
                </c:pt>
                <c:pt idx="2502">
                  <c:v>38841.0</c:v>
                </c:pt>
                <c:pt idx="2503">
                  <c:v>38840.0</c:v>
                </c:pt>
                <c:pt idx="2504">
                  <c:v>38839.0</c:v>
                </c:pt>
                <c:pt idx="2505">
                  <c:v>38835.0</c:v>
                </c:pt>
                <c:pt idx="2506">
                  <c:v>38833.0</c:v>
                </c:pt>
                <c:pt idx="2507">
                  <c:v>38832.0</c:v>
                </c:pt>
                <c:pt idx="2508">
                  <c:v>38831.0</c:v>
                </c:pt>
                <c:pt idx="2509">
                  <c:v>38828.0</c:v>
                </c:pt>
                <c:pt idx="2510">
                  <c:v>38827.0</c:v>
                </c:pt>
                <c:pt idx="2511">
                  <c:v>38826.0</c:v>
                </c:pt>
                <c:pt idx="2512">
                  <c:v>38825.0</c:v>
                </c:pt>
                <c:pt idx="2513">
                  <c:v>38820.0</c:v>
                </c:pt>
                <c:pt idx="2514">
                  <c:v>38819.0</c:v>
                </c:pt>
                <c:pt idx="2515">
                  <c:v>38818.0</c:v>
                </c:pt>
                <c:pt idx="2516">
                  <c:v>38817.0</c:v>
                </c:pt>
                <c:pt idx="2517">
                  <c:v>38814.0</c:v>
                </c:pt>
                <c:pt idx="2518">
                  <c:v>38813.0</c:v>
                </c:pt>
                <c:pt idx="2519">
                  <c:v>38812.0</c:v>
                </c:pt>
                <c:pt idx="2520">
                  <c:v>38811.0</c:v>
                </c:pt>
                <c:pt idx="2521">
                  <c:v>38810.0</c:v>
                </c:pt>
                <c:pt idx="2522">
                  <c:v>38807.0</c:v>
                </c:pt>
                <c:pt idx="2523">
                  <c:v>38806.0</c:v>
                </c:pt>
                <c:pt idx="2524">
                  <c:v>38805.0</c:v>
                </c:pt>
                <c:pt idx="2525">
                  <c:v>38804.0</c:v>
                </c:pt>
                <c:pt idx="2526">
                  <c:v>38803.0</c:v>
                </c:pt>
                <c:pt idx="2527">
                  <c:v>38800.0</c:v>
                </c:pt>
                <c:pt idx="2528">
                  <c:v>38799.0</c:v>
                </c:pt>
                <c:pt idx="2529">
                  <c:v>38798.0</c:v>
                </c:pt>
                <c:pt idx="2530">
                  <c:v>38796.0</c:v>
                </c:pt>
                <c:pt idx="2531">
                  <c:v>38793.0</c:v>
                </c:pt>
                <c:pt idx="2532">
                  <c:v>38792.0</c:v>
                </c:pt>
                <c:pt idx="2533">
                  <c:v>38791.0</c:v>
                </c:pt>
                <c:pt idx="2534">
                  <c:v>38790.0</c:v>
                </c:pt>
                <c:pt idx="2535">
                  <c:v>38789.0</c:v>
                </c:pt>
                <c:pt idx="2536">
                  <c:v>38786.0</c:v>
                </c:pt>
                <c:pt idx="2537">
                  <c:v>38785.0</c:v>
                </c:pt>
                <c:pt idx="2538">
                  <c:v>38784.0</c:v>
                </c:pt>
                <c:pt idx="2539">
                  <c:v>38783.0</c:v>
                </c:pt>
                <c:pt idx="2540">
                  <c:v>38782.0</c:v>
                </c:pt>
                <c:pt idx="2541">
                  <c:v>38779.0</c:v>
                </c:pt>
                <c:pt idx="2542">
                  <c:v>38778.0</c:v>
                </c:pt>
                <c:pt idx="2543">
                  <c:v>38776.0</c:v>
                </c:pt>
                <c:pt idx="2544">
                  <c:v>38775.0</c:v>
                </c:pt>
                <c:pt idx="2545">
                  <c:v>38772.0</c:v>
                </c:pt>
                <c:pt idx="2546">
                  <c:v>38771.0</c:v>
                </c:pt>
                <c:pt idx="2547">
                  <c:v>38770.0</c:v>
                </c:pt>
                <c:pt idx="2548">
                  <c:v>38769.0</c:v>
                </c:pt>
                <c:pt idx="2549">
                  <c:v>38768.0</c:v>
                </c:pt>
                <c:pt idx="2550">
                  <c:v>38765.0</c:v>
                </c:pt>
                <c:pt idx="2551">
                  <c:v>38764.0</c:v>
                </c:pt>
                <c:pt idx="2552">
                  <c:v>38763.0</c:v>
                </c:pt>
                <c:pt idx="2553">
                  <c:v>38762.0</c:v>
                </c:pt>
                <c:pt idx="2554">
                  <c:v>38761.0</c:v>
                </c:pt>
                <c:pt idx="2555">
                  <c:v>38758.0</c:v>
                </c:pt>
                <c:pt idx="2556">
                  <c:v>38757.0</c:v>
                </c:pt>
                <c:pt idx="2557">
                  <c:v>38756.0</c:v>
                </c:pt>
                <c:pt idx="2558">
                  <c:v>38755.0</c:v>
                </c:pt>
                <c:pt idx="2559">
                  <c:v>38754.0</c:v>
                </c:pt>
                <c:pt idx="2560">
                  <c:v>38751.0</c:v>
                </c:pt>
                <c:pt idx="2561">
                  <c:v>38750.0</c:v>
                </c:pt>
                <c:pt idx="2562">
                  <c:v>38749.0</c:v>
                </c:pt>
                <c:pt idx="2563">
                  <c:v>38748.0</c:v>
                </c:pt>
                <c:pt idx="2564">
                  <c:v>38747.0</c:v>
                </c:pt>
                <c:pt idx="2565">
                  <c:v>38744.0</c:v>
                </c:pt>
                <c:pt idx="2566">
                  <c:v>38743.0</c:v>
                </c:pt>
                <c:pt idx="2567">
                  <c:v>38742.0</c:v>
                </c:pt>
                <c:pt idx="2568">
                  <c:v>38741.0</c:v>
                </c:pt>
                <c:pt idx="2569">
                  <c:v>38740.0</c:v>
                </c:pt>
                <c:pt idx="2570">
                  <c:v>38737.0</c:v>
                </c:pt>
                <c:pt idx="2571">
                  <c:v>38736.0</c:v>
                </c:pt>
                <c:pt idx="2572">
                  <c:v>38735.0</c:v>
                </c:pt>
                <c:pt idx="2573">
                  <c:v>38734.0</c:v>
                </c:pt>
                <c:pt idx="2574">
                  <c:v>38733.0</c:v>
                </c:pt>
                <c:pt idx="2575">
                  <c:v>38730.0</c:v>
                </c:pt>
                <c:pt idx="2576">
                  <c:v>38729.0</c:v>
                </c:pt>
                <c:pt idx="2577">
                  <c:v>38728.0</c:v>
                </c:pt>
                <c:pt idx="2578">
                  <c:v>38727.0</c:v>
                </c:pt>
                <c:pt idx="2579">
                  <c:v>38726.0</c:v>
                </c:pt>
                <c:pt idx="2580">
                  <c:v>38723.0</c:v>
                </c:pt>
                <c:pt idx="2581">
                  <c:v>38722.0</c:v>
                </c:pt>
                <c:pt idx="2582">
                  <c:v>38721.0</c:v>
                </c:pt>
                <c:pt idx="2583">
                  <c:v>38720.0</c:v>
                </c:pt>
                <c:pt idx="2584">
                  <c:v>38716.0</c:v>
                </c:pt>
                <c:pt idx="2585">
                  <c:v>38715.0</c:v>
                </c:pt>
                <c:pt idx="2586">
                  <c:v>38714.0</c:v>
                </c:pt>
                <c:pt idx="2587">
                  <c:v>38713.0</c:v>
                </c:pt>
                <c:pt idx="2588">
                  <c:v>38709.0</c:v>
                </c:pt>
                <c:pt idx="2589">
                  <c:v>38708.0</c:v>
                </c:pt>
                <c:pt idx="2590">
                  <c:v>38707.0</c:v>
                </c:pt>
                <c:pt idx="2591">
                  <c:v>38706.0</c:v>
                </c:pt>
                <c:pt idx="2592">
                  <c:v>38705.0</c:v>
                </c:pt>
                <c:pt idx="2593">
                  <c:v>38701.0</c:v>
                </c:pt>
                <c:pt idx="2594">
                  <c:v>38700.0</c:v>
                </c:pt>
                <c:pt idx="2595">
                  <c:v>38699.0</c:v>
                </c:pt>
                <c:pt idx="2596">
                  <c:v>38698.0</c:v>
                </c:pt>
                <c:pt idx="2597">
                  <c:v>38695.0</c:v>
                </c:pt>
                <c:pt idx="2598">
                  <c:v>38694.0</c:v>
                </c:pt>
                <c:pt idx="2599">
                  <c:v>38693.0</c:v>
                </c:pt>
                <c:pt idx="2600">
                  <c:v>38692.0</c:v>
                </c:pt>
                <c:pt idx="2601">
                  <c:v>38691.0</c:v>
                </c:pt>
                <c:pt idx="2602">
                  <c:v>38688.0</c:v>
                </c:pt>
                <c:pt idx="2603">
                  <c:v>38687.0</c:v>
                </c:pt>
                <c:pt idx="2604">
                  <c:v>38686.0</c:v>
                </c:pt>
                <c:pt idx="2605">
                  <c:v>38685.0</c:v>
                </c:pt>
                <c:pt idx="2606">
                  <c:v>38684.0</c:v>
                </c:pt>
                <c:pt idx="2607">
                  <c:v>38681.0</c:v>
                </c:pt>
                <c:pt idx="2608">
                  <c:v>38680.0</c:v>
                </c:pt>
                <c:pt idx="2609">
                  <c:v>38679.0</c:v>
                </c:pt>
                <c:pt idx="2610">
                  <c:v>38678.0</c:v>
                </c:pt>
                <c:pt idx="2611">
                  <c:v>38677.0</c:v>
                </c:pt>
                <c:pt idx="2612">
                  <c:v>38674.0</c:v>
                </c:pt>
                <c:pt idx="2613">
                  <c:v>38673.0</c:v>
                </c:pt>
                <c:pt idx="2614">
                  <c:v>38672.0</c:v>
                </c:pt>
                <c:pt idx="2615">
                  <c:v>38671.0</c:v>
                </c:pt>
                <c:pt idx="2616">
                  <c:v>38670.0</c:v>
                </c:pt>
                <c:pt idx="2617">
                  <c:v>38667.0</c:v>
                </c:pt>
                <c:pt idx="2618">
                  <c:v>38666.0</c:v>
                </c:pt>
                <c:pt idx="2619">
                  <c:v>38665.0</c:v>
                </c:pt>
                <c:pt idx="2620">
                  <c:v>38664.0</c:v>
                </c:pt>
                <c:pt idx="2621">
                  <c:v>38663.0</c:v>
                </c:pt>
                <c:pt idx="2622">
                  <c:v>38660.0</c:v>
                </c:pt>
                <c:pt idx="2623">
                  <c:v>38659.0</c:v>
                </c:pt>
                <c:pt idx="2624">
                  <c:v>38658.0</c:v>
                </c:pt>
                <c:pt idx="2625">
                  <c:v>38657.0</c:v>
                </c:pt>
                <c:pt idx="2626">
                  <c:v>38656.0</c:v>
                </c:pt>
                <c:pt idx="2627">
                  <c:v>38653.0</c:v>
                </c:pt>
                <c:pt idx="2628">
                  <c:v>38652.0</c:v>
                </c:pt>
                <c:pt idx="2629">
                  <c:v>38651.0</c:v>
                </c:pt>
                <c:pt idx="2630">
                  <c:v>38650.0</c:v>
                </c:pt>
                <c:pt idx="2631">
                  <c:v>38649.0</c:v>
                </c:pt>
                <c:pt idx="2632">
                  <c:v>38646.0</c:v>
                </c:pt>
                <c:pt idx="2633">
                  <c:v>38645.0</c:v>
                </c:pt>
                <c:pt idx="2634">
                  <c:v>38644.0</c:v>
                </c:pt>
                <c:pt idx="2635">
                  <c:v>38643.0</c:v>
                </c:pt>
                <c:pt idx="2636">
                  <c:v>38642.0</c:v>
                </c:pt>
                <c:pt idx="2637">
                  <c:v>38639.0</c:v>
                </c:pt>
                <c:pt idx="2638">
                  <c:v>38638.0</c:v>
                </c:pt>
                <c:pt idx="2639">
                  <c:v>38637.0</c:v>
                </c:pt>
                <c:pt idx="2640">
                  <c:v>38636.0</c:v>
                </c:pt>
                <c:pt idx="2641">
                  <c:v>38635.0</c:v>
                </c:pt>
                <c:pt idx="2642">
                  <c:v>38632.0</c:v>
                </c:pt>
                <c:pt idx="2643">
                  <c:v>38631.0</c:v>
                </c:pt>
                <c:pt idx="2644">
                  <c:v>38630.0</c:v>
                </c:pt>
                <c:pt idx="2645">
                  <c:v>38629.0</c:v>
                </c:pt>
                <c:pt idx="2646">
                  <c:v>38628.0</c:v>
                </c:pt>
                <c:pt idx="2647">
                  <c:v>38625.0</c:v>
                </c:pt>
                <c:pt idx="2648">
                  <c:v>38624.0</c:v>
                </c:pt>
                <c:pt idx="2649">
                  <c:v>38623.0</c:v>
                </c:pt>
                <c:pt idx="2650">
                  <c:v>38622.0</c:v>
                </c:pt>
                <c:pt idx="2651">
                  <c:v>38621.0</c:v>
                </c:pt>
                <c:pt idx="2652">
                  <c:v>38618.0</c:v>
                </c:pt>
                <c:pt idx="2653">
                  <c:v>38617.0</c:v>
                </c:pt>
                <c:pt idx="2654">
                  <c:v>38616.0</c:v>
                </c:pt>
                <c:pt idx="2655">
                  <c:v>38615.0</c:v>
                </c:pt>
                <c:pt idx="2656">
                  <c:v>38614.0</c:v>
                </c:pt>
                <c:pt idx="2657">
                  <c:v>38611.0</c:v>
                </c:pt>
                <c:pt idx="2658">
                  <c:v>38610.0</c:v>
                </c:pt>
                <c:pt idx="2659">
                  <c:v>38609.0</c:v>
                </c:pt>
                <c:pt idx="2660">
                  <c:v>38608.0</c:v>
                </c:pt>
                <c:pt idx="2661">
                  <c:v>38607.0</c:v>
                </c:pt>
                <c:pt idx="2662">
                  <c:v>38604.0</c:v>
                </c:pt>
                <c:pt idx="2663">
                  <c:v>38603.0</c:v>
                </c:pt>
                <c:pt idx="2664">
                  <c:v>38602.0</c:v>
                </c:pt>
                <c:pt idx="2665">
                  <c:v>38601.0</c:v>
                </c:pt>
                <c:pt idx="2666">
                  <c:v>38600.0</c:v>
                </c:pt>
                <c:pt idx="2667">
                  <c:v>38597.0</c:v>
                </c:pt>
                <c:pt idx="2668">
                  <c:v>38596.0</c:v>
                </c:pt>
                <c:pt idx="2669">
                  <c:v>38595.0</c:v>
                </c:pt>
                <c:pt idx="2670">
                  <c:v>38594.0</c:v>
                </c:pt>
                <c:pt idx="2671">
                  <c:v>38593.0</c:v>
                </c:pt>
                <c:pt idx="2672">
                  <c:v>38590.0</c:v>
                </c:pt>
                <c:pt idx="2673">
                  <c:v>38589.0</c:v>
                </c:pt>
                <c:pt idx="2674">
                  <c:v>38588.0</c:v>
                </c:pt>
                <c:pt idx="2675">
                  <c:v>38587.0</c:v>
                </c:pt>
                <c:pt idx="2676">
                  <c:v>38586.0</c:v>
                </c:pt>
                <c:pt idx="2677">
                  <c:v>38583.0</c:v>
                </c:pt>
                <c:pt idx="2678">
                  <c:v>38582.0</c:v>
                </c:pt>
                <c:pt idx="2679">
                  <c:v>38581.0</c:v>
                </c:pt>
                <c:pt idx="2680">
                  <c:v>38580.0</c:v>
                </c:pt>
                <c:pt idx="2681">
                  <c:v>38579.0</c:v>
                </c:pt>
                <c:pt idx="2682">
                  <c:v>38576.0</c:v>
                </c:pt>
                <c:pt idx="2683">
                  <c:v>38575.0</c:v>
                </c:pt>
                <c:pt idx="2684">
                  <c:v>38574.0</c:v>
                </c:pt>
                <c:pt idx="2685">
                  <c:v>38572.0</c:v>
                </c:pt>
                <c:pt idx="2686">
                  <c:v>38569.0</c:v>
                </c:pt>
                <c:pt idx="2687">
                  <c:v>38568.0</c:v>
                </c:pt>
                <c:pt idx="2688">
                  <c:v>38567.0</c:v>
                </c:pt>
                <c:pt idx="2689">
                  <c:v>38566.0</c:v>
                </c:pt>
                <c:pt idx="2690">
                  <c:v>38565.0</c:v>
                </c:pt>
                <c:pt idx="2691">
                  <c:v>38562.0</c:v>
                </c:pt>
                <c:pt idx="2692">
                  <c:v>38561.0</c:v>
                </c:pt>
                <c:pt idx="2693">
                  <c:v>38560.0</c:v>
                </c:pt>
                <c:pt idx="2694">
                  <c:v>38559.0</c:v>
                </c:pt>
                <c:pt idx="2695">
                  <c:v>38558.0</c:v>
                </c:pt>
                <c:pt idx="2696">
                  <c:v>38555.0</c:v>
                </c:pt>
                <c:pt idx="2697">
                  <c:v>38554.0</c:v>
                </c:pt>
                <c:pt idx="2698">
                  <c:v>38553.0</c:v>
                </c:pt>
                <c:pt idx="2699">
                  <c:v>38552.0</c:v>
                </c:pt>
                <c:pt idx="2700">
                  <c:v>38551.0</c:v>
                </c:pt>
                <c:pt idx="2701">
                  <c:v>38548.0</c:v>
                </c:pt>
                <c:pt idx="2702">
                  <c:v>38547.0</c:v>
                </c:pt>
                <c:pt idx="2703">
                  <c:v>38546.0</c:v>
                </c:pt>
                <c:pt idx="2704">
                  <c:v>38545.0</c:v>
                </c:pt>
                <c:pt idx="2705">
                  <c:v>38544.0</c:v>
                </c:pt>
                <c:pt idx="2706">
                  <c:v>38541.0</c:v>
                </c:pt>
                <c:pt idx="2707">
                  <c:v>38540.0</c:v>
                </c:pt>
                <c:pt idx="2708">
                  <c:v>38539.0</c:v>
                </c:pt>
                <c:pt idx="2709">
                  <c:v>38538.0</c:v>
                </c:pt>
                <c:pt idx="2710">
                  <c:v>38537.0</c:v>
                </c:pt>
                <c:pt idx="2711">
                  <c:v>38534.0</c:v>
                </c:pt>
                <c:pt idx="2712">
                  <c:v>38533.0</c:v>
                </c:pt>
                <c:pt idx="2713">
                  <c:v>38532.0</c:v>
                </c:pt>
                <c:pt idx="2714">
                  <c:v>38531.0</c:v>
                </c:pt>
                <c:pt idx="2715">
                  <c:v>38530.0</c:v>
                </c:pt>
                <c:pt idx="2716">
                  <c:v>38527.0</c:v>
                </c:pt>
                <c:pt idx="2717">
                  <c:v>38526.0</c:v>
                </c:pt>
                <c:pt idx="2718">
                  <c:v>38525.0</c:v>
                </c:pt>
                <c:pt idx="2719">
                  <c:v>38524.0</c:v>
                </c:pt>
                <c:pt idx="2720">
                  <c:v>38523.0</c:v>
                </c:pt>
                <c:pt idx="2721">
                  <c:v>38520.0</c:v>
                </c:pt>
                <c:pt idx="2722">
                  <c:v>38518.0</c:v>
                </c:pt>
                <c:pt idx="2723">
                  <c:v>38517.0</c:v>
                </c:pt>
                <c:pt idx="2724">
                  <c:v>38516.0</c:v>
                </c:pt>
                <c:pt idx="2725">
                  <c:v>38513.0</c:v>
                </c:pt>
                <c:pt idx="2726">
                  <c:v>38512.0</c:v>
                </c:pt>
                <c:pt idx="2727">
                  <c:v>38511.0</c:v>
                </c:pt>
                <c:pt idx="2728">
                  <c:v>38510.0</c:v>
                </c:pt>
                <c:pt idx="2729">
                  <c:v>38509.0</c:v>
                </c:pt>
                <c:pt idx="2730">
                  <c:v>38506.0</c:v>
                </c:pt>
                <c:pt idx="2731">
                  <c:v>38505.0</c:v>
                </c:pt>
                <c:pt idx="2732">
                  <c:v>38504.0</c:v>
                </c:pt>
                <c:pt idx="2733">
                  <c:v>38503.0</c:v>
                </c:pt>
                <c:pt idx="2734">
                  <c:v>38502.0</c:v>
                </c:pt>
                <c:pt idx="2735">
                  <c:v>38499.0</c:v>
                </c:pt>
                <c:pt idx="2736">
                  <c:v>38498.0</c:v>
                </c:pt>
                <c:pt idx="2737">
                  <c:v>38497.0</c:v>
                </c:pt>
                <c:pt idx="2738">
                  <c:v>38496.0</c:v>
                </c:pt>
                <c:pt idx="2739">
                  <c:v>38495.0</c:v>
                </c:pt>
                <c:pt idx="2740">
                  <c:v>38492.0</c:v>
                </c:pt>
                <c:pt idx="2741">
                  <c:v>38491.0</c:v>
                </c:pt>
                <c:pt idx="2742">
                  <c:v>38490.0</c:v>
                </c:pt>
                <c:pt idx="2743">
                  <c:v>38489.0</c:v>
                </c:pt>
                <c:pt idx="2744">
                  <c:v>38488.0</c:v>
                </c:pt>
                <c:pt idx="2745">
                  <c:v>38485.0</c:v>
                </c:pt>
                <c:pt idx="2746">
                  <c:v>38484.0</c:v>
                </c:pt>
                <c:pt idx="2747">
                  <c:v>38483.0</c:v>
                </c:pt>
                <c:pt idx="2748">
                  <c:v>38482.0</c:v>
                </c:pt>
                <c:pt idx="2749">
                  <c:v>38481.0</c:v>
                </c:pt>
                <c:pt idx="2750">
                  <c:v>38478.0</c:v>
                </c:pt>
              </c:numCache>
            </c:numRef>
          </c:cat>
          <c:val>
            <c:numRef>
              <c:f>'4f. JALSH vs Oceana Prices'!$C$9:$C$2759</c:f>
              <c:numCache>
                <c:formatCode>0</c:formatCode>
                <c:ptCount val="2751"/>
                <c:pt idx="0">
                  <c:v>51873.5</c:v>
                </c:pt>
                <c:pt idx="1">
                  <c:v>51912.11</c:v>
                </c:pt>
                <c:pt idx="2">
                  <c:v>52957.32</c:v>
                </c:pt>
                <c:pt idx="3">
                  <c:v>53223.98</c:v>
                </c:pt>
                <c:pt idx="4">
                  <c:v>53062.95</c:v>
                </c:pt>
                <c:pt idx="5">
                  <c:v>52985.31</c:v>
                </c:pt>
                <c:pt idx="6">
                  <c:v>52925.75</c:v>
                </c:pt>
                <c:pt idx="7">
                  <c:v>53323.58</c:v>
                </c:pt>
                <c:pt idx="8">
                  <c:v>53789.75</c:v>
                </c:pt>
                <c:pt idx="9">
                  <c:v>53380.94</c:v>
                </c:pt>
                <c:pt idx="10">
                  <c:v>53166.59</c:v>
                </c:pt>
                <c:pt idx="11">
                  <c:v>53038.91</c:v>
                </c:pt>
                <c:pt idx="12">
                  <c:v>52848.0</c:v>
                </c:pt>
                <c:pt idx="13">
                  <c:v>52938.24</c:v>
                </c:pt>
                <c:pt idx="14">
                  <c:v>52059.76</c:v>
                </c:pt>
                <c:pt idx="15">
                  <c:v>51428.08</c:v>
                </c:pt>
                <c:pt idx="16">
                  <c:v>51424.48</c:v>
                </c:pt>
                <c:pt idx="17">
                  <c:v>51146.82</c:v>
                </c:pt>
                <c:pt idx="18">
                  <c:v>51184.32</c:v>
                </c:pt>
                <c:pt idx="19">
                  <c:v>51226.09</c:v>
                </c:pt>
                <c:pt idx="20">
                  <c:v>51895.14</c:v>
                </c:pt>
                <c:pt idx="21">
                  <c:v>51584.13</c:v>
                </c:pt>
                <c:pt idx="22">
                  <c:v>52250.28</c:v>
                </c:pt>
                <c:pt idx="23">
                  <c:v>52495.46</c:v>
                </c:pt>
                <c:pt idx="24">
                  <c:v>51787.2</c:v>
                </c:pt>
                <c:pt idx="25">
                  <c:v>52323.78</c:v>
                </c:pt>
                <c:pt idx="26">
                  <c:v>52569.55</c:v>
                </c:pt>
                <c:pt idx="27">
                  <c:v>53392.86</c:v>
                </c:pt>
                <c:pt idx="28">
                  <c:v>53824.28</c:v>
                </c:pt>
                <c:pt idx="29">
                  <c:v>53190.56</c:v>
                </c:pt>
                <c:pt idx="30">
                  <c:v>52685.7</c:v>
                </c:pt>
                <c:pt idx="31">
                  <c:v>52253.79</c:v>
                </c:pt>
                <c:pt idx="32">
                  <c:v>52471.72</c:v>
                </c:pt>
                <c:pt idx="33">
                  <c:v>51739.83</c:v>
                </c:pt>
                <c:pt idx="34">
                  <c:v>51533.78</c:v>
                </c:pt>
                <c:pt idx="35">
                  <c:v>51484.46</c:v>
                </c:pt>
                <c:pt idx="36">
                  <c:v>52247.84</c:v>
                </c:pt>
                <c:pt idx="37">
                  <c:v>52673.79</c:v>
                </c:pt>
                <c:pt idx="38">
                  <c:v>52200.71</c:v>
                </c:pt>
                <c:pt idx="39">
                  <c:v>51787.01</c:v>
                </c:pt>
                <c:pt idx="40">
                  <c:v>50966.93</c:v>
                </c:pt>
                <c:pt idx="41">
                  <c:v>50315.09</c:v>
                </c:pt>
                <c:pt idx="42">
                  <c:v>49415.31</c:v>
                </c:pt>
                <c:pt idx="43">
                  <c:v>49429.4</c:v>
                </c:pt>
                <c:pt idx="44">
                  <c:v>48373.17</c:v>
                </c:pt>
                <c:pt idx="45">
                  <c:v>47995.82</c:v>
                </c:pt>
                <c:pt idx="46">
                  <c:v>48421.99</c:v>
                </c:pt>
                <c:pt idx="47">
                  <c:v>49112.8</c:v>
                </c:pt>
                <c:pt idx="48">
                  <c:v>48940.43</c:v>
                </c:pt>
                <c:pt idx="49">
                  <c:v>49857.7</c:v>
                </c:pt>
                <c:pt idx="50">
                  <c:v>50039.31</c:v>
                </c:pt>
                <c:pt idx="51">
                  <c:v>49387.1</c:v>
                </c:pt>
                <c:pt idx="52">
                  <c:v>49851.95</c:v>
                </c:pt>
                <c:pt idx="53">
                  <c:v>48589.69</c:v>
                </c:pt>
                <c:pt idx="54">
                  <c:v>47411.57</c:v>
                </c:pt>
                <c:pt idx="55">
                  <c:v>48273.24</c:v>
                </c:pt>
                <c:pt idx="56">
                  <c:v>48344.75</c:v>
                </c:pt>
                <c:pt idx="57">
                  <c:v>49429.59</c:v>
                </c:pt>
                <c:pt idx="58">
                  <c:v>49753.29</c:v>
                </c:pt>
                <c:pt idx="59">
                  <c:v>49627.53</c:v>
                </c:pt>
                <c:pt idx="60">
                  <c:v>48535.48</c:v>
                </c:pt>
                <c:pt idx="61">
                  <c:v>48029.24</c:v>
                </c:pt>
                <c:pt idx="62">
                  <c:v>49055.54</c:v>
                </c:pt>
                <c:pt idx="63">
                  <c:v>49141.94</c:v>
                </c:pt>
                <c:pt idx="64">
                  <c:v>48702.61</c:v>
                </c:pt>
                <c:pt idx="65">
                  <c:v>47923.92</c:v>
                </c:pt>
                <c:pt idx="66">
                  <c:v>47532.4</c:v>
                </c:pt>
                <c:pt idx="67">
                  <c:v>47210.42</c:v>
                </c:pt>
                <c:pt idx="68">
                  <c:v>47661.87</c:v>
                </c:pt>
                <c:pt idx="69">
                  <c:v>46282.02</c:v>
                </c:pt>
                <c:pt idx="70">
                  <c:v>46329.78</c:v>
                </c:pt>
                <c:pt idx="71">
                  <c:v>47627.76</c:v>
                </c:pt>
                <c:pt idx="72">
                  <c:v>46876.62</c:v>
                </c:pt>
                <c:pt idx="73">
                  <c:v>46960.37</c:v>
                </c:pt>
                <c:pt idx="74">
                  <c:v>47697.53</c:v>
                </c:pt>
                <c:pt idx="75">
                  <c:v>48412.8</c:v>
                </c:pt>
                <c:pt idx="76">
                  <c:v>48396.18</c:v>
                </c:pt>
                <c:pt idx="77">
                  <c:v>48322.68</c:v>
                </c:pt>
                <c:pt idx="78">
                  <c:v>48104.68</c:v>
                </c:pt>
                <c:pt idx="79">
                  <c:v>48052.78</c:v>
                </c:pt>
                <c:pt idx="80">
                  <c:v>49082.29</c:v>
                </c:pt>
                <c:pt idx="81">
                  <c:v>49599.72</c:v>
                </c:pt>
                <c:pt idx="82">
                  <c:v>49316.61</c:v>
                </c:pt>
                <c:pt idx="83">
                  <c:v>50693.76</c:v>
                </c:pt>
                <c:pt idx="84">
                  <c:v>50805.13</c:v>
                </c:pt>
                <c:pt idx="85">
                  <c:v>50964.44</c:v>
                </c:pt>
                <c:pt idx="86">
                  <c:v>51188.72</c:v>
                </c:pt>
                <c:pt idx="87">
                  <c:v>51324.01</c:v>
                </c:pt>
                <c:pt idx="88">
                  <c:v>50839.81</c:v>
                </c:pt>
                <c:pt idx="89">
                  <c:v>49780.33</c:v>
                </c:pt>
                <c:pt idx="90">
                  <c:v>49189.99</c:v>
                </c:pt>
                <c:pt idx="91">
                  <c:v>48717.28</c:v>
                </c:pt>
                <c:pt idx="92">
                  <c:v>49706.29</c:v>
                </c:pt>
                <c:pt idx="93">
                  <c:v>48428.77</c:v>
                </c:pt>
                <c:pt idx="94">
                  <c:v>48081.71</c:v>
                </c:pt>
                <c:pt idx="95">
                  <c:v>48067.53</c:v>
                </c:pt>
                <c:pt idx="96">
                  <c:v>48984.53</c:v>
                </c:pt>
                <c:pt idx="97">
                  <c:v>49523.56</c:v>
                </c:pt>
                <c:pt idx="98">
                  <c:v>49083.8</c:v>
                </c:pt>
                <c:pt idx="99">
                  <c:v>49860.74</c:v>
                </c:pt>
                <c:pt idx="100">
                  <c:v>49284.49</c:v>
                </c:pt>
                <c:pt idx="101">
                  <c:v>50424.89</c:v>
                </c:pt>
                <c:pt idx="102">
                  <c:v>51159.11</c:v>
                </c:pt>
                <c:pt idx="103">
                  <c:v>51535.82</c:v>
                </c:pt>
                <c:pt idx="104">
                  <c:v>51607.83</c:v>
                </c:pt>
                <c:pt idx="105">
                  <c:v>51637.28</c:v>
                </c:pt>
                <c:pt idx="106">
                  <c:v>52229.92</c:v>
                </c:pt>
                <c:pt idx="107">
                  <c:v>51914.55</c:v>
                </c:pt>
                <c:pt idx="108">
                  <c:v>51817.84</c:v>
                </c:pt>
                <c:pt idx="109">
                  <c:v>52195.98</c:v>
                </c:pt>
                <c:pt idx="110">
                  <c:v>52240.58</c:v>
                </c:pt>
                <c:pt idx="111">
                  <c:v>52116.26</c:v>
                </c:pt>
                <c:pt idx="112">
                  <c:v>51654.54</c:v>
                </c:pt>
                <c:pt idx="113">
                  <c:v>51981.65</c:v>
                </c:pt>
                <c:pt idx="114">
                  <c:v>51547.38</c:v>
                </c:pt>
                <c:pt idx="115">
                  <c:v>51199.34</c:v>
                </c:pt>
                <c:pt idx="116">
                  <c:v>52056.67</c:v>
                </c:pt>
                <c:pt idx="117">
                  <c:v>52594.1</c:v>
                </c:pt>
                <c:pt idx="118">
                  <c:v>52565.5</c:v>
                </c:pt>
                <c:pt idx="119">
                  <c:v>53371.23</c:v>
                </c:pt>
                <c:pt idx="120">
                  <c:v>52964.07</c:v>
                </c:pt>
                <c:pt idx="121">
                  <c:v>54073.01</c:v>
                </c:pt>
                <c:pt idx="122">
                  <c:v>54609.01</c:v>
                </c:pt>
                <c:pt idx="123">
                  <c:v>54076.07</c:v>
                </c:pt>
                <c:pt idx="124">
                  <c:v>53860.26</c:v>
                </c:pt>
                <c:pt idx="125">
                  <c:v>53793.74</c:v>
                </c:pt>
                <c:pt idx="126">
                  <c:v>53406.32</c:v>
                </c:pt>
                <c:pt idx="127">
                  <c:v>53755.73</c:v>
                </c:pt>
                <c:pt idx="128">
                  <c:v>53770.29</c:v>
                </c:pt>
                <c:pt idx="129">
                  <c:v>54150.7</c:v>
                </c:pt>
                <c:pt idx="130">
                  <c:v>54298.41</c:v>
                </c:pt>
                <c:pt idx="131">
                  <c:v>53293.97</c:v>
                </c:pt>
                <c:pt idx="132">
                  <c:v>52997.97</c:v>
                </c:pt>
                <c:pt idx="133">
                  <c:v>52880.16</c:v>
                </c:pt>
                <c:pt idx="134">
                  <c:v>53184.07</c:v>
                </c:pt>
                <c:pt idx="135">
                  <c:v>52945.11</c:v>
                </c:pt>
                <c:pt idx="136">
                  <c:v>52966.42</c:v>
                </c:pt>
                <c:pt idx="137">
                  <c:v>53059.06</c:v>
                </c:pt>
                <c:pt idx="138">
                  <c:v>53063.06</c:v>
                </c:pt>
                <c:pt idx="139">
                  <c:v>52757.6</c:v>
                </c:pt>
                <c:pt idx="140">
                  <c:v>53295.64</c:v>
                </c:pt>
                <c:pt idx="141">
                  <c:v>52726.6</c:v>
                </c:pt>
                <c:pt idx="142">
                  <c:v>52565.42</c:v>
                </c:pt>
                <c:pt idx="143">
                  <c:v>52070.15</c:v>
                </c:pt>
                <c:pt idx="144">
                  <c:v>52071.31</c:v>
                </c:pt>
                <c:pt idx="145">
                  <c:v>50955.89</c:v>
                </c:pt>
                <c:pt idx="146">
                  <c:v>50516.58</c:v>
                </c:pt>
                <c:pt idx="147">
                  <c:v>50088.86</c:v>
                </c:pt>
                <c:pt idx="148">
                  <c:v>49383.93</c:v>
                </c:pt>
                <c:pt idx="149">
                  <c:v>49490.81</c:v>
                </c:pt>
                <c:pt idx="150">
                  <c:v>50331.12</c:v>
                </c:pt>
                <c:pt idx="151">
                  <c:v>50381.63</c:v>
                </c:pt>
                <c:pt idx="152">
                  <c:v>49853.09</c:v>
                </c:pt>
                <c:pt idx="153">
                  <c:v>50737.14</c:v>
                </c:pt>
                <c:pt idx="154">
                  <c:v>51044.58</c:v>
                </c:pt>
                <c:pt idx="155">
                  <c:v>51573.57</c:v>
                </c:pt>
                <c:pt idx="156">
                  <c:v>51029.24</c:v>
                </c:pt>
                <c:pt idx="157">
                  <c:v>49491.68</c:v>
                </c:pt>
                <c:pt idx="158">
                  <c:v>49366.6</c:v>
                </c:pt>
                <c:pt idx="159">
                  <c:v>48930.64</c:v>
                </c:pt>
                <c:pt idx="160">
                  <c:v>49528.13</c:v>
                </c:pt>
                <c:pt idx="161">
                  <c:v>49723.55</c:v>
                </c:pt>
                <c:pt idx="162">
                  <c:v>49573.49</c:v>
                </c:pt>
                <c:pt idx="163">
                  <c:v>48847.05</c:v>
                </c:pt>
                <c:pt idx="164">
                  <c:v>49102.5</c:v>
                </c:pt>
                <c:pt idx="165">
                  <c:v>50411.09</c:v>
                </c:pt>
                <c:pt idx="166">
                  <c:v>49228.77</c:v>
                </c:pt>
                <c:pt idx="167">
                  <c:v>48515.13</c:v>
                </c:pt>
                <c:pt idx="168">
                  <c:v>49972.33</c:v>
                </c:pt>
                <c:pt idx="169">
                  <c:v>49966.8</c:v>
                </c:pt>
                <c:pt idx="170">
                  <c:v>49125.08</c:v>
                </c:pt>
                <c:pt idx="171">
                  <c:v>48359.24</c:v>
                </c:pt>
                <c:pt idx="172">
                  <c:v>48980.84</c:v>
                </c:pt>
                <c:pt idx="173">
                  <c:v>47631.19</c:v>
                </c:pt>
                <c:pt idx="174">
                  <c:v>49028.36</c:v>
                </c:pt>
                <c:pt idx="175">
                  <c:v>49761.67</c:v>
                </c:pt>
                <c:pt idx="176">
                  <c:v>50140.9</c:v>
                </c:pt>
                <c:pt idx="177">
                  <c:v>50977.03</c:v>
                </c:pt>
                <c:pt idx="178">
                  <c:v>50751.1</c:v>
                </c:pt>
                <c:pt idx="179">
                  <c:v>50821.18</c:v>
                </c:pt>
                <c:pt idx="180">
                  <c:v>51375.44</c:v>
                </c:pt>
                <c:pt idx="181">
                  <c:v>50570.6</c:v>
                </c:pt>
                <c:pt idx="182">
                  <c:v>52221.17</c:v>
                </c:pt>
                <c:pt idx="183">
                  <c:v>52014.96</c:v>
                </c:pt>
                <c:pt idx="184">
                  <c:v>52464.59</c:v>
                </c:pt>
                <c:pt idx="185">
                  <c:v>52774.21</c:v>
                </c:pt>
                <c:pt idx="186">
                  <c:v>52437.84</c:v>
                </c:pt>
                <c:pt idx="187">
                  <c:v>51629.67</c:v>
                </c:pt>
                <c:pt idx="188">
                  <c:v>52053.27</c:v>
                </c:pt>
                <c:pt idx="189">
                  <c:v>51774.41</c:v>
                </c:pt>
                <c:pt idx="190">
                  <c:v>51598.54</c:v>
                </c:pt>
                <c:pt idx="191">
                  <c:v>50758.42</c:v>
                </c:pt>
                <c:pt idx="192">
                  <c:v>51301.55</c:v>
                </c:pt>
                <c:pt idx="193">
                  <c:v>51356.08</c:v>
                </c:pt>
                <c:pt idx="194">
                  <c:v>52237.02</c:v>
                </c:pt>
                <c:pt idx="195">
                  <c:v>51977.56</c:v>
                </c:pt>
                <c:pt idx="196">
                  <c:v>52901.42</c:v>
                </c:pt>
                <c:pt idx="197">
                  <c:v>52988.32</c:v>
                </c:pt>
                <c:pt idx="198">
                  <c:v>52723.72</c:v>
                </c:pt>
                <c:pt idx="199">
                  <c:v>52849.12</c:v>
                </c:pt>
                <c:pt idx="200">
                  <c:v>52531.13</c:v>
                </c:pt>
                <c:pt idx="201">
                  <c:v>52109.52</c:v>
                </c:pt>
                <c:pt idx="202">
                  <c:v>52474.82</c:v>
                </c:pt>
                <c:pt idx="203">
                  <c:v>51800.7</c:v>
                </c:pt>
                <c:pt idx="204">
                  <c:v>51452.36</c:v>
                </c:pt>
                <c:pt idx="205">
                  <c:v>50235.76</c:v>
                </c:pt>
                <c:pt idx="206">
                  <c:v>49997.79</c:v>
                </c:pt>
                <c:pt idx="207">
                  <c:v>51381.22</c:v>
                </c:pt>
                <c:pt idx="208">
                  <c:v>51967.08</c:v>
                </c:pt>
                <c:pt idx="209">
                  <c:v>52215.47</c:v>
                </c:pt>
                <c:pt idx="210">
                  <c:v>51888.04</c:v>
                </c:pt>
                <c:pt idx="211">
                  <c:v>51806.95</c:v>
                </c:pt>
                <c:pt idx="212">
                  <c:v>51999.92</c:v>
                </c:pt>
                <c:pt idx="213">
                  <c:v>52669.75</c:v>
                </c:pt>
                <c:pt idx="214">
                  <c:v>52856.39</c:v>
                </c:pt>
                <c:pt idx="215">
                  <c:v>52783.85</c:v>
                </c:pt>
                <c:pt idx="216">
                  <c:v>52592.0</c:v>
                </c:pt>
                <c:pt idx="217">
                  <c:v>52189.32</c:v>
                </c:pt>
                <c:pt idx="218">
                  <c:v>51806.71</c:v>
                </c:pt>
                <c:pt idx="219">
                  <c:v>51900.53</c:v>
                </c:pt>
                <c:pt idx="220">
                  <c:v>51595.66</c:v>
                </c:pt>
                <c:pt idx="221">
                  <c:v>51297.88</c:v>
                </c:pt>
                <c:pt idx="222">
                  <c:v>51828.76</c:v>
                </c:pt>
                <c:pt idx="223">
                  <c:v>51881.45</c:v>
                </c:pt>
                <c:pt idx="224">
                  <c:v>51958.27</c:v>
                </c:pt>
                <c:pt idx="225">
                  <c:v>51080.26</c:v>
                </c:pt>
                <c:pt idx="226">
                  <c:v>51623.3</c:v>
                </c:pt>
                <c:pt idx="227">
                  <c:v>51694.25</c:v>
                </c:pt>
                <c:pt idx="228">
                  <c:v>51323.68</c:v>
                </c:pt>
                <c:pt idx="229">
                  <c:v>51850.67</c:v>
                </c:pt>
                <c:pt idx="230">
                  <c:v>52185.61</c:v>
                </c:pt>
                <c:pt idx="231">
                  <c:v>52073.88</c:v>
                </c:pt>
                <c:pt idx="232">
                  <c:v>52270.86</c:v>
                </c:pt>
                <c:pt idx="233">
                  <c:v>52810.36</c:v>
                </c:pt>
                <c:pt idx="234">
                  <c:v>52933.34</c:v>
                </c:pt>
                <c:pt idx="235">
                  <c:v>52963.39</c:v>
                </c:pt>
                <c:pt idx="236">
                  <c:v>53985.66</c:v>
                </c:pt>
                <c:pt idx="237">
                  <c:v>54055.38</c:v>
                </c:pt>
                <c:pt idx="238">
                  <c:v>54123.89</c:v>
                </c:pt>
                <c:pt idx="239">
                  <c:v>54192.07</c:v>
                </c:pt>
                <c:pt idx="240">
                  <c:v>54327.13</c:v>
                </c:pt>
                <c:pt idx="241">
                  <c:v>54409.43</c:v>
                </c:pt>
                <c:pt idx="242">
                  <c:v>54028.17</c:v>
                </c:pt>
                <c:pt idx="243">
                  <c:v>53874.59</c:v>
                </c:pt>
                <c:pt idx="244">
                  <c:v>54053.92</c:v>
                </c:pt>
                <c:pt idx="245">
                  <c:v>53934.41</c:v>
                </c:pt>
                <c:pt idx="246">
                  <c:v>54161.05</c:v>
                </c:pt>
                <c:pt idx="247">
                  <c:v>53790.57</c:v>
                </c:pt>
                <c:pt idx="248">
                  <c:v>53238.17</c:v>
                </c:pt>
                <c:pt idx="249">
                  <c:v>53848.74</c:v>
                </c:pt>
                <c:pt idx="250">
                  <c:v>54574.99</c:v>
                </c:pt>
                <c:pt idx="251">
                  <c:v>54639.86</c:v>
                </c:pt>
                <c:pt idx="252">
                  <c:v>54440.43</c:v>
                </c:pt>
                <c:pt idx="253">
                  <c:v>54541.74</c:v>
                </c:pt>
                <c:pt idx="254">
                  <c:v>55039.29</c:v>
                </c:pt>
                <c:pt idx="255">
                  <c:v>55188.34</c:v>
                </c:pt>
                <c:pt idx="256">
                  <c:v>54686.54</c:v>
                </c:pt>
                <c:pt idx="257">
                  <c:v>54281.56</c:v>
                </c:pt>
                <c:pt idx="258">
                  <c:v>54140.93</c:v>
                </c:pt>
                <c:pt idx="259">
                  <c:v>53839.71</c:v>
                </c:pt>
                <c:pt idx="260">
                  <c:v>53734.04</c:v>
                </c:pt>
                <c:pt idx="261">
                  <c:v>54262.27</c:v>
                </c:pt>
                <c:pt idx="262">
                  <c:v>53720.57</c:v>
                </c:pt>
                <c:pt idx="263">
                  <c:v>53311.46</c:v>
                </c:pt>
                <c:pt idx="264">
                  <c:v>53589.31</c:v>
                </c:pt>
                <c:pt idx="265">
                  <c:v>53420.78</c:v>
                </c:pt>
                <c:pt idx="266">
                  <c:v>52984.55</c:v>
                </c:pt>
                <c:pt idx="267">
                  <c:v>52806.0</c:v>
                </c:pt>
                <c:pt idx="268">
                  <c:v>52595.69</c:v>
                </c:pt>
                <c:pt idx="269">
                  <c:v>52229.32</c:v>
                </c:pt>
                <c:pt idx="270">
                  <c:v>52281.14</c:v>
                </c:pt>
                <c:pt idx="271">
                  <c:v>52181.95</c:v>
                </c:pt>
                <c:pt idx="272">
                  <c:v>52455.36</c:v>
                </c:pt>
                <c:pt idx="273">
                  <c:v>51810.16</c:v>
                </c:pt>
                <c:pt idx="274">
                  <c:v>51603.93</c:v>
                </c:pt>
                <c:pt idx="275">
                  <c:v>52313.02</c:v>
                </c:pt>
                <c:pt idx="276">
                  <c:v>52858.12</c:v>
                </c:pt>
                <c:pt idx="277">
                  <c:v>52559.35</c:v>
                </c:pt>
                <c:pt idx="278">
                  <c:v>52631.78</c:v>
                </c:pt>
                <c:pt idx="279">
                  <c:v>52741.02</c:v>
                </c:pt>
                <c:pt idx="280">
                  <c:v>52187.48</c:v>
                </c:pt>
                <c:pt idx="281">
                  <c:v>52300.24</c:v>
                </c:pt>
                <c:pt idx="282">
                  <c:v>52139.15</c:v>
                </c:pt>
                <c:pt idx="283">
                  <c:v>51798.74</c:v>
                </c:pt>
                <c:pt idx="284">
                  <c:v>52240.06</c:v>
                </c:pt>
                <c:pt idx="285">
                  <c:v>51753.07</c:v>
                </c:pt>
                <c:pt idx="286">
                  <c:v>52088.54</c:v>
                </c:pt>
                <c:pt idx="287">
                  <c:v>52614.08</c:v>
                </c:pt>
                <c:pt idx="288">
                  <c:v>53346.99</c:v>
                </c:pt>
                <c:pt idx="289">
                  <c:v>53285.6</c:v>
                </c:pt>
                <c:pt idx="290">
                  <c:v>52891.3</c:v>
                </c:pt>
                <c:pt idx="291">
                  <c:v>53130.34</c:v>
                </c:pt>
                <c:pt idx="292">
                  <c:v>52952.91</c:v>
                </c:pt>
                <c:pt idx="293">
                  <c:v>53344.2</c:v>
                </c:pt>
                <c:pt idx="294">
                  <c:v>53331.16</c:v>
                </c:pt>
                <c:pt idx="295">
                  <c:v>53217.75</c:v>
                </c:pt>
                <c:pt idx="296">
                  <c:v>53374.88</c:v>
                </c:pt>
                <c:pt idx="297">
                  <c:v>53336.46</c:v>
                </c:pt>
                <c:pt idx="298">
                  <c:v>53035.26</c:v>
                </c:pt>
                <c:pt idx="299">
                  <c:v>52835.55</c:v>
                </c:pt>
                <c:pt idx="300">
                  <c:v>52536.24</c:v>
                </c:pt>
                <c:pt idx="301">
                  <c:v>52833.48</c:v>
                </c:pt>
                <c:pt idx="302">
                  <c:v>52995.89</c:v>
                </c:pt>
                <c:pt idx="303">
                  <c:v>52967.63</c:v>
                </c:pt>
                <c:pt idx="304">
                  <c:v>52507.93</c:v>
                </c:pt>
                <c:pt idx="305">
                  <c:v>52069.3</c:v>
                </c:pt>
                <c:pt idx="306">
                  <c:v>52109.54</c:v>
                </c:pt>
                <c:pt idx="307">
                  <c:v>52105.38</c:v>
                </c:pt>
                <c:pt idx="308">
                  <c:v>51998.32</c:v>
                </c:pt>
                <c:pt idx="309">
                  <c:v>51688.7</c:v>
                </c:pt>
                <c:pt idx="310">
                  <c:v>51630.82</c:v>
                </c:pt>
                <c:pt idx="311">
                  <c:v>51949.33</c:v>
                </c:pt>
                <c:pt idx="312">
                  <c:v>51394.55</c:v>
                </c:pt>
                <c:pt idx="313">
                  <c:v>51266.81</c:v>
                </c:pt>
                <c:pt idx="314">
                  <c:v>50945.56</c:v>
                </c:pt>
                <c:pt idx="315">
                  <c:v>51200.57</c:v>
                </c:pt>
                <c:pt idx="316">
                  <c:v>50711.09</c:v>
                </c:pt>
                <c:pt idx="317">
                  <c:v>50337.98</c:v>
                </c:pt>
                <c:pt idx="318">
                  <c:v>49816.57</c:v>
                </c:pt>
                <c:pt idx="319">
                  <c:v>49872.69</c:v>
                </c:pt>
                <c:pt idx="320">
                  <c:v>49588.79</c:v>
                </c:pt>
                <c:pt idx="321">
                  <c:v>49124.77</c:v>
                </c:pt>
                <c:pt idx="322">
                  <c:v>48996.94</c:v>
                </c:pt>
                <c:pt idx="323">
                  <c:v>48458.25</c:v>
                </c:pt>
                <c:pt idx="324">
                  <c:v>48524.25</c:v>
                </c:pt>
                <c:pt idx="325">
                  <c:v>48057.46</c:v>
                </c:pt>
                <c:pt idx="326">
                  <c:v>49433.0</c:v>
                </c:pt>
                <c:pt idx="327">
                  <c:v>48468.39</c:v>
                </c:pt>
                <c:pt idx="328">
                  <c:v>48950.5</c:v>
                </c:pt>
                <c:pt idx="329">
                  <c:v>49595.44</c:v>
                </c:pt>
                <c:pt idx="330">
                  <c:v>48961.06</c:v>
                </c:pt>
                <c:pt idx="331">
                  <c:v>48598.19</c:v>
                </c:pt>
                <c:pt idx="332">
                  <c:v>47831.04</c:v>
                </c:pt>
                <c:pt idx="333">
                  <c:v>49518.48</c:v>
                </c:pt>
                <c:pt idx="334">
                  <c:v>49770.6</c:v>
                </c:pt>
                <c:pt idx="335">
                  <c:v>49755.61</c:v>
                </c:pt>
                <c:pt idx="336">
                  <c:v>50254.08</c:v>
                </c:pt>
                <c:pt idx="337">
                  <c:v>49478.57</c:v>
                </c:pt>
                <c:pt idx="338">
                  <c:v>49568.0</c:v>
                </c:pt>
                <c:pt idx="339">
                  <c:v>49339.32</c:v>
                </c:pt>
                <c:pt idx="340">
                  <c:v>49386.71</c:v>
                </c:pt>
                <c:pt idx="341">
                  <c:v>49290.56</c:v>
                </c:pt>
                <c:pt idx="342">
                  <c:v>47282.48</c:v>
                </c:pt>
                <c:pt idx="343">
                  <c:v>47397.44</c:v>
                </c:pt>
                <c:pt idx="344">
                  <c:v>48043.19</c:v>
                </c:pt>
                <c:pt idx="345">
                  <c:v>48110.52</c:v>
                </c:pt>
                <c:pt idx="346">
                  <c:v>48745.43</c:v>
                </c:pt>
                <c:pt idx="347">
                  <c:v>48556.55</c:v>
                </c:pt>
                <c:pt idx="348">
                  <c:v>49590.2</c:v>
                </c:pt>
                <c:pt idx="349">
                  <c:v>49506.59</c:v>
                </c:pt>
                <c:pt idx="350">
                  <c:v>49392.59</c:v>
                </c:pt>
                <c:pt idx="351">
                  <c:v>49857.18</c:v>
                </c:pt>
                <c:pt idx="352">
                  <c:v>49591.43</c:v>
                </c:pt>
                <c:pt idx="353">
                  <c:v>48858.76</c:v>
                </c:pt>
                <c:pt idx="354">
                  <c:v>49911.37</c:v>
                </c:pt>
                <c:pt idx="355">
                  <c:v>50557.83</c:v>
                </c:pt>
                <c:pt idx="356">
                  <c:v>50355.78</c:v>
                </c:pt>
                <c:pt idx="357">
                  <c:v>50507.59</c:v>
                </c:pt>
                <c:pt idx="358">
                  <c:v>50727.22</c:v>
                </c:pt>
                <c:pt idx="359">
                  <c:v>50855.09</c:v>
                </c:pt>
                <c:pt idx="360">
                  <c:v>49272.05</c:v>
                </c:pt>
                <c:pt idx="361">
                  <c:v>50150.48</c:v>
                </c:pt>
                <c:pt idx="362">
                  <c:v>50372.05</c:v>
                </c:pt>
                <c:pt idx="363">
                  <c:v>50511.52</c:v>
                </c:pt>
                <c:pt idx="364">
                  <c:v>50598.02</c:v>
                </c:pt>
                <c:pt idx="365">
                  <c:v>50588.4</c:v>
                </c:pt>
                <c:pt idx="366">
                  <c:v>50374.85</c:v>
                </c:pt>
                <c:pt idx="367">
                  <c:v>50355.38</c:v>
                </c:pt>
                <c:pt idx="368">
                  <c:v>50484.09</c:v>
                </c:pt>
                <c:pt idx="369">
                  <c:v>50079.44</c:v>
                </c:pt>
                <c:pt idx="370">
                  <c:v>49587.24</c:v>
                </c:pt>
                <c:pt idx="371">
                  <c:v>49717.07</c:v>
                </c:pt>
                <c:pt idx="372">
                  <c:v>49788.32</c:v>
                </c:pt>
                <c:pt idx="373">
                  <c:v>50022.64</c:v>
                </c:pt>
                <c:pt idx="374">
                  <c:v>49722.88</c:v>
                </c:pt>
                <c:pt idx="375">
                  <c:v>48660.44</c:v>
                </c:pt>
                <c:pt idx="376">
                  <c:v>49116.76</c:v>
                </c:pt>
                <c:pt idx="377">
                  <c:v>48460.93</c:v>
                </c:pt>
                <c:pt idx="378">
                  <c:v>48051.05</c:v>
                </c:pt>
                <c:pt idx="379">
                  <c:v>47879.45</c:v>
                </c:pt>
                <c:pt idx="380">
                  <c:v>48104.66</c:v>
                </c:pt>
                <c:pt idx="381">
                  <c:v>48202.91</c:v>
                </c:pt>
                <c:pt idx="382">
                  <c:v>48530.47</c:v>
                </c:pt>
                <c:pt idx="383">
                  <c:v>47599.25</c:v>
                </c:pt>
                <c:pt idx="384">
                  <c:v>47836.69</c:v>
                </c:pt>
                <c:pt idx="385">
                  <c:v>46881.12</c:v>
                </c:pt>
                <c:pt idx="386">
                  <c:v>46673.38</c:v>
                </c:pt>
                <c:pt idx="387">
                  <c:v>47686.85</c:v>
                </c:pt>
                <c:pt idx="388">
                  <c:v>47368.34</c:v>
                </c:pt>
                <c:pt idx="389">
                  <c:v>47092.24</c:v>
                </c:pt>
                <c:pt idx="390">
                  <c:v>48133.52</c:v>
                </c:pt>
                <c:pt idx="391">
                  <c:v>48033.62</c:v>
                </c:pt>
                <c:pt idx="392">
                  <c:v>48712.45</c:v>
                </c:pt>
                <c:pt idx="393">
                  <c:v>49166.2</c:v>
                </c:pt>
                <c:pt idx="394">
                  <c:v>48613.19</c:v>
                </c:pt>
                <c:pt idx="395">
                  <c:v>48189.06</c:v>
                </c:pt>
                <c:pt idx="396">
                  <c:v>48875.03</c:v>
                </c:pt>
                <c:pt idx="397">
                  <c:v>49336.31</c:v>
                </c:pt>
                <c:pt idx="398">
                  <c:v>49371.12</c:v>
                </c:pt>
                <c:pt idx="399">
                  <c:v>49663.64</c:v>
                </c:pt>
                <c:pt idx="400">
                  <c:v>49503.55</c:v>
                </c:pt>
                <c:pt idx="401">
                  <c:v>50053.91</c:v>
                </c:pt>
                <c:pt idx="402">
                  <c:v>50485.53</c:v>
                </c:pt>
                <c:pt idx="403">
                  <c:v>51462.42</c:v>
                </c:pt>
                <c:pt idx="404">
                  <c:v>51547.02</c:v>
                </c:pt>
                <c:pt idx="405">
                  <c:v>51173.03</c:v>
                </c:pt>
                <c:pt idx="406">
                  <c:v>51178.07</c:v>
                </c:pt>
                <c:pt idx="407">
                  <c:v>51376.57</c:v>
                </c:pt>
                <c:pt idx="408">
                  <c:v>51247.71</c:v>
                </c:pt>
                <c:pt idx="409">
                  <c:v>51230.89</c:v>
                </c:pt>
                <c:pt idx="410">
                  <c:v>51263.48</c:v>
                </c:pt>
                <c:pt idx="411">
                  <c:v>51707.25</c:v>
                </c:pt>
                <c:pt idx="412">
                  <c:v>51610.13</c:v>
                </c:pt>
                <c:pt idx="413">
                  <c:v>51789.4</c:v>
                </c:pt>
                <c:pt idx="414">
                  <c:v>52081.22</c:v>
                </c:pt>
                <c:pt idx="415">
                  <c:v>51793.65</c:v>
                </c:pt>
                <c:pt idx="416">
                  <c:v>51462.57</c:v>
                </c:pt>
                <c:pt idx="417">
                  <c:v>51113.87</c:v>
                </c:pt>
                <c:pt idx="418">
                  <c:v>50959.02</c:v>
                </c:pt>
                <c:pt idx="419">
                  <c:v>51133.13</c:v>
                </c:pt>
                <c:pt idx="420">
                  <c:v>51610.42</c:v>
                </c:pt>
                <c:pt idx="421">
                  <c:v>51729.68</c:v>
                </c:pt>
                <c:pt idx="422">
                  <c:v>51437.58</c:v>
                </c:pt>
                <c:pt idx="423">
                  <c:v>51197.16</c:v>
                </c:pt>
                <c:pt idx="424">
                  <c:v>51443.43</c:v>
                </c:pt>
                <c:pt idx="425">
                  <c:v>51436.59</c:v>
                </c:pt>
                <c:pt idx="426">
                  <c:v>51363.37</c:v>
                </c:pt>
                <c:pt idx="427">
                  <c:v>51572.19</c:v>
                </c:pt>
                <c:pt idx="428">
                  <c:v>51257.72</c:v>
                </c:pt>
                <c:pt idx="429">
                  <c:v>51073.9</c:v>
                </c:pt>
                <c:pt idx="430">
                  <c:v>51266.51</c:v>
                </c:pt>
                <c:pt idx="431">
                  <c:v>51449.01</c:v>
                </c:pt>
                <c:pt idx="432">
                  <c:v>51523.27</c:v>
                </c:pt>
                <c:pt idx="433">
                  <c:v>50669.95</c:v>
                </c:pt>
                <c:pt idx="434">
                  <c:v>50674.61</c:v>
                </c:pt>
                <c:pt idx="435">
                  <c:v>51091.8</c:v>
                </c:pt>
                <c:pt idx="436">
                  <c:v>51349.11</c:v>
                </c:pt>
                <c:pt idx="437">
                  <c:v>51239.56</c:v>
                </c:pt>
                <c:pt idx="438">
                  <c:v>50917.78</c:v>
                </c:pt>
                <c:pt idx="439">
                  <c:v>51396.07</c:v>
                </c:pt>
                <c:pt idx="440">
                  <c:v>51770.59</c:v>
                </c:pt>
                <c:pt idx="441">
                  <c:v>52242.12</c:v>
                </c:pt>
                <c:pt idx="442">
                  <c:v>51927.57</c:v>
                </c:pt>
                <c:pt idx="443">
                  <c:v>51550.17</c:v>
                </c:pt>
                <c:pt idx="444">
                  <c:v>51621.52</c:v>
                </c:pt>
                <c:pt idx="445">
                  <c:v>51910.92</c:v>
                </c:pt>
                <c:pt idx="446">
                  <c:v>51931.33</c:v>
                </c:pt>
                <c:pt idx="447">
                  <c:v>51420.81</c:v>
                </c:pt>
                <c:pt idx="448">
                  <c:v>51695.05</c:v>
                </c:pt>
                <c:pt idx="449">
                  <c:v>51789.74</c:v>
                </c:pt>
                <c:pt idx="450">
                  <c:v>52076.9</c:v>
                </c:pt>
                <c:pt idx="451">
                  <c:v>51735.29</c:v>
                </c:pt>
                <c:pt idx="452">
                  <c:v>51540.88</c:v>
                </c:pt>
                <c:pt idx="453">
                  <c:v>51161.33</c:v>
                </c:pt>
                <c:pt idx="454">
                  <c:v>50994.46</c:v>
                </c:pt>
                <c:pt idx="455">
                  <c:v>51401.46</c:v>
                </c:pt>
                <c:pt idx="456">
                  <c:v>51608.33</c:v>
                </c:pt>
                <c:pt idx="457">
                  <c:v>51877.11</c:v>
                </c:pt>
                <c:pt idx="458">
                  <c:v>52060.03</c:v>
                </c:pt>
                <c:pt idx="459">
                  <c:v>51918.44</c:v>
                </c:pt>
                <c:pt idx="460">
                  <c:v>51883.71</c:v>
                </c:pt>
                <c:pt idx="461">
                  <c:v>51480.19</c:v>
                </c:pt>
                <c:pt idx="462">
                  <c:v>50945.26</c:v>
                </c:pt>
                <c:pt idx="463">
                  <c:v>50625.37</c:v>
                </c:pt>
                <c:pt idx="464">
                  <c:v>50761.82</c:v>
                </c:pt>
                <c:pt idx="465">
                  <c:v>50350.61</c:v>
                </c:pt>
                <c:pt idx="466">
                  <c:v>50890.92</c:v>
                </c:pt>
                <c:pt idx="467">
                  <c:v>51058.27</c:v>
                </c:pt>
                <c:pt idx="468">
                  <c:v>51322.67</c:v>
                </c:pt>
                <c:pt idx="469">
                  <c:v>51263.5</c:v>
                </c:pt>
                <c:pt idx="470">
                  <c:v>50693.95</c:v>
                </c:pt>
                <c:pt idx="471">
                  <c:v>50911.05</c:v>
                </c:pt>
                <c:pt idx="472">
                  <c:v>50763.71</c:v>
                </c:pt>
                <c:pt idx="473">
                  <c:v>50596.17</c:v>
                </c:pt>
                <c:pt idx="474">
                  <c:v>50659.44</c:v>
                </c:pt>
                <c:pt idx="475">
                  <c:v>50736.42</c:v>
                </c:pt>
                <c:pt idx="476">
                  <c:v>50134.53</c:v>
                </c:pt>
                <c:pt idx="477">
                  <c:v>49933.99</c:v>
                </c:pt>
                <c:pt idx="478">
                  <c:v>50000.43</c:v>
                </c:pt>
                <c:pt idx="479">
                  <c:v>49960.21</c:v>
                </c:pt>
                <c:pt idx="480">
                  <c:v>49936.54</c:v>
                </c:pt>
                <c:pt idx="481">
                  <c:v>49817.89</c:v>
                </c:pt>
                <c:pt idx="482">
                  <c:v>49632.7</c:v>
                </c:pt>
                <c:pt idx="483">
                  <c:v>49726.64</c:v>
                </c:pt>
                <c:pt idx="484">
                  <c:v>49690.58</c:v>
                </c:pt>
                <c:pt idx="485">
                  <c:v>49824.45</c:v>
                </c:pt>
                <c:pt idx="486">
                  <c:v>50021.72</c:v>
                </c:pt>
                <c:pt idx="487">
                  <c:v>49952.69</c:v>
                </c:pt>
                <c:pt idx="488">
                  <c:v>49891.36</c:v>
                </c:pt>
                <c:pt idx="489">
                  <c:v>49648.12</c:v>
                </c:pt>
                <c:pt idx="490">
                  <c:v>49617.0</c:v>
                </c:pt>
                <c:pt idx="491">
                  <c:v>49507.48</c:v>
                </c:pt>
                <c:pt idx="492">
                  <c:v>49159.77</c:v>
                </c:pt>
                <c:pt idx="493">
                  <c:v>49454.59</c:v>
                </c:pt>
                <c:pt idx="494">
                  <c:v>49632.23</c:v>
                </c:pt>
                <c:pt idx="495">
                  <c:v>49199.7</c:v>
                </c:pt>
                <c:pt idx="496">
                  <c:v>49239.29</c:v>
                </c:pt>
                <c:pt idx="497">
                  <c:v>48852.45</c:v>
                </c:pt>
                <c:pt idx="498">
                  <c:v>49026.95</c:v>
                </c:pt>
                <c:pt idx="499">
                  <c:v>48942.02</c:v>
                </c:pt>
                <c:pt idx="500">
                  <c:v>48880.81</c:v>
                </c:pt>
                <c:pt idx="501">
                  <c:v>49091.16</c:v>
                </c:pt>
                <c:pt idx="502">
                  <c:v>48870.1</c:v>
                </c:pt>
                <c:pt idx="503">
                  <c:v>48935.36</c:v>
                </c:pt>
                <c:pt idx="504">
                  <c:v>48910.9</c:v>
                </c:pt>
                <c:pt idx="505">
                  <c:v>48934.51</c:v>
                </c:pt>
                <c:pt idx="506">
                  <c:v>48647.62</c:v>
                </c:pt>
                <c:pt idx="507">
                  <c:v>48643.31</c:v>
                </c:pt>
                <c:pt idx="508">
                  <c:v>48362.22</c:v>
                </c:pt>
                <c:pt idx="509">
                  <c:v>48139.69</c:v>
                </c:pt>
                <c:pt idx="510">
                  <c:v>47789.76</c:v>
                </c:pt>
                <c:pt idx="511">
                  <c:v>48213.26</c:v>
                </c:pt>
                <c:pt idx="512">
                  <c:v>48032.41</c:v>
                </c:pt>
                <c:pt idx="513">
                  <c:v>48529.88</c:v>
                </c:pt>
                <c:pt idx="514">
                  <c:v>48291.88</c:v>
                </c:pt>
                <c:pt idx="515">
                  <c:v>48069.53</c:v>
                </c:pt>
                <c:pt idx="516">
                  <c:v>47857.95</c:v>
                </c:pt>
                <c:pt idx="517">
                  <c:v>48347.75</c:v>
                </c:pt>
                <c:pt idx="518">
                  <c:v>48231.39</c:v>
                </c:pt>
                <c:pt idx="519">
                  <c:v>48405.9</c:v>
                </c:pt>
                <c:pt idx="520">
                  <c:v>48104.98</c:v>
                </c:pt>
                <c:pt idx="521">
                  <c:v>47770.92</c:v>
                </c:pt>
                <c:pt idx="522">
                  <c:v>47930.03</c:v>
                </c:pt>
                <c:pt idx="523">
                  <c:v>47380.98</c:v>
                </c:pt>
                <c:pt idx="524">
                  <c:v>47652.89</c:v>
                </c:pt>
                <c:pt idx="525">
                  <c:v>47387.56</c:v>
                </c:pt>
                <c:pt idx="526">
                  <c:v>46875.37</c:v>
                </c:pt>
                <c:pt idx="527">
                  <c:v>46508.27</c:v>
                </c:pt>
                <c:pt idx="528">
                  <c:v>46666.54</c:v>
                </c:pt>
                <c:pt idx="529">
                  <c:v>47059.19</c:v>
                </c:pt>
                <c:pt idx="530">
                  <c:v>46816.65</c:v>
                </c:pt>
                <c:pt idx="531">
                  <c:v>46412.4</c:v>
                </c:pt>
                <c:pt idx="532">
                  <c:v>46825.52</c:v>
                </c:pt>
                <c:pt idx="533">
                  <c:v>47188.84</c:v>
                </c:pt>
                <c:pt idx="534">
                  <c:v>47612.81</c:v>
                </c:pt>
                <c:pt idx="535">
                  <c:v>47322.46</c:v>
                </c:pt>
                <c:pt idx="536">
                  <c:v>47786.77</c:v>
                </c:pt>
                <c:pt idx="537">
                  <c:v>47819.53</c:v>
                </c:pt>
                <c:pt idx="538">
                  <c:v>47514.8</c:v>
                </c:pt>
                <c:pt idx="539">
                  <c:v>47602.69</c:v>
                </c:pt>
                <c:pt idx="540">
                  <c:v>47138.32</c:v>
                </c:pt>
                <c:pt idx="541">
                  <c:v>47328.92</c:v>
                </c:pt>
                <c:pt idx="542">
                  <c:v>47049.79</c:v>
                </c:pt>
                <c:pt idx="543">
                  <c:v>47017.19</c:v>
                </c:pt>
                <c:pt idx="544">
                  <c:v>46956.75</c:v>
                </c:pt>
                <c:pt idx="545">
                  <c:v>47394.0</c:v>
                </c:pt>
                <c:pt idx="546">
                  <c:v>47452.24</c:v>
                </c:pt>
                <c:pt idx="547">
                  <c:v>47149.35</c:v>
                </c:pt>
                <c:pt idx="548">
                  <c:v>47438.31</c:v>
                </c:pt>
                <c:pt idx="549">
                  <c:v>47112.43</c:v>
                </c:pt>
                <c:pt idx="550">
                  <c:v>47027.54</c:v>
                </c:pt>
                <c:pt idx="551">
                  <c:v>46628.74</c:v>
                </c:pt>
                <c:pt idx="552">
                  <c:v>46251.77</c:v>
                </c:pt>
                <c:pt idx="553">
                  <c:v>46425.11</c:v>
                </c:pt>
                <c:pt idx="554">
                  <c:v>45866.02</c:v>
                </c:pt>
                <c:pt idx="555">
                  <c:v>45920.87</c:v>
                </c:pt>
                <c:pt idx="556">
                  <c:v>45340.76</c:v>
                </c:pt>
                <c:pt idx="557">
                  <c:v>44985.34</c:v>
                </c:pt>
                <c:pt idx="558">
                  <c:v>44477.18</c:v>
                </c:pt>
                <c:pt idx="559">
                  <c:v>44451.57</c:v>
                </c:pt>
                <c:pt idx="560">
                  <c:v>44956.91</c:v>
                </c:pt>
                <c:pt idx="561">
                  <c:v>45132.1</c:v>
                </c:pt>
                <c:pt idx="562">
                  <c:v>45178.25</c:v>
                </c:pt>
                <c:pt idx="563">
                  <c:v>45564.62</c:v>
                </c:pt>
                <c:pt idx="564">
                  <c:v>45724.7</c:v>
                </c:pt>
                <c:pt idx="565">
                  <c:v>45750.7</c:v>
                </c:pt>
                <c:pt idx="566">
                  <c:v>46462.14</c:v>
                </c:pt>
                <c:pt idx="567">
                  <c:v>47045.44</c:v>
                </c:pt>
                <c:pt idx="568">
                  <c:v>47000.95</c:v>
                </c:pt>
                <c:pt idx="569">
                  <c:v>46889.64</c:v>
                </c:pt>
                <c:pt idx="570">
                  <c:v>46934.59</c:v>
                </c:pt>
                <c:pt idx="571">
                  <c:v>46675.88</c:v>
                </c:pt>
                <c:pt idx="572">
                  <c:v>46728.46</c:v>
                </c:pt>
                <c:pt idx="573">
                  <c:v>46442.45</c:v>
                </c:pt>
                <c:pt idx="574">
                  <c:v>45982.07</c:v>
                </c:pt>
                <c:pt idx="575">
                  <c:v>46030.25</c:v>
                </c:pt>
                <c:pt idx="576">
                  <c:v>45548.15</c:v>
                </c:pt>
                <c:pt idx="577">
                  <c:v>45444.59</c:v>
                </c:pt>
                <c:pt idx="578">
                  <c:v>45696.97</c:v>
                </c:pt>
                <c:pt idx="579">
                  <c:v>45867.52</c:v>
                </c:pt>
                <c:pt idx="580">
                  <c:v>45897.44</c:v>
                </c:pt>
                <c:pt idx="581">
                  <c:v>46206.09</c:v>
                </c:pt>
                <c:pt idx="582">
                  <c:v>46589.7</c:v>
                </c:pt>
                <c:pt idx="583">
                  <c:v>46256.23</c:v>
                </c:pt>
                <c:pt idx="584">
                  <c:v>46131.29</c:v>
                </c:pt>
                <c:pt idx="585">
                  <c:v>45735.26</c:v>
                </c:pt>
                <c:pt idx="586">
                  <c:v>44912.8</c:v>
                </c:pt>
                <c:pt idx="587">
                  <c:v>44753.19</c:v>
                </c:pt>
                <c:pt idx="588">
                  <c:v>44574.25</c:v>
                </c:pt>
                <c:pt idx="589">
                  <c:v>44327.84</c:v>
                </c:pt>
                <c:pt idx="590">
                  <c:v>43925.38</c:v>
                </c:pt>
                <c:pt idx="591">
                  <c:v>43848.95</c:v>
                </c:pt>
                <c:pt idx="592">
                  <c:v>43185.73</c:v>
                </c:pt>
                <c:pt idx="593">
                  <c:v>43252.17</c:v>
                </c:pt>
                <c:pt idx="594">
                  <c:v>44436.86</c:v>
                </c:pt>
                <c:pt idx="595">
                  <c:v>44640.98</c:v>
                </c:pt>
                <c:pt idx="596">
                  <c:v>44732.42</c:v>
                </c:pt>
                <c:pt idx="597">
                  <c:v>44616.21</c:v>
                </c:pt>
                <c:pt idx="598">
                  <c:v>44297.66</c:v>
                </c:pt>
                <c:pt idx="599">
                  <c:v>43986.37</c:v>
                </c:pt>
                <c:pt idx="600">
                  <c:v>43962.83</c:v>
                </c:pt>
                <c:pt idx="601">
                  <c:v>44659.37</c:v>
                </c:pt>
                <c:pt idx="602">
                  <c:v>44975.67</c:v>
                </c:pt>
                <c:pt idx="603">
                  <c:v>45058.22</c:v>
                </c:pt>
                <c:pt idx="604">
                  <c:v>44564.01</c:v>
                </c:pt>
                <c:pt idx="605">
                  <c:v>43988.14</c:v>
                </c:pt>
                <c:pt idx="606">
                  <c:v>44552.51</c:v>
                </c:pt>
                <c:pt idx="607">
                  <c:v>44435.61</c:v>
                </c:pt>
                <c:pt idx="608">
                  <c:v>44741.55</c:v>
                </c:pt>
                <c:pt idx="609">
                  <c:v>45201.08</c:v>
                </c:pt>
                <c:pt idx="610">
                  <c:v>45138.13</c:v>
                </c:pt>
                <c:pt idx="611">
                  <c:v>45428.85</c:v>
                </c:pt>
                <c:pt idx="612">
                  <c:v>45174.18</c:v>
                </c:pt>
                <c:pt idx="613">
                  <c:v>44903.85</c:v>
                </c:pt>
                <c:pt idx="614">
                  <c:v>44625.0</c:v>
                </c:pt>
                <c:pt idx="615">
                  <c:v>45448.28</c:v>
                </c:pt>
                <c:pt idx="616">
                  <c:v>45488.18</c:v>
                </c:pt>
                <c:pt idx="617">
                  <c:v>45481.19</c:v>
                </c:pt>
                <c:pt idx="618">
                  <c:v>46068.47</c:v>
                </c:pt>
                <c:pt idx="619">
                  <c:v>46192.91</c:v>
                </c:pt>
                <c:pt idx="620">
                  <c:v>45750.23</c:v>
                </c:pt>
                <c:pt idx="621">
                  <c:v>45671.44</c:v>
                </c:pt>
                <c:pt idx="622">
                  <c:v>45561.08</c:v>
                </c:pt>
                <c:pt idx="623">
                  <c:v>45517.56</c:v>
                </c:pt>
                <c:pt idx="624">
                  <c:v>45611.91</c:v>
                </c:pt>
                <c:pt idx="625">
                  <c:v>45443.88</c:v>
                </c:pt>
                <c:pt idx="626">
                  <c:v>45401.67</c:v>
                </c:pt>
                <c:pt idx="627">
                  <c:v>45124.04</c:v>
                </c:pt>
                <c:pt idx="628">
                  <c:v>45063.49</c:v>
                </c:pt>
                <c:pt idx="629">
                  <c:v>45035.78</c:v>
                </c:pt>
                <c:pt idx="630">
                  <c:v>45357.81</c:v>
                </c:pt>
                <c:pt idx="631">
                  <c:v>44926.71</c:v>
                </c:pt>
                <c:pt idx="632">
                  <c:v>44689.29</c:v>
                </c:pt>
                <c:pt idx="633">
                  <c:v>44514.12</c:v>
                </c:pt>
                <c:pt idx="634">
                  <c:v>44418.01</c:v>
                </c:pt>
                <c:pt idx="635">
                  <c:v>44297.17</c:v>
                </c:pt>
                <c:pt idx="636">
                  <c:v>43723.16</c:v>
                </c:pt>
                <c:pt idx="637">
                  <c:v>43620.57</c:v>
                </c:pt>
                <c:pt idx="638">
                  <c:v>43321.36</c:v>
                </c:pt>
                <c:pt idx="639">
                  <c:v>42779.87</c:v>
                </c:pt>
                <c:pt idx="640">
                  <c:v>43253.61</c:v>
                </c:pt>
                <c:pt idx="641">
                  <c:v>43725.7</c:v>
                </c:pt>
                <c:pt idx="642">
                  <c:v>43925.68</c:v>
                </c:pt>
                <c:pt idx="643">
                  <c:v>44006.86</c:v>
                </c:pt>
                <c:pt idx="644">
                  <c:v>43967.84</c:v>
                </c:pt>
                <c:pt idx="645">
                  <c:v>43946.53</c:v>
                </c:pt>
                <c:pt idx="646">
                  <c:v>44031.83</c:v>
                </c:pt>
                <c:pt idx="647">
                  <c:v>44358.74</c:v>
                </c:pt>
                <c:pt idx="648">
                  <c:v>44350.31</c:v>
                </c:pt>
                <c:pt idx="649">
                  <c:v>44453.88</c:v>
                </c:pt>
                <c:pt idx="650">
                  <c:v>44017.73</c:v>
                </c:pt>
                <c:pt idx="651">
                  <c:v>44094.31</c:v>
                </c:pt>
                <c:pt idx="652">
                  <c:v>44302.94</c:v>
                </c:pt>
                <c:pt idx="653">
                  <c:v>43371.44</c:v>
                </c:pt>
                <c:pt idx="654">
                  <c:v>43762.87</c:v>
                </c:pt>
                <c:pt idx="655">
                  <c:v>43594.92</c:v>
                </c:pt>
                <c:pt idx="656">
                  <c:v>43602.64</c:v>
                </c:pt>
                <c:pt idx="657">
                  <c:v>43752.3</c:v>
                </c:pt>
                <c:pt idx="658">
                  <c:v>43419.32</c:v>
                </c:pt>
                <c:pt idx="659">
                  <c:v>43545.83</c:v>
                </c:pt>
                <c:pt idx="660">
                  <c:v>42769.62</c:v>
                </c:pt>
                <c:pt idx="661">
                  <c:v>42837.71</c:v>
                </c:pt>
                <c:pt idx="662">
                  <c:v>42797.21</c:v>
                </c:pt>
                <c:pt idx="663">
                  <c:v>42522.8</c:v>
                </c:pt>
                <c:pt idx="664">
                  <c:v>42892.25</c:v>
                </c:pt>
                <c:pt idx="665">
                  <c:v>42725.7</c:v>
                </c:pt>
                <c:pt idx="666">
                  <c:v>42228.34</c:v>
                </c:pt>
                <c:pt idx="667">
                  <c:v>42429.36</c:v>
                </c:pt>
                <c:pt idx="668">
                  <c:v>42311.0</c:v>
                </c:pt>
                <c:pt idx="669">
                  <c:v>43082.83</c:v>
                </c:pt>
                <c:pt idx="670">
                  <c:v>43290.55</c:v>
                </c:pt>
                <c:pt idx="671">
                  <c:v>42994.92</c:v>
                </c:pt>
                <c:pt idx="672">
                  <c:v>43014.44</c:v>
                </c:pt>
                <c:pt idx="673">
                  <c:v>42762.37</c:v>
                </c:pt>
                <c:pt idx="674">
                  <c:v>42765.22</c:v>
                </c:pt>
                <c:pt idx="675">
                  <c:v>42920.22</c:v>
                </c:pt>
                <c:pt idx="676">
                  <c:v>43042.11</c:v>
                </c:pt>
                <c:pt idx="677">
                  <c:v>42509.7</c:v>
                </c:pt>
                <c:pt idx="678">
                  <c:v>43019.21</c:v>
                </c:pt>
                <c:pt idx="679">
                  <c:v>42685.35</c:v>
                </c:pt>
                <c:pt idx="680">
                  <c:v>42497.3</c:v>
                </c:pt>
                <c:pt idx="681">
                  <c:v>41747.16</c:v>
                </c:pt>
                <c:pt idx="682">
                  <c:v>41600.03</c:v>
                </c:pt>
                <c:pt idx="683">
                  <c:v>41573.71</c:v>
                </c:pt>
                <c:pt idx="684">
                  <c:v>41803.93</c:v>
                </c:pt>
                <c:pt idx="685">
                  <c:v>41700.19</c:v>
                </c:pt>
                <c:pt idx="686">
                  <c:v>41909.39</c:v>
                </c:pt>
                <c:pt idx="687">
                  <c:v>41292.84</c:v>
                </c:pt>
                <c:pt idx="688">
                  <c:v>40991.3</c:v>
                </c:pt>
                <c:pt idx="689">
                  <c:v>40819.98</c:v>
                </c:pt>
                <c:pt idx="690">
                  <c:v>40497.81</c:v>
                </c:pt>
                <c:pt idx="691">
                  <c:v>40739.95</c:v>
                </c:pt>
                <c:pt idx="692">
                  <c:v>40886.61</c:v>
                </c:pt>
                <c:pt idx="693">
                  <c:v>41176.57</c:v>
                </c:pt>
                <c:pt idx="694">
                  <c:v>40894.05</c:v>
                </c:pt>
                <c:pt idx="695">
                  <c:v>40549.4</c:v>
                </c:pt>
                <c:pt idx="696">
                  <c:v>41147.6</c:v>
                </c:pt>
                <c:pt idx="697">
                  <c:v>40946.04</c:v>
                </c:pt>
                <c:pt idx="698">
                  <c:v>40385.34</c:v>
                </c:pt>
                <c:pt idx="699">
                  <c:v>40740.14</c:v>
                </c:pt>
                <c:pt idx="700">
                  <c:v>40734.89</c:v>
                </c:pt>
                <c:pt idx="701">
                  <c:v>40543.0</c:v>
                </c:pt>
                <c:pt idx="702">
                  <c:v>39638.54</c:v>
                </c:pt>
                <c:pt idx="703">
                  <c:v>39769.08</c:v>
                </c:pt>
                <c:pt idx="704">
                  <c:v>39795.17</c:v>
                </c:pt>
                <c:pt idx="705">
                  <c:v>39169.83</c:v>
                </c:pt>
                <c:pt idx="706">
                  <c:v>40030.19</c:v>
                </c:pt>
                <c:pt idx="707">
                  <c:v>39343.31</c:v>
                </c:pt>
                <c:pt idx="708">
                  <c:v>39844.7</c:v>
                </c:pt>
                <c:pt idx="709">
                  <c:v>39932.83</c:v>
                </c:pt>
                <c:pt idx="710">
                  <c:v>39578.1</c:v>
                </c:pt>
                <c:pt idx="711">
                  <c:v>39083.31</c:v>
                </c:pt>
                <c:pt idx="712">
                  <c:v>38946.07</c:v>
                </c:pt>
                <c:pt idx="713">
                  <c:v>38484.19</c:v>
                </c:pt>
                <c:pt idx="714">
                  <c:v>38075.22</c:v>
                </c:pt>
                <c:pt idx="715">
                  <c:v>39016.62</c:v>
                </c:pt>
                <c:pt idx="716">
                  <c:v>39536.08</c:v>
                </c:pt>
                <c:pt idx="717">
                  <c:v>40784.31</c:v>
                </c:pt>
                <c:pt idx="718">
                  <c:v>41003.25</c:v>
                </c:pt>
                <c:pt idx="719">
                  <c:v>40323.62</c:v>
                </c:pt>
                <c:pt idx="720">
                  <c:v>39811.78</c:v>
                </c:pt>
                <c:pt idx="721">
                  <c:v>39766.53</c:v>
                </c:pt>
                <c:pt idx="722">
                  <c:v>39621.0</c:v>
                </c:pt>
                <c:pt idx="723">
                  <c:v>40933.88</c:v>
                </c:pt>
                <c:pt idx="724">
                  <c:v>40813.33</c:v>
                </c:pt>
                <c:pt idx="725">
                  <c:v>40341.24</c:v>
                </c:pt>
                <c:pt idx="726">
                  <c:v>40793.81</c:v>
                </c:pt>
                <c:pt idx="727">
                  <c:v>40897.68</c:v>
                </c:pt>
                <c:pt idx="728">
                  <c:v>40957.61</c:v>
                </c:pt>
                <c:pt idx="729">
                  <c:v>42016.45</c:v>
                </c:pt>
                <c:pt idx="730">
                  <c:v>41941.88</c:v>
                </c:pt>
                <c:pt idx="731">
                  <c:v>41233.07</c:v>
                </c:pt>
                <c:pt idx="732">
                  <c:v>41971.17</c:v>
                </c:pt>
                <c:pt idx="733">
                  <c:v>41432.46</c:v>
                </c:pt>
                <c:pt idx="734">
                  <c:v>40998.58</c:v>
                </c:pt>
                <c:pt idx="735">
                  <c:v>40855.89</c:v>
                </c:pt>
                <c:pt idx="736">
                  <c:v>41836.02</c:v>
                </c:pt>
                <c:pt idx="737">
                  <c:v>41815.36</c:v>
                </c:pt>
                <c:pt idx="738">
                  <c:v>41079.55</c:v>
                </c:pt>
                <c:pt idx="739">
                  <c:v>41413.44</c:v>
                </c:pt>
                <c:pt idx="740">
                  <c:v>41427.76</c:v>
                </c:pt>
                <c:pt idx="741">
                  <c:v>41014.98</c:v>
                </c:pt>
                <c:pt idx="742">
                  <c:v>40711.32</c:v>
                </c:pt>
                <c:pt idx="743">
                  <c:v>40407.27</c:v>
                </c:pt>
                <c:pt idx="744">
                  <c:v>40232.05</c:v>
                </c:pt>
                <c:pt idx="745">
                  <c:v>40337.81</c:v>
                </c:pt>
                <c:pt idx="746">
                  <c:v>40456.62</c:v>
                </c:pt>
                <c:pt idx="747">
                  <c:v>39821.48</c:v>
                </c:pt>
                <c:pt idx="748">
                  <c:v>39828.96</c:v>
                </c:pt>
                <c:pt idx="750">
                  <c:v>39592.28</c:v>
                </c:pt>
                <c:pt idx="751">
                  <c:v>39082.85</c:v>
                </c:pt>
                <c:pt idx="752">
                  <c:v>38735.0</c:v>
                </c:pt>
                <c:pt idx="753">
                  <c:v>39025.64</c:v>
                </c:pt>
                <c:pt idx="754">
                  <c:v>39082.42</c:v>
                </c:pt>
                <c:pt idx="755">
                  <c:v>39128.87</c:v>
                </c:pt>
                <c:pt idx="756">
                  <c:v>38783.07</c:v>
                </c:pt>
                <c:pt idx="757">
                  <c:v>38742.43</c:v>
                </c:pt>
                <c:pt idx="758">
                  <c:v>38169.13</c:v>
                </c:pt>
                <c:pt idx="759">
                  <c:v>38422.21</c:v>
                </c:pt>
                <c:pt idx="760">
                  <c:v>37852.62</c:v>
                </c:pt>
                <c:pt idx="761">
                  <c:v>37801.67</c:v>
                </c:pt>
                <c:pt idx="762">
                  <c:v>38429.66</c:v>
                </c:pt>
                <c:pt idx="763">
                  <c:v>38003.7</c:v>
                </c:pt>
                <c:pt idx="764">
                  <c:v>38630.54</c:v>
                </c:pt>
                <c:pt idx="765">
                  <c:v>39109.98</c:v>
                </c:pt>
                <c:pt idx="766">
                  <c:v>39070.57</c:v>
                </c:pt>
                <c:pt idx="767">
                  <c:v>38540.81</c:v>
                </c:pt>
                <c:pt idx="768">
                  <c:v>38582.95</c:v>
                </c:pt>
                <c:pt idx="769">
                  <c:v>38500.21</c:v>
                </c:pt>
                <c:pt idx="770">
                  <c:v>39064.88</c:v>
                </c:pt>
                <c:pt idx="771">
                  <c:v>39414.34</c:v>
                </c:pt>
                <c:pt idx="772">
                  <c:v>40041.32</c:v>
                </c:pt>
                <c:pt idx="773">
                  <c:v>39860.84</c:v>
                </c:pt>
                <c:pt idx="774">
                  <c:v>39882.44</c:v>
                </c:pt>
                <c:pt idx="775">
                  <c:v>40253.25</c:v>
                </c:pt>
                <c:pt idx="776">
                  <c:v>40008.7</c:v>
                </c:pt>
                <c:pt idx="777">
                  <c:v>40063.38</c:v>
                </c:pt>
                <c:pt idx="778">
                  <c:v>40318.79</c:v>
                </c:pt>
                <c:pt idx="779">
                  <c:v>40346.17</c:v>
                </c:pt>
                <c:pt idx="780">
                  <c:v>40470.65</c:v>
                </c:pt>
                <c:pt idx="781">
                  <c:v>40757.94</c:v>
                </c:pt>
                <c:pt idx="782">
                  <c:v>40908.58</c:v>
                </c:pt>
                <c:pt idx="783">
                  <c:v>40876.1</c:v>
                </c:pt>
                <c:pt idx="784">
                  <c:v>40952.46</c:v>
                </c:pt>
                <c:pt idx="785">
                  <c:v>40984.22</c:v>
                </c:pt>
                <c:pt idx="786">
                  <c:v>40732.81</c:v>
                </c:pt>
                <c:pt idx="787">
                  <c:v>40719.68</c:v>
                </c:pt>
                <c:pt idx="788">
                  <c:v>40437.25</c:v>
                </c:pt>
                <c:pt idx="789">
                  <c:v>40546.24</c:v>
                </c:pt>
                <c:pt idx="790">
                  <c:v>39844.24</c:v>
                </c:pt>
                <c:pt idx="791">
                  <c:v>40134.97</c:v>
                </c:pt>
                <c:pt idx="792">
                  <c:v>39709.56</c:v>
                </c:pt>
                <c:pt idx="793">
                  <c:v>39275.37</c:v>
                </c:pt>
                <c:pt idx="794">
                  <c:v>39568.28</c:v>
                </c:pt>
                <c:pt idx="795">
                  <c:v>39787.96</c:v>
                </c:pt>
                <c:pt idx="796">
                  <c:v>39657.82</c:v>
                </c:pt>
                <c:pt idx="797">
                  <c:v>39670.09</c:v>
                </c:pt>
                <c:pt idx="798">
                  <c:v>40428.28</c:v>
                </c:pt>
                <c:pt idx="799">
                  <c:v>40732.52</c:v>
                </c:pt>
                <c:pt idx="800">
                  <c:v>40512.76</c:v>
                </c:pt>
                <c:pt idx="801">
                  <c:v>40681.34</c:v>
                </c:pt>
                <c:pt idx="802">
                  <c:v>40732.86</c:v>
                </c:pt>
                <c:pt idx="803">
                  <c:v>40808.73</c:v>
                </c:pt>
                <c:pt idx="804">
                  <c:v>40700.45</c:v>
                </c:pt>
                <c:pt idx="805">
                  <c:v>40832.67</c:v>
                </c:pt>
                <c:pt idx="806">
                  <c:v>40892.65</c:v>
                </c:pt>
                <c:pt idx="807">
                  <c:v>40694.77</c:v>
                </c:pt>
                <c:pt idx="808">
                  <c:v>40559.67</c:v>
                </c:pt>
                <c:pt idx="809">
                  <c:v>40663.34</c:v>
                </c:pt>
                <c:pt idx="810">
                  <c:v>40571.82</c:v>
                </c:pt>
                <c:pt idx="811">
                  <c:v>40601.09</c:v>
                </c:pt>
                <c:pt idx="812">
                  <c:v>40482.92</c:v>
                </c:pt>
                <c:pt idx="813">
                  <c:v>40461.18</c:v>
                </c:pt>
                <c:pt idx="814">
                  <c:v>40652.96</c:v>
                </c:pt>
                <c:pt idx="815">
                  <c:v>40618.32</c:v>
                </c:pt>
                <c:pt idx="816">
                  <c:v>40538.96</c:v>
                </c:pt>
                <c:pt idx="817">
                  <c:v>40604.59</c:v>
                </c:pt>
                <c:pt idx="818">
                  <c:v>40185.19</c:v>
                </c:pt>
                <c:pt idx="819">
                  <c:v>39912.45</c:v>
                </c:pt>
                <c:pt idx="820">
                  <c:v>39989.57</c:v>
                </c:pt>
                <c:pt idx="821">
                  <c:v>40166.53</c:v>
                </c:pt>
                <c:pt idx="822">
                  <c:v>39964.56</c:v>
                </c:pt>
                <c:pt idx="823">
                  <c:v>39879.76</c:v>
                </c:pt>
                <c:pt idx="824">
                  <c:v>39913.08</c:v>
                </c:pt>
                <c:pt idx="825">
                  <c:v>40144.07</c:v>
                </c:pt>
                <c:pt idx="826">
                  <c:v>40281.14</c:v>
                </c:pt>
                <c:pt idx="827">
                  <c:v>40299.59</c:v>
                </c:pt>
                <c:pt idx="828">
                  <c:v>40330.44</c:v>
                </c:pt>
                <c:pt idx="829">
                  <c:v>40155.62</c:v>
                </c:pt>
                <c:pt idx="830">
                  <c:v>40162.56</c:v>
                </c:pt>
                <c:pt idx="831">
                  <c:v>40274.79</c:v>
                </c:pt>
                <c:pt idx="832">
                  <c:v>40245.01</c:v>
                </c:pt>
                <c:pt idx="833">
                  <c:v>40061.75</c:v>
                </c:pt>
                <c:pt idx="834">
                  <c:v>39250.24</c:v>
                </c:pt>
                <c:pt idx="835">
                  <c:v>39385.04</c:v>
                </c:pt>
                <c:pt idx="836">
                  <c:v>39427.13</c:v>
                </c:pt>
                <c:pt idx="837">
                  <c:v>39187.38</c:v>
                </c:pt>
                <c:pt idx="838">
                  <c:v>39124.58</c:v>
                </c:pt>
                <c:pt idx="839">
                  <c:v>39220.96</c:v>
                </c:pt>
                <c:pt idx="840">
                  <c:v>39164.84</c:v>
                </c:pt>
                <c:pt idx="841">
                  <c:v>38879.7</c:v>
                </c:pt>
                <c:pt idx="842">
                  <c:v>38674.48</c:v>
                </c:pt>
                <c:pt idx="843">
                  <c:v>38676.7</c:v>
                </c:pt>
                <c:pt idx="844">
                  <c:v>38763.64</c:v>
                </c:pt>
                <c:pt idx="845">
                  <c:v>38535.97</c:v>
                </c:pt>
                <c:pt idx="846">
                  <c:v>38357.07</c:v>
                </c:pt>
                <c:pt idx="847">
                  <c:v>38195.89</c:v>
                </c:pt>
                <c:pt idx="848">
                  <c:v>38287.54</c:v>
                </c:pt>
                <c:pt idx="849">
                  <c:v>38189.82</c:v>
                </c:pt>
                <c:pt idx="850">
                  <c:v>37991.31</c:v>
                </c:pt>
                <c:pt idx="851">
                  <c:v>38049.74</c:v>
                </c:pt>
                <c:pt idx="852">
                  <c:v>38104.61</c:v>
                </c:pt>
                <c:pt idx="853">
                  <c:v>37909.31</c:v>
                </c:pt>
                <c:pt idx="854">
                  <c:v>37438.41</c:v>
                </c:pt>
                <c:pt idx="855">
                  <c:v>37805.8</c:v>
                </c:pt>
                <c:pt idx="856">
                  <c:v>37766.24</c:v>
                </c:pt>
                <c:pt idx="857">
                  <c:v>37865.59</c:v>
                </c:pt>
                <c:pt idx="858">
                  <c:v>37844.55</c:v>
                </c:pt>
                <c:pt idx="859">
                  <c:v>37498.02</c:v>
                </c:pt>
                <c:pt idx="860">
                  <c:v>37306.6</c:v>
                </c:pt>
                <c:pt idx="861">
                  <c:v>37229.64</c:v>
                </c:pt>
                <c:pt idx="862">
                  <c:v>36818.76</c:v>
                </c:pt>
                <c:pt idx="863">
                  <c:v>37026.72</c:v>
                </c:pt>
                <c:pt idx="864">
                  <c:v>37241.79</c:v>
                </c:pt>
                <c:pt idx="865">
                  <c:v>37394.8</c:v>
                </c:pt>
                <c:pt idx="866">
                  <c:v>37463.2</c:v>
                </c:pt>
                <c:pt idx="867">
                  <c:v>37344.4</c:v>
                </c:pt>
                <c:pt idx="868">
                  <c:v>37592.86</c:v>
                </c:pt>
                <c:pt idx="869">
                  <c:v>37471.69</c:v>
                </c:pt>
                <c:pt idx="870">
                  <c:v>37597.68</c:v>
                </c:pt>
                <c:pt idx="871">
                  <c:v>37579.38</c:v>
                </c:pt>
                <c:pt idx="872">
                  <c:v>37664.81</c:v>
                </c:pt>
                <c:pt idx="873">
                  <c:v>37377.32</c:v>
                </c:pt>
                <c:pt idx="874">
                  <c:v>37156.28</c:v>
                </c:pt>
                <c:pt idx="875">
                  <c:v>37147.02</c:v>
                </c:pt>
                <c:pt idx="876">
                  <c:v>36993.06</c:v>
                </c:pt>
                <c:pt idx="877">
                  <c:v>36871.71</c:v>
                </c:pt>
                <c:pt idx="878">
                  <c:v>36995.65</c:v>
                </c:pt>
                <c:pt idx="879">
                  <c:v>36951.53</c:v>
                </c:pt>
                <c:pt idx="880">
                  <c:v>36678.03</c:v>
                </c:pt>
                <c:pt idx="881">
                  <c:v>36968.5</c:v>
                </c:pt>
                <c:pt idx="882">
                  <c:v>36783.12</c:v>
                </c:pt>
                <c:pt idx="883">
                  <c:v>37051.95</c:v>
                </c:pt>
                <c:pt idx="884">
                  <c:v>37274.68</c:v>
                </c:pt>
                <c:pt idx="885">
                  <c:v>36974.24</c:v>
                </c:pt>
                <c:pt idx="886">
                  <c:v>36620.28</c:v>
                </c:pt>
                <c:pt idx="887">
                  <c:v>36440.05</c:v>
                </c:pt>
                <c:pt idx="888">
                  <c:v>36498.44</c:v>
                </c:pt>
                <c:pt idx="889">
                  <c:v>36147.62</c:v>
                </c:pt>
                <c:pt idx="890">
                  <c:v>36070.74</c:v>
                </c:pt>
                <c:pt idx="891">
                  <c:v>36337.39</c:v>
                </c:pt>
                <c:pt idx="892">
                  <c:v>36588.67</c:v>
                </c:pt>
                <c:pt idx="893">
                  <c:v>36268.96</c:v>
                </c:pt>
                <c:pt idx="894">
                  <c:v>36120.45</c:v>
                </c:pt>
                <c:pt idx="895">
                  <c:v>36247.91</c:v>
                </c:pt>
                <c:pt idx="896">
                  <c:v>36269.27</c:v>
                </c:pt>
                <c:pt idx="897">
                  <c:v>35757.98</c:v>
                </c:pt>
                <c:pt idx="898">
                  <c:v>35616.6</c:v>
                </c:pt>
                <c:pt idx="899">
                  <c:v>35415.07</c:v>
                </c:pt>
                <c:pt idx="900">
                  <c:v>36041.48</c:v>
                </c:pt>
                <c:pt idx="901">
                  <c:v>36206.33</c:v>
                </c:pt>
                <c:pt idx="902">
                  <c:v>36359.98</c:v>
                </c:pt>
                <c:pt idx="903">
                  <c:v>36463.14</c:v>
                </c:pt>
                <c:pt idx="904">
                  <c:v>36445.75</c:v>
                </c:pt>
                <c:pt idx="905">
                  <c:v>36362.58</c:v>
                </c:pt>
                <c:pt idx="906">
                  <c:v>36550.08</c:v>
                </c:pt>
                <c:pt idx="907">
                  <c:v>35885.23</c:v>
                </c:pt>
                <c:pt idx="908">
                  <c:v>35736.41</c:v>
                </c:pt>
                <c:pt idx="909">
                  <c:v>35446.66</c:v>
                </c:pt>
                <c:pt idx="910">
                  <c:v>35524.9</c:v>
                </c:pt>
                <c:pt idx="911">
                  <c:v>35744.25</c:v>
                </c:pt>
                <c:pt idx="912">
                  <c:v>35674.73</c:v>
                </c:pt>
                <c:pt idx="913">
                  <c:v>35045.55</c:v>
                </c:pt>
                <c:pt idx="914">
                  <c:v>35161.01</c:v>
                </c:pt>
                <c:pt idx="915">
                  <c:v>35485.1</c:v>
                </c:pt>
                <c:pt idx="916">
                  <c:v>35389.45</c:v>
                </c:pt>
                <c:pt idx="917">
                  <c:v>35307.35</c:v>
                </c:pt>
                <c:pt idx="918">
                  <c:v>35737.18</c:v>
                </c:pt>
                <c:pt idx="919">
                  <c:v>35767.7</c:v>
                </c:pt>
                <c:pt idx="920">
                  <c:v>35897.69</c:v>
                </c:pt>
                <c:pt idx="921">
                  <c:v>35794.12</c:v>
                </c:pt>
                <c:pt idx="922">
                  <c:v>35843.92</c:v>
                </c:pt>
                <c:pt idx="923">
                  <c:v>35616.71</c:v>
                </c:pt>
                <c:pt idx="924">
                  <c:v>35832.84</c:v>
                </c:pt>
                <c:pt idx="925">
                  <c:v>35471.07</c:v>
                </c:pt>
                <c:pt idx="926">
                  <c:v>35547.33</c:v>
                </c:pt>
                <c:pt idx="927">
                  <c:v>35743.23</c:v>
                </c:pt>
                <c:pt idx="928">
                  <c:v>35543.93</c:v>
                </c:pt>
                <c:pt idx="929">
                  <c:v>35564.34</c:v>
                </c:pt>
                <c:pt idx="930">
                  <c:v>35417.94</c:v>
                </c:pt>
                <c:pt idx="931">
                  <c:v>35574.51</c:v>
                </c:pt>
                <c:pt idx="932">
                  <c:v>35494.64</c:v>
                </c:pt>
                <c:pt idx="933">
                  <c:v>35487.26</c:v>
                </c:pt>
                <c:pt idx="934">
                  <c:v>35469.18</c:v>
                </c:pt>
                <c:pt idx="935">
                  <c:v>35244.22</c:v>
                </c:pt>
                <c:pt idx="936">
                  <c:v>35033.09</c:v>
                </c:pt>
                <c:pt idx="937">
                  <c:v>35070.66</c:v>
                </c:pt>
                <c:pt idx="938">
                  <c:v>34596.9</c:v>
                </c:pt>
                <c:pt idx="939">
                  <c:v>34958.59</c:v>
                </c:pt>
                <c:pt idx="940">
                  <c:v>34671.0</c:v>
                </c:pt>
                <c:pt idx="941">
                  <c:v>34288.98</c:v>
                </c:pt>
                <c:pt idx="942">
                  <c:v>34069.59</c:v>
                </c:pt>
                <c:pt idx="943">
                  <c:v>33998.45</c:v>
                </c:pt>
                <c:pt idx="944">
                  <c:v>33814.83</c:v>
                </c:pt>
                <c:pt idx="945">
                  <c:v>34225.42</c:v>
                </c:pt>
                <c:pt idx="946">
                  <c:v>34291.84</c:v>
                </c:pt>
                <c:pt idx="947">
                  <c:v>34035.06</c:v>
                </c:pt>
                <c:pt idx="948">
                  <c:v>33706.57</c:v>
                </c:pt>
                <c:pt idx="949">
                  <c:v>33728.14</c:v>
                </c:pt>
                <c:pt idx="950">
                  <c:v>33792.75</c:v>
                </c:pt>
                <c:pt idx="951">
                  <c:v>33390.52</c:v>
                </c:pt>
                <c:pt idx="952">
                  <c:v>33724.69</c:v>
                </c:pt>
                <c:pt idx="953">
                  <c:v>33998.6</c:v>
                </c:pt>
                <c:pt idx="954">
                  <c:v>33931.1</c:v>
                </c:pt>
                <c:pt idx="955">
                  <c:v>34226.21</c:v>
                </c:pt>
                <c:pt idx="956">
                  <c:v>34222.58</c:v>
                </c:pt>
                <c:pt idx="957">
                  <c:v>34041.12</c:v>
                </c:pt>
                <c:pt idx="958">
                  <c:v>33985.71</c:v>
                </c:pt>
                <c:pt idx="959">
                  <c:v>33652.69</c:v>
                </c:pt>
                <c:pt idx="960">
                  <c:v>33708.31</c:v>
                </c:pt>
                <c:pt idx="961">
                  <c:v>33252.55</c:v>
                </c:pt>
                <c:pt idx="962">
                  <c:v>33748.13</c:v>
                </c:pt>
                <c:pt idx="963">
                  <c:v>33851.37</c:v>
                </c:pt>
                <c:pt idx="964">
                  <c:v>33821.98</c:v>
                </c:pt>
                <c:pt idx="965">
                  <c:v>34118.87</c:v>
                </c:pt>
                <c:pt idx="966">
                  <c:v>34534.05</c:v>
                </c:pt>
                <c:pt idx="967">
                  <c:v>34788.37</c:v>
                </c:pt>
                <c:pt idx="968">
                  <c:v>34714.06</c:v>
                </c:pt>
                <c:pt idx="969">
                  <c:v>34438.76</c:v>
                </c:pt>
                <c:pt idx="970">
                  <c:v>33959.87</c:v>
                </c:pt>
                <c:pt idx="971">
                  <c:v>33826.01</c:v>
                </c:pt>
                <c:pt idx="972">
                  <c:v>34037.83</c:v>
                </c:pt>
                <c:pt idx="973">
                  <c:v>33855.46</c:v>
                </c:pt>
                <c:pt idx="974">
                  <c:v>33616.57</c:v>
                </c:pt>
                <c:pt idx="975">
                  <c:v>33665.71</c:v>
                </c:pt>
                <c:pt idx="976">
                  <c:v>33904.86</c:v>
                </c:pt>
                <c:pt idx="977">
                  <c:v>33603.35</c:v>
                </c:pt>
                <c:pt idx="978">
                  <c:v>33117.85</c:v>
                </c:pt>
                <c:pt idx="979">
                  <c:v>33076.3</c:v>
                </c:pt>
                <c:pt idx="980">
                  <c:v>33107.46</c:v>
                </c:pt>
                <c:pt idx="981">
                  <c:v>33142.61</c:v>
                </c:pt>
                <c:pt idx="982">
                  <c:v>32968.81</c:v>
                </c:pt>
                <c:pt idx="983">
                  <c:v>33440.2</c:v>
                </c:pt>
                <c:pt idx="984">
                  <c:v>33104.06</c:v>
                </c:pt>
                <c:pt idx="985">
                  <c:v>32992.25</c:v>
                </c:pt>
                <c:pt idx="986">
                  <c:v>33046.13</c:v>
                </c:pt>
                <c:pt idx="987">
                  <c:v>32887.45</c:v>
                </c:pt>
                <c:pt idx="988">
                  <c:v>33488.14</c:v>
                </c:pt>
                <c:pt idx="989">
                  <c:v>33086.0</c:v>
                </c:pt>
                <c:pt idx="990">
                  <c:v>33148.39</c:v>
                </c:pt>
                <c:pt idx="991">
                  <c:v>33538.92</c:v>
                </c:pt>
                <c:pt idx="992">
                  <c:v>33794.72</c:v>
                </c:pt>
                <c:pt idx="993">
                  <c:v>33486.08</c:v>
                </c:pt>
                <c:pt idx="994">
                  <c:v>33533.56</c:v>
                </c:pt>
                <c:pt idx="995">
                  <c:v>34038.46</c:v>
                </c:pt>
                <c:pt idx="996">
                  <c:v>33869.71</c:v>
                </c:pt>
                <c:pt idx="997">
                  <c:v>33434.04</c:v>
                </c:pt>
                <c:pt idx="998">
                  <c:v>33547.77</c:v>
                </c:pt>
                <c:pt idx="999">
                  <c:v>33956.08</c:v>
                </c:pt>
                <c:pt idx="1000">
                  <c:v>34127.28</c:v>
                </c:pt>
                <c:pt idx="1001">
                  <c:v>34375.51</c:v>
                </c:pt>
                <c:pt idx="1002">
                  <c:v>34482.43</c:v>
                </c:pt>
                <c:pt idx="1003">
                  <c:v>34399.04</c:v>
                </c:pt>
                <c:pt idx="1004">
                  <c:v>34251.43</c:v>
                </c:pt>
                <c:pt idx="1005">
                  <c:v>34028.81</c:v>
                </c:pt>
                <c:pt idx="1006">
                  <c:v>33820.87</c:v>
                </c:pt>
                <c:pt idx="1007">
                  <c:v>33703.21</c:v>
                </c:pt>
                <c:pt idx="1008">
                  <c:v>34216.55</c:v>
                </c:pt>
                <c:pt idx="1009">
                  <c:v>34106.92</c:v>
                </c:pt>
                <c:pt idx="1010">
                  <c:v>34050.24</c:v>
                </c:pt>
                <c:pt idx="1011">
                  <c:v>33777.97</c:v>
                </c:pt>
                <c:pt idx="1012">
                  <c:v>33661.21</c:v>
                </c:pt>
                <c:pt idx="1013">
                  <c:v>33705.03</c:v>
                </c:pt>
                <c:pt idx="1014">
                  <c:v>33816.96</c:v>
                </c:pt>
                <c:pt idx="1015">
                  <c:v>33632.76</c:v>
                </c:pt>
                <c:pt idx="1016">
                  <c:v>33617.74</c:v>
                </c:pt>
                <c:pt idx="1017">
                  <c:v>33732.2</c:v>
                </c:pt>
                <c:pt idx="1018">
                  <c:v>33404.32</c:v>
                </c:pt>
                <c:pt idx="1019">
                  <c:v>34192.19</c:v>
                </c:pt>
                <c:pt idx="1020">
                  <c:v>33974.63</c:v>
                </c:pt>
                <c:pt idx="1021">
                  <c:v>33554.21</c:v>
                </c:pt>
                <c:pt idx="1022">
                  <c:v>33483.26</c:v>
                </c:pt>
                <c:pt idx="1023">
                  <c:v>33621.93</c:v>
                </c:pt>
                <c:pt idx="1024">
                  <c:v>33858.22</c:v>
                </c:pt>
                <c:pt idx="1025">
                  <c:v>33664.46</c:v>
                </c:pt>
                <c:pt idx="1026">
                  <c:v>33572.07</c:v>
                </c:pt>
                <c:pt idx="1027">
                  <c:v>33550.89</c:v>
                </c:pt>
                <c:pt idx="1028">
                  <c:v>33878.56</c:v>
                </c:pt>
                <c:pt idx="1029">
                  <c:v>34214.07</c:v>
                </c:pt>
                <c:pt idx="1030">
                  <c:v>34221.62</c:v>
                </c:pt>
                <c:pt idx="1031">
                  <c:v>34215.3</c:v>
                </c:pt>
                <c:pt idx="1032">
                  <c:v>34426.74</c:v>
                </c:pt>
                <c:pt idx="1033">
                  <c:v>34175.39</c:v>
                </c:pt>
                <c:pt idx="1034">
                  <c:v>33901.72</c:v>
                </c:pt>
                <c:pt idx="1035">
                  <c:v>33926.2</c:v>
                </c:pt>
                <c:pt idx="1036">
                  <c:v>33758.62</c:v>
                </c:pt>
                <c:pt idx="1037">
                  <c:v>33592.32</c:v>
                </c:pt>
                <c:pt idx="1038">
                  <c:v>33387.04</c:v>
                </c:pt>
                <c:pt idx="1039">
                  <c:v>34031.77</c:v>
                </c:pt>
                <c:pt idx="1040">
                  <c:v>34186.81</c:v>
                </c:pt>
                <c:pt idx="1041">
                  <c:v>34298.48</c:v>
                </c:pt>
                <c:pt idx="1042">
                  <c:v>34296.0</c:v>
                </c:pt>
                <c:pt idx="1043">
                  <c:v>34214.53</c:v>
                </c:pt>
                <c:pt idx="1044">
                  <c:v>33871.32</c:v>
                </c:pt>
                <c:pt idx="1045">
                  <c:v>34260.76</c:v>
                </c:pt>
                <c:pt idx="1046">
                  <c:v>34108.2</c:v>
                </c:pt>
                <c:pt idx="1047">
                  <c:v>34006.52</c:v>
                </c:pt>
                <c:pt idx="1048">
                  <c:v>34142.37</c:v>
                </c:pt>
                <c:pt idx="1049">
                  <c:v>34106.0</c:v>
                </c:pt>
                <c:pt idx="1050">
                  <c:v>34082.78</c:v>
                </c:pt>
                <c:pt idx="1051">
                  <c:v>33801.64</c:v>
                </c:pt>
                <c:pt idx="1052">
                  <c:v>34089.87</c:v>
                </c:pt>
                <c:pt idx="1053">
                  <c:v>34112.44</c:v>
                </c:pt>
                <c:pt idx="1054">
                  <c:v>34207.43</c:v>
                </c:pt>
                <c:pt idx="1055">
                  <c:v>33892.58</c:v>
                </c:pt>
                <c:pt idx="1056">
                  <c:v>34268.14</c:v>
                </c:pt>
                <c:pt idx="1057">
                  <c:v>34226.73</c:v>
                </c:pt>
                <c:pt idx="1058">
                  <c:v>33974.45</c:v>
                </c:pt>
                <c:pt idx="1059">
                  <c:v>34176.3</c:v>
                </c:pt>
                <c:pt idx="1060">
                  <c:v>34386.97</c:v>
                </c:pt>
                <c:pt idx="1061">
                  <c:v>34371.5</c:v>
                </c:pt>
                <c:pt idx="1062">
                  <c:v>34139.52</c:v>
                </c:pt>
                <c:pt idx="1063">
                  <c:v>33792.48</c:v>
                </c:pt>
                <c:pt idx="1064">
                  <c:v>33629.77</c:v>
                </c:pt>
                <c:pt idx="1065">
                  <c:v>33895.02</c:v>
                </c:pt>
                <c:pt idx="1066">
                  <c:v>34065.49</c:v>
                </c:pt>
                <c:pt idx="1067">
                  <c:v>33637.27</c:v>
                </c:pt>
                <c:pt idx="1068">
                  <c:v>33733.46</c:v>
                </c:pt>
                <c:pt idx="1069">
                  <c:v>33940.48</c:v>
                </c:pt>
                <c:pt idx="1070">
                  <c:v>33703.38</c:v>
                </c:pt>
                <c:pt idx="1071">
                  <c:v>33586.15</c:v>
                </c:pt>
                <c:pt idx="1072">
                  <c:v>33550.09</c:v>
                </c:pt>
                <c:pt idx="1073">
                  <c:v>33424.73</c:v>
                </c:pt>
                <c:pt idx="1074">
                  <c:v>33205.01</c:v>
                </c:pt>
                <c:pt idx="1075">
                  <c:v>32927.36</c:v>
                </c:pt>
                <c:pt idx="1076">
                  <c:v>33008.52</c:v>
                </c:pt>
                <c:pt idx="1077">
                  <c:v>32827.05</c:v>
                </c:pt>
                <c:pt idx="1078">
                  <c:v>33020.16</c:v>
                </c:pt>
                <c:pt idx="1079">
                  <c:v>32774.83</c:v>
                </c:pt>
                <c:pt idx="1080">
                  <c:v>32749.57</c:v>
                </c:pt>
                <c:pt idx="1081">
                  <c:v>32599.06</c:v>
                </c:pt>
                <c:pt idx="1082">
                  <c:v>32899.68</c:v>
                </c:pt>
                <c:pt idx="1083">
                  <c:v>32768.35</c:v>
                </c:pt>
                <c:pt idx="1084">
                  <c:v>31985.67</c:v>
                </c:pt>
                <c:pt idx="1085">
                  <c:v>31995.87</c:v>
                </c:pt>
                <c:pt idx="1086">
                  <c:v>32092.87</c:v>
                </c:pt>
                <c:pt idx="1087">
                  <c:v>32127.25</c:v>
                </c:pt>
                <c:pt idx="1088">
                  <c:v>31904.14</c:v>
                </c:pt>
                <c:pt idx="1089">
                  <c:v>31646.77</c:v>
                </c:pt>
                <c:pt idx="1090">
                  <c:v>31783.9</c:v>
                </c:pt>
                <c:pt idx="1091">
                  <c:v>31721.37</c:v>
                </c:pt>
                <c:pt idx="1092">
                  <c:v>32006.7</c:v>
                </c:pt>
                <c:pt idx="1093">
                  <c:v>31727.03</c:v>
                </c:pt>
                <c:pt idx="1094">
                  <c:v>32208.2</c:v>
                </c:pt>
                <c:pt idx="1095">
                  <c:v>32270.06</c:v>
                </c:pt>
                <c:pt idx="1096">
                  <c:v>32632.92</c:v>
                </c:pt>
                <c:pt idx="1097">
                  <c:v>32760.17</c:v>
                </c:pt>
                <c:pt idx="1098">
                  <c:v>32760.27</c:v>
                </c:pt>
                <c:pt idx="1099">
                  <c:v>32719.23</c:v>
                </c:pt>
                <c:pt idx="1100">
                  <c:v>32832.22</c:v>
                </c:pt>
                <c:pt idx="1101">
                  <c:v>32610.9</c:v>
                </c:pt>
                <c:pt idx="1102">
                  <c:v>32748.85</c:v>
                </c:pt>
                <c:pt idx="1103">
                  <c:v>32812.64</c:v>
                </c:pt>
                <c:pt idx="1104">
                  <c:v>31636.36</c:v>
                </c:pt>
                <c:pt idx="1105">
                  <c:v>31829.34</c:v>
                </c:pt>
                <c:pt idx="1106">
                  <c:v>31123.96</c:v>
                </c:pt>
                <c:pt idx="1107">
                  <c:v>31201.82</c:v>
                </c:pt>
                <c:pt idx="1108">
                  <c:v>30956.19</c:v>
                </c:pt>
                <c:pt idx="1109">
                  <c:v>31369.74</c:v>
                </c:pt>
                <c:pt idx="1110">
                  <c:v>31116.01</c:v>
                </c:pt>
                <c:pt idx="1111">
                  <c:v>31812.66</c:v>
                </c:pt>
                <c:pt idx="1112">
                  <c:v>32438.05</c:v>
                </c:pt>
                <c:pt idx="1113">
                  <c:v>32672.67</c:v>
                </c:pt>
                <c:pt idx="1114">
                  <c:v>32674.18</c:v>
                </c:pt>
                <c:pt idx="1115">
                  <c:v>32343.89</c:v>
                </c:pt>
                <c:pt idx="1116">
                  <c:v>32261.65</c:v>
                </c:pt>
                <c:pt idx="1117">
                  <c:v>32216.61</c:v>
                </c:pt>
                <c:pt idx="1118">
                  <c:v>32017.01</c:v>
                </c:pt>
                <c:pt idx="1119">
                  <c:v>32670.42</c:v>
                </c:pt>
                <c:pt idx="1120">
                  <c:v>32514.38</c:v>
                </c:pt>
                <c:pt idx="1121">
                  <c:v>31917.02</c:v>
                </c:pt>
                <c:pt idx="1122">
                  <c:v>32211.88</c:v>
                </c:pt>
                <c:pt idx="1123">
                  <c:v>32196.56</c:v>
                </c:pt>
                <c:pt idx="1124">
                  <c:v>31724.22</c:v>
                </c:pt>
                <c:pt idx="1125">
                  <c:v>32348.54</c:v>
                </c:pt>
                <c:pt idx="1126">
                  <c:v>32894.11</c:v>
                </c:pt>
                <c:pt idx="1127">
                  <c:v>32452.55</c:v>
                </c:pt>
                <c:pt idx="1128">
                  <c:v>31736.62</c:v>
                </c:pt>
                <c:pt idx="1129">
                  <c:v>31663.61</c:v>
                </c:pt>
                <c:pt idx="1130">
                  <c:v>31654.31</c:v>
                </c:pt>
                <c:pt idx="1131">
                  <c:v>31449.99</c:v>
                </c:pt>
                <c:pt idx="1132">
                  <c:v>30836.89</c:v>
                </c:pt>
                <c:pt idx="1133">
                  <c:v>31197.35</c:v>
                </c:pt>
                <c:pt idx="1134">
                  <c:v>31054.2</c:v>
                </c:pt>
                <c:pt idx="1135">
                  <c:v>31095.23</c:v>
                </c:pt>
                <c:pt idx="1136">
                  <c:v>31123.59</c:v>
                </c:pt>
                <c:pt idx="1137">
                  <c:v>30834.39</c:v>
                </c:pt>
                <c:pt idx="1138">
                  <c:v>31129.95</c:v>
                </c:pt>
                <c:pt idx="1139">
                  <c:v>30803.88</c:v>
                </c:pt>
                <c:pt idx="1140">
                  <c:v>30884.7</c:v>
                </c:pt>
                <c:pt idx="1141">
                  <c:v>30244.9</c:v>
                </c:pt>
                <c:pt idx="1142">
                  <c:v>29888.87</c:v>
                </c:pt>
                <c:pt idx="1143">
                  <c:v>29468.56</c:v>
                </c:pt>
                <c:pt idx="1144">
                  <c:v>29178.27</c:v>
                </c:pt>
                <c:pt idx="1145">
                  <c:v>29877.9</c:v>
                </c:pt>
                <c:pt idx="1146">
                  <c:v>29674.2</c:v>
                </c:pt>
                <c:pt idx="1147">
                  <c:v>29688.89</c:v>
                </c:pt>
                <c:pt idx="1148">
                  <c:v>30339.03</c:v>
                </c:pt>
                <c:pt idx="1149">
                  <c:v>30752.4</c:v>
                </c:pt>
                <c:pt idx="1150">
                  <c:v>29718.56</c:v>
                </c:pt>
                <c:pt idx="1151">
                  <c:v>30061.21</c:v>
                </c:pt>
                <c:pt idx="1152">
                  <c:v>30323.04</c:v>
                </c:pt>
                <c:pt idx="1153">
                  <c:v>31311.17</c:v>
                </c:pt>
                <c:pt idx="1154">
                  <c:v>31343.9</c:v>
                </c:pt>
                <c:pt idx="1155">
                  <c:v>30959.59</c:v>
                </c:pt>
                <c:pt idx="1156">
                  <c:v>31051.35</c:v>
                </c:pt>
                <c:pt idx="1157">
                  <c:v>30998.05</c:v>
                </c:pt>
                <c:pt idx="1158">
                  <c:v>30459.82</c:v>
                </c:pt>
                <c:pt idx="1159">
                  <c:v>30032.71</c:v>
                </c:pt>
                <c:pt idx="1160">
                  <c:v>29855.75</c:v>
                </c:pt>
                <c:pt idx="1161">
                  <c:v>30440.87</c:v>
                </c:pt>
                <c:pt idx="1162">
                  <c:v>30918.0</c:v>
                </c:pt>
                <c:pt idx="1163">
                  <c:v>30514.6</c:v>
                </c:pt>
                <c:pt idx="1164">
                  <c:v>29525.83</c:v>
                </c:pt>
                <c:pt idx="1165">
                  <c:v>29888.14</c:v>
                </c:pt>
                <c:pt idx="1166">
                  <c:v>30518.92</c:v>
                </c:pt>
                <c:pt idx="1167">
                  <c:v>31088.12</c:v>
                </c:pt>
                <c:pt idx="1168">
                  <c:v>31005.5</c:v>
                </c:pt>
                <c:pt idx="1169">
                  <c:v>30365.13</c:v>
                </c:pt>
                <c:pt idx="1170">
                  <c:v>30292.76</c:v>
                </c:pt>
                <c:pt idx="1171">
                  <c:v>29425.05</c:v>
                </c:pt>
                <c:pt idx="1172">
                  <c:v>29349.45</c:v>
                </c:pt>
                <c:pt idx="1173">
                  <c:v>29604.59</c:v>
                </c:pt>
                <c:pt idx="1174">
                  <c:v>29259.86</c:v>
                </c:pt>
                <c:pt idx="1175">
                  <c:v>29433.12</c:v>
                </c:pt>
                <c:pt idx="1176">
                  <c:v>29378.69</c:v>
                </c:pt>
                <c:pt idx="1177">
                  <c:v>29288.86</c:v>
                </c:pt>
                <c:pt idx="1178">
                  <c:v>30178.72</c:v>
                </c:pt>
                <c:pt idx="1179">
                  <c:v>29987.27</c:v>
                </c:pt>
                <c:pt idx="1180">
                  <c:v>30159.42</c:v>
                </c:pt>
                <c:pt idx="1181">
                  <c:v>29826.4</c:v>
                </c:pt>
                <c:pt idx="1182">
                  <c:v>29490.2</c:v>
                </c:pt>
                <c:pt idx="1183">
                  <c:v>28658.57</c:v>
                </c:pt>
                <c:pt idx="1184">
                  <c:v>28391.18</c:v>
                </c:pt>
                <c:pt idx="1185">
                  <c:v>29256.75</c:v>
                </c:pt>
                <c:pt idx="1186">
                  <c:v>29601.61</c:v>
                </c:pt>
                <c:pt idx="1187">
                  <c:v>30520.43</c:v>
                </c:pt>
                <c:pt idx="1188">
                  <c:v>30871.78</c:v>
                </c:pt>
                <c:pt idx="1189">
                  <c:v>31257.31</c:v>
                </c:pt>
                <c:pt idx="1190">
                  <c:v>31208.04</c:v>
                </c:pt>
                <c:pt idx="1191">
                  <c:v>31446.39</c:v>
                </c:pt>
                <c:pt idx="1192">
                  <c:v>31593.99</c:v>
                </c:pt>
                <c:pt idx="1193">
                  <c:v>31868.73</c:v>
                </c:pt>
                <c:pt idx="1194">
                  <c:v>32065.84</c:v>
                </c:pt>
                <c:pt idx="1195">
                  <c:v>32016.3</c:v>
                </c:pt>
                <c:pt idx="1196">
                  <c:v>32125.79</c:v>
                </c:pt>
                <c:pt idx="1197">
                  <c:v>32056.06</c:v>
                </c:pt>
                <c:pt idx="1198">
                  <c:v>32058.68</c:v>
                </c:pt>
                <c:pt idx="1199">
                  <c:v>31871.59</c:v>
                </c:pt>
                <c:pt idx="1200">
                  <c:v>32288.43</c:v>
                </c:pt>
                <c:pt idx="1201">
                  <c:v>32203.94</c:v>
                </c:pt>
                <c:pt idx="1202">
                  <c:v>32310.38</c:v>
                </c:pt>
                <c:pt idx="1203">
                  <c:v>31926.55</c:v>
                </c:pt>
                <c:pt idx="1204">
                  <c:v>31845.02</c:v>
                </c:pt>
                <c:pt idx="1205">
                  <c:v>32002.33</c:v>
                </c:pt>
                <c:pt idx="1206">
                  <c:v>32296.07</c:v>
                </c:pt>
                <c:pt idx="1207">
                  <c:v>32130.71</c:v>
                </c:pt>
                <c:pt idx="1208">
                  <c:v>32254.24</c:v>
                </c:pt>
                <c:pt idx="1209">
                  <c:v>32077.79</c:v>
                </c:pt>
                <c:pt idx="1210">
                  <c:v>31925.47</c:v>
                </c:pt>
                <c:pt idx="1211">
                  <c:v>31864.54</c:v>
                </c:pt>
                <c:pt idx="1212">
                  <c:v>31726.3</c:v>
                </c:pt>
                <c:pt idx="1213">
                  <c:v>31291.65</c:v>
                </c:pt>
                <c:pt idx="1214">
                  <c:v>30897.05</c:v>
                </c:pt>
                <c:pt idx="1215">
                  <c:v>30680.23</c:v>
                </c:pt>
                <c:pt idx="1216">
                  <c:v>30326.54</c:v>
                </c:pt>
                <c:pt idx="1217">
                  <c:v>30792.87</c:v>
                </c:pt>
                <c:pt idx="1218">
                  <c:v>30971.88</c:v>
                </c:pt>
                <c:pt idx="1219">
                  <c:v>30627.65</c:v>
                </c:pt>
                <c:pt idx="1220">
                  <c:v>30669.26</c:v>
                </c:pt>
                <c:pt idx="1221">
                  <c:v>31000.52</c:v>
                </c:pt>
                <c:pt idx="1222">
                  <c:v>31229.36</c:v>
                </c:pt>
                <c:pt idx="1223">
                  <c:v>31176.58</c:v>
                </c:pt>
                <c:pt idx="1224">
                  <c:v>31164.35</c:v>
                </c:pt>
                <c:pt idx="1225">
                  <c:v>31634.17</c:v>
                </c:pt>
                <c:pt idx="1226">
                  <c:v>31521.33</c:v>
                </c:pt>
                <c:pt idx="1227">
                  <c:v>31818.3</c:v>
                </c:pt>
                <c:pt idx="1228">
                  <c:v>31578.03</c:v>
                </c:pt>
                <c:pt idx="1229">
                  <c:v>31575.65</c:v>
                </c:pt>
                <c:pt idx="1230">
                  <c:v>31877.77</c:v>
                </c:pt>
                <c:pt idx="1231">
                  <c:v>32322.1</c:v>
                </c:pt>
                <c:pt idx="1232">
                  <c:v>32565.73</c:v>
                </c:pt>
                <c:pt idx="1233">
                  <c:v>32389.91</c:v>
                </c:pt>
                <c:pt idx="1234">
                  <c:v>32384.41</c:v>
                </c:pt>
                <c:pt idx="1235">
                  <c:v>31980.11</c:v>
                </c:pt>
                <c:pt idx="1236">
                  <c:v>31793.59</c:v>
                </c:pt>
                <c:pt idx="1237">
                  <c:v>31731.05</c:v>
                </c:pt>
                <c:pt idx="1238">
                  <c:v>31344.53</c:v>
                </c:pt>
                <c:pt idx="1239">
                  <c:v>31794.13</c:v>
                </c:pt>
                <c:pt idx="1240">
                  <c:v>31918.93</c:v>
                </c:pt>
                <c:pt idx="1241">
                  <c:v>31843.91</c:v>
                </c:pt>
                <c:pt idx="1242">
                  <c:v>32156.01</c:v>
                </c:pt>
                <c:pt idx="1243">
                  <c:v>31959.93</c:v>
                </c:pt>
                <c:pt idx="1244">
                  <c:v>31681.83</c:v>
                </c:pt>
                <c:pt idx="1245">
                  <c:v>32051.35</c:v>
                </c:pt>
                <c:pt idx="1246">
                  <c:v>32085.56</c:v>
                </c:pt>
                <c:pt idx="1247">
                  <c:v>31609.78</c:v>
                </c:pt>
                <c:pt idx="1248">
                  <c:v>31878.83</c:v>
                </c:pt>
                <c:pt idx="1249">
                  <c:v>31582.14</c:v>
                </c:pt>
                <c:pt idx="1250">
                  <c:v>31856.64</c:v>
                </c:pt>
                <c:pt idx="1251">
                  <c:v>32325.83</c:v>
                </c:pt>
                <c:pt idx="1252">
                  <c:v>32836.23</c:v>
                </c:pt>
                <c:pt idx="1253">
                  <c:v>32659.95</c:v>
                </c:pt>
                <c:pt idx="1254">
                  <c:v>32668.15</c:v>
                </c:pt>
                <c:pt idx="1255">
                  <c:v>32658.86</c:v>
                </c:pt>
                <c:pt idx="1256">
                  <c:v>32526.3</c:v>
                </c:pt>
                <c:pt idx="1257">
                  <c:v>31837.06</c:v>
                </c:pt>
                <c:pt idx="1258">
                  <c:v>31388.63</c:v>
                </c:pt>
                <c:pt idx="1259">
                  <c:v>32227.66</c:v>
                </c:pt>
                <c:pt idx="1260">
                  <c:v>32418.33</c:v>
                </c:pt>
                <c:pt idx="1261">
                  <c:v>32353.79</c:v>
                </c:pt>
                <c:pt idx="1262">
                  <c:v>32239.87</c:v>
                </c:pt>
                <c:pt idx="1263">
                  <c:v>32814.43</c:v>
                </c:pt>
                <c:pt idx="1264">
                  <c:v>32806.27</c:v>
                </c:pt>
                <c:pt idx="1265">
                  <c:v>32633.25</c:v>
                </c:pt>
                <c:pt idx="1266">
                  <c:v>32887.47</c:v>
                </c:pt>
                <c:pt idx="1267">
                  <c:v>32630.86</c:v>
                </c:pt>
                <c:pt idx="1268">
                  <c:v>32437.77</c:v>
                </c:pt>
                <c:pt idx="1269">
                  <c:v>32385.32</c:v>
                </c:pt>
                <c:pt idx="1270">
                  <c:v>32204.06</c:v>
                </c:pt>
                <c:pt idx="1271">
                  <c:v>32274.61</c:v>
                </c:pt>
                <c:pt idx="1272">
                  <c:v>31718.01</c:v>
                </c:pt>
                <c:pt idx="1273">
                  <c:v>31377.12</c:v>
                </c:pt>
                <c:pt idx="1274">
                  <c:v>31595.89</c:v>
                </c:pt>
                <c:pt idx="1275">
                  <c:v>31647.69</c:v>
                </c:pt>
                <c:pt idx="1276">
                  <c:v>31215.55</c:v>
                </c:pt>
                <c:pt idx="1277">
                  <c:v>30868.31</c:v>
                </c:pt>
                <c:pt idx="1278">
                  <c:v>30677.08</c:v>
                </c:pt>
                <c:pt idx="1279">
                  <c:v>30718.55</c:v>
                </c:pt>
                <c:pt idx="1280">
                  <c:v>30612.41</c:v>
                </c:pt>
                <c:pt idx="1281">
                  <c:v>30193.95</c:v>
                </c:pt>
                <c:pt idx="1282">
                  <c:v>30878.58</c:v>
                </c:pt>
                <c:pt idx="1283">
                  <c:v>31173.86</c:v>
                </c:pt>
                <c:pt idx="1284">
                  <c:v>30898.94</c:v>
                </c:pt>
                <c:pt idx="1285">
                  <c:v>31820.37</c:v>
                </c:pt>
                <c:pt idx="1286">
                  <c:v>31827.42</c:v>
                </c:pt>
                <c:pt idx="1287">
                  <c:v>32298.21</c:v>
                </c:pt>
                <c:pt idx="1288">
                  <c:v>32337.06</c:v>
                </c:pt>
                <c:pt idx="1289">
                  <c:v>32350.12</c:v>
                </c:pt>
                <c:pt idx="1290">
                  <c:v>31973.09</c:v>
                </c:pt>
                <c:pt idx="1291">
                  <c:v>32050.73</c:v>
                </c:pt>
                <c:pt idx="1292">
                  <c:v>32272.09</c:v>
                </c:pt>
                <c:pt idx="1293">
                  <c:v>31965.59</c:v>
                </c:pt>
                <c:pt idx="1294">
                  <c:v>31706.47</c:v>
                </c:pt>
                <c:pt idx="1295">
                  <c:v>31932.07</c:v>
                </c:pt>
                <c:pt idx="1296">
                  <c:v>32444.2</c:v>
                </c:pt>
                <c:pt idx="1297">
                  <c:v>32806.67</c:v>
                </c:pt>
                <c:pt idx="1298">
                  <c:v>32514.03</c:v>
                </c:pt>
                <c:pt idx="1299">
                  <c:v>32722.91</c:v>
                </c:pt>
                <c:pt idx="1300">
                  <c:v>32778.12</c:v>
                </c:pt>
                <c:pt idx="1301">
                  <c:v>33060.28</c:v>
                </c:pt>
                <c:pt idx="1302">
                  <c:v>33094.06</c:v>
                </c:pt>
                <c:pt idx="1303">
                  <c:v>32954.33</c:v>
                </c:pt>
                <c:pt idx="1304">
                  <c:v>32409.48</c:v>
                </c:pt>
                <c:pt idx="1305">
                  <c:v>32677.56</c:v>
                </c:pt>
                <c:pt idx="1306">
                  <c:v>32788.86</c:v>
                </c:pt>
                <c:pt idx="1307">
                  <c:v>32800.23</c:v>
                </c:pt>
                <c:pt idx="1308">
                  <c:v>32902.52</c:v>
                </c:pt>
                <c:pt idx="1309">
                  <c:v>32794.84</c:v>
                </c:pt>
                <c:pt idx="1310">
                  <c:v>32487.61</c:v>
                </c:pt>
                <c:pt idx="1311">
                  <c:v>31838.16</c:v>
                </c:pt>
                <c:pt idx="1312">
                  <c:v>31398.75</c:v>
                </c:pt>
                <c:pt idx="1313">
                  <c:v>31543.05</c:v>
                </c:pt>
                <c:pt idx="1314">
                  <c:v>32138.54</c:v>
                </c:pt>
                <c:pt idx="1315">
                  <c:v>31965.24</c:v>
                </c:pt>
                <c:pt idx="1316">
                  <c:v>31656.63</c:v>
                </c:pt>
                <c:pt idx="1317">
                  <c:v>31869.06</c:v>
                </c:pt>
                <c:pt idx="1318">
                  <c:v>32140.01</c:v>
                </c:pt>
                <c:pt idx="1319">
                  <c:v>31837.14</c:v>
                </c:pt>
                <c:pt idx="1320">
                  <c:v>32363.75</c:v>
                </c:pt>
                <c:pt idx="1321">
                  <c:v>32559.72</c:v>
                </c:pt>
                <c:pt idx="1322">
                  <c:v>32316.2</c:v>
                </c:pt>
                <c:pt idx="1323">
                  <c:v>32661.06</c:v>
                </c:pt>
                <c:pt idx="1324">
                  <c:v>32632.15</c:v>
                </c:pt>
                <c:pt idx="1325">
                  <c:v>32483.94</c:v>
                </c:pt>
                <c:pt idx="1326">
                  <c:v>32162.15</c:v>
                </c:pt>
                <c:pt idx="1327">
                  <c:v>31698.49</c:v>
                </c:pt>
                <c:pt idx="1328">
                  <c:v>31929.72</c:v>
                </c:pt>
                <c:pt idx="1329">
                  <c:v>32115.88</c:v>
                </c:pt>
                <c:pt idx="1330">
                  <c:v>32010.53</c:v>
                </c:pt>
                <c:pt idx="1331">
                  <c:v>32427.4</c:v>
                </c:pt>
                <c:pt idx="1332">
                  <c:v>32308.11</c:v>
                </c:pt>
                <c:pt idx="1333">
                  <c:v>32118.89</c:v>
                </c:pt>
                <c:pt idx="1334">
                  <c:v>32210.04</c:v>
                </c:pt>
                <c:pt idx="1335">
                  <c:v>32123.4</c:v>
                </c:pt>
                <c:pt idx="1336">
                  <c:v>32012.31</c:v>
                </c:pt>
                <c:pt idx="1337">
                  <c:v>32037.06</c:v>
                </c:pt>
                <c:pt idx="1338">
                  <c:v>32127.31</c:v>
                </c:pt>
                <c:pt idx="1339">
                  <c:v>32058.97</c:v>
                </c:pt>
                <c:pt idx="1340">
                  <c:v>32063.81</c:v>
                </c:pt>
                <c:pt idx="1341">
                  <c:v>31732.52</c:v>
                </c:pt>
                <c:pt idx="1342">
                  <c:v>31631.07</c:v>
                </c:pt>
                <c:pt idx="1343">
                  <c:v>31703.61</c:v>
                </c:pt>
                <c:pt idx="1344">
                  <c:v>31666.64</c:v>
                </c:pt>
                <c:pt idx="1345">
                  <c:v>31565.18</c:v>
                </c:pt>
                <c:pt idx="1346">
                  <c:v>31488.81</c:v>
                </c:pt>
                <c:pt idx="1347">
                  <c:v>31617.66</c:v>
                </c:pt>
                <c:pt idx="1348">
                  <c:v>31769.88</c:v>
                </c:pt>
                <c:pt idx="1349">
                  <c:v>31764.37</c:v>
                </c:pt>
                <c:pt idx="1350">
                  <c:v>31655.93</c:v>
                </c:pt>
                <c:pt idx="1351">
                  <c:v>31376.93</c:v>
                </c:pt>
                <c:pt idx="1352">
                  <c:v>31145.18</c:v>
                </c:pt>
                <c:pt idx="1353">
                  <c:v>30787.32</c:v>
                </c:pt>
                <c:pt idx="1354">
                  <c:v>30266.4</c:v>
                </c:pt>
                <c:pt idx="1355">
                  <c:v>30716.24</c:v>
                </c:pt>
                <c:pt idx="1356">
                  <c:v>31181.38</c:v>
                </c:pt>
                <c:pt idx="1357">
                  <c:v>31298.22</c:v>
                </c:pt>
                <c:pt idx="1358">
                  <c:v>31112.49</c:v>
                </c:pt>
                <c:pt idx="1359">
                  <c:v>30895.07</c:v>
                </c:pt>
                <c:pt idx="1360">
                  <c:v>31403.81</c:v>
                </c:pt>
                <c:pt idx="1361">
                  <c:v>31398.82</c:v>
                </c:pt>
                <c:pt idx="1362">
                  <c:v>31574.0</c:v>
                </c:pt>
                <c:pt idx="1363">
                  <c:v>31345.17</c:v>
                </c:pt>
                <c:pt idx="1364">
                  <c:v>31419.68</c:v>
                </c:pt>
                <c:pt idx="1365">
                  <c:v>31816.61</c:v>
                </c:pt>
                <c:pt idx="1366">
                  <c:v>31692.8</c:v>
                </c:pt>
                <c:pt idx="1367">
                  <c:v>31560.07</c:v>
                </c:pt>
                <c:pt idx="1368">
                  <c:v>31517.83</c:v>
                </c:pt>
                <c:pt idx="1369">
                  <c:v>31662.14</c:v>
                </c:pt>
                <c:pt idx="1370">
                  <c:v>31388.98</c:v>
                </c:pt>
                <c:pt idx="1371">
                  <c:v>31456.46</c:v>
                </c:pt>
                <c:pt idx="1372">
                  <c:v>31327.9</c:v>
                </c:pt>
                <c:pt idx="1373">
                  <c:v>30817.97</c:v>
                </c:pt>
                <c:pt idx="1374">
                  <c:v>30609.63</c:v>
                </c:pt>
                <c:pt idx="1375">
                  <c:v>30637.96</c:v>
                </c:pt>
                <c:pt idx="1376">
                  <c:v>30430.9</c:v>
                </c:pt>
                <c:pt idx="1377">
                  <c:v>30186.58</c:v>
                </c:pt>
                <c:pt idx="1378">
                  <c:v>29955.84</c:v>
                </c:pt>
                <c:pt idx="1379">
                  <c:v>30133.78</c:v>
                </c:pt>
                <c:pt idx="1380">
                  <c:v>30262.64</c:v>
                </c:pt>
                <c:pt idx="1381">
                  <c:v>30118.16</c:v>
                </c:pt>
                <c:pt idx="1382">
                  <c:v>30439.46</c:v>
                </c:pt>
                <c:pt idx="1383">
                  <c:v>30080.5</c:v>
                </c:pt>
                <c:pt idx="1384">
                  <c:v>30003.08</c:v>
                </c:pt>
                <c:pt idx="1385">
                  <c:v>30177.05</c:v>
                </c:pt>
                <c:pt idx="1386">
                  <c:v>30065.99</c:v>
                </c:pt>
                <c:pt idx="1387">
                  <c:v>30251.34</c:v>
                </c:pt>
                <c:pt idx="1388">
                  <c:v>30267.46</c:v>
                </c:pt>
                <c:pt idx="1389">
                  <c:v>29779.15</c:v>
                </c:pt>
                <c:pt idx="1390">
                  <c:v>29747.11</c:v>
                </c:pt>
                <c:pt idx="1391">
                  <c:v>29647.99</c:v>
                </c:pt>
                <c:pt idx="1392">
                  <c:v>29524.11</c:v>
                </c:pt>
                <c:pt idx="1393">
                  <c:v>29697.98</c:v>
                </c:pt>
                <c:pt idx="1394">
                  <c:v>29569.04</c:v>
                </c:pt>
                <c:pt idx="1395">
                  <c:v>29294.97</c:v>
                </c:pt>
                <c:pt idx="1396">
                  <c:v>29266.73</c:v>
                </c:pt>
                <c:pt idx="1397">
                  <c:v>29456.04</c:v>
                </c:pt>
                <c:pt idx="1398">
                  <c:v>29069.83</c:v>
                </c:pt>
                <c:pt idx="1399">
                  <c:v>28972.47</c:v>
                </c:pt>
                <c:pt idx="1400">
                  <c:v>28959.42</c:v>
                </c:pt>
                <c:pt idx="1401">
                  <c:v>28714.77</c:v>
                </c:pt>
                <c:pt idx="1402">
                  <c:v>28722.72</c:v>
                </c:pt>
                <c:pt idx="1403">
                  <c:v>28724.74</c:v>
                </c:pt>
                <c:pt idx="1404">
                  <c:v>28710.93</c:v>
                </c:pt>
                <c:pt idx="1405">
                  <c:v>28413.56</c:v>
                </c:pt>
                <c:pt idx="1406">
                  <c:v>28464.93</c:v>
                </c:pt>
                <c:pt idx="1407">
                  <c:v>28502.08</c:v>
                </c:pt>
                <c:pt idx="1408">
                  <c:v>28502.19</c:v>
                </c:pt>
                <c:pt idx="1409">
                  <c:v>28491.34</c:v>
                </c:pt>
                <c:pt idx="1410">
                  <c:v>28087.1</c:v>
                </c:pt>
                <c:pt idx="1411">
                  <c:v>27984.93</c:v>
                </c:pt>
                <c:pt idx="1412">
                  <c:v>27911.14</c:v>
                </c:pt>
                <c:pt idx="1413">
                  <c:v>27665.29</c:v>
                </c:pt>
                <c:pt idx="1414">
                  <c:v>27980.6</c:v>
                </c:pt>
                <c:pt idx="1415">
                  <c:v>27942.89</c:v>
                </c:pt>
                <c:pt idx="1416">
                  <c:v>27840.98</c:v>
                </c:pt>
                <c:pt idx="1417">
                  <c:v>27979.26</c:v>
                </c:pt>
                <c:pt idx="1418">
                  <c:v>27253.87</c:v>
                </c:pt>
                <c:pt idx="1419">
                  <c:v>27142.0</c:v>
                </c:pt>
                <c:pt idx="1420">
                  <c:v>26738.91</c:v>
                </c:pt>
                <c:pt idx="1421">
                  <c:v>26873.08</c:v>
                </c:pt>
                <c:pt idx="1422">
                  <c:v>26470.47</c:v>
                </c:pt>
                <c:pt idx="1423">
                  <c:v>27069.73</c:v>
                </c:pt>
                <c:pt idx="1424">
                  <c:v>27361.7</c:v>
                </c:pt>
                <c:pt idx="1425">
                  <c:v>26989.63</c:v>
                </c:pt>
                <c:pt idx="1426">
                  <c:v>27148.75</c:v>
                </c:pt>
                <c:pt idx="1427">
                  <c:v>27287.09</c:v>
                </c:pt>
                <c:pt idx="1428">
                  <c:v>27680.73</c:v>
                </c:pt>
                <c:pt idx="1429">
                  <c:v>27583.09</c:v>
                </c:pt>
                <c:pt idx="1430">
                  <c:v>27526.23</c:v>
                </c:pt>
                <c:pt idx="1431">
                  <c:v>27467.15</c:v>
                </c:pt>
                <c:pt idx="1432">
                  <c:v>27461.76</c:v>
                </c:pt>
                <c:pt idx="1433">
                  <c:v>27917.7</c:v>
                </c:pt>
                <c:pt idx="1434">
                  <c:v>28282.12</c:v>
                </c:pt>
                <c:pt idx="1435">
                  <c:v>28527.88</c:v>
                </c:pt>
                <c:pt idx="1436">
                  <c:v>28540.46</c:v>
                </c:pt>
                <c:pt idx="1437">
                  <c:v>28627.17</c:v>
                </c:pt>
                <c:pt idx="1438">
                  <c:v>28883.19</c:v>
                </c:pt>
                <c:pt idx="1439">
                  <c:v>28355.21</c:v>
                </c:pt>
                <c:pt idx="1440">
                  <c:v>28550.07</c:v>
                </c:pt>
                <c:pt idx="1441">
                  <c:v>28367.26</c:v>
                </c:pt>
                <c:pt idx="1442">
                  <c:v>28461.48</c:v>
                </c:pt>
                <c:pt idx="1443">
                  <c:v>28499.0</c:v>
                </c:pt>
                <c:pt idx="1444">
                  <c:v>28424.17</c:v>
                </c:pt>
                <c:pt idx="1445">
                  <c:v>28274.03</c:v>
                </c:pt>
                <c:pt idx="1446">
                  <c:v>27833.52</c:v>
                </c:pt>
                <c:pt idx="1447">
                  <c:v>27349.61</c:v>
                </c:pt>
                <c:pt idx="1448">
                  <c:v>27329.75</c:v>
                </c:pt>
                <c:pt idx="1449">
                  <c:v>27529.83</c:v>
                </c:pt>
                <c:pt idx="1450">
                  <c:v>27474.68</c:v>
                </c:pt>
                <c:pt idx="1451">
                  <c:v>27443.67</c:v>
                </c:pt>
                <c:pt idx="1452">
                  <c:v>27495.94</c:v>
                </c:pt>
                <c:pt idx="1453">
                  <c:v>27192.31</c:v>
                </c:pt>
                <c:pt idx="1454">
                  <c:v>27272.31</c:v>
                </c:pt>
                <c:pt idx="1455">
                  <c:v>27061.19</c:v>
                </c:pt>
                <c:pt idx="1456">
                  <c:v>26854.92</c:v>
                </c:pt>
                <c:pt idx="1457">
                  <c:v>26723.87</c:v>
                </c:pt>
                <c:pt idx="1458">
                  <c:v>26182.67</c:v>
                </c:pt>
                <c:pt idx="1459">
                  <c:v>26314.56</c:v>
                </c:pt>
                <c:pt idx="1460">
                  <c:v>26009.53</c:v>
                </c:pt>
                <c:pt idx="1461">
                  <c:v>26258.82</c:v>
                </c:pt>
                <c:pt idx="1462">
                  <c:v>26698.7</c:v>
                </c:pt>
                <c:pt idx="1463">
                  <c:v>27289.72</c:v>
                </c:pt>
                <c:pt idx="1464">
                  <c:v>27258.07</c:v>
                </c:pt>
                <c:pt idx="1465">
                  <c:v>27413.65</c:v>
                </c:pt>
                <c:pt idx="1466">
                  <c:v>27617.91</c:v>
                </c:pt>
                <c:pt idx="1467">
                  <c:v>27917.51</c:v>
                </c:pt>
                <c:pt idx="1468">
                  <c:v>28029.33</c:v>
                </c:pt>
                <c:pt idx="1469">
                  <c:v>27761.7</c:v>
                </c:pt>
                <c:pt idx="1470">
                  <c:v>27799.03</c:v>
                </c:pt>
                <c:pt idx="1471">
                  <c:v>27682.72</c:v>
                </c:pt>
                <c:pt idx="1472">
                  <c:v>27446.09</c:v>
                </c:pt>
                <c:pt idx="1473">
                  <c:v>26849.17</c:v>
                </c:pt>
                <c:pt idx="1474">
                  <c:v>27133.87</c:v>
                </c:pt>
                <c:pt idx="1475">
                  <c:v>26650.86</c:v>
                </c:pt>
                <c:pt idx="1476">
                  <c:v>26019.71</c:v>
                </c:pt>
                <c:pt idx="1477">
                  <c:v>26193.37</c:v>
                </c:pt>
                <c:pt idx="1478">
                  <c:v>26558.14</c:v>
                </c:pt>
                <c:pt idx="1479">
                  <c:v>27135.78</c:v>
                </c:pt>
                <c:pt idx="1480">
                  <c:v>27248.11</c:v>
                </c:pt>
                <c:pt idx="1481">
                  <c:v>27309.06</c:v>
                </c:pt>
                <c:pt idx="1482">
                  <c:v>27145.36</c:v>
                </c:pt>
                <c:pt idx="1483">
                  <c:v>27202.72</c:v>
                </c:pt>
                <c:pt idx="1484">
                  <c:v>27449.74</c:v>
                </c:pt>
                <c:pt idx="1485">
                  <c:v>27047.51</c:v>
                </c:pt>
                <c:pt idx="1486">
                  <c:v>26179.84</c:v>
                </c:pt>
                <c:pt idx="1487">
                  <c:v>26777.79</c:v>
                </c:pt>
                <c:pt idx="1488">
                  <c:v>26258.21</c:v>
                </c:pt>
                <c:pt idx="1489">
                  <c:v>26337.51</c:v>
                </c:pt>
                <c:pt idx="1490">
                  <c:v>27175.04</c:v>
                </c:pt>
                <c:pt idx="1491">
                  <c:v>27573.83</c:v>
                </c:pt>
                <c:pt idx="1492">
                  <c:v>27306.74</c:v>
                </c:pt>
                <c:pt idx="1493">
                  <c:v>27342.35</c:v>
                </c:pt>
                <c:pt idx="1494">
                  <c:v>28041.85</c:v>
                </c:pt>
                <c:pt idx="1495">
                  <c:v>28178.23</c:v>
                </c:pt>
                <c:pt idx="1496">
                  <c:v>27513.98</c:v>
                </c:pt>
                <c:pt idx="1497">
                  <c:v>27661.61</c:v>
                </c:pt>
                <c:pt idx="1498">
                  <c:v>26515.07</c:v>
                </c:pt>
                <c:pt idx="1499">
                  <c:v>27512.83</c:v>
                </c:pt>
                <c:pt idx="1500">
                  <c:v>27616.68</c:v>
                </c:pt>
                <c:pt idx="1501">
                  <c:v>27935.85</c:v>
                </c:pt>
                <c:pt idx="1503">
                  <c:v>28630.82</c:v>
                </c:pt>
                <c:pt idx="1504">
                  <c:v>28635.76</c:v>
                </c:pt>
                <c:pt idx="1505">
                  <c:v>28716.27</c:v>
                </c:pt>
                <c:pt idx="1506">
                  <c:v>28524.78</c:v>
                </c:pt>
                <c:pt idx="1507">
                  <c:v>29309.47</c:v>
                </c:pt>
                <c:pt idx="1508">
                  <c:v>28931.4</c:v>
                </c:pt>
                <c:pt idx="1509">
                  <c:v>28822.34</c:v>
                </c:pt>
                <c:pt idx="1510">
                  <c:v>28938.78</c:v>
                </c:pt>
                <c:pt idx="1511">
                  <c:v>29012.46</c:v>
                </c:pt>
                <c:pt idx="1512">
                  <c:v>28731.02</c:v>
                </c:pt>
                <c:pt idx="1513">
                  <c:v>29054.4</c:v>
                </c:pt>
                <c:pt idx="1514">
                  <c:v>29565.1</c:v>
                </c:pt>
                <c:pt idx="1515">
                  <c:v>29499.7</c:v>
                </c:pt>
                <c:pt idx="1516">
                  <c:v>28941.83</c:v>
                </c:pt>
                <c:pt idx="1517">
                  <c:v>29210.09</c:v>
                </c:pt>
                <c:pt idx="1518">
                  <c:v>29357.5</c:v>
                </c:pt>
                <c:pt idx="1519">
                  <c:v>29030.38</c:v>
                </c:pt>
                <c:pt idx="1520">
                  <c:v>29265.17</c:v>
                </c:pt>
                <c:pt idx="1521">
                  <c:v>29367.74</c:v>
                </c:pt>
                <c:pt idx="1522">
                  <c:v>29020.02</c:v>
                </c:pt>
                <c:pt idx="1523">
                  <c:v>28747.56</c:v>
                </c:pt>
                <c:pt idx="1524">
                  <c:v>28735.26</c:v>
                </c:pt>
                <c:pt idx="1525">
                  <c:v>28705.82</c:v>
                </c:pt>
                <c:pt idx="1526">
                  <c:v>28583.45</c:v>
                </c:pt>
                <c:pt idx="1527">
                  <c:v>28555.53</c:v>
                </c:pt>
                <c:pt idx="1528">
                  <c:v>28401.68</c:v>
                </c:pt>
                <c:pt idx="1529">
                  <c:v>28451.01</c:v>
                </c:pt>
                <c:pt idx="1530">
                  <c:v>28544.15</c:v>
                </c:pt>
                <c:pt idx="1531">
                  <c:v>28806.14</c:v>
                </c:pt>
                <c:pt idx="1532">
                  <c:v>28530.94</c:v>
                </c:pt>
                <c:pt idx="1533">
                  <c:v>28252.59</c:v>
                </c:pt>
                <c:pt idx="1534">
                  <c:v>28032.87</c:v>
                </c:pt>
                <c:pt idx="1535">
                  <c:v>28262.4</c:v>
                </c:pt>
                <c:pt idx="1536">
                  <c:v>27911.43</c:v>
                </c:pt>
                <c:pt idx="1537">
                  <c:v>28087.67</c:v>
                </c:pt>
                <c:pt idx="1538">
                  <c:v>27898.14</c:v>
                </c:pt>
                <c:pt idx="1539">
                  <c:v>28116.69</c:v>
                </c:pt>
                <c:pt idx="1540">
                  <c:v>27904.65</c:v>
                </c:pt>
                <c:pt idx="1541">
                  <c:v>27774.1</c:v>
                </c:pt>
                <c:pt idx="1542">
                  <c:v>27683.65</c:v>
                </c:pt>
                <c:pt idx="1543">
                  <c:v>27371.92</c:v>
                </c:pt>
                <c:pt idx="1544">
                  <c:v>27026.02</c:v>
                </c:pt>
                <c:pt idx="1545">
                  <c:v>26764.61</c:v>
                </c:pt>
                <c:pt idx="1546">
                  <c:v>26731.85</c:v>
                </c:pt>
                <c:pt idx="1547">
                  <c:v>26933.08</c:v>
                </c:pt>
                <c:pt idx="1548">
                  <c:v>27055.5</c:v>
                </c:pt>
                <c:pt idx="1549">
                  <c:v>27284.16</c:v>
                </c:pt>
                <c:pt idx="1550">
                  <c:v>27069.13</c:v>
                </c:pt>
                <c:pt idx="1551">
                  <c:v>27280.58</c:v>
                </c:pt>
                <c:pt idx="1552">
                  <c:v>27192.58</c:v>
                </c:pt>
                <c:pt idx="1553">
                  <c:v>26939.8</c:v>
                </c:pt>
                <c:pt idx="1554">
                  <c:v>26701.36</c:v>
                </c:pt>
                <c:pt idx="1555">
                  <c:v>26262.41</c:v>
                </c:pt>
                <c:pt idx="1556">
                  <c:v>26350.6</c:v>
                </c:pt>
                <c:pt idx="1557">
                  <c:v>26359.17</c:v>
                </c:pt>
                <c:pt idx="1558">
                  <c:v>26455.1</c:v>
                </c:pt>
                <c:pt idx="1559">
                  <c:v>26041.96</c:v>
                </c:pt>
                <c:pt idx="1560">
                  <c:v>25793.06</c:v>
                </c:pt>
                <c:pt idx="1561">
                  <c:v>26318.36</c:v>
                </c:pt>
                <c:pt idx="1562">
                  <c:v>26926.46</c:v>
                </c:pt>
                <c:pt idx="1563">
                  <c:v>26812.25</c:v>
                </c:pt>
                <c:pt idx="1564">
                  <c:v>26487.48</c:v>
                </c:pt>
                <c:pt idx="1565">
                  <c:v>26675.95</c:v>
                </c:pt>
                <c:pt idx="1566">
                  <c:v>26795.3</c:v>
                </c:pt>
                <c:pt idx="1567">
                  <c:v>26802.13</c:v>
                </c:pt>
                <c:pt idx="1568">
                  <c:v>26652.05</c:v>
                </c:pt>
                <c:pt idx="1569">
                  <c:v>27080.04</c:v>
                </c:pt>
                <c:pt idx="1570">
                  <c:v>27063.24</c:v>
                </c:pt>
                <c:pt idx="1571">
                  <c:v>27489.85</c:v>
                </c:pt>
                <c:pt idx="1572">
                  <c:v>27901.74</c:v>
                </c:pt>
                <c:pt idx="1573">
                  <c:v>28086.66</c:v>
                </c:pt>
                <c:pt idx="1574">
                  <c:v>28099.7</c:v>
                </c:pt>
                <c:pt idx="1575">
                  <c:v>27929.22</c:v>
                </c:pt>
                <c:pt idx="1576">
                  <c:v>28141.8</c:v>
                </c:pt>
                <c:pt idx="1577">
                  <c:v>28067.0</c:v>
                </c:pt>
                <c:pt idx="1578">
                  <c:v>28057.68</c:v>
                </c:pt>
                <c:pt idx="1579">
                  <c:v>28346.78</c:v>
                </c:pt>
                <c:pt idx="1580">
                  <c:v>28266.54</c:v>
                </c:pt>
                <c:pt idx="1581">
                  <c:v>28017.81</c:v>
                </c:pt>
                <c:pt idx="1582">
                  <c:v>28080.36</c:v>
                </c:pt>
                <c:pt idx="1583">
                  <c:v>27998.87</c:v>
                </c:pt>
                <c:pt idx="1584">
                  <c:v>27895.19</c:v>
                </c:pt>
                <c:pt idx="1585">
                  <c:v>27666.45</c:v>
                </c:pt>
                <c:pt idx="1586">
                  <c:v>27475.25</c:v>
                </c:pt>
                <c:pt idx="1587">
                  <c:v>27655.21</c:v>
                </c:pt>
                <c:pt idx="1588">
                  <c:v>27888.91</c:v>
                </c:pt>
                <c:pt idx="1589">
                  <c:v>27580.22</c:v>
                </c:pt>
                <c:pt idx="1590">
                  <c:v>27607.92</c:v>
                </c:pt>
                <c:pt idx="1591">
                  <c:v>27621.93</c:v>
                </c:pt>
                <c:pt idx="1592">
                  <c:v>27495.42</c:v>
                </c:pt>
                <c:pt idx="1593">
                  <c:v>27346.0</c:v>
                </c:pt>
                <c:pt idx="1594">
                  <c:v>27130.01</c:v>
                </c:pt>
                <c:pt idx="1595">
                  <c:v>27098.45</c:v>
                </c:pt>
                <c:pt idx="1596">
                  <c:v>27240.75</c:v>
                </c:pt>
                <c:pt idx="1597">
                  <c:v>27108.89</c:v>
                </c:pt>
                <c:pt idx="1598">
                  <c:v>26901.28</c:v>
                </c:pt>
                <c:pt idx="1599">
                  <c:v>26730.06</c:v>
                </c:pt>
                <c:pt idx="1600">
                  <c:v>26990.92</c:v>
                </c:pt>
                <c:pt idx="1601">
                  <c:v>27144.49</c:v>
                </c:pt>
                <c:pt idx="1602">
                  <c:v>27390.31</c:v>
                </c:pt>
                <c:pt idx="1603">
                  <c:v>27314.09</c:v>
                </c:pt>
                <c:pt idx="1604">
                  <c:v>27429.76</c:v>
                </c:pt>
                <c:pt idx="1605">
                  <c:v>27277.5</c:v>
                </c:pt>
                <c:pt idx="1606">
                  <c:v>26894.74</c:v>
                </c:pt>
                <c:pt idx="1607">
                  <c:v>26808.74</c:v>
                </c:pt>
                <c:pt idx="1608">
                  <c:v>27025.61</c:v>
                </c:pt>
                <c:pt idx="1609">
                  <c:v>27489.24</c:v>
                </c:pt>
                <c:pt idx="1610">
                  <c:v>27377.54</c:v>
                </c:pt>
                <c:pt idx="1611">
                  <c:v>27423.47</c:v>
                </c:pt>
                <c:pt idx="1612">
                  <c:v>26929.25</c:v>
                </c:pt>
                <c:pt idx="1613">
                  <c:v>27059.21</c:v>
                </c:pt>
                <c:pt idx="1614">
                  <c:v>27210.64</c:v>
                </c:pt>
                <c:pt idx="1615">
                  <c:v>27246.4</c:v>
                </c:pt>
                <c:pt idx="1616">
                  <c:v>27104.29</c:v>
                </c:pt>
                <c:pt idx="1617">
                  <c:v>26695.24</c:v>
                </c:pt>
                <c:pt idx="1618">
                  <c:v>26687.98</c:v>
                </c:pt>
                <c:pt idx="1619">
                  <c:v>26662.54</c:v>
                </c:pt>
                <c:pt idx="1620">
                  <c:v>26375.93</c:v>
                </c:pt>
                <c:pt idx="1621">
                  <c:v>26345.01</c:v>
                </c:pt>
                <c:pt idx="1622">
                  <c:v>25933.45</c:v>
                </c:pt>
                <c:pt idx="1623">
                  <c:v>25897.8</c:v>
                </c:pt>
                <c:pt idx="1624">
                  <c:v>25924.5</c:v>
                </c:pt>
                <c:pt idx="1625">
                  <c:v>25755.6</c:v>
                </c:pt>
                <c:pt idx="1626">
                  <c:v>26112.73</c:v>
                </c:pt>
                <c:pt idx="1627">
                  <c:v>26360.55</c:v>
                </c:pt>
                <c:pt idx="1628">
                  <c:v>26549.41</c:v>
                </c:pt>
                <c:pt idx="1629">
                  <c:v>26056.48</c:v>
                </c:pt>
                <c:pt idx="1630">
                  <c:v>26518.72</c:v>
                </c:pt>
                <c:pt idx="1631">
                  <c:v>26910.08</c:v>
                </c:pt>
                <c:pt idx="1632">
                  <c:v>26802.07</c:v>
                </c:pt>
                <c:pt idx="1633">
                  <c:v>26731.89</c:v>
                </c:pt>
                <c:pt idx="1634">
                  <c:v>26564.65</c:v>
                </c:pt>
                <c:pt idx="1635">
                  <c:v>26444.03</c:v>
                </c:pt>
                <c:pt idx="1636">
                  <c:v>26425.06</c:v>
                </c:pt>
                <c:pt idx="1637">
                  <c:v>25997.65</c:v>
                </c:pt>
                <c:pt idx="1638">
                  <c:v>26182.65</c:v>
                </c:pt>
                <c:pt idx="1639">
                  <c:v>26056.41</c:v>
                </c:pt>
                <c:pt idx="1640">
                  <c:v>25670.29</c:v>
                </c:pt>
                <c:pt idx="1641">
                  <c:v>25630.16</c:v>
                </c:pt>
                <c:pt idx="1642">
                  <c:v>25380.05</c:v>
                </c:pt>
                <c:pt idx="1643">
                  <c:v>25528.4</c:v>
                </c:pt>
                <c:pt idx="1644">
                  <c:v>25298.97</c:v>
                </c:pt>
                <c:pt idx="1645">
                  <c:v>25019.72</c:v>
                </c:pt>
                <c:pt idx="1646">
                  <c:v>24661.53</c:v>
                </c:pt>
                <c:pt idx="1647">
                  <c:v>24519.76</c:v>
                </c:pt>
                <c:pt idx="1648">
                  <c:v>24966.87</c:v>
                </c:pt>
                <c:pt idx="1649">
                  <c:v>24910.85</c:v>
                </c:pt>
                <c:pt idx="1650">
                  <c:v>24855.11</c:v>
                </c:pt>
                <c:pt idx="1651">
                  <c:v>24993.96</c:v>
                </c:pt>
                <c:pt idx="1652">
                  <c:v>24944.83</c:v>
                </c:pt>
                <c:pt idx="1653">
                  <c:v>25362.93</c:v>
                </c:pt>
                <c:pt idx="1654">
                  <c:v>25456.11</c:v>
                </c:pt>
                <c:pt idx="1655">
                  <c:v>25340.64</c:v>
                </c:pt>
                <c:pt idx="1656">
                  <c:v>25792.05</c:v>
                </c:pt>
                <c:pt idx="1657">
                  <c:v>25920.77</c:v>
                </c:pt>
                <c:pt idx="1658">
                  <c:v>25578.75</c:v>
                </c:pt>
                <c:pt idx="1659">
                  <c:v>25217.56</c:v>
                </c:pt>
                <c:pt idx="1660">
                  <c:v>25164.26</c:v>
                </c:pt>
                <c:pt idx="1661">
                  <c:v>25567.39</c:v>
                </c:pt>
                <c:pt idx="1662">
                  <c:v>25315.86</c:v>
                </c:pt>
                <c:pt idx="1663">
                  <c:v>25085.92</c:v>
                </c:pt>
                <c:pt idx="1664">
                  <c:v>25226.16</c:v>
                </c:pt>
                <c:pt idx="1665">
                  <c:v>25020.93</c:v>
                </c:pt>
                <c:pt idx="1666">
                  <c:v>24719.17</c:v>
                </c:pt>
                <c:pt idx="1667">
                  <c:v>24623.08</c:v>
                </c:pt>
                <c:pt idx="1668">
                  <c:v>24536.21</c:v>
                </c:pt>
                <c:pt idx="1669">
                  <c:v>24812.2</c:v>
                </c:pt>
                <c:pt idx="1670">
                  <c:v>24929.42</c:v>
                </c:pt>
                <c:pt idx="1671">
                  <c:v>25241.25</c:v>
                </c:pt>
                <c:pt idx="1672">
                  <c:v>24994.65</c:v>
                </c:pt>
                <c:pt idx="1673">
                  <c:v>25113.88</c:v>
                </c:pt>
                <c:pt idx="1674">
                  <c:v>25186.1</c:v>
                </c:pt>
                <c:pt idx="1675">
                  <c:v>25274.69</c:v>
                </c:pt>
                <c:pt idx="1676">
                  <c:v>24878.71</c:v>
                </c:pt>
                <c:pt idx="1677">
                  <c:v>24601.69</c:v>
                </c:pt>
                <c:pt idx="1678">
                  <c:v>24259.54</c:v>
                </c:pt>
                <c:pt idx="1679">
                  <c:v>24255.88</c:v>
                </c:pt>
                <c:pt idx="1680">
                  <c:v>24074.12</c:v>
                </c:pt>
                <c:pt idx="1681">
                  <c:v>24815.77</c:v>
                </c:pt>
                <c:pt idx="1682">
                  <c:v>25009.89</c:v>
                </c:pt>
                <c:pt idx="1683">
                  <c:v>24588.45</c:v>
                </c:pt>
                <c:pt idx="1684">
                  <c:v>24681.68</c:v>
                </c:pt>
                <c:pt idx="1685">
                  <c:v>25071.01</c:v>
                </c:pt>
                <c:pt idx="1686">
                  <c:v>25045.68</c:v>
                </c:pt>
                <c:pt idx="1687">
                  <c:v>24908.79</c:v>
                </c:pt>
                <c:pt idx="1688">
                  <c:v>24835.58</c:v>
                </c:pt>
                <c:pt idx="1689">
                  <c:v>24805.91</c:v>
                </c:pt>
                <c:pt idx="1690">
                  <c:v>24258.51</c:v>
                </c:pt>
                <c:pt idx="1691">
                  <c:v>24067.41</c:v>
                </c:pt>
                <c:pt idx="1692">
                  <c:v>23589.29</c:v>
                </c:pt>
                <c:pt idx="1693">
                  <c:v>23768.39</c:v>
                </c:pt>
                <c:pt idx="1694">
                  <c:v>23931.64</c:v>
                </c:pt>
                <c:pt idx="1695">
                  <c:v>23943.98</c:v>
                </c:pt>
                <c:pt idx="1696">
                  <c:v>23913.55</c:v>
                </c:pt>
                <c:pt idx="1697">
                  <c:v>23607.81</c:v>
                </c:pt>
                <c:pt idx="1698">
                  <c:v>23857.98</c:v>
                </c:pt>
                <c:pt idx="1699">
                  <c:v>23655.48</c:v>
                </c:pt>
                <c:pt idx="1700">
                  <c:v>23543.11</c:v>
                </c:pt>
                <c:pt idx="1701">
                  <c:v>23499.99</c:v>
                </c:pt>
                <c:pt idx="1702">
                  <c:v>23569.19</c:v>
                </c:pt>
                <c:pt idx="1703">
                  <c:v>22956.47</c:v>
                </c:pt>
                <c:pt idx="1704">
                  <c:v>22469.77</c:v>
                </c:pt>
                <c:pt idx="1705">
                  <c:v>22313.41</c:v>
                </c:pt>
                <c:pt idx="1706">
                  <c:v>22157.88</c:v>
                </c:pt>
                <c:pt idx="1707">
                  <c:v>22014.05</c:v>
                </c:pt>
                <c:pt idx="1708">
                  <c:v>21880.64</c:v>
                </c:pt>
                <c:pt idx="1709">
                  <c:v>21665.9</c:v>
                </c:pt>
                <c:pt idx="1710">
                  <c:v>22234.35</c:v>
                </c:pt>
                <c:pt idx="1711">
                  <c:v>22185.47</c:v>
                </c:pt>
                <c:pt idx="1712">
                  <c:v>22710.16</c:v>
                </c:pt>
                <c:pt idx="1713">
                  <c:v>22049.42</c:v>
                </c:pt>
                <c:pt idx="1714">
                  <c:v>22304.23</c:v>
                </c:pt>
                <c:pt idx="1715">
                  <c:v>22308.28</c:v>
                </c:pt>
                <c:pt idx="1716">
                  <c:v>22156.17</c:v>
                </c:pt>
                <c:pt idx="1717">
                  <c:v>22391.38</c:v>
                </c:pt>
                <c:pt idx="1718">
                  <c:v>21842.45</c:v>
                </c:pt>
                <c:pt idx="1719">
                  <c:v>21941.34</c:v>
                </c:pt>
                <c:pt idx="1720">
                  <c:v>22394.57</c:v>
                </c:pt>
                <c:pt idx="1721">
                  <c:v>22156.41</c:v>
                </c:pt>
                <c:pt idx="1722">
                  <c:v>21948.66</c:v>
                </c:pt>
                <c:pt idx="1723">
                  <c:v>22618.89</c:v>
                </c:pt>
                <c:pt idx="1724">
                  <c:v>22915.06</c:v>
                </c:pt>
                <c:pt idx="1725">
                  <c:v>23057.32</c:v>
                </c:pt>
                <c:pt idx="1726">
                  <c:v>23286.73</c:v>
                </c:pt>
                <c:pt idx="1727">
                  <c:v>23049.43</c:v>
                </c:pt>
                <c:pt idx="1728">
                  <c:v>22949.09</c:v>
                </c:pt>
                <c:pt idx="1729">
                  <c:v>23166.38</c:v>
                </c:pt>
                <c:pt idx="1730">
                  <c:v>22862.54</c:v>
                </c:pt>
                <c:pt idx="1731">
                  <c:v>23063.18</c:v>
                </c:pt>
                <c:pt idx="1732">
                  <c:v>23661.87</c:v>
                </c:pt>
                <c:pt idx="1733">
                  <c:v>23548.65</c:v>
                </c:pt>
                <c:pt idx="1734">
                  <c:v>22770.62</c:v>
                </c:pt>
                <c:pt idx="1735">
                  <c:v>22315.32</c:v>
                </c:pt>
                <c:pt idx="1736">
                  <c:v>22521.68</c:v>
                </c:pt>
                <c:pt idx="1737">
                  <c:v>22440.84</c:v>
                </c:pt>
                <c:pt idx="1738">
                  <c:v>22407.28</c:v>
                </c:pt>
                <c:pt idx="1739">
                  <c:v>22425.54</c:v>
                </c:pt>
                <c:pt idx="1740">
                  <c:v>22015.59</c:v>
                </c:pt>
                <c:pt idx="1741">
                  <c:v>22674.2</c:v>
                </c:pt>
                <c:pt idx="1742">
                  <c:v>22398.38</c:v>
                </c:pt>
                <c:pt idx="1743">
                  <c:v>21945.12</c:v>
                </c:pt>
                <c:pt idx="1744">
                  <c:v>21705.14</c:v>
                </c:pt>
                <c:pt idx="1745">
                  <c:v>21396.35</c:v>
                </c:pt>
                <c:pt idx="1746">
                  <c:v>21289.67</c:v>
                </c:pt>
                <c:pt idx="1747">
                  <c:v>21930.52</c:v>
                </c:pt>
                <c:pt idx="1748">
                  <c:v>21861.99</c:v>
                </c:pt>
                <c:pt idx="1749">
                  <c:v>21840.51</c:v>
                </c:pt>
                <c:pt idx="1750">
                  <c:v>21539.81</c:v>
                </c:pt>
                <c:pt idx="1751">
                  <c:v>21783.43</c:v>
                </c:pt>
                <c:pt idx="1752">
                  <c:v>21331.94</c:v>
                </c:pt>
                <c:pt idx="1753">
                  <c:v>21383.43</c:v>
                </c:pt>
                <c:pt idx="1754">
                  <c:v>20647.03</c:v>
                </c:pt>
                <c:pt idx="1755">
                  <c:v>20481.77</c:v>
                </c:pt>
                <c:pt idx="1756">
                  <c:v>20281.12</c:v>
                </c:pt>
                <c:pt idx="1757">
                  <c:v>20675.13</c:v>
                </c:pt>
                <c:pt idx="1758">
                  <c:v>20322.48</c:v>
                </c:pt>
                <c:pt idx="1759">
                  <c:v>19798.43</c:v>
                </c:pt>
                <c:pt idx="1760">
                  <c:v>20092.64</c:v>
                </c:pt>
                <c:pt idx="1761">
                  <c:v>20814.69</c:v>
                </c:pt>
                <c:pt idx="1762">
                  <c:v>20936.87</c:v>
                </c:pt>
                <c:pt idx="1763">
                  <c:v>21319.91</c:v>
                </c:pt>
                <c:pt idx="1764">
                  <c:v>21431.12</c:v>
                </c:pt>
                <c:pt idx="1765">
                  <c:v>20965.89</c:v>
                </c:pt>
                <c:pt idx="1766">
                  <c:v>20437.39</c:v>
                </c:pt>
                <c:pt idx="1767">
                  <c:v>20492.53</c:v>
                </c:pt>
                <c:pt idx="1768">
                  <c:v>20717.37</c:v>
                </c:pt>
                <c:pt idx="1769">
                  <c:v>21195.49</c:v>
                </c:pt>
                <c:pt idx="1770">
                  <c:v>21403.4</c:v>
                </c:pt>
                <c:pt idx="1771">
                  <c:v>20742.01</c:v>
                </c:pt>
                <c:pt idx="1772">
                  <c:v>20363.91</c:v>
                </c:pt>
                <c:pt idx="1773">
                  <c:v>19929.04</c:v>
                </c:pt>
                <c:pt idx="1774">
                  <c:v>20661.32</c:v>
                </c:pt>
                <c:pt idx="1775">
                  <c:v>21113.73</c:v>
                </c:pt>
                <c:pt idx="1776">
                  <c:v>21257.63</c:v>
                </c:pt>
                <c:pt idx="1777">
                  <c:v>21108.17</c:v>
                </c:pt>
                <c:pt idx="1778">
                  <c:v>21423.18</c:v>
                </c:pt>
                <c:pt idx="1779">
                  <c:v>20802.31</c:v>
                </c:pt>
                <c:pt idx="1780">
                  <c:v>20470.93</c:v>
                </c:pt>
                <c:pt idx="1781">
                  <c:v>19355.78</c:v>
                </c:pt>
                <c:pt idx="1782">
                  <c:v>19423.0</c:v>
                </c:pt>
                <c:pt idx="1783">
                  <c:v>19732.0</c:v>
                </c:pt>
                <c:pt idx="1784">
                  <c:v>19762.03</c:v>
                </c:pt>
                <c:pt idx="1785">
                  <c:v>19168.62</c:v>
                </c:pt>
                <c:pt idx="1786">
                  <c:v>19120.04</c:v>
                </c:pt>
                <c:pt idx="1787">
                  <c:v>18587.47</c:v>
                </c:pt>
                <c:pt idx="1788">
                  <c:v>18152.43</c:v>
                </c:pt>
                <c:pt idx="1789">
                  <c:v>18640.81</c:v>
                </c:pt>
                <c:pt idx="1790">
                  <c:v>18418.95</c:v>
                </c:pt>
                <c:pt idx="1791">
                  <c:v>18474.16</c:v>
                </c:pt>
                <c:pt idx="1792">
                  <c:v>18120.69</c:v>
                </c:pt>
                <c:pt idx="1793">
                  <c:v>18386.54</c:v>
                </c:pt>
                <c:pt idx="1794">
                  <c:v>18465.33</c:v>
                </c:pt>
                <c:pt idx="1795">
                  <c:v>18998.42</c:v>
                </c:pt>
                <c:pt idx="1796">
                  <c:v>18817.56</c:v>
                </c:pt>
                <c:pt idx="1797">
                  <c:v>18813.38</c:v>
                </c:pt>
                <c:pt idx="1798">
                  <c:v>19286.78</c:v>
                </c:pt>
                <c:pt idx="1799">
                  <c:v>19402.59</c:v>
                </c:pt>
                <c:pt idx="1800">
                  <c:v>20061.2</c:v>
                </c:pt>
                <c:pt idx="1801">
                  <c:v>19953.32</c:v>
                </c:pt>
                <c:pt idx="1802">
                  <c:v>20044.49</c:v>
                </c:pt>
                <c:pt idx="1803">
                  <c:v>20382.12</c:v>
                </c:pt>
                <c:pt idx="1804">
                  <c:v>20650.38</c:v>
                </c:pt>
                <c:pt idx="1805">
                  <c:v>20665.91</c:v>
                </c:pt>
                <c:pt idx="1806">
                  <c:v>21054.49</c:v>
                </c:pt>
                <c:pt idx="1807">
                  <c:v>21440.17</c:v>
                </c:pt>
                <c:pt idx="1808">
                  <c:v>21685.1</c:v>
                </c:pt>
                <c:pt idx="1809">
                  <c:v>21435.91</c:v>
                </c:pt>
                <c:pt idx="1810">
                  <c:v>20437.2</c:v>
                </c:pt>
                <c:pt idx="1811">
                  <c:v>20639.07</c:v>
                </c:pt>
                <c:pt idx="1812">
                  <c:v>20014.62</c:v>
                </c:pt>
                <c:pt idx="1813">
                  <c:v>19924.46</c:v>
                </c:pt>
                <c:pt idx="1814">
                  <c:v>20570.05</c:v>
                </c:pt>
                <c:pt idx="1815">
                  <c:v>20581.77</c:v>
                </c:pt>
                <c:pt idx="1816">
                  <c:v>21028.54</c:v>
                </c:pt>
                <c:pt idx="1817">
                  <c:v>20642.74</c:v>
                </c:pt>
                <c:pt idx="1818">
                  <c:v>20156.25</c:v>
                </c:pt>
                <c:pt idx="1819">
                  <c:v>19581.39</c:v>
                </c:pt>
                <c:pt idx="1820">
                  <c:v>19876.34</c:v>
                </c:pt>
                <c:pt idx="1821">
                  <c:v>20049.0</c:v>
                </c:pt>
                <c:pt idx="1822">
                  <c:v>20295.07</c:v>
                </c:pt>
                <c:pt idx="1823">
                  <c:v>20623.3</c:v>
                </c:pt>
                <c:pt idx="1824">
                  <c:v>21029.33</c:v>
                </c:pt>
                <c:pt idx="1825">
                  <c:v>20441.93</c:v>
                </c:pt>
                <c:pt idx="1826">
                  <c:v>20843.03</c:v>
                </c:pt>
                <c:pt idx="1827">
                  <c:v>21564.47</c:v>
                </c:pt>
                <c:pt idx="1828">
                  <c:v>22183.09</c:v>
                </c:pt>
                <c:pt idx="1829">
                  <c:v>22220.76</c:v>
                </c:pt>
                <c:pt idx="1830">
                  <c:v>22241.44</c:v>
                </c:pt>
                <c:pt idx="1831">
                  <c:v>22718.97</c:v>
                </c:pt>
                <c:pt idx="1832">
                  <c:v>22919.76</c:v>
                </c:pt>
                <c:pt idx="1833">
                  <c:v>22304.43</c:v>
                </c:pt>
                <c:pt idx="1834">
                  <c:v>21764.9</c:v>
                </c:pt>
                <c:pt idx="1835">
                  <c:v>21509.2</c:v>
                </c:pt>
                <c:pt idx="1836">
                  <c:v>21348.45</c:v>
                </c:pt>
                <c:pt idx="1837">
                  <c:v>21237.59</c:v>
                </c:pt>
                <c:pt idx="1838">
                  <c:v>20998.49</c:v>
                </c:pt>
                <c:pt idx="1839">
                  <c:v>21244.85</c:v>
                </c:pt>
                <c:pt idx="1840">
                  <c:v>21090.86</c:v>
                </c:pt>
                <c:pt idx="1841">
                  <c:v>21287.7</c:v>
                </c:pt>
                <c:pt idx="1842">
                  <c:v>22034.63</c:v>
                </c:pt>
                <c:pt idx="1843">
                  <c:v>22409.26</c:v>
                </c:pt>
                <c:pt idx="1844">
                  <c:v>21805.83</c:v>
                </c:pt>
                <c:pt idx="1845">
                  <c:v>21355.24</c:v>
                </c:pt>
                <c:pt idx="1846">
                  <c:v>21749.69</c:v>
                </c:pt>
                <c:pt idx="1847">
                  <c:v>21930.94</c:v>
                </c:pt>
                <c:pt idx="1848">
                  <c:v>20953.22</c:v>
                </c:pt>
                <c:pt idx="1849">
                  <c:v>20643.43</c:v>
                </c:pt>
                <c:pt idx="1850">
                  <c:v>19279.79</c:v>
                </c:pt>
                <c:pt idx="1851">
                  <c:v>19800.93</c:v>
                </c:pt>
                <c:pt idx="1852">
                  <c:v>19113.28</c:v>
                </c:pt>
                <c:pt idx="1853">
                  <c:v>19713.95</c:v>
                </c:pt>
                <c:pt idx="1854">
                  <c:v>20245.45</c:v>
                </c:pt>
                <c:pt idx="1855">
                  <c:v>21209.49</c:v>
                </c:pt>
                <c:pt idx="1856">
                  <c:v>21301.01</c:v>
                </c:pt>
                <c:pt idx="1857">
                  <c:v>20474.7</c:v>
                </c:pt>
                <c:pt idx="1858">
                  <c:v>20263.11</c:v>
                </c:pt>
                <c:pt idx="1859">
                  <c:v>18984.22</c:v>
                </c:pt>
                <c:pt idx="1860">
                  <c:v>18066.38</c:v>
                </c:pt>
                <c:pt idx="1861">
                  <c:v>17814.42</c:v>
                </c:pt>
                <c:pt idx="1862">
                  <c:v>18756.65</c:v>
                </c:pt>
                <c:pt idx="1863">
                  <c:v>18747.16</c:v>
                </c:pt>
                <c:pt idx="1864">
                  <c:v>18883.18</c:v>
                </c:pt>
                <c:pt idx="1865">
                  <c:v>19413.7</c:v>
                </c:pt>
                <c:pt idx="1866">
                  <c:v>19094.66</c:v>
                </c:pt>
                <c:pt idx="1867">
                  <c:v>19670.53</c:v>
                </c:pt>
                <c:pt idx="1868">
                  <c:v>20098.21</c:v>
                </c:pt>
                <c:pt idx="1869">
                  <c:v>21052.75</c:v>
                </c:pt>
                <c:pt idx="1870">
                  <c:v>20030.48</c:v>
                </c:pt>
                <c:pt idx="1871">
                  <c:v>20125.27</c:v>
                </c:pt>
                <c:pt idx="1872">
                  <c:v>20950.98</c:v>
                </c:pt>
                <c:pt idx="1873">
                  <c:v>21649.58</c:v>
                </c:pt>
                <c:pt idx="1874">
                  <c:v>21135.27</c:v>
                </c:pt>
                <c:pt idx="1875">
                  <c:v>20991.72</c:v>
                </c:pt>
                <c:pt idx="1876">
                  <c:v>20861.52</c:v>
                </c:pt>
                <c:pt idx="1877">
                  <c:v>19794.74</c:v>
                </c:pt>
                <c:pt idx="1878">
                  <c:v>18549.24</c:v>
                </c:pt>
                <c:pt idx="1879">
                  <c:v>18363.7</c:v>
                </c:pt>
                <c:pt idx="1880">
                  <c:v>18459.13</c:v>
                </c:pt>
                <c:pt idx="1881">
                  <c:v>19598.57</c:v>
                </c:pt>
                <c:pt idx="1882">
                  <c:v>20288.62</c:v>
                </c:pt>
                <c:pt idx="1883">
                  <c:v>21267.01</c:v>
                </c:pt>
                <c:pt idx="1884">
                  <c:v>20713.26</c:v>
                </c:pt>
                <c:pt idx="1885">
                  <c:v>20139.59</c:v>
                </c:pt>
                <c:pt idx="1886">
                  <c:v>20095.96</c:v>
                </c:pt>
                <c:pt idx="1887">
                  <c:v>20571.87</c:v>
                </c:pt>
                <c:pt idx="1888">
                  <c:v>22117.06</c:v>
                </c:pt>
                <c:pt idx="1889">
                  <c:v>21451.69</c:v>
                </c:pt>
                <c:pt idx="1890">
                  <c:v>20595.23</c:v>
                </c:pt>
                <c:pt idx="1891">
                  <c:v>21252.29</c:v>
                </c:pt>
                <c:pt idx="1892">
                  <c:v>20954.08</c:v>
                </c:pt>
                <c:pt idx="1893">
                  <c:v>21560.99</c:v>
                </c:pt>
                <c:pt idx="1894">
                  <c:v>21022.63</c:v>
                </c:pt>
                <c:pt idx="1895">
                  <c:v>22678.25</c:v>
                </c:pt>
                <c:pt idx="1896">
                  <c:v>22560.77</c:v>
                </c:pt>
                <c:pt idx="1897">
                  <c:v>23332.65</c:v>
                </c:pt>
                <c:pt idx="1898">
                  <c:v>23835.97</c:v>
                </c:pt>
                <c:pt idx="1899">
                  <c:v>23087.67</c:v>
                </c:pt>
                <c:pt idx="1900">
                  <c:v>24499.94</c:v>
                </c:pt>
                <c:pt idx="1901">
                  <c:v>24936.43</c:v>
                </c:pt>
                <c:pt idx="1902">
                  <c:v>24923.34</c:v>
                </c:pt>
                <c:pt idx="1903">
                  <c:v>25893.43</c:v>
                </c:pt>
                <c:pt idx="1904">
                  <c:v>25402.11</c:v>
                </c:pt>
                <c:pt idx="1905">
                  <c:v>24092.74</c:v>
                </c:pt>
                <c:pt idx="1906">
                  <c:v>24323.19</c:v>
                </c:pt>
                <c:pt idx="1907">
                  <c:v>24978.86</c:v>
                </c:pt>
                <c:pt idx="1908">
                  <c:v>25642.3</c:v>
                </c:pt>
                <c:pt idx="1909">
                  <c:v>26154.97</c:v>
                </c:pt>
                <c:pt idx="1910">
                  <c:v>25549.29</c:v>
                </c:pt>
                <c:pt idx="1911">
                  <c:v>25273.6</c:v>
                </c:pt>
                <c:pt idx="1912">
                  <c:v>25320.51</c:v>
                </c:pt>
                <c:pt idx="1913">
                  <c:v>26238.12</c:v>
                </c:pt>
                <c:pt idx="1914">
                  <c:v>25416.67</c:v>
                </c:pt>
                <c:pt idx="1915">
                  <c:v>26190.09</c:v>
                </c:pt>
                <c:pt idx="1916">
                  <c:v>26532.11</c:v>
                </c:pt>
                <c:pt idx="1917">
                  <c:v>26747.82</c:v>
                </c:pt>
                <c:pt idx="1918">
                  <c:v>26857.09</c:v>
                </c:pt>
                <c:pt idx="1919">
                  <c:v>27702.06</c:v>
                </c:pt>
                <c:pt idx="1920">
                  <c:v>28027.74</c:v>
                </c:pt>
                <c:pt idx="1921">
                  <c:v>27426.59</c:v>
                </c:pt>
                <c:pt idx="1922">
                  <c:v>27023.37</c:v>
                </c:pt>
                <c:pt idx="1923">
                  <c:v>26703.51</c:v>
                </c:pt>
                <c:pt idx="1924">
                  <c:v>27161.34</c:v>
                </c:pt>
                <c:pt idx="1925">
                  <c:v>27064.87</c:v>
                </c:pt>
                <c:pt idx="1926">
                  <c:v>26794.25</c:v>
                </c:pt>
                <c:pt idx="1927">
                  <c:v>26270.46</c:v>
                </c:pt>
                <c:pt idx="1928">
                  <c:v>26806.03</c:v>
                </c:pt>
                <c:pt idx="1929">
                  <c:v>27246.63</c:v>
                </c:pt>
                <c:pt idx="1930">
                  <c:v>27819.88</c:v>
                </c:pt>
                <c:pt idx="1931">
                  <c:v>27035.65</c:v>
                </c:pt>
                <c:pt idx="1932">
                  <c:v>26922.36</c:v>
                </c:pt>
                <c:pt idx="1933">
                  <c:v>26960.95</c:v>
                </c:pt>
                <c:pt idx="1934">
                  <c:v>26759.92</c:v>
                </c:pt>
                <c:pt idx="1935">
                  <c:v>26664.58</c:v>
                </c:pt>
                <c:pt idx="1936">
                  <c:v>26945.35</c:v>
                </c:pt>
                <c:pt idx="1937">
                  <c:v>26410.98</c:v>
                </c:pt>
                <c:pt idx="1938">
                  <c:v>25875.63</c:v>
                </c:pt>
                <c:pt idx="1939">
                  <c:v>26504.58</c:v>
                </c:pt>
                <c:pt idx="1940">
                  <c:v>27719.67</c:v>
                </c:pt>
                <c:pt idx="1941">
                  <c:v>27767.57</c:v>
                </c:pt>
                <c:pt idx="1942">
                  <c:v>27164.09</c:v>
                </c:pt>
                <c:pt idx="1943">
                  <c:v>27320.04</c:v>
                </c:pt>
                <c:pt idx="1944">
                  <c:v>26995.8</c:v>
                </c:pt>
                <c:pt idx="1945">
                  <c:v>27430.12</c:v>
                </c:pt>
                <c:pt idx="1946">
                  <c:v>27373.79</c:v>
                </c:pt>
                <c:pt idx="1947">
                  <c:v>27265.45</c:v>
                </c:pt>
                <c:pt idx="1948">
                  <c:v>27701.5</c:v>
                </c:pt>
                <c:pt idx="1949">
                  <c:v>27610.09</c:v>
                </c:pt>
                <c:pt idx="1950">
                  <c:v>27995.64</c:v>
                </c:pt>
                <c:pt idx="1951">
                  <c:v>26876.95</c:v>
                </c:pt>
                <c:pt idx="1952">
                  <c:v>27079.11</c:v>
                </c:pt>
                <c:pt idx="1953">
                  <c:v>27720.65</c:v>
                </c:pt>
                <c:pt idx="1954">
                  <c:v>27735.64</c:v>
                </c:pt>
                <c:pt idx="1955">
                  <c:v>27687.48</c:v>
                </c:pt>
                <c:pt idx="1956">
                  <c:v>28009.41</c:v>
                </c:pt>
                <c:pt idx="1957">
                  <c:v>27611.63</c:v>
                </c:pt>
                <c:pt idx="1958">
                  <c:v>28173.95</c:v>
                </c:pt>
                <c:pt idx="1959">
                  <c:v>28172.28</c:v>
                </c:pt>
                <c:pt idx="1960">
                  <c:v>28392.19</c:v>
                </c:pt>
                <c:pt idx="1961">
                  <c:v>29303.69</c:v>
                </c:pt>
                <c:pt idx="1962">
                  <c:v>30003.76</c:v>
                </c:pt>
                <c:pt idx="1963">
                  <c:v>30413.43</c:v>
                </c:pt>
                <c:pt idx="1964">
                  <c:v>30375.47</c:v>
                </c:pt>
                <c:pt idx="1965">
                  <c:v>29988.12</c:v>
                </c:pt>
                <c:pt idx="1966">
                  <c:v>29964.55</c:v>
                </c:pt>
                <c:pt idx="1967">
                  <c:v>30222.88</c:v>
                </c:pt>
                <c:pt idx="1968">
                  <c:v>30473.44</c:v>
                </c:pt>
                <c:pt idx="1969">
                  <c:v>30580.63</c:v>
                </c:pt>
                <c:pt idx="1970">
                  <c:v>31295.46</c:v>
                </c:pt>
                <c:pt idx="1971">
                  <c:v>30981.81</c:v>
                </c:pt>
                <c:pt idx="1972">
                  <c:v>31451.04</c:v>
                </c:pt>
                <c:pt idx="1973">
                  <c:v>31067.56</c:v>
                </c:pt>
                <c:pt idx="1974">
                  <c:v>31033.3</c:v>
                </c:pt>
                <c:pt idx="1975">
                  <c:v>30639.95</c:v>
                </c:pt>
                <c:pt idx="1976">
                  <c:v>31047.43</c:v>
                </c:pt>
                <c:pt idx="1977">
                  <c:v>31487.15</c:v>
                </c:pt>
                <c:pt idx="1978">
                  <c:v>31696.42</c:v>
                </c:pt>
                <c:pt idx="1979">
                  <c:v>31741.26</c:v>
                </c:pt>
                <c:pt idx="1980">
                  <c:v>31480.36</c:v>
                </c:pt>
                <c:pt idx="1981">
                  <c:v>31688.24</c:v>
                </c:pt>
                <c:pt idx="1982">
                  <c:v>31727.76</c:v>
                </c:pt>
                <c:pt idx="1983">
                  <c:v>31841.27</c:v>
                </c:pt>
                <c:pt idx="1984">
                  <c:v>31894.2</c:v>
                </c:pt>
                <c:pt idx="1985">
                  <c:v>32208.96</c:v>
                </c:pt>
                <c:pt idx="1986">
                  <c:v>32464.77</c:v>
                </c:pt>
                <c:pt idx="1987">
                  <c:v>32722.22</c:v>
                </c:pt>
                <c:pt idx="1988">
                  <c:v>32542.39</c:v>
                </c:pt>
                <c:pt idx="1989">
                  <c:v>33232.89</c:v>
                </c:pt>
                <c:pt idx="1990">
                  <c:v>32907.72</c:v>
                </c:pt>
                <c:pt idx="1991">
                  <c:v>32958.55</c:v>
                </c:pt>
                <c:pt idx="1992">
                  <c:v>33191.8</c:v>
                </c:pt>
                <c:pt idx="1993">
                  <c:v>32700.98</c:v>
                </c:pt>
                <c:pt idx="1994">
                  <c:v>32647.43</c:v>
                </c:pt>
                <c:pt idx="1995">
                  <c:v>32387.01</c:v>
                </c:pt>
                <c:pt idx="1996">
                  <c:v>31999.02</c:v>
                </c:pt>
                <c:pt idx="1997">
                  <c:v>32145.49</c:v>
                </c:pt>
                <c:pt idx="1998">
                  <c:v>32136.15</c:v>
                </c:pt>
                <c:pt idx="1999">
                  <c:v>32153.48</c:v>
                </c:pt>
                <c:pt idx="2000">
                  <c:v>31894.69</c:v>
                </c:pt>
                <c:pt idx="2001">
                  <c:v>31929.09</c:v>
                </c:pt>
                <c:pt idx="2002">
                  <c:v>31299.93</c:v>
                </c:pt>
                <c:pt idx="2003">
                  <c:v>30743.49</c:v>
                </c:pt>
                <c:pt idx="2004">
                  <c:v>30584.0</c:v>
                </c:pt>
                <c:pt idx="2005">
                  <c:v>31090.15</c:v>
                </c:pt>
                <c:pt idx="2006">
                  <c:v>31194.01</c:v>
                </c:pt>
                <c:pt idx="2007">
                  <c:v>31740.75</c:v>
                </c:pt>
                <c:pt idx="2008">
                  <c:v>31713.29</c:v>
                </c:pt>
                <c:pt idx="2009">
                  <c:v>31774.1</c:v>
                </c:pt>
                <c:pt idx="2010">
                  <c:v>31594.07</c:v>
                </c:pt>
                <c:pt idx="2011">
                  <c:v>31699.12</c:v>
                </c:pt>
                <c:pt idx="2012">
                  <c:v>31857.3</c:v>
                </c:pt>
                <c:pt idx="2013">
                  <c:v>31280.19</c:v>
                </c:pt>
                <c:pt idx="2014">
                  <c:v>30772.35</c:v>
                </c:pt>
                <c:pt idx="2015">
                  <c:v>31121.55</c:v>
                </c:pt>
                <c:pt idx="2016">
                  <c:v>31215.17</c:v>
                </c:pt>
                <c:pt idx="2017">
                  <c:v>31360.12</c:v>
                </c:pt>
                <c:pt idx="2018">
                  <c:v>30821.13</c:v>
                </c:pt>
                <c:pt idx="2019">
                  <c:v>30970.19</c:v>
                </c:pt>
                <c:pt idx="2020">
                  <c:v>30396.34</c:v>
                </c:pt>
                <c:pt idx="2021">
                  <c:v>29980.09</c:v>
                </c:pt>
                <c:pt idx="2022">
                  <c:v>29932.97</c:v>
                </c:pt>
                <c:pt idx="2023">
                  <c:v>29627.64</c:v>
                </c:pt>
                <c:pt idx="2024">
                  <c:v>29587.51</c:v>
                </c:pt>
                <c:pt idx="2025">
                  <c:v>29962.18</c:v>
                </c:pt>
                <c:pt idx="2026">
                  <c:v>30095.06</c:v>
                </c:pt>
                <c:pt idx="2027">
                  <c:v>29693.15</c:v>
                </c:pt>
                <c:pt idx="2028">
                  <c:v>29152.42</c:v>
                </c:pt>
                <c:pt idx="2029">
                  <c:v>28418.73</c:v>
                </c:pt>
                <c:pt idx="2030">
                  <c:v>29509.06</c:v>
                </c:pt>
                <c:pt idx="2031">
                  <c:v>30044.07</c:v>
                </c:pt>
                <c:pt idx="2032">
                  <c:v>29928.07</c:v>
                </c:pt>
                <c:pt idx="2033">
                  <c:v>30648.03</c:v>
                </c:pt>
                <c:pt idx="2034">
                  <c:v>30306.92</c:v>
                </c:pt>
                <c:pt idx="2035">
                  <c:v>30710.52</c:v>
                </c:pt>
                <c:pt idx="2036">
                  <c:v>30212.87</c:v>
                </c:pt>
                <c:pt idx="2037">
                  <c:v>30114.87</c:v>
                </c:pt>
                <c:pt idx="2038">
                  <c:v>30717.58</c:v>
                </c:pt>
                <c:pt idx="2039">
                  <c:v>31079.15</c:v>
                </c:pt>
                <c:pt idx="2040">
                  <c:v>30519.83</c:v>
                </c:pt>
                <c:pt idx="2041">
                  <c:v>30885.02</c:v>
                </c:pt>
                <c:pt idx="2042">
                  <c:v>30631.57</c:v>
                </c:pt>
                <c:pt idx="2043">
                  <c:v>30673.74</c:v>
                </c:pt>
                <c:pt idx="2044">
                  <c:v>30166.32</c:v>
                </c:pt>
                <c:pt idx="2045">
                  <c:v>30058.1</c:v>
                </c:pt>
                <c:pt idx="2046">
                  <c:v>30297.29</c:v>
                </c:pt>
                <c:pt idx="2047">
                  <c:v>29813.37</c:v>
                </c:pt>
                <c:pt idx="2048">
                  <c:v>29848.89</c:v>
                </c:pt>
                <c:pt idx="2049">
                  <c:v>30181.77</c:v>
                </c:pt>
                <c:pt idx="2050">
                  <c:v>29489.68</c:v>
                </c:pt>
                <c:pt idx="2051">
                  <c:v>29572.22</c:v>
                </c:pt>
                <c:pt idx="2052">
                  <c:v>29018.06</c:v>
                </c:pt>
                <c:pt idx="2053">
                  <c:v>28505.82</c:v>
                </c:pt>
                <c:pt idx="2054">
                  <c:v>29039.56</c:v>
                </c:pt>
                <c:pt idx="2055">
                  <c:v>28502.23</c:v>
                </c:pt>
                <c:pt idx="2056">
                  <c:v>28585.6</c:v>
                </c:pt>
                <c:pt idx="2057">
                  <c:v>27633.0</c:v>
                </c:pt>
                <c:pt idx="2058">
                  <c:v>27945.55</c:v>
                </c:pt>
                <c:pt idx="2059">
                  <c:v>27749.09</c:v>
                </c:pt>
                <c:pt idx="2060">
                  <c:v>27881.38</c:v>
                </c:pt>
                <c:pt idx="2061">
                  <c:v>27764.03</c:v>
                </c:pt>
                <c:pt idx="2062">
                  <c:v>28619.54</c:v>
                </c:pt>
                <c:pt idx="2063">
                  <c:v>28751.87</c:v>
                </c:pt>
                <c:pt idx="2064">
                  <c:v>27317.14</c:v>
                </c:pt>
                <c:pt idx="2065">
                  <c:v>27068.16</c:v>
                </c:pt>
                <c:pt idx="2066">
                  <c:v>26442.71</c:v>
                </c:pt>
                <c:pt idx="2067">
                  <c:v>25692.87</c:v>
                </c:pt>
                <c:pt idx="2068">
                  <c:v>26502.23</c:v>
                </c:pt>
                <c:pt idx="2069">
                  <c:v>26463.13</c:v>
                </c:pt>
                <c:pt idx="2070">
                  <c:v>25135.13</c:v>
                </c:pt>
                <c:pt idx="2071">
                  <c:v>25397.17</c:v>
                </c:pt>
                <c:pt idx="2072">
                  <c:v>25423.69</c:v>
                </c:pt>
                <c:pt idx="2073">
                  <c:v>26652.66</c:v>
                </c:pt>
                <c:pt idx="2074">
                  <c:v>27039.97</c:v>
                </c:pt>
                <c:pt idx="2075">
                  <c:v>26911.5</c:v>
                </c:pt>
                <c:pt idx="2076">
                  <c:v>27635.97</c:v>
                </c:pt>
                <c:pt idx="2077">
                  <c:v>27951.19</c:v>
                </c:pt>
                <c:pt idx="2078">
                  <c:v>27509.25</c:v>
                </c:pt>
                <c:pt idx="2079">
                  <c:v>27903.94</c:v>
                </c:pt>
                <c:pt idx="2080">
                  <c:v>28400.78</c:v>
                </c:pt>
                <c:pt idx="2081">
                  <c:v>28937.43</c:v>
                </c:pt>
                <c:pt idx="2082">
                  <c:v>28640.42</c:v>
                </c:pt>
                <c:pt idx="2083">
                  <c:v>28979.73</c:v>
                </c:pt>
                <c:pt idx="2084">
                  <c:v>29124.84</c:v>
                </c:pt>
                <c:pt idx="2085">
                  <c:v>29290.15</c:v>
                </c:pt>
                <c:pt idx="2086">
                  <c:v>28957.97</c:v>
                </c:pt>
                <c:pt idx="2087">
                  <c:v>29634.65</c:v>
                </c:pt>
                <c:pt idx="2088">
                  <c:v>29781.39</c:v>
                </c:pt>
                <c:pt idx="2089">
                  <c:v>29505.36</c:v>
                </c:pt>
                <c:pt idx="2090">
                  <c:v>29331.99</c:v>
                </c:pt>
                <c:pt idx="2091">
                  <c:v>28460.9</c:v>
                </c:pt>
                <c:pt idx="2092">
                  <c:v>28112.89</c:v>
                </c:pt>
                <c:pt idx="2093">
                  <c:v>28526.34</c:v>
                </c:pt>
                <c:pt idx="2094">
                  <c:v>28708.0</c:v>
                </c:pt>
                <c:pt idx="2095">
                  <c:v>29388.65</c:v>
                </c:pt>
                <c:pt idx="2096">
                  <c:v>30307.1</c:v>
                </c:pt>
                <c:pt idx="2097">
                  <c:v>30468.61</c:v>
                </c:pt>
                <c:pt idx="2098">
                  <c:v>30464.38</c:v>
                </c:pt>
                <c:pt idx="2099">
                  <c:v>30390.67</c:v>
                </c:pt>
                <c:pt idx="2100">
                  <c:v>30133.74</c:v>
                </c:pt>
                <c:pt idx="2101">
                  <c:v>30118.15</c:v>
                </c:pt>
                <c:pt idx="2102">
                  <c:v>29947.49</c:v>
                </c:pt>
                <c:pt idx="2103">
                  <c:v>30303.67</c:v>
                </c:pt>
                <c:pt idx="2104">
                  <c:v>30307.8</c:v>
                </c:pt>
                <c:pt idx="2105">
                  <c:v>29925.76</c:v>
                </c:pt>
                <c:pt idx="2106">
                  <c:v>29410.07</c:v>
                </c:pt>
                <c:pt idx="2107">
                  <c:v>29286.3</c:v>
                </c:pt>
                <c:pt idx="2108">
                  <c:v>29448.69</c:v>
                </c:pt>
                <c:pt idx="2109">
                  <c:v>29602.59</c:v>
                </c:pt>
                <c:pt idx="2110">
                  <c:v>29127.42</c:v>
                </c:pt>
                <c:pt idx="2111">
                  <c:v>29146.35</c:v>
                </c:pt>
                <c:pt idx="2112">
                  <c:v>29542.1</c:v>
                </c:pt>
                <c:pt idx="2113">
                  <c:v>29222.48</c:v>
                </c:pt>
                <c:pt idx="2114">
                  <c:v>29868.06</c:v>
                </c:pt>
                <c:pt idx="2115">
                  <c:v>30144.84</c:v>
                </c:pt>
                <c:pt idx="2116">
                  <c:v>30681.66</c:v>
                </c:pt>
                <c:pt idx="2117">
                  <c:v>30454.76</c:v>
                </c:pt>
                <c:pt idx="2118">
                  <c:v>30774.17</c:v>
                </c:pt>
                <c:pt idx="2119">
                  <c:v>30920.21</c:v>
                </c:pt>
                <c:pt idx="2120">
                  <c:v>31055.12</c:v>
                </c:pt>
                <c:pt idx="2121">
                  <c:v>30767.76</c:v>
                </c:pt>
                <c:pt idx="2122">
                  <c:v>30764.63</c:v>
                </c:pt>
                <c:pt idx="2123">
                  <c:v>30346.38</c:v>
                </c:pt>
                <c:pt idx="2124">
                  <c:v>30553.44</c:v>
                </c:pt>
                <c:pt idx="2125">
                  <c:v>30816.19</c:v>
                </c:pt>
                <c:pt idx="2126">
                  <c:v>31334.99</c:v>
                </c:pt>
                <c:pt idx="2127">
                  <c:v>31244.67</c:v>
                </c:pt>
                <c:pt idx="2128">
                  <c:v>31211.44</c:v>
                </c:pt>
                <c:pt idx="2129">
                  <c:v>30804.86</c:v>
                </c:pt>
                <c:pt idx="2130">
                  <c:v>30417.46</c:v>
                </c:pt>
                <c:pt idx="2131">
                  <c:v>30041.21</c:v>
                </c:pt>
                <c:pt idx="2132">
                  <c:v>30449.42</c:v>
                </c:pt>
                <c:pt idx="2133">
                  <c:v>30146.62</c:v>
                </c:pt>
                <c:pt idx="2134">
                  <c:v>30766.21</c:v>
                </c:pt>
                <c:pt idx="2135">
                  <c:v>31016.83</c:v>
                </c:pt>
                <c:pt idx="2136">
                  <c:v>31068.26</c:v>
                </c:pt>
                <c:pt idx="2137">
                  <c:v>31033.42</c:v>
                </c:pt>
                <c:pt idx="2138">
                  <c:v>31164.38</c:v>
                </c:pt>
                <c:pt idx="2139">
                  <c:v>31225.85</c:v>
                </c:pt>
                <c:pt idx="2140">
                  <c:v>31531.05</c:v>
                </c:pt>
                <c:pt idx="2141">
                  <c:v>31198.73</c:v>
                </c:pt>
                <c:pt idx="2142">
                  <c:v>30934.31</c:v>
                </c:pt>
                <c:pt idx="2143">
                  <c:v>30788.95</c:v>
                </c:pt>
                <c:pt idx="2144">
                  <c:v>30927.64</c:v>
                </c:pt>
                <c:pt idx="2145">
                  <c:v>30890.37</c:v>
                </c:pt>
                <c:pt idx="2146">
                  <c:v>30730.1</c:v>
                </c:pt>
                <c:pt idx="2147">
                  <c:v>30430.71</c:v>
                </c:pt>
                <c:pt idx="2148">
                  <c:v>30167.52</c:v>
                </c:pt>
                <c:pt idx="2149">
                  <c:v>29959.19</c:v>
                </c:pt>
                <c:pt idx="2150">
                  <c:v>29944.31</c:v>
                </c:pt>
                <c:pt idx="2151">
                  <c:v>29812.38</c:v>
                </c:pt>
                <c:pt idx="2152">
                  <c:v>29776.03</c:v>
                </c:pt>
                <c:pt idx="2153">
                  <c:v>29709.35</c:v>
                </c:pt>
                <c:pt idx="2154">
                  <c:v>29832.3</c:v>
                </c:pt>
                <c:pt idx="2155">
                  <c:v>29808.65</c:v>
                </c:pt>
                <c:pt idx="2156">
                  <c:v>28766.34</c:v>
                </c:pt>
                <c:pt idx="2157">
                  <c:v>28536.42</c:v>
                </c:pt>
                <c:pt idx="2158">
                  <c:v>28928.05</c:v>
                </c:pt>
                <c:pt idx="2159">
                  <c:v>29086.37</c:v>
                </c:pt>
                <c:pt idx="2160">
                  <c:v>28730.17</c:v>
                </c:pt>
                <c:pt idx="2161">
                  <c:v>28858.14</c:v>
                </c:pt>
                <c:pt idx="2162">
                  <c:v>28240.7</c:v>
                </c:pt>
                <c:pt idx="2163">
                  <c:v>28311.77</c:v>
                </c:pt>
                <c:pt idx="2164">
                  <c:v>28850.19</c:v>
                </c:pt>
                <c:pt idx="2165">
                  <c:v>28696.67</c:v>
                </c:pt>
                <c:pt idx="2166">
                  <c:v>29051.96</c:v>
                </c:pt>
                <c:pt idx="2167">
                  <c:v>28887.48</c:v>
                </c:pt>
                <c:pt idx="2168">
                  <c:v>28660.35</c:v>
                </c:pt>
                <c:pt idx="2169">
                  <c:v>27909.94</c:v>
                </c:pt>
                <c:pt idx="2170">
                  <c:v>27600.96</c:v>
                </c:pt>
                <c:pt idx="2171">
                  <c:v>27479.54</c:v>
                </c:pt>
                <c:pt idx="2172">
                  <c:v>27820.58</c:v>
                </c:pt>
                <c:pt idx="2173">
                  <c:v>27417.93</c:v>
                </c:pt>
                <c:pt idx="2174">
                  <c:v>27468.07</c:v>
                </c:pt>
                <c:pt idx="2175">
                  <c:v>27241.12</c:v>
                </c:pt>
                <c:pt idx="2176">
                  <c:v>26538.95</c:v>
                </c:pt>
                <c:pt idx="2177">
                  <c:v>26640.18</c:v>
                </c:pt>
                <c:pt idx="2178">
                  <c:v>25984.85</c:v>
                </c:pt>
                <c:pt idx="2179">
                  <c:v>25991.8</c:v>
                </c:pt>
                <c:pt idx="2180">
                  <c:v>27091.13</c:v>
                </c:pt>
                <c:pt idx="2181">
                  <c:v>27369.72</c:v>
                </c:pt>
                <c:pt idx="2182">
                  <c:v>27752.71</c:v>
                </c:pt>
                <c:pt idx="2183">
                  <c:v>27076.3</c:v>
                </c:pt>
                <c:pt idx="2184">
                  <c:v>28208.95</c:v>
                </c:pt>
                <c:pt idx="2185">
                  <c:v>27312.07</c:v>
                </c:pt>
                <c:pt idx="2186">
                  <c:v>26904.48</c:v>
                </c:pt>
                <c:pt idx="2187">
                  <c:v>27582.01</c:v>
                </c:pt>
                <c:pt idx="2188">
                  <c:v>27859.23</c:v>
                </c:pt>
                <c:pt idx="2189">
                  <c:v>27820.11</c:v>
                </c:pt>
                <c:pt idx="2190">
                  <c:v>28561.81</c:v>
                </c:pt>
                <c:pt idx="2191">
                  <c:v>28156.23</c:v>
                </c:pt>
                <c:pt idx="2192">
                  <c:v>27714.45</c:v>
                </c:pt>
                <c:pt idx="2193">
                  <c:v>28585.84</c:v>
                </c:pt>
                <c:pt idx="2194">
                  <c:v>29105.27</c:v>
                </c:pt>
                <c:pt idx="2195">
                  <c:v>29590.81</c:v>
                </c:pt>
                <c:pt idx="2196">
                  <c:v>29885.27</c:v>
                </c:pt>
                <c:pt idx="2197">
                  <c:v>29692.04</c:v>
                </c:pt>
                <c:pt idx="2198">
                  <c:v>29621.28</c:v>
                </c:pt>
                <c:pt idx="2199">
                  <c:v>29422.66</c:v>
                </c:pt>
                <c:pt idx="2200">
                  <c:v>29606.22</c:v>
                </c:pt>
                <c:pt idx="2201">
                  <c:v>29868.22</c:v>
                </c:pt>
                <c:pt idx="2202">
                  <c:v>29961.73</c:v>
                </c:pt>
                <c:pt idx="2203">
                  <c:v>29791.27</c:v>
                </c:pt>
                <c:pt idx="2204">
                  <c:v>29643.36</c:v>
                </c:pt>
                <c:pt idx="2205">
                  <c:v>29450.59</c:v>
                </c:pt>
                <c:pt idx="2206">
                  <c:v>29714.16</c:v>
                </c:pt>
                <c:pt idx="2207">
                  <c:v>29218.33</c:v>
                </c:pt>
                <c:pt idx="2208">
                  <c:v>28896.36</c:v>
                </c:pt>
                <c:pt idx="2209">
                  <c:v>28844.31</c:v>
                </c:pt>
                <c:pt idx="2210">
                  <c:v>28755.03</c:v>
                </c:pt>
                <c:pt idx="2211">
                  <c:v>28703.13</c:v>
                </c:pt>
                <c:pt idx="2212">
                  <c:v>28337.22</c:v>
                </c:pt>
                <c:pt idx="2213">
                  <c:v>28402.79</c:v>
                </c:pt>
                <c:pt idx="2214">
                  <c:v>28285.1</c:v>
                </c:pt>
                <c:pt idx="2215">
                  <c:v>28746.43</c:v>
                </c:pt>
                <c:pt idx="2216">
                  <c:v>28914.44</c:v>
                </c:pt>
                <c:pt idx="2217">
                  <c:v>29094.32</c:v>
                </c:pt>
                <c:pt idx="2218">
                  <c:v>29309.7</c:v>
                </c:pt>
                <c:pt idx="2219">
                  <c:v>29510.35</c:v>
                </c:pt>
                <c:pt idx="2220">
                  <c:v>29243.19</c:v>
                </c:pt>
                <c:pt idx="2221">
                  <c:v>29318.59</c:v>
                </c:pt>
                <c:pt idx="2222">
                  <c:v>29313.78</c:v>
                </c:pt>
                <c:pt idx="2223">
                  <c:v>28988.0</c:v>
                </c:pt>
                <c:pt idx="2224">
                  <c:v>28602.95</c:v>
                </c:pt>
                <c:pt idx="2225">
                  <c:v>28299.33</c:v>
                </c:pt>
                <c:pt idx="2226">
                  <c:v>28545.57</c:v>
                </c:pt>
                <c:pt idx="2227">
                  <c:v>28169.23</c:v>
                </c:pt>
                <c:pt idx="2228">
                  <c:v>28554.32</c:v>
                </c:pt>
                <c:pt idx="2229">
                  <c:v>28538.84</c:v>
                </c:pt>
                <c:pt idx="2230">
                  <c:v>28865.9</c:v>
                </c:pt>
                <c:pt idx="2231">
                  <c:v>28837.52</c:v>
                </c:pt>
                <c:pt idx="2232">
                  <c:v>28942.78</c:v>
                </c:pt>
                <c:pt idx="2233">
                  <c:v>28627.79</c:v>
                </c:pt>
                <c:pt idx="2234">
                  <c:v>28439.4</c:v>
                </c:pt>
                <c:pt idx="2235">
                  <c:v>28665.96</c:v>
                </c:pt>
                <c:pt idx="2236">
                  <c:v>28637.22</c:v>
                </c:pt>
                <c:pt idx="2237">
                  <c:v>28533.03</c:v>
                </c:pt>
                <c:pt idx="2238">
                  <c:v>28812.94</c:v>
                </c:pt>
                <c:pt idx="2239">
                  <c:v>29087.49</c:v>
                </c:pt>
                <c:pt idx="2240">
                  <c:v>28629.38</c:v>
                </c:pt>
                <c:pt idx="2241">
                  <c:v>28642.4</c:v>
                </c:pt>
                <c:pt idx="2242">
                  <c:v>28331.45</c:v>
                </c:pt>
                <c:pt idx="2243">
                  <c:v>27884.36</c:v>
                </c:pt>
                <c:pt idx="2244">
                  <c:v>28046.8</c:v>
                </c:pt>
                <c:pt idx="2245">
                  <c:v>28059.27</c:v>
                </c:pt>
                <c:pt idx="2246">
                  <c:v>28094.8</c:v>
                </c:pt>
                <c:pt idx="2247">
                  <c:v>28671.48</c:v>
                </c:pt>
                <c:pt idx="2248">
                  <c:v>28438.86</c:v>
                </c:pt>
                <c:pt idx="2249">
                  <c:v>28354.41</c:v>
                </c:pt>
                <c:pt idx="2250">
                  <c:v>28161.78</c:v>
                </c:pt>
                <c:pt idx="2251">
                  <c:v>28797.79</c:v>
                </c:pt>
                <c:pt idx="2252">
                  <c:v>28649.7</c:v>
                </c:pt>
                <c:pt idx="2253">
                  <c:v>28278.23</c:v>
                </c:pt>
                <c:pt idx="2254">
                  <c:v>28328.12</c:v>
                </c:pt>
                <c:pt idx="2255">
                  <c:v>28170.6</c:v>
                </c:pt>
                <c:pt idx="2256">
                  <c:v>28076.19</c:v>
                </c:pt>
                <c:pt idx="2257">
                  <c:v>28223.31</c:v>
                </c:pt>
                <c:pt idx="2258">
                  <c:v>28150.75</c:v>
                </c:pt>
                <c:pt idx="2259">
                  <c:v>28501.7</c:v>
                </c:pt>
                <c:pt idx="2260">
                  <c:v>28367.54</c:v>
                </c:pt>
                <c:pt idx="2261">
                  <c:v>28098.66</c:v>
                </c:pt>
                <c:pt idx="2262">
                  <c:v>28148.52</c:v>
                </c:pt>
                <c:pt idx="2263">
                  <c:v>28506.72</c:v>
                </c:pt>
                <c:pt idx="2264">
                  <c:v>28379.51</c:v>
                </c:pt>
                <c:pt idx="2265">
                  <c:v>28132.45</c:v>
                </c:pt>
                <c:pt idx="2266">
                  <c:v>27822.27</c:v>
                </c:pt>
                <c:pt idx="2267">
                  <c:v>27638.64</c:v>
                </c:pt>
                <c:pt idx="2268">
                  <c:v>27875.62</c:v>
                </c:pt>
                <c:pt idx="2269">
                  <c:v>27547.85</c:v>
                </c:pt>
                <c:pt idx="2270">
                  <c:v>27525.74</c:v>
                </c:pt>
                <c:pt idx="2271">
                  <c:v>27568.17</c:v>
                </c:pt>
                <c:pt idx="2272">
                  <c:v>27418.88</c:v>
                </c:pt>
                <c:pt idx="2273">
                  <c:v>27267.24</c:v>
                </c:pt>
                <c:pt idx="2274">
                  <c:v>27150.59</c:v>
                </c:pt>
                <c:pt idx="2275">
                  <c:v>26829.8</c:v>
                </c:pt>
                <c:pt idx="2276">
                  <c:v>26839.63</c:v>
                </c:pt>
                <c:pt idx="2277">
                  <c:v>26756.29</c:v>
                </c:pt>
                <c:pt idx="2278">
                  <c:v>26913.62</c:v>
                </c:pt>
                <c:pt idx="2279">
                  <c:v>26654.9</c:v>
                </c:pt>
                <c:pt idx="2280">
                  <c:v>26360.93</c:v>
                </c:pt>
                <c:pt idx="2281">
                  <c:v>26161.53</c:v>
                </c:pt>
                <c:pt idx="2282">
                  <c:v>25839.13</c:v>
                </c:pt>
                <c:pt idx="2283">
                  <c:v>25662.31</c:v>
                </c:pt>
                <c:pt idx="2284">
                  <c:v>25250.06</c:v>
                </c:pt>
                <c:pt idx="2285">
                  <c:v>25853.05</c:v>
                </c:pt>
                <c:pt idx="2286">
                  <c:v>26012.12</c:v>
                </c:pt>
                <c:pt idx="2287">
                  <c:v>25923.48</c:v>
                </c:pt>
                <c:pt idx="2288">
                  <c:v>25616.63</c:v>
                </c:pt>
                <c:pt idx="2289">
                  <c:v>25280.4</c:v>
                </c:pt>
                <c:pt idx="2290">
                  <c:v>25228.11</c:v>
                </c:pt>
                <c:pt idx="2291">
                  <c:v>24919.46</c:v>
                </c:pt>
                <c:pt idx="2292">
                  <c:v>25561.12</c:v>
                </c:pt>
                <c:pt idx="2293">
                  <c:v>25336.58</c:v>
                </c:pt>
                <c:pt idx="2294">
                  <c:v>25795.99</c:v>
                </c:pt>
                <c:pt idx="2295">
                  <c:v>26078.3</c:v>
                </c:pt>
                <c:pt idx="2296">
                  <c:v>26932.15</c:v>
                </c:pt>
                <c:pt idx="2297">
                  <c:v>26792.39</c:v>
                </c:pt>
                <c:pt idx="2298">
                  <c:v>26697.7</c:v>
                </c:pt>
                <c:pt idx="2299">
                  <c:v>26306.3</c:v>
                </c:pt>
                <c:pt idx="2300">
                  <c:v>26514.77</c:v>
                </c:pt>
                <c:pt idx="2301">
                  <c:v>26623.23</c:v>
                </c:pt>
                <c:pt idx="2302">
                  <c:v>26511.08</c:v>
                </c:pt>
                <c:pt idx="2303">
                  <c:v>26521.1</c:v>
                </c:pt>
                <c:pt idx="2304">
                  <c:v>26311.42</c:v>
                </c:pt>
                <c:pt idx="2305">
                  <c:v>26023.35</c:v>
                </c:pt>
                <c:pt idx="2306">
                  <c:v>25820.61</c:v>
                </c:pt>
                <c:pt idx="2307">
                  <c:v>25666.81</c:v>
                </c:pt>
                <c:pt idx="2308">
                  <c:v>25596.86</c:v>
                </c:pt>
                <c:pt idx="2309">
                  <c:v>25915.9</c:v>
                </c:pt>
                <c:pt idx="2310">
                  <c:v>25933.81</c:v>
                </c:pt>
                <c:pt idx="2311">
                  <c:v>25605.18</c:v>
                </c:pt>
                <c:pt idx="2312">
                  <c:v>25679.19</c:v>
                </c:pt>
                <c:pt idx="2313">
                  <c:v>25782.38</c:v>
                </c:pt>
                <c:pt idx="2314">
                  <c:v>25447.73</c:v>
                </c:pt>
                <c:pt idx="2315">
                  <c:v>25481.25</c:v>
                </c:pt>
                <c:pt idx="2316">
                  <c:v>25341.81</c:v>
                </c:pt>
                <c:pt idx="2317">
                  <c:v>25377.29</c:v>
                </c:pt>
                <c:pt idx="2318">
                  <c:v>25572.39</c:v>
                </c:pt>
                <c:pt idx="2319">
                  <c:v>25444.28</c:v>
                </c:pt>
                <c:pt idx="2320">
                  <c:v>25103.68</c:v>
                </c:pt>
                <c:pt idx="2321">
                  <c:v>25139.78</c:v>
                </c:pt>
                <c:pt idx="2322">
                  <c:v>24920.95</c:v>
                </c:pt>
                <c:pt idx="2323">
                  <c:v>25231.5</c:v>
                </c:pt>
                <c:pt idx="2324">
                  <c:v>24980.44</c:v>
                </c:pt>
                <c:pt idx="2325">
                  <c:v>25155.45</c:v>
                </c:pt>
                <c:pt idx="2326">
                  <c:v>25194.73</c:v>
                </c:pt>
                <c:pt idx="2327">
                  <c:v>24908.87</c:v>
                </c:pt>
                <c:pt idx="2328">
                  <c:v>24677.47</c:v>
                </c:pt>
                <c:pt idx="2329">
                  <c:v>24535.63</c:v>
                </c:pt>
                <c:pt idx="2330">
                  <c:v>24603.61</c:v>
                </c:pt>
                <c:pt idx="2331">
                  <c:v>24412.47</c:v>
                </c:pt>
                <c:pt idx="2332">
                  <c:v>24261.06</c:v>
                </c:pt>
                <c:pt idx="2333">
                  <c:v>24201.02</c:v>
                </c:pt>
                <c:pt idx="2334">
                  <c:v>24600.96</c:v>
                </c:pt>
                <c:pt idx="2335">
                  <c:v>25156.71</c:v>
                </c:pt>
                <c:pt idx="2336">
                  <c:v>24915.2</c:v>
                </c:pt>
                <c:pt idx="2337">
                  <c:v>24985.81</c:v>
                </c:pt>
                <c:pt idx="2338">
                  <c:v>24932.27</c:v>
                </c:pt>
                <c:pt idx="2339">
                  <c:v>24631.33</c:v>
                </c:pt>
                <c:pt idx="2340">
                  <c:v>24825.0</c:v>
                </c:pt>
                <c:pt idx="2341">
                  <c:v>24447.02</c:v>
                </c:pt>
                <c:pt idx="2342">
                  <c:v>24118.23</c:v>
                </c:pt>
                <c:pt idx="2343">
                  <c:v>24137.27</c:v>
                </c:pt>
                <c:pt idx="2344">
                  <c:v>24149.06</c:v>
                </c:pt>
                <c:pt idx="2345">
                  <c:v>23965.91</c:v>
                </c:pt>
                <c:pt idx="2346">
                  <c:v>23711.17</c:v>
                </c:pt>
                <c:pt idx="2347">
                  <c:v>23555.11</c:v>
                </c:pt>
                <c:pt idx="2348">
                  <c:v>23703.51</c:v>
                </c:pt>
                <c:pt idx="2349">
                  <c:v>23760.59</c:v>
                </c:pt>
                <c:pt idx="2350">
                  <c:v>23856.59</c:v>
                </c:pt>
                <c:pt idx="2351">
                  <c:v>23946.47</c:v>
                </c:pt>
                <c:pt idx="2352">
                  <c:v>24191.44</c:v>
                </c:pt>
                <c:pt idx="2353">
                  <c:v>24073.2</c:v>
                </c:pt>
                <c:pt idx="2354">
                  <c:v>24070.92</c:v>
                </c:pt>
                <c:pt idx="2355">
                  <c:v>23949.95</c:v>
                </c:pt>
                <c:pt idx="2356">
                  <c:v>23691.74</c:v>
                </c:pt>
                <c:pt idx="2357">
                  <c:v>23564.36</c:v>
                </c:pt>
                <c:pt idx="2358">
                  <c:v>23809.72</c:v>
                </c:pt>
                <c:pt idx="2359">
                  <c:v>23990.87</c:v>
                </c:pt>
                <c:pt idx="2360">
                  <c:v>23858.28</c:v>
                </c:pt>
                <c:pt idx="2361">
                  <c:v>23899.11</c:v>
                </c:pt>
                <c:pt idx="2362">
                  <c:v>23792.06</c:v>
                </c:pt>
                <c:pt idx="2363">
                  <c:v>23603.55</c:v>
                </c:pt>
                <c:pt idx="2364">
                  <c:v>23188.8</c:v>
                </c:pt>
                <c:pt idx="2365">
                  <c:v>23436.27</c:v>
                </c:pt>
                <c:pt idx="2366">
                  <c:v>23659.44</c:v>
                </c:pt>
                <c:pt idx="2367">
                  <c:v>23674.39</c:v>
                </c:pt>
                <c:pt idx="2368">
                  <c:v>23566.96</c:v>
                </c:pt>
                <c:pt idx="2369">
                  <c:v>23819.21</c:v>
                </c:pt>
                <c:pt idx="2370">
                  <c:v>23684.67</c:v>
                </c:pt>
                <c:pt idx="2371">
                  <c:v>23952.68</c:v>
                </c:pt>
                <c:pt idx="2372">
                  <c:v>24022.61</c:v>
                </c:pt>
                <c:pt idx="2373">
                  <c:v>23950.99</c:v>
                </c:pt>
                <c:pt idx="2374">
                  <c:v>23590.57</c:v>
                </c:pt>
                <c:pt idx="2375">
                  <c:v>23527.62</c:v>
                </c:pt>
                <c:pt idx="2376">
                  <c:v>23600.52</c:v>
                </c:pt>
                <c:pt idx="2377">
                  <c:v>23338.16</c:v>
                </c:pt>
                <c:pt idx="2378">
                  <c:v>23200.0</c:v>
                </c:pt>
                <c:pt idx="2379">
                  <c:v>23062.26</c:v>
                </c:pt>
                <c:pt idx="2380">
                  <c:v>23212.71</c:v>
                </c:pt>
                <c:pt idx="2381">
                  <c:v>23489.48</c:v>
                </c:pt>
                <c:pt idx="2382">
                  <c:v>23532.81</c:v>
                </c:pt>
                <c:pt idx="2383">
                  <c:v>23469.79</c:v>
                </c:pt>
                <c:pt idx="2384">
                  <c:v>23337.66</c:v>
                </c:pt>
                <c:pt idx="2385">
                  <c:v>23254.9</c:v>
                </c:pt>
                <c:pt idx="2386">
                  <c:v>23209.26</c:v>
                </c:pt>
                <c:pt idx="2387">
                  <c:v>23155.11</c:v>
                </c:pt>
                <c:pt idx="2388">
                  <c:v>23141.09</c:v>
                </c:pt>
                <c:pt idx="2389">
                  <c:v>22840.3</c:v>
                </c:pt>
                <c:pt idx="2390">
                  <c:v>22751.49</c:v>
                </c:pt>
                <c:pt idx="2391">
                  <c:v>22679.38</c:v>
                </c:pt>
                <c:pt idx="2392">
                  <c:v>22799.56</c:v>
                </c:pt>
                <c:pt idx="2393">
                  <c:v>22773.36</c:v>
                </c:pt>
                <c:pt idx="2394">
                  <c:v>22511.61</c:v>
                </c:pt>
                <c:pt idx="2395">
                  <c:v>22475.14</c:v>
                </c:pt>
                <c:pt idx="2396">
                  <c:v>22367.15</c:v>
                </c:pt>
                <c:pt idx="2397">
                  <c:v>22274.14</c:v>
                </c:pt>
                <c:pt idx="2398">
                  <c:v>22552.86</c:v>
                </c:pt>
                <c:pt idx="2399">
                  <c:v>22374.58</c:v>
                </c:pt>
                <c:pt idx="2400">
                  <c:v>22491.3</c:v>
                </c:pt>
                <c:pt idx="2401">
                  <c:v>22249.72</c:v>
                </c:pt>
                <c:pt idx="2402">
                  <c:v>22162.65</c:v>
                </c:pt>
                <c:pt idx="2403">
                  <c:v>22008.98</c:v>
                </c:pt>
                <c:pt idx="2404">
                  <c:v>21886.4</c:v>
                </c:pt>
                <c:pt idx="2405">
                  <c:v>21627.42</c:v>
                </c:pt>
                <c:pt idx="2406">
                  <c:v>21517.4</c:v>
                </c:pt>
                <c:pt idx="2407">
                  <c:v>21418.43</c:v>
                </c:pt>
                <c:pt idx="2408">
                  <c:v>21380.78</c:v>
                </c:pt>
                <c:pt idx="2409">
                  <c:v>21471.2</c:v>
                </c:pt>
                <c:pt idx="2410">
                  <c:v>21318.22</c:v>
                </c:pt>
                <c:pt idx="2411">
                  <c:v>21261.7</c:v>
                </c:pt>
                <c:pt idx="2412">
                  <c:v>21054.39</c:v>
                </c:pt>
                <c:pt idx="2413">
                  <c:v>21718.58</c:v>
                </c:pt>
                <c:pt idx="2414">
                  <c:v>21884.88</c:v>
                </c:pt>
                <c:pt idx="2415">
                  <c:v>22375.73</c:v>
                </c:pt>
                <c:pt idx="2416">
                  <c:v>22438.48</c:v>
                </c:pt>
                <c:pt idx="2417">
                  <c:v>22480.54</c:v>
                </c:pt>
                <c:pt idx="2418">
                  <c:v>22212.57</c:v>
                </c:pt>
                <c:pt idx="2419">
                  <c:v>21953.8</c:v>
                </c:pt>
                <c:pt idx="2420">
                  <c:v>22051.38</c:v>
                </c:pt>
                <c:pt idx="2421">
                  <c:v>21670.24</c:v>
                </c:pt>
                <c:pt idx="2422">
                  <c:v>21945.34</c:v>
                </c:pt>
                <c:pt idx="2423">
                  <c:v>21767.62</c:v>
                </c:pt>
                <c:pt idx="2424">
                  <c:v>21664.66</c:v>
                </c:pt>
                <c:pt idx="2425">
                  <c:v>21657.09</c:v>
                </c:pt>
                <c:pt idx="2426">
                  <c:v>21990.14</c:v>
                </c:pt>
                <c:pt idx="2427">
                  <c:v>21733.98</c:v>
                </c:pt>
                <c:pt idx="2428">
                  <c:v>21279.32</c:v>
                </c:pt>
                <c:pt idx="2429">
                  <c:v>21385.14</c:v>
                </c:pt>
                <c:pt idx="2430">
                  <c:v>21080.52</c:v>
                </c:pt>
                <c:pt idx="2431">
                  <c:v>20950.18</c:v>
                </c:pt>
                <c:pt idx="2432">
                  <c:v>20770.57</c:v>
                </c:pt>
                <c:pt idx="2433">
                  <c:v>20700.59</c:v>
                </c:pt>
                <c:pt idx="2434">
                  <c:v>20540.08</c:v>
                </c:pt>
                <c:pt idx="2435">
                  <c:v>20793.45</c:v>
                </c:pt>
                <c:pt idx="2436">
                  <c:v>20683.39</c:v>
                </c:pt>
                <c:pt idx="2437">
                  <c:v>21001.68</c:v>
                </c:pt>
                <c:pt idx="2438">
                  <c:v>20703.01</c:v>
                </c:pt>
                <c:pt idx="2439">
                  <c:v>20778.06</c:v>
                </c:pt>
                <c:pt idx="2440">
                  <c:v>20616.98</c:v>
                </c:pt>
                <c:pt idx="2441">
                  <c:v>20885.57</c:v>
                </c:pt>
                <c:pt idx="2442">
                  <c:v>20732.41</c:v>
                </c:pt>
                <c:pt idx="2443">
                  <c:v>20827.37</c:v>
                </c:pt>
                <c:pt idx="2444">
                  <c:v>20553.85</c:v>
                </c:pt>
                <c:pt idx="2445">
                  <c:v>20413.0</c:v>
                </c:pt>
                <c:pt idx="2446">
                  <c:v>20358.87</c:v>
                </c:pt>
                <c:pt idx="2447">
                  <c:v>20179.65</c:v>
                </c:pt>
                <c:pt idx="2448">
                  <c:v>20520.86</c:v>
                </c:pt>
                <c:pt idx="2449">
                  <c:v>20795.6</c:v>
                </c:pt>
                <c:pt idx="2450">
                  <c:v>20242.57</c:v>
                </c:pt>
                <c:pt idx="2451">
                  <c:v>20268.57</c:v>
                </c:pt>
                <c:pt idx="2452">
                  <c:v>20676.2</c:v>
                </c:pt>
                <c:pt idx="2453">
                  <c:v>20963.97</c:v>
                </c:pt>
                <c:pt idx="2454">
                  <c:v>21591.68</c:v>
                </c:pt>
                <c:pt idx="2455">
                  <c:v>21267.97</c:v>
                </c:pt>
                <c:pt idx="2456">
                  <c:v>21346.57</c:v>
                </c:pt>
                <c:pt idx="2457">
                  <c:v>21358.31</c:v>
                </c:pt>
                <c:pt idx="2458">
                  <c:v>21243.83</c:v>
                </c:pt>
                <c:pt idx="2459">
                  <c:v>20935.92</c:v>
                </c:pt>
                <c:pt idx="2460">
                  <c:v>21368.16</c:v>
                </c:pt>
                <c:pt idx="2461">
                  <c:v>21400.43</c:v>
                </c:pt>
                <c:pt idx="2462">
                  <c:v>21237.87</c:v>
                </c:pt>
                <c:pt idx="2463">
                  <c:v>20763.89</c:v>
                </c:pt>
                <c:pt idx="2464">
                  <c:v>20211.5</c:v>
                </c:pt>
                <c:pt idx="2465">
                  <c:v>20229.58</c:v>
                </c:pt>
                <c:pt idx="2466">
                  <c:v>20310.79</c:v>
                </c:pt>
                <c:pt idx="2467">
                  <c:v>20499.83</c:v>
                </c:pt>
                <c:pt idx="2468">
                  <c:v>20696.66</c:v>
                </c:pt>
                <c:pt idx="2469">
                  <c:v>20676.72</c:v>
                </c:pt>
                <c:pt idx="2470">
                  <c:v>20282.52</c:v>
                </c:pt>
                <c:pt idx="2471">
                  <c:v>19891.03</c:v>
                </c:pt>
                <c:pt idx="2472">
                  <c:v>19698.94</c:v>
                </c:pt>
                <c:pt idx="2473">
                  <c:v>18753.72</c:v>
                </c:pt>
                <c:pt idx="2474">
                  <c:v>18380.06</c:v>
                </c:pt>
                <c:pt idx="2475">
                  <c:v>19140.06</c:v>
                </c:pt>
                <c:pt idx="2476">
                  <c:v>19324.72</c:v>
                </c:pt>
                <c:pt idx="2477">
                  <c:v>18414.69</c:v>
                </c:pt>
                <c:pt idx="2478">
                  <c:v>19690.8</c:v>
                </c:pt>
                <c:pt idx="2479">
                  <c:v>20007.75</c:v>
                </c:pt>
                <c:pt idx="2480">
                  <c:v>20856.42</c:v>
                </c:pt>
                <c:pt idx="2481">
                  <c:v>20874.86</c:v>
                </c:pt>
                <c:pt idx="2482">
                  <c:v>20358.25</c:v>
                </c:pt>
                <c:pt idx="2483">
                  <c:v>20565.46</c:v>
                </c:pt>
                <c:pt idx="2484">
                  <c:v>20473.97</c:v>
                </c:pt>
                <c:pt idx="2485">
                  <c:v>20829.18</c:v>
                </c:pt>
                <c:pt idx="2486">
                  <c:v>20696.16</c:v>
                </c:pt>
                <c:pt idx="2487">
                  <c:v>20026.38</c:v>
                </c:pt>
                <c:pt idx="2488">
                  <c:v>20014.29</c:v>
                </c:pt>
                <c:pt idx="2489">
                  <c:v>20394.58</c:v>
                </c:pt>
                <c:pt idx="2490">
                  <c:v>19641.52</c:v>
                </c:pt>
                <c:pt idx="2491">
                  <c:v>20199.75</c:v>
                </c:pt>
                <c:pt idx="2492">
                  <c:v>20373.33</c:v>
                </c:pt>
                <c:pt idx="2493">
                  <c:v>20652.61</c:v>
                </c:pt>
                <c:pt idx="2494">
                  <c:v>20812.95</c:v>
                </c:pt>
                <c:pt idx="2495">
                  <c:v>20974.14</c:v>
                </c:pt>
                <c:pt idx="2496">
                  <c:v>21781.46</c:v>
                </c:pt>
                <c:pt idx="2497">
                  <c:v>22094.12</c:v>
                </c:pt>
                <c:pt idx="2498">
                  <c:v>22024.03</c:v>
                </c:pt>
                <c:pt idx="2499">
                  <c:v>21913.55</c:v>
                </c:pt>
                <c:pt idx="2500">
                  <c:v>21756.9</c:v>
                </c:pt>
                <c:pt idx="2501">
                  <c:v>21822.24</c:v>
                </c:pt>
                <c:pt idx="2502">
                  <c:v>21525.35</c:v>
                </c:pt>
                <c:pt idx="2503">
                  <c:v>21362.71</c:v>
                </c:pt>
                <c:pt idx="2504">
                  <c:v>21394.18</c:v>
                </c:pt>
                <c:pt idx="2505">
                  <c:v>21135.51</c:v>
                </c:pt>
                <c:pt idx="2506">
                  <c:v>21353.95</c:v>
                </c:pt>
                <c:pt idx="2507">
                  <c:v>21030.74</c:v>
                </c:pt>
                <c:pt idx="2508">
                  <c:v>21046.62</c:v>
                </c:pt>
                <c:pt idx="2509">
                  <c:v>21029.02</c:v>
                </c:pt>
                <c:pt idx="2510">
                  <c:v>20985.48</c:v>
                </c:pt>
                <c:pt idx="2511">
                  <c:v>21100.61</c:v>
                </c:pt>
                <c:pt idx="2512">
                  <c:v>20946.9</c:v>
                </c:pt>
                <c:pt idx="2513">
                  <c:v>20666.97</c:v>
                </c:pt>
                <c:pt idx="2514">
                  <c:v>20722.88</c:v>
                </c:pt>
                <c:pt idx="2515">
                  <c:v>20865.34</c:v>
                </c:pt>
                <c:pt idx="2516">
                  <c:v>20725.8</c:v>
                </c:pt>
                <c:pt idx="2517">
                  <c:v>20599.91</c:v>
                </c:pt>
                <c:pt idx="2518">
                  <c:v>20631.27</c:v>
                </c:pt>
                <c:pt idx="2519">
                  <c:v>20685.33</c:v>
                </c:pt>
                <c:pt idx="2520">
                  <c:v>20647.6</c:v>
                </c:pt>
                <c:pt idx="2521">
                  <c:v>20711.75</c:v>
                </c:pt>
                <c:pt idx="2522">
                  <c:v>20351.74</c:v>
                </c:pt>
                <c:pt idx="2523">
                  <c:v>20677.96</c:v>
                </c:pt>
                <c:pt idx="2524">
                  <c:v>20327.64</c:v>
                </c:pt>
                <c:pt idx="2525">
                  <c:v>20200.15</c:v>
                </c:pt>
                <c:pt idx="2526">
                  <c:v>20438.48</c:v>
                </c:pt>
                <c:pt idx="2527">
                  <c:v>20320.49</c:v>
                </c:pt>
                <c:pt idx="2528">
                  <c:v>20159.77</c:v>
                </c:pt>
                <c:pt idx="2529">
                  <c:v>19991.48</c:v>
                </c:pt>
                <c:pt idx="2530">
                  <c:v>20138.47</c:v>
                </c:pt>
                <c:pt idx="2531">
                  <c:v>19820.67</c:v>
                </c:pt>
                <c:pt idx="2532">
                  <c:v>19631.96</c:v>
                </c:pt>
                <c:pt idx="2533">
                  <c:v>19692.84</c:v>
                </c:pt>
                <c:pt idx="2534">
                  <c:v>19289.68</c:v>
                </c:pt>
                <c:pt idx="2535">
                  <c:v>18945.27</c:v>
                </c:pt>
                <c:pt idx="2536">
                  <c:v>18753.05</c:v>
                </c:pt>
                <c:pt idx="2537">
                  <c:v>18818.92</c:v>
                </c:pt>
                <c:pt idx="2538">
                  <c:v>18540.6</c:v>
                </c:pt>
                <c:pt idx="2539">
                  <c:v>18626.23</c:v>
                </c:pt>
                <c:pt idx="2540">
                  <c:v>19369.85</c:v>
                </c:pt>
                <c:pt idx="2541">
                  <c:v>19299.56</c:v>
                </c:pt>
                <c:pt idx="2542">
                  <c:v>19391.13</c:v>
                </c:pt>
                <c:pt idx="2543">
                  <c:v>19085.35</c:v>
                </c:pt>
                <c:pt idx="2544">
                  <c:v>19657.52</c:v>
                </c:pt>
                <c:pt idx="2545">
                  <c:v>19486.12</c:v>
                </c:pt>
                <c:pt idx="2546">
                  <c:v>19660.2</c:v>
                </c:pt>
                <c:pt idx="2547">
                  <c:v>19684.45</c:v>
                </c:pt>
                <c:pt idx="2548">
                  <c:v>19518.46</c:v>
                </c:pt>
                <c:pt idx="2549">
                  <c:v>19388.64</c:v>
                </c:pt>
                <c:pt idx="2550">
                  <c:v>19389.32</c:v>
                </c:pt>
                <c:pt idx="2551">
                  <c:v>18665.13</c:v>
                </c:pt>
                <c:pt idx="2552">
                  <c:v>18734.36</c:v>
                </c:pt>
                <c:pt idx="2553">
                  <c:v>18750.43</c:v>
                </c:pt>
                <c:pt idx="2554">
                  <c:v>18970.15</c:v>
                </c:pt>
                <c:pt idx="2555">
                  <c:v>19395.08</c:v>
                </c:pt>
                <c:pt idx="2556">
                  <c:v>19469.59</c:v>
                </c:pt>
                <c:pt idx="2557">
                  <c:v>19201.3</c:v>
                </c:pt>
                <c:pt idx="2558">
                  <c:v>19633.83</c:v>
                </c:pt>
                <c:pt idx="2559">
                  <c:v>19769.18</c:v>
                </c:pt>
                <c:pt idx="2560">
                  <c:v>19505.99</c:v>
                </c:pt>
                <c:pt idx="2561">
                  <c:v>20076.7</c:v>
                </c:pt>
                <c:pt idx="2562">
                  <c:v>20040.95</c:v>
                </c:pt>
                <c:pt idx="2563">
                  <c:v>19745.16</c:v>
                </c:pt>
                <c:pt idx="2564">
                  <c:v>19589.94</c:v>
                </c:pt>
                <c:pt idx="2565">
                  <c:v>19718.47</c:v>
                </c:pt>
                <c:pt idx="2566">
                  <c:v>19414.12</c:v>
                </c:pt>
                <c:pt idx="2567">
                  <c:v>19262.4</c:v>
                </c:pt>
                <c:pt idx="2568">
                  <c:v>19016.93</c:v>
                </c:pt>
                <c:pt idx="2569">
                  <c:v>18797.95</c:v>
                </c:pt>
                <c:pt idx="2570">
                  <c:v>18880.43</c:v>
                </c:pt>
                <c:pt idx="2571">
                  <c:v>18730.61</c:v>
                </c:pt>
                <c:pt idx="2572">
                  <c:v>18304.08</c:v>
                </c:pt>
                <c:pt idx="2573">
                  <c:v>18261.01</c:v>
                </c:pt>
                <c:pt idx="2574">
                  <c:v>18328.7</c:v>
                </c:pt>
                <c:pt idx="2575">
                  <c:v>18567.64</c:v>
                </c:pt>
                <c:pt idx="2576">
                  <c:v>18577.0</c:v>
                </c:pt>
                <c:pt idx="2577">
                  <c:v>18594.16</c:v>
                </c:pt>
                <c:pt idx="2578">
                  <c:v>18473.34</c:v>
                </c:pt>
                <c:pt idx="2579">
                  <c:v>18554.49</c:v>
                </c:pt>
                <c:pt idx="2580">
                  <c:v>18414.85</c:v>
                </c:pt>
                <c:pt idx="2581">
                  <c:v>18244.64</c:v>
                </c:pt>
                <c:pt idx="2582">
                  <c:v>18415.34</c:v>
                </c:pt>
                <c:pt idx="2583">
                  <c:v>18355.7</c:v>
                </c:pt>
                <c:pt idx="2584">
                  <c:v>18096.54</c:v>
                </c:pt>
                <c:pt idx="2585">
                  <c:v>18172.45</c:v>
                </c:pt>
                <c:pt idx="2586">
                  <c:v>18078.03</c:v>
                </c:pt>
                <c:pt idx="2587">
                  <c:v>18312.14</c:v>
                </c:pt>
                <c:pt idx="2588">
                  <c:v>18123.93</c:v>
                </c:pt>
                <c:pt idx="2589">
                  <c:v>18049.13</c:v>
                </c:pt>
                <c:pt idx="2590">
                  <c:v>17898.18</c:v>
                </c:pt>
                <c:pt idx="2591">
                  <c:v>17761.64</c:v>
                </c:pt>
                <c:pt idx="2592">
                  <c:v>17869.85</c:v>
                </c:pt>
                <c:pt idx="2593">
                  <c:v>17658.29</c:v>
                </c:pt>
                <c:pt idx="2594">
                  <c:v>17458.77</c:v>
                </c:pt>
                <c:pt idx="2595">
                  <c:v>17426.37</c:v>
                </c:pt>
                <c:pt idx="2596">
                  <c:v>17587.36</c:v>
                </c:pt>
                <c:pt idx="2597">
                  <c:v>17393.99</c:v>
                </c:pt>
                <c:pt idx="2598">
                  <c:v>17251.82</c:v>
                </c:pt>
                <c:pt idx="2599">
                  <c:v>17292.38</c:v>
                </c:pt>
                <c:pt idx="2600">
                  <c:v>17016.47</c:v>
                </c:pt>
                <c:pt idx="2601">
                  <c:v>16858.73</c:v>
                </c:pt>
                <c:pt idx="2602">
                  <c:v>16940.83</c:v>
                </c:pt>
                <c:pt idx="2603">
                  <c:v>16800.93</c:v>
                </c:pt>
                <c:pt idx="2604">
                  <c:v>16774.54</c:v>
                </c:pt>
                <c:pt idx="2605">
                  <c:v>17030.53</c:v>
                </c:pt>
                <c:pt idx="2606">
                  <c:v>17196.69</c:v>
                </c:pt>
                <c:pt idx="2607">
                  <c:v>17318.27</c:v>
                </c:pt>
                <c:pt idx="2608">
                  <c:v>17450.66</c:v>
                </c:pt>
                <c:pt idx="2609">
                  <c:v>17236.04</c:v>
                </c:pt>
                <c:pt idx="2610">
                  <c:v>17287.53</c:v>
                </c:pt>
                <c:pt idx="2611">
                  <c:v>17439.84</c:v>
                </c:pt>
                <c:pt idx="2612">
                  <c:v>17468.97</c:v>
                </c:pt>
                <c:pt idx="2613">
                  <c:v>17288.02</c:v>
                </c:pt>
                <c:pt idx="2614">
                  <c:v>17127.19</c:v>
                </c:pt>
                <c:pt idx="2615">
                  <c:v>17294.72</c:v>
                </c:pt>
                <c:pt idx="2616">
                  <c:v>17394.38</c:v>
                </c:pt>
                <c:pt idx="2617">
                  <c:v>17107.54</c:v>
                </c:pt>
                <c:pt idx="2618">
                  <c:v>16999.57</c:v>
                </c:pt>
                <c:pt idx="2619">
                  <c:v>16818.89</c:v>
                </c:pt>
                <c:pt idx="2620">
                  <c:v>16789.35</c:v>
                </c:pt>
                <c:pt idx="2621">
                  <c:v>17057.84</c:v>
                </c:pt>
                <c:pt idx="2622">
                  <c:v>16881.88</c:v>
                </c:pt>
                <c:pt idx="2623">
                  <c:v>16967.22</c:v>
                </c:pt>
                <c:pt idx="2624">
                  <c:v>16566.94</c:v>
                </c:pt>
                <c:pt idx="2625">
                  <c:v>16558.07</c:v>
                </c:pt>
                <c:pt idx="2626">
                  <c:v>16433.1</c:v>
                </c:pt>
                <c:pt idx="2627">
                  <c:v>16237.19</c:v>
                </c:pt>
                <c:pt idx="2628">
                  <c:v>16249.06</c:v>
                </c:pt>
                <c:pt idx="2629">
                  <c:v>16442.68</c:v>
                </c:pt>
                <c:pt idx="2630">
                  <c:v>16100.26</c:v>
                </c:pt>
                <c:pt idx="2631">
                  <c:v>16005.74</c:v>
                </c:pt>
                <c:pt idx="2632">
                  <c:v>15616.02</c:v>
                </c:pt>
                <c:pt idx="2633">
                  <c:v>15834.22</c:v>
                </c:pt>
                <c:pt idx="2634">
                  <c:v>15539.6</c:v>
                </c:pt>
                <c:pt idx="2635">
                  <c:v>15827.31</c:v>
                </c:pt>
                <c:pt idx="2636">
                  <c:v>15926.6</c:v>
                </c:pt>
                <c:pt idx="2637">
                  <c:v>15661.79</c:v>
                </c:pt>
                <c:pt idx="2638">
                  <c:v>15935.3</c:v>
                </c:pt>
                <c:pt idx="2639">
                  <c:v>16332.45</c:v>
                </c:pt>
                <c:pt idx="2640">
                  <c:v>16303.9</c:v>
                </c:pt>
                <c:pt idx="2641">
                  <c:v>16132.23</c:v>
                </c:pt>
                <c:pt idx="2642">
                  <c:v>16136.26</c:v>
                </c:pt>
                <c:pt idx="2643">
                  <c:v>16298.13</c:v>
                </c:pt>
                <c:pt idx="2644">
                  <c:v>16589.96</c:v>
                </c:pt>
                <c:pt idx="2645">
                  <c:v>16694.07</c:v>
                </c:pt>
                <c:pt idx="2646">
                  <c:v>16661.66</c:v>
                </c:pt>
                <c:pt idx="2647">
                  <c:v>16875.65</c:v>
                </c:pt>
                <c:pt idx="2648">
                  <c:v>16668.51</c:v>
                </c:pt>
                <c:pt idx="2649">
                  <c:v>16638.38</c:v>
                </c:pt>
                <c:pt idx="2650">
                  <c:v>16453.02</c:v>
                </c:pt>
                <c:pt idx="2651">
                  <c:v>16392.84</c:v>
                </c:pt>
                <c:pt idx="2652">
                  <c:v>16140.45</c:v>
                </c:pt>
                <c:pt idx="2653">
                  <c:v>16227.98</c:v>
                </c:pt>
                <c:pt idx="2654">
                  <c:v>16435.15</c:v>
                </c:pt>
                <c:pt idx="2655">
                  <c:v>16359.06</c:v>
                </c:pt>
                <c:pt idx="2656">
                  <c:v>16472.83</c:v>
                </c:pt>
                <c:pt idx="2657">
                  <c:v>16372.93</c:v>
                </c:pt>
                <c:pt idx="2658">
                  <c:v>16148.66</c:v>
                </c:pt>
                <c:pt idx="2659">
                  <c:v>15984.66</c:v>
                </c:pt>
                <c:pt idx="2660">
                  <c:v>15940.18</c:v>
                </c:pt>
                <c:pt idx="2661">
                  <c:v>16047.29</c:v>
                </c:pt>
                <c:pt idx="2662">
                  <c:v>15890.19</c:v>
                </c:pt>
                <c:pt idx="2663">
                  <c:v>15849.37</c:v>
                </c:pt>
                <c:pt idx="2664">
                  <c:v>15939.88</c:v>
                </c:pt>
                <c:pt idx="2665">
                  <c:v>15844.5</c:v>
                </c:pt>
                <c:pt idx="2666">
                  <c:v>15685.89</c:v>
                </c:pt>
                <c:pt idx="2667">
                  <c:v>15766.35</c:v>
                </c:pt>
                <c:pt idx="2668">
                  <c:v>15678.27</c:v>
                </c:pt>
                <c:pt idx="2669">
                  <c:v>15414.01</c:v>
                </c:pt>
                <c:pt idx="2670">
                  <c:v>15300.52</c:v>
                </c:pt>
                <c:pt idx="2671">
                  <c:v>15266.42</c:v>
                </c:pt>
                <c:pt idx="2672">
                  <c:v>15298.74</c:v>
                </c:pt>
                <c:pt idx="2673">
                  <c:v>15382.89</c:v>
                </c:pt>
                <c:pt idx="2674">
                  <c:v>15435.07</c:v>
                </c:pt>
                <c:pt idx="2675">
                  <c:v>15675.66</c:v>
                </c:pt>
                <c:pt idx="2676">
                  <c:v>15679.91</c:v>
                </c:pt>
                <c:pt idx="2677">
                  <c:v>15625.59</c:v>
                </c:pt>
                <c:pt idx="2678">
                  <c:v>15473.6</c:v>
                </c:pt>
                <c:pt idx="2679">
                  <c:v>15515.28</c:v>
                </c:pt>
                <c:pt idx="2680">
                  <c:v>15716.67</c:v>
                </c:pt>
                <c:pt idx="2681">
                  <c:v>15854.48</c:v>
                </c:pt>
                <c:pt idx="2682">
                  <c:v>15775.9</c:v>
                </c:pt>
                <c:pt idx="2683">
                  <c:v>15709.78</c:v>
                </c:pt>
                <c:pt idx="2684">
                  <c:v>15736.91</c:v>
                </c:pt>
                <c:pt idx="2685">
                  <c:v>15604.47</c:v>
                </c:pt>
                <c:pt idx="2686">
                  <c:v>15464.37</c:v>
                </c:pt>
                <c:pt idx="2687">
                  <c:v>15470.33</c:v>
                </c:pt>
                <c:pt idx="2688">
                  <c:v>15430.8</c:v>
                </c:pt>
                <c:pt idx="2689">
                  <c:v>15326.44</c:v>
                </c:pt>
                <c:pt idx="2690">
                  <c:v>15202.79</c:v>
                </c:pt>
                <c:pt idx="2691">
                  <c:v>15143.64</c:v>
                </c:pt>
                <c:pt idx="2692">
                  <c:v>15219.56</c:v>
                </c:pt>
                <c:pt idx="2693">
                  <c:v>15120.49</c:v>
                </c:pt>
                <c:pt idx="2694">
                  <c:v>15058.32</c:v>
                </c:pt>
                <c:pt idx="2695">
                  <c:v>15137.71</c:v>
                </c:pt>
                <c:pt idx="2696">
                  <c:v>15023.56</c:v>
                </c:pt>
                <c:pt idx="2697">
                  <c:v>14921.48</c:v>
                </c:pt>
                <c:pt idx="2698">
                  <c:v>14878.22</c:v>
                </c:pt>
                <c:pt idx="2699">
                  <c:v>14867.95</c:v>
                </c:pt>
                <c:pt idx="2700">
                  <c:v>14766.5</c:v>
                </c:pt>
                <c:pt idx="2701">
                  <c:v>14720.93</c:v>
                </c:pt>
                <c:pt idx="2702">
                  <c:v>14779.95</c:v>
                </c:pt>
                <c:pt idx="2703">
                  <c:v>14671.87</c:v>
                </c:pt>
                <c:pt idx="2704">
                  <c:v>14511.08</c:v>
                </c:pt>
                <c:pt idx="2705">
                  <c:v>14515.59</c:v>
                </c:pt>
                <c:pt idx="2706">
                  <c:v>14457.8</c:v>
                </c:pt>
                <c:pt idx="2707">
                  <c:v>14302.11</c:v>
                </c:pt>
                <c:pt idx="2708">
                  <c:v>14394.63</c:v>
                </c:pt>
                <c:pt idx="2709">
                  <c:v>14362.42</c:v>
                </c:pt>
                <c:pt idx="2710">
                  <c:v>14309.81</c:v>
                </c:pt>
                <c:pt idx="2711">
                  <c:v>14244.13</c:v>
                </c:pt>
                <c:pt idx="2712">
                  <c:v>14154.73</c:v>
                </c:pt>
                <c:pt idx="2713">
                  <c:v>14183.47</c:v>
                </c:pt>
                <c:pt idx="2714">
                  <c:v>14065.84</c:v>
                </c:pt>
                <c:pt idx="2715">
                  <c:v>14047.98</c:v>
                </c:pt>
                <c:pt idx="2716">
                  <c:v>14103.92</c:v>
                </c:pt>
                <c:pt idx="2717">
                  <c:v>14278.43</c:v>
                </c:pt>
                <c:pt idx="2718">
                  <c:v>14313.51</c:v>
                </c:pt>
                <c:pt idx="2719">
                  <c:v>14311.91</c:v>
                </c:pt>
                <c:pt idx="2720">
                  <c:v>14345.63</c:v>
                </c:pt>
                <c:pt idx="2721">
                  <c:v>14326.59</c:v>
                </c:pt>
                <c:pt idx="2722">
                  <c:v>14210.74</c:v>
                </c:pt>
                <c:pt idx="2723">
                  <c:v>14224.28</c:v>
                </c:pt>
                <c:pt idx="2724">
                  <c:v>14223.31</c:v>
                </c:pt>
                <c:pt idx="2725">
                  <c:v>14029.06</c:v>
                </c:pt>
                <c:pt idx="2726">
                  <c:v>14001.86</c:v>
                </c:pt>
                <c:pt idx="2727">
                  <c:v>14000.44</c:v>
                </c:pt>
                <c:pt idx="2728">
                  <c:v>13980.26</c:v>
                </c:pt>
                <c:pt idx="2729">
                  <c:v>14087.43</c:v>
                </c:pt>
                <c:pt idx="2730">
                  <c:v>14020.86</c:v>
                </c:pt>
                <c:pt idx="2731">
                  <c:v>13965.33</c:v>
                </c:pt>
                <c:pt idx="2732">
                  <c:v>13859.48</c:v>
                </c:pt>
                <c:pt idx="2733">
                  <c:v>13787.02</c:v>
                </c:pt>
                <c:pt idx="2734">
                  <c:v>13916.3</c:v>
                </c:pt>
                <c:pt idx="2735">
                  <c:v>13770.34</c:v>
                </c:pt>
                <c:pt idx="2736">
                  <c:v>13705.2</c:v>
                </c:pt>
                <c:pt idx="2737">
                  <c:v>13469.48</c:v>
                </c:pt>
                <c:pt idx="2738">
                  <c:v>13533.47</c:v>
                </c:pt>
                <c:pt idx="2739">
                  <c:v>13483.9</c:v>
                </c:pt>
                <c:pt idx="2740">
                  <c:v>13418.33</c:v>
                </c:pt>
                <c:pt idx="2741">
                  <c:v>13234.0</c:v>
                </c:pt>
                <c:pt idx="2742">
                  <c:v>13268.93</c:v>
                </c:pt>
                <c:pt idx="2743">
                  <c:v>13108.34</c:v>
                </c:pt>
                <c:pt idx="2744">
                  <c:v>13097.34</c:v>
                </c:pt>
                <c:pt idx="2745">
                  <c:v>12954.15</c:v>
                </c:pt>
                <c:pt idx="2746">
                  <c:v>13157.21</c:v>
                </c:pt>
                <c:pt idx="2747">
                  <c:v>13106.1</c:v>
                </c:pt>
                <c:pt idx="2748">
                  <c:v>13087.57</c:v>
                </c:pt>
                <c:pt idx="2749">
                  <c:v>13159.53</c:v>
                </c:pt>
                <c:pt idx="2750">
                  <c:v>12948.15</c:v>
                </c:pt>
              </c:numCache>
            </c:numRef>
          </c:val>
          <c:smooth val="0"/>
        </c:ser>
        <c:ser>
          <c:idx val="1"/>
          <c:order val="1"/>
          <c:spPr>
            <a:ln w="12700"/>
          </c:spPr>
          <c:marker>
            <c:symbol val="none"/>
          </c:marker>
          <c:cat>
            <c:numRef>
              <c:f>'4f. JALSH vs Oceana Prices'!$B$9:$B$2759</c:f>
              <c:numCache>
                <c:formatCode>m/d/yy</c:formatCode>
                <c:ptCount val="2751"/>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50">
                  <c:v>41397.0</c:v>
                </c:pt>
                <c:pt idx="751">
                  <c:v>41396.0</c:v>
                </c:pt>
                <c:pt idx="752">
                  <c:v>41394.0</c:v>
                </c:pt>
                <c:pt idx="753">
                  <c:v>41393.0</c:v>
                </c:pt>
                <c:pt idx="754">
                  <c:v>41390.0</c:v>
                </c:pt>
                <c:pt idx="755">
                  <c:v>41389.0</c:v>
                </c:pt>
                <c:pt idx="756">
                  <c:v>41388.0</c:v>
                </c:pt>
                <c:pt idx="757">
                  <c:v>41387.0</c:v>
                </c:pt>
                <c:pt idx="758">
                  <c:v>41386.0</c:v>
                </c:pt>
                <c:pt idx="759">
                  <c:v>41383.0</c:v>
                </c:pt>
                <c:pt idx="760">
                  <c:v>41382.0</c:v>
                </c:pt>
                <c:pt idx="761">
                  <c:v>41381.0</c:v>
                </c:pt>
                <c:pt idx="762">
                  <c:v>41380.0</c:v>
                </c:pt>
                <c:pt idx="763">
                  <c:v>41379.0</c:v>
                </c:pt>
                <c:pt idx="764">
                  <c:v>41376.0</c:v>
                </c:pt>
                <c:pt idx="765">
                  <c:v>41375.0</c:v>
                </c:pt>
                <c:pt idx="766">
                  <c:v>41374.0</c:v>
                </c:pt>
                <c:pt idx="767">
                  <c:v>41373.0</c:v>
                </c:pt>
                <c:pt idx="768">
                  <c:v>41372.0</c:v>
                </c:pt>
                <c:pt idx="769">
                  <c:v>41369.0</c:v>
                </c:pt>
                <c:pt idx="770">
                  <c:v>41368.0</c:v>
                </c:pt>
                <c:pt idx="771">
                  <c:v>41367.0</c:v>
                </c:pt>
                <c:pt idx="772">
                  <c:v>41366.0</c:v>
                </c:pt>
                <c:pt idx="773">
                  <c:v>41361.0</c:v>
                </c:pt>
                <c:pt idx="774">
                  <c:v>41360.0</c:v>
                </c:pt>
                <c:pt idx="775">
                  <c:v>41359.0</c:v>
                </c:pt>
                <c:pt idx="776">
                  <c:v>41358.0</c:v>
                </c:pt>
                <c:pt idx="777">
                  <c:v>41355.0</c:v>
                </c:pt>
                <c:pt idx="778">
                  <c:v>41353.0</c:v>
                </c:pt>
                <c:pt idx="779">
                  <c:v>41352.0</c:v>
                </c:pt>
                <c:pt idx="780">
                  <c:v>41351.0</c:v>
                </c:pt>
                <c:pt idx="781">
                  <c:v>41348.0</c:v>
                </c:pt>
                <c:pt idx="782">
                  <c:v>41347.0</c:v>
                </c:pt>
                <c:pt idx="783">
                  <c:v>41346.0</c:v>
                </c:pt>
                <c:pt idx="784">
                  <c:v>41345.0</c:v>
                </c:pt>
                <c:pt idx="785">
                  <c:v>41344.0</c:v>
                </c:pt>
                <c:pt idx="786">
                  <c:v>41341.0</c:v>
                </c:pt>
                <c:pt idx="787">
                  <c:v>41340.0</c:v>
                </c:pt>
                <c:pt idx="788">
                  <c:v>41339.0</c:v>
                </c:pt>
                <c:pt idx="789">
                  <c:v>41338.0</c:v>
                </c:pt>
                <c:pt idx="790">
                  <c:v>41337.0</c:v>
                </c:pt>
                <c:pt idx="791">
                  <c:v>41334.0</c:v>
                </c:pt>
                <c:pt idx="792">
                  <c:v>41333.0</c:v>
                </c:pt>
                <c:pt idx="793">
                  <c:v>41332.0</c:v>
                </c:pt>
                <c:pt idx="794">
                  <c:v>41331.0</c:v>
                </c:pt>
                <c:pt idx="795">
                  <c:v>41330.0</c:v>
                </c:pt>
                <c:pt idx="796">
                  <c:v>41327.0</c:v>
                </c:pt>
                <c:pt idx="797">
                  <c:v>41326.0</c:v>
                </c:pt>
                <c:pt idx="798">
                  <c:v>41325.0</c:v>
                </c:pt>
                <c:pt idx="799">
                  <c:v>41324.0</c:v>
                </c:pt>
                <c:pt idx="800">
                  <c:v>41323.0</c:v>
                </c:pt>
                <c:pt idx="801">
                  <c:v>41320.0</c:v>
                </c:pt>
                <c:pt idx="802">
                  <c:v>41319.0</c:v>
                </c:pt>
                <c:pt idx="803">
                  <c:v>41318.0</c:v>
                </c:pt>
                <c:pt idx="804">
                  <c:v>41317.0</c:v>
                </c:pt>
                <c:pt idx="805">
                  <c:v>41316.0</c:v>
                </c:pt>
                <c:pt idx="806">
                  <c:v>41313.0</c:v>
                </c:pt>
                <c:pt idx="807">
                  <c:v>41312.0</c:v>
                </c:pt>
                <c:pt idx="808">
                  <c:v>41311.0</c:v>
                </c:pt>
                <c:pt idx="809">
                  <c:v>41310.0</c:v>
                </c:pt>
                <c:pt idx="810">
                  <c:v>41309.0</c:v>
                </c:pt>
                <c:pt idx="811">
                  <c:v>41306.0</c:v>
                </c:pt>
                <c:pt idx="812">
                  <c:v>41305.0</c:v>
                </c:pt>
                <c:pt idx="813">
                  <c:v>41304.0</c:v>
                </c:pt>
                <c:pt idx="814">
                  <c:v>41303.0</c:v>
                </c:pt>
                <c:pt idx="815">
                  <c:v>41302.0</c:v>
                </c:pt>
                <c:pt idx="816">
                  <c:v>41299.0</c:v>
                </c:pt>
                <c:pt idx="817">
                  <c:v>41298.0</c:v>
                </c:pt>
                <c:pt idx="818">
                  <c:v>41297.0</c:v>
                </c:pt>
                <c:pt idx="819">
                  <c:v>41296.0</c:v>
                </c:pt>
                <c:pt idx="820">
                  <c:v>41295.0</c:v>
                </c:pt>
                <c:pt idx="821">
                  <c:v>41292.0</c:v>
                </c:pt>
                <c:pt idx="822">
                  <c:v>41291.0</c:v>
                </c:pt>
                <c:pt idx="823">
                  <c:v>41290.0</c:v>
                </c:pt>
                <c:pt idx="824">
                  <c:v>41289.0</c:v>
                </c:pt>
                <c:pt idx="825">
                  <c:v>41288.0</c:v>
                </c:pt>
                <c:pt idx="826">
                  <c:v>41285.0</c:v>
                </c:pt>
                <c:pt idx="827">
                  <c:v>41284.0</c:v>
                </c:pt>
                <c:pt idx="828">
                  <c:v>41283.0</c:v>
                </c:pt>
                <c:pt idx="829">
                  <c:v>41282.0</c:v>
                </c:pt>
                <c:pt idx="830">
                  <c:v>41281.0</c:v>
                </c:pt>
                <c:pt idx="831">
                  <c:v>41278.0</c:v>
                </c:pt>
                <c:pt idx="832">
                  <c:v>41277.0</c:v>
                </c:pt>
                <c:pt idx="833">
                  <c:v>41276.0</c:v>
                </c:pt>
                <c:pt idx="834">
                  <c:v>41274.0</c:v>
                </c:pt>
                <c:pt idx="835">
                  <c:v>41271.0</c:v>
                </c:pt>
                <c:pt idx="836">
                  <c:v>41270.0</c:v>
                </c:pt>
                <c:pt idx="837">
                  <c:v>41267.0</c:v>
                </c:pt>
                <c:pt idx="838">
                  <c:v>41264.0</c:v>
                </c:pt>
                <c:pt idx="839">
                  <c:v>41263.0</c:v>
                </c:pt>
                <c:pt idx="840">
                  <c:v>41262.0</c:v>
                </c:pt>
                <c:pt idx="841">
                  <c:v>41261.0</c:v>
                </c:pt>
                <c:pt idx="842">
                  <c:v>41257.0</c:v>
                </c:pt>
                <c:pt idx="843">
                  <c:v>41256.0</c:v>
                </c:pt>
                <c:pt idx="844">
                  <c:v>41255.0</c:v>
                </c:pt>
                <c:pt idx="845">
                  <c:v>41254.0</c:v>
                </c:pt>
                <c:pt idx="846">
                  <c:v>41253.0</c:v>
                </c:pt>
                <c:pt idx="847">
                  <c:v>41250.0</c:v>
                </c:pt>
                <c:pt idx="848">
                  <c:v>41249.0</c:v>
                </c:pt>
                <c:pt idx="849">
                  <c:v>41248.0</c:v>
                </c:pt>
                <c:pt idx="850">
                  <c:v>41247.0</c:v>
                </c:pt>
                <c:pt idx="851">
                  <c:v>41246.0</c:v>
                </c:pt>
                <c:pt idx="852">
                  <c:v>41243.0</c:v>
                </c:pt>
                <c:pt idx="853">
                  <c:v>41242.0</c:v>
                </c:pt>
                <c:pt idx="854">
                  <c:v>41241.0</c:v>
                </c:pt>
                <c:pt idx="855">
                  <c:v>41240.0</c:v>
                </c:pt>
                <c:pt idx="856">
                  <c:v>41239.0</c:v>
                </c:pt>
                <c:pt idx="857">
                  <c:v>41236.0</c:v>
                </c:pt>
                <c:pt idx="858">
                  <c:v>41235.0</c:v>
                </c:pt>
                <c:pt idx="859">
                  <c:v>41234.0</c:v>
                </c:pt>
                <c:pt idx="860">
                  <c:v>41233.0</c:v>
                </c:pt>
                <c:pt idx="861">
                  <c:v>41232.0</c:v>
                </c:pt>
                <c:pt idx="862">
                  <c:v>41229.0</c:v>
                </c:pt>
                <c:pt idx="863">
                  <c:v>41228.0</c:v>
                </c:pt>
                <c:pt idx="864">
                  <c:v>41227.0</c:v>
                </c:pt>
                <c:pt idx="865">
                  <c:v>41226.0</c:v>
                </c:pt>
                <c:pt idx="866">
                  <c:v>41225.0</c:v>
                </c:pt>
                <c:pt idx="867">
                  <c:v>41222.0</c:v>
                </c:pt>
                <c:pt idx="868">
                  <c:v>41221.0</c:v>
                </c:pt>
                <c:pt idx="869">
                  <c:v>41220.0</c:v>
                </c:pt>
                <c:pt idx="870">
                  <c:v>41219.0</c:v>
                </c:pt>
                <c:pt idx="871">
                  <c:v>41218.0</c:v>
                </c:pt>
                <c:pt idx="872">
                  <c:v>41215.0</c:v>
                </c:pt>
                <c:pt idx="873">
                  <c:v>41214.0</c:v>
                </c:pt>
                <c:pt idx="874">
                  <c:v>41213.0</c:v>
                </c:pt>
                <c:pt idx="875">
                  <c:v>41212.0</c:v>
                </c:pt>
                <c:pt idx="876">
                  <c:v>41211.0</c:v>
                </c:pt>
                <c:pt idx="877">
                  <c:v>41208.0</c:v>
                </c:pt>
                <c:pt idx="878">
                  <c:v>41207.0</c:v>
                </c:pt>
                <c:pt idx="879">
                  <c:v>41206.0</c:v>
                </c:pt>
                <c:pt idx="880">
                  <c:v>41205.0</c:v>
                </c:pt>
                <c:pt idx="881">
                  <c:v>41204.0</c:v>
                </c:pt>
                <c:pt idx="882">
                  <c:v>41201.0</c:v>
                </c:pt>
                <c:pt idx="883">
                  <c:v>41200.0</c:v>
                </c:pt>
                <c:pt idx="884">
                  <c:v>41199.0</c:v>
                </c:pt>
                <c:pt idx="885">
                  <c:v>41198.0</c:v>
                </c:pt>
                <c:pt idx="886">
                  <c:v>41197.0</c:v>
                </c:pt>
                <c:pt idx="887">
                  <c:v>41194.0</c:v>
                </c:pt>
                <c:pt idx="888">
                  <c:v>41193.0</c:v>
                </c:pt>
                <c:pt idx="889">
                  <c:v>41192.0</c:v>
                </c:pt>
                <c:pt idx="890">
                  <c:v>41191.0</c:v>
                </c:pt>
                <c:pt idx="891">
                  <c:v>41190.0</c:v>
                </c:pt>
                <c:pt idx="892">
                  <c:v>41187.0</c:v>
                </c:pt>
                <c:pt idx="893">
                  <c:v>41186.0</c:v>
                </c:pt>
                <c:pt idx="894">
                  <c:v>41185.0</c:v>
                </c:pt>
                <c:pt idx="895">
                  <c:v>41184.0</c:v>
                </c:pt>
                <c:pt idx="896">
                  <c:v>41183.0</c:v>
                </c:pt>
                <c:pt idx="897">
                  <c:v>41180.0</c:v>
                </c:pt>
                <c:pt idx="898">
                  <c:v>41179.0</c:v>
                </c:pt>
                <c:pt idx="899">
                  <c:v>41178.0</c:v>
                </c:pt>
                <c:pt idx="900">
                  <c:v>41177.0</c:v>
                </c:pt>
                <c:pt idx="901">
                  <c:v>41173.0</c:v>
                </c:pt>
                <c:pt idx="902">
                  <c:v>41172.0</c:v>
                </c:pt>
                <c:pt idx="903">
                  <c:v>41171.0</c:v>
                </c:pt>
                <c:pt idx="904">
                  <c:v>41170.0</c:v>
                </c:pt>
                <c:pt idx="905">
                  <c:v>41169.0</c:v>
                </c:pt>
                <c:pt idx="906">
                  <c:v>41166.0</c:v>
                </c:pt>
                <c:pt idx="907">
                  <c:v>41165.0</c:v>
                </c:pt>
                <c:pt idx="908">
                  <c:v>41164.0</c:v>
                </c:pt>
                <c:pt idx="909">
                  <c:v>41163.0</c:v>
                </c:pt>
                <c:pt idx="910">
                  <c:v>41162.0</c:v>
                </c:pt>
                <c:pt idx="911">
                  <c:v>41159.0</c:v>
                </c:pt>
                <c:pt idx="912">
                  <c:v>41158.0</c:v>
                </c:pt>
                <c:pt idx="913">
                  <c:v>41157.0</c:v>
                </c:pt>
                <c:pt idx="914">
                  <c:v>41156.0</c:v>
                </c:pt>
                <c:pt idx="915">
                  <c:v>41155.0</c:v>
                </c:pt>
                <c:pt idx="916">
                  <c:v>41152.0</c:v>
                </c:pt>
                <c:pt idx="917">
                  <c:v>41151.0</c:v>
                </c:pt>
                <c:pt idx="918">
                  <c:v>41150.0</c:v>
                </c:pt>
                <c:pt idx="919">
                  <c:v>41149.0</c:v>
                </c:pt>
                <c:pt idx="920">
                  <c:v>41148.0</c:v>
                </c:pt>
                <c:pt idx="921">
                  <c:v>41145.0</c:v>
                </c:pt>
                <c:pt idx="922">
                  <c:v>41144.0</c:v>
                </c:pt>
                <c:pt idx="923">
                  <c:v>41143.0</c:v>
                </c:pt>
                <c:pt idx="924">
                  <c:v>41142.0</c:v>
                </c:pt>
                <c:pt idx="925">
                  <c:v>41141.0</c:v>
                </c:pt>
                <c:pt idx="926">
                  <c:v>41138.0</c:v>
                </c:pt>
                <c:pt idx="927">
                  <c:v>41137.0</c:v>
                </c:pt>
                <c:pt idx="928">
                  <c:v>41136.0</c:v>
                </c:pt>
                <c:pt idx="929">
                  <c:v>41135.0</c:v>
                </c:pt>
                <c:pt idx="930">
                  <c:v>41134.0</c:v>
                </c:pt>
                <c:pt idx="931">
                  <c:v>41131.0</c:v>
                </c:pt>
                <c:pt idx="932">
                  <c:v>41129.0</c:v>
                </c:pt>
                <c:pt idx="933">
                  <c:v>41128.0</c:v>
                </c:pt>
                <c:pt idx="934">
                  <c:v>41127.0</c:v>
                </c:pt>
                <c:pt idx="935">
                  <c:v>41124.0</c:v>
                </c:pt>
                <c:pt idx="936">
                  <c:v>41123.0</c:v>
                </c:pt>
                <c:pt idx="937">
                  <c:v>41122.0</c:v>
                </c:pt>
                <c:pt idx="938">
                  <c:v>41121.0</c:v>
                </c:pt>
                <c:pt idx="939">
                  <c:v>41120.0</c:v>
                </c:pt>
                <c:pt idx="940">
                  <c:v>41117.0</c:v>
                </c:pt>
                <c:pt idx="941">
                  <c:v>41116.0</c:v>
                </c:pt>
                <c:pt idx="942">
                  <c:v>41115.0</c:v>
                </c:pt>
                <c:pt idx="943">
                  <c:v>41114.0</c:v>
                </c:pt>
                <c:pt idx="944">
                  <c:v>41113.0</c:v>
                </c:pt>
                <c:pt idx="945">
                  <c:v>41110.0</c:v>
                </c:pt>
                <c:pt idx="946">
                  <c:v>41109.0</c:v>
                </c:pt>
                <c:pt idx="947">
                  <c:v>41108.0</c:v>
                </c:pt>
                <c:pt idx="948">
                  <c:v>41107.0</c:v>
                </c:pt>
                <c:pt idx="949">
                  <c:v>41106.0</c:v>
                </c:pt>
                <c:pt idx="950">
                  <c:v>41103.0</c:v>
                </c:pt>
                <c:pt idx="951">
                  <c:v>41102.0</c:v>
                </c:pt>
                <c:pt idx="952">
                  <c:v>41101.0</c:v>
                </c:pt>
                <c:pt idx="953">
                  <c:v>41100.0</c:v>
                </c:pt>
                <c:pt idx="954">
                  <c:v>41099.0</c:v>
                </c:pt>
                <c:pt idx="955">
                  <c:v>41096.0</c:v>
                </c:pt>
                <c:pt idx="956">
                  <c:v>41095.0</c:v>
                </c:pt>
                <c:pt idx="957">
                  <c:v>41094.0</c:v>
                </c:pt>
                <c:pt idx="958">
                  <c:v>41093.0</c:v>
                </c:pt>
                <c:pt idx="959">
                  <c:v>41092.0</c:v>
                </c:pt>
                <c:pt idx="960">
                  <c:v>41089.0</c:v>
                </c:pt>
                <c:pt idx="961">
                  <c:v>41088.0</c:v>
                </c:pt>
                <c:pt idx="962">
                  <c:v>41087.0</c:v>
                </c:pt>
                <c:pt idx="963">
                  <c:v>41086.0</c:v>
                </c:pt>
                <c:pt idx="964">
                  <c:v>41085.0</c:v>
                </c:pt>
                <c:pt idx="965">
                  <c:v>41082.0</c:v>
                </c:pt>
                <c:pt idx="966">
                  <c:v>41081.0</c:v>
                </c:pt>
                <c:pt idx="967">
                  <c:v>41080.0</c:v>
                </c:pt>
                <c:pt idx="968">
                  <c:v>41079.0</c:v>
                </c:pt>
                <c:pt idx="969">
                  <c:v>41078.0</c:v>
                </c:pt>
                <c:pt idx="970">
                  <c:v>41075.0</c:v>
                </c:pt>
                <c:pt idx="971">
                  <c:v>41074.0</c:v>
                </c:pt>
                <c:pt idx="972">
                  <c:v>41073.0</c:v>
                </c:pt>
                <c:pt idx="973">
                  <c:v>41072.0</c:v>
                </c:pt>
                <c:pt idx="974">
                  <c:v>41071.0</c:v>
                </c:pt>
                <c:pt idx="975">
                  <c:v>41068.0</c:v>
                </c:pt>
                <c:pt idx="976">
                  <c:v>41067.0</c:v>
                </c:pt>
                <c:pt idx="977">
                  <c:v>41066.0</c:v>
                </c:pt>
                <c:pt idx="978">
                  <c:v>41065.0</c:v>
                </c:pt>
                <c:pt idx="979">
                  <c:v>41064.0</c:v>
                </c:pt>
                <c:pt idx="980">
                  <c:v>41061.0</c:v>
                </c:pt>
                <c:pt idx="981">
                  <c:v>41060.0</c:v>
                </c:pt>
                <c:pt idx="982">
                  <c:v>41059.0</c:v>
                </c:pt>
                <c:pt idx="983">
                  <c:v>41058.0</c:v>
                </c:pt>
                <c:pt idx="984">
                  <c:v>41057.0</c:v>
                </c:pt>
                <c:pt idx="985">
                  <c:v>41054.0</c:v>
                </c:pt>
                <c:pt idx="986">
                  <c:v>41053.0</c:v>
                </c:pt>
                <c:pt idx="987">
                  <c:v>41052.0</c:v>
                </c:pt>
                <c:pt idx="988">
                  <c:v>41051.0</c:v>
                </c:pt>
                <c:pt idx="989">
                  <c:v>41050.0</c:v>
                </c:pt>
                <c:pt idx="990">
                  <c:v>41047.0</c:v>
                </c:pt>
                <c:pt idx="991">
                  <c:v>41046.0</c:v>
                </c:pt>
                <c:pt idx="992">
                  <c:v>41045.0</c:v>
                </c:pt>
                <c:pt idx="993">
                  <c:v>41044.0</c:v>
                </c:pt>
                <c:pt idx="994">
                  <c:v>41043.0</c:v>
                </c:pt>
                <c:pt idx="995">
                  <c:v>41040.0</c:v>
                </c:pt>
                <c:pt idx="996">
                  <c:v>41039.0</c:v>
                </c:pt>
                <c:pt idx="997">
                  <c:v>41038.0</c:v>
                </c:pt>
                <c:pt idx="998">
                  <c:v>41037.0</c:v>
                </c:pt>
                <c:pt idx="999">
                  <c:v>41036.0</c:v>
                </c:pt>
                <c:pt idx="1000">
                  <c:v>41033.0</c:v>
                </c:pt>
                <c:pt idx="1001">
                  <c:v>41032.0</c:v>
                </c:pt>
                <c:pt idx="1002">
                  <c:v>41031.0</c:v>
                </c:pt>
                <c:pt idx="1003">
                  <c:v>41029.0</c:v>
                </c:pt>
                <c:pt idx="1004">
                  <c:v>41025.0</c:v>
                </c:pt>
                <c:pt idx="1005">
                  <c:v>41024.0</c:v>
                </c:pt>
                <c:pt idx="1006">
                  <c:v>41023.0</c:v>
                </c:pt>
                <c:pt idx="1007">
                  <c:v>41022.0</c:v>
                </c:pt>
                <c:pt idx="1008">
                  <c:v>41019.0</c:v>
                </c:pt>
                <c:pt idx="1009">
                  <c:v>41018.0</c:v>
                </c:pt>
                <c:pt idx="1010">
                  <c:v>41017.0</c:v>
                </c:pt>
                <c:pt idx="1011">
                  <c:v>41016.0</c:v>
                </c:pt>
                <c:pt idx="1012">
                  <c:v>41015.0</c:v>
                </c:pt>
                <c:pt idx="1013">
                  <c:v>41012.0</c:v>
                </c:pt>
                <c:pt idx="1014">
                  <c:v>41011.0</c:v>
                </c:pt>
                <c:pt idx="1015">
                  <c:v>41010.0</c:v>
                </c:pt>
                <c:pt idx="1016">
                  <c:v>41009.0</c:v>
                </c:pt>
                <c:pt idx="1017">
                  <c:v>41004.0</c:v>
                </c:pt>
                <c:pt idx="1018">
                  <c:v>41003.0</c:v>
                </c:pt>
                <c:pt idx="1019">
                  <c:v>41002.0</c:v>
                </c:pt>
                <c:pt idx="1020">
                  <c:v>41001.0</c:v>
                </c:pt>
                <c:pt idx="1021">
                  <c:v>40998.0</c:v>
                </c:pt>
                <c:pt idx="1022">
                  <c:v>40997.0</c:v>
                </c:pt>
                <c:pt idx="1023">
                  <c:v>40996.0</c:v>
                </c:pt>
                <c:pt idx="1024">
                  <c:v>40995.0</c:v>
                </c:pt>
                <c:pt idx="1025">
                  <c:v>40994.0</c:v>
                </c:pt>
                <c:pt idx="1026">
                  <c:v>40991.0</c:v>
                </c:pt>
                <c:pt idx="1027">
                  <c:v>40990.0</c:v>
                </c:pt>
                <c:pt idx="1028">
                  <c:v>40988.0</c:v>
                </c:pt>
                <c:pt idx="1029">
                  <c:v>40987.0</c:v>
                </c:pt>
                <c:pt idx="1030">
                  <c:v>40984.0</c:v>
                </c:pt>
                <c:pt idx="1031">
                  <c:v>40983.0</c:v>
                </c:pt>
                <c:pt idx="1032">
                  <c:v>40982.0</c:v>
                </c:pt>
                <c:pt idx="1033">
                  <c:v>40981.0</c:v>
                </c:pt>
                <c:pt idx="1034">
                  <c:v>40980.0</c:v>
                </c:pt>
                <c:pt idx="1035">
                  <c:v>40977.0</c:v>
                </c:pt>
                <c:pt idx="1036">
                  <c:v>40976.0</c:v>
                </c:pt>
                <c:pt idx="1037">
                  <c:v>40975.0</c:v>
                </c:pt>
                <c:pt idx="1038">
                  <c:v>40974.0</c:v>
                </c:pt>
                <c:pt idx="1039">
                  <c:v>40973.0</c:v>
                </c:pt>
                <c:pt idx="1040">
                  <c:v>40970.0</c:v>
                </c:pt>
                <c:pt idx="1041">
                  <c:v>40969.0</c:v>
                </c:pt>
                <c:pt idx="1042">
                  <c:v>40968.0</c:v>
                </c:pt>
                <c:pt idx="1043">
                  <c:v>40967.0</c:v>
                </c:pt>
                <c:pt idx="1044">
                  <c:v>40966.0</c:v>
                </c:pt>
                <c:pt idx="1045">
                  <c:v>40963.0</c:v>
                </c:pt>
                <c:pt idx="1046">
                  <c:v>40962.0</c:v>
                </c:pt>
                <c:pt idx="1047">
                  <c:v>40961.0</c:v>
                </c:pt>
                <c:pt idx="1048">
                  <c:v>40960.0</c:v>
                </c:pt>
                <c:pt idx="1049">
                  <c:v>40959.0</c:v>
                </c:pt>
                <c:pt idx="1050">
                  <c:v>40956.0</c:v>
                </c:pt>
                <c:pt idx="1051">
                  <c:v>40955.0</c:v>
                </c:pt>
                <c:pt idx="1052">
                  <c:v>40954.0</c:v>
                </c:pt>
                <c:pt idx="1053">
                  <c:v>40953.0</c:v>
                </c:pt>
                <c:pt idx="1054">
                  <c:v>40952.0</c:v>
                </c:pt>
                <c:pt idx="1055">
                  <c:v>40949.0</c:v>
                </c:pt>
                <c:pt idx="1056">
                  <c:v>40948.0</c:v>
                </c:pt>
                <c:pt idx="1057">
                  <c:v>40947.0</c:v>
                </c:pt>
                <c:pt idx="1058">
                  <c:v>40946.0</c:v>
                </c:pt>
                <c:pt idx="1059">
                  <c:v>40945.0</c:v>
                </c:pt>
                <c:pt idx="1060">
                  <c:v>40942.0</c:v>
                </c:pt>
                <c:pt idx="1061">
                  <c:v>40941.0</c:v>
                </c:pt>
                <c:pt idx="1062">
                  <c:v>40940.0</c:v>
                </c:pt>
                <c:pt idx="1063">
                  <c:v>40939.0</c:v>
                </c:pt>
                <c:pt idx="1064">
                  <c:v>40938.0</c:v>
                </c:pt>
                <c:pt idx="1065">
                  <c:v>40935.0</c:v>
                </c:pt>
                <c:pt idx="1066">
                  <c:v>40934.0</c:v>
                </c:pt>
                <c:pt idx="1067">
                  <c:v>40933.0</c:v>
                </c:pt>
                <c:pt idx="1068">
                  <c:v>40932.0</c:v>
                </c:pt>
                <c:pt idx="1069">
                  <c:v>40931.0</c:v>
                </c:pt>
                <c:pt idx="1070">
                  <c:v>40928.0</c:v>
                </c:pt>
                <c:pt idx="1071">
                  <c:v>40927.0</c:v>
                </c:pt>
                <c:pt idx="1072">
                  <c:v>40926.0</c:v>
                </c:pt>
                <c:pt idx="1073">
                  <c:v>40925.0</c:v>
                </c:pt>
                <c:pt idx="1074">
                  <c:v>40924.0</c:v>
                </c:pt>
                <c:pt idx="1075">
                  <c:v>40921.0</c:v>
                </c:pt>
                <c:pt idx="1076">
                  <c:v>40920.0</c:v>
                </c:pt>
                <c:pt idx="1077">
                  <c:v>40919.0</c:v>
                </c:pt>
                <c:pt idx="1078">
                  <c:v>40918.0</c:v>
                </c:pt>
                <c:pt idx="1079">
                  <c:v>40917.0</c:v>
                </c:pt>
                <c:pt idx="1080">
                  <c:v>40914.0</c:v>
                </c:pt>
                <c:pt idx="1081">
                  <c:v>40913.0</c:v>
                </c:pt>
                <c:pt idx="1082">
                  <c:v>40912.0</c:v>
                </c:pt>
                <c:pt idx="1083">
                  <c:v>40911.0</c:v>
                </c:pt>
                <c:pt idx="1084">
                  <c:v>40907.0</c:v>
                </c:pt>
                <c:pt idx="1085">
                  <c:v>40906.0</c:v>
                </c:pt>
                <c:pt idx="1086">
                  <c:v>40905.0</c:v>
                </c:pt>
                <c:pt idx="1087">
                  <c:v>40900.0</c:v>
                </c:pt>
                <c:pt idx="1088">
                  <c:v>40899.0</c:v>
                </c:pt>
                <c:pt idx="1089">
                  <c:v>40898.0</c:v>
                </c:pt>
                <c:pt idx="1090">
                  <c:v>40897.0</c:v>
                </c:pt>
                <c:pt idx="1091">
                  <c:v>40896.0</c:v>
                </c:pt>
                <c:pt idx="1092">
                  <c:v>40892.0</c:v>
                </c:pt>
                <c:pt idx="1093">
                  <c:v>40891.0</c:v>
                </c:pt>
                <c:pt idx="1094">
                  <c:v>40890.0</c:v>
                </c:pt>
                <c:pt idx="1095">
                  <c:v>40889.0</c:v>
                </c:pt>
                <c:pt idx="1096">
                  <c:v>40886.0</c:v>
                </c:pt>
                <c:pt idx="1097">
                  <c:v>40885.0</c:v>
                </c:pt>
                <c:pt idx="1098">
                  <c:v>40884.0</c:v>
                </c:pt>
                <c:pt idx="1099">
                  <c:v>40883.0</c:v>
                </c:pt>
                <c:pt idx="1100">
                  <c:v>40882.0</c:v>
                </c:pt>
                <c:pt idx="1101">
                  <c:v>40879.0</c:v>
                </c:pt>
                <c:pt idx="1102">
                  <c:v>40878.0</c:v>
                </c:pt>
                <c:pt idx="1103">
                  <c:v>40877.0</c:v>
                </c:pt>
                <c:pt idx="1104">
                  <c:v>40876.0</c:v>
                </c:pt>
                <c:pt idx="1105">
                  <c:v>40875.0</c:v>
                </c:pt>
                <c:pt idx="1106">
                  <c:v>40872.0</c:v>
                </c:pt>
                <c:pt idx="1107">
                  <c:v>40871.0</c:v>
                </c:pt>
                <c:pt idx="1108">
                  <c:v>40870.0</c:v>
                </c:pt>
                <c:pt idx="1109">
                  <c:v>40869.0</c:v>
                </c:pt>
                <c:pt idx="1110">
                  <c:v>40868.0</c:v>
                </c:pt>
                <c:pt idx="1111">
                  <c:v>40865.0</c:v>
                </c:pt>
                <c:pt idx="1112">
                  <c:v>40864.0</c:v>
                </c:pt>
                <c:pt idx="1113">
                  <c:v>40863.0</c:v>
                </c:pt>
                <c:pt idx="1114">
                  <c:v>40862.0</c:v>
                </c:pt>
                <c:pt idx="1115">
                  <c:v>40861.0</c:v>
                </c:pt>
                <c:pt idx="1116">
                  <c:v>40858.0</c:v>
                </c:pt>
                <c:pt idx="1117">
                  <c:v>40857.0</c:v>
                </c:pt>
                <c:pt idx="1118">
                  <c:v>40856.0</c:v>
                </c:pt>
                <c:pt idx="1119">
                  <c:v>40855.0</c:v>
                </c:pt>
                <c:pt idx="1120">
                  <c:v>40854.0</c:v>
                </c:pt>
                <c:pt idx="1121">
                  <c:v>40851.0</c:v>
                </c:pt>
                <c:pt idx="1122">
                  <c:v>40850.0</c:v>
                </c:pt>
                <c:pt idx="1123">
                  <c:v>40849.0</c:v>
                </c:pt>
                <c:pt idx="1124">
                  <c:v>40848.0</c:v>
                </c:pt>
                <c:pt idx="1125">
                  <c:v>40847.0</c:v>
                </c:pt>
                <c:pt idx="1126">
                  <c:v>40844.0</c:v>
                </c:pt>
                <c:pt idx="1127">
                  <c:v>40843.0</c:v>
                </c:pt>
                <c:pt idx="1128">
                  <c:v>40842.0</c:v>
                </c:pt>
                <c:pt idx="1129">
                  <c:v>40841.0</c:v>
                </c:pt>
                <c:pt idx="1130">
                  <c:v>40840.0</c:v>
                </c:pt>
                <c:pt idx="1131">
                  <c:v>40837.0</c:v>
                </c:pt>
                <c:pt idx="1132">
                  <c:v>40836.0</c:v>
                </c:pt>
                <c:pt idx="1133">
                  <c:v>40835.0</c:v>
                </c:pt>
                <c:pt idx="1134">
                  <c:v>40834.0</c:v>
                </c:pt>
                <c:pt idx="1135">
                  <c:v>40833.0</c:v>
                </c:pt>
                <c:pt idx="1136">
                  <c:v>40830.0</c:v>
                </c:pt>
                <c:pt idx="1137">
                  <c:v>40829.0</c:v>
                </c:pt>
                <c:pt idx="1138">
                  <c:v>40828.0</c:v>
                </c:pt>
                <c:pt idx="1139">
                  <c:v>40827.0</c:v>
                </c:pt>
                <c:pt idx="1140">
                  <c:v>40826.0</c:v>
                </c:pt>
                <c:pt idx="1141">
                  <c:v>40823.0</c:v>
                </c:pt>
                <c:pt idx="1142">
                  <c:v>40822.0</c:v>
                </c:pt>
                <c:pt idx="1143">
                  <c:v>40821.0</c:v>
                </c:pt>
                <c:pt idx="1144">
                  <c:v>40820.0</c:v>
                </c:pt>
                <c:pt idx="1145">
                  <c:v>40819.0</c:v>
                </c:pt>
                <c:pt idx="1146">
                  <c:v>40816.0</c:v>
                </c:pt>
                <c:pt idx="1147">
                  <c:v>40815.0</c:v>
                </c:pt>
                <c:pt idx="1148">
                  <c:v>40814.0</c:v>
                </c:pt>
                <c:pt idx="1149">
                  <c:v>40813.0</c:v>
                </c:pt>
                <c:pt idx="1150">
                  <c:v>40812.0</c:v>
                </c:pt>
                <c:pt idx="1151">
                  <c:v>40809.0</c:v>
                </c:pt>
                <c:pt idx="1152">
                  <c:v>40808.0</c:v>
                </c:pt>
                <c:pt idx="1153">
                  <c:v>40807.0</c:v>
                </c:pt>
                <c:pt idx="1154">
                  <c:v>40806.0</c:v>
                </c:pt>
                <c:pt idx="1155">
                  <c:v>40805.0</c:v>
                </c:pt>
                <c:pt idx="1156">
                  <c:v>40802.0</c:v>
                </c:pt>
                <c:pt idx="1157">
                  <c:v>40801.0</c:v>
                </c:pt>
                <c:pt idx="1158">
                  <c:v>40800.0</c:v>
                </c:pt>
                <c:pt idx="1159">
                  <c:v>40799.0</c:v>
                </c:pt>
                <c:pt idx="1160">
                  <c:v>40798.0</c:v>
                </c:pt>
                <c:pt idx="1161">
                  <c:v>40795.0</c:v>
                </c:pt>
                <c:pt idx="1162">
                  <c:v>40794.0</c:v>
                </c:pt>
                <c:pt idx="1163">
                  <c:v>40793.0</c:v>
                </c:pt>
                <c:pt idx="1164">
                  <c:v>40792.0</c:v>
                </c:pt>
                <c:pt idx="1165">
                  <c:v>40791.0</c:v>
                </c:pt>
                <c:pt idx="1166">
                  <c:v>40788.0</c:v>
                </c:pt>
                <c:pt idx="1167">
                  <c:v>40787.0</c:v>
                </c:pt>
                <c:pt idx="1168">
                  <c:v>40786.0</c:v>
                </c:pt>
                <c:pt idx="1169">
                  <c:v>40785.0</c:v>
                </c:pt>
                <c:pt idx="1170">
                  <c:v>40784.0</c:v>
                </c:pt>
                <c:pt idx="1171">
                  <c:v>40781.0</c:v>
                </c:pt>
                <c:pt idx="1172">
                  <c:v>40780.0</c:v>
                </c:pt>
                <c:pt idx="1173">
                  <c:v>40779.0</c:v>
                </c:pt>
                <c:pt idx="1174">
                  <c:v>40778.0</c:v>
                </c:pt>
                <c:pt idx="1175">
                  <c:v>40777.0</c:v>
                </c:pt>
                <c:pt idx="1176">
                  <c:v>40774.0</c:v>
                </c:pt>
                <c:pt idx="1177">
                  <c:v>40773.0</c:v>
                </c:pt>
                <c:pt idx="1178">
                  <c:v>40772.0</c:v>
                </c:pt>
                <c:pt idx="1179">
                  <c:v>40771.0</c:v>
                </c:pt>
                <c:pt idx="1180">
                  <c:v>40770.0</c:v>
                </c:pt>
                <c:pt idx="1181">
                  <c:v>40767.0</c:v>
                </c:pt>
                <c:pt idx="1182">
                  <c:v>40766.0</c:v>
                </c:pt>
                <c:pt idx="1183">
                  <c:v>40765.0</c:v>
                </c:pt>
                <c:pt idx="1184">
                  <c:v>40763.0</c:v>
                </c:pt>
                <c:pt idx="1185">
                  <c:v>40760.0</c:v>
                </c:pt>
                <c:pt idx="1186">
                  <c:v>40759.0</c:v>
                </c:pt>
                <c:pt idx="1187">
                  <c:v>40758.0</c:v>
                </c:pt>
                <c:pt idx="1188">
                  <c:v>40757.0</c:v>
                </c:pt>
                <c:pt idx="1189">
                  <c:v>40756.0</c:v>
                </c:pt>
                <c:pt idx="1190">
                  <c:v>40753.0</c:v>
                </c:pt>
                <c:pt idx="1191">
                  <c:v>40752.0</c:v>
                </c:pt>
                <c:pt idx="1192">
                  <c:v>40751.0</c:v>
                </c:pt>
                <c:pt idx="1193">
                  <c:v>40750.0</c:v>
                </c:pt>
                <c:pt idx="1194">
                  <c:v>40749.0</c:v>
                </c:pt>
                <c:pt idx="1195">
                  <c:v>40746.0</c:v>
                </c:pt>
                <c:pt idx="1196">
                  <c:v>40745.0</c:v>
                </c:pt>
                <c:pt idx="1197">
                  <c:v>40744.0</c:v>
                </c:pt>
                <c:pt idx="1198">
                  <c:v>40743.0</c:v>
                </c:pt>
                <c:pt idx="1199">
                  <c:v>40742.0</c:v>
                </c:pt>
                <c:pt idx="1200">
                  <c:v>40739.0</c:v>
                </c:pt>
                <c:pt idx="1201">
                  <c:v>40738.0</c:v>
                </c:pt>
                <c:pt idx="1202">
                  <c:v>40737.0</c:v>
                </c:pt>
                <c:pt idx="1203">
                  <c:v>40736.0</c:v>
                </c:pt>
                <c:pt idx="1204">
                  <c:v>40735.0</c:v>
                </c:pt>
                <c:pt idx="1205">
                  <c:v>40732.0</c:v>
                </c:pt>
                <c:pt idx="1206">
                  <c:v>40731.0</c:v>
                </c:pt>
                <c:pt idx="1207">
                  <c:v>40730.0</c:v>
                </c:pt>
                <c:pt idx="1208">
                  <c:v>40729.0</c:v>
                </c:pt>
                <c:pt idx="1209">
                  <c:v>40728.0</c:v>
                </c:pt>
                <c:pt idx="1210">
                  <c:v>40725.0</c:v>
                </c:pt>
                <c:pt idx="1211">
                  <c:v>40724.0</c:v>
                </c:pt>
                <c:pt idx="1212">
                  <c:v>40723.0</c:v>
                </c:pt>
                <c:pt idx="1213">
                  <c:v>40722.0</c:v>
                </c:pt>
                <c:pt idx="1214">
                  <c:v>40721.0</c:v>
                </c:pt>
                <c:pt idx="1215">
                  <c:v>40718.0</c:v>
                </c:pt>
                <c:pt idx="1216">
                  <c:v>40717.0</c:v>
                </c:pt>
                <c:pt idx="1217">
                  <c:v>40716.0</c:v>
                </c:pt>
                <c:pt idx="1218">
                  <c:v>40715.0</c:v>
                </c:pt>
                <c:pt idx="1219">
                  <c:v>40714.0</c:v>
                </c:pt>
                <c:pt idx="1220">
                  <c:v>40711.0</c:v>
                </c:pt>
                <c:pt idx="1221">
                  <c:v>40709.0</c:v>
                </c:pt>
                <c:pt idx="1222">
                  <c:v>40708.0</c:v>
                </c:pt>
                <c:pt idx="1223">
                  <c:v>40707.0</c:v>
                </c:pt>
                <c:pt idx="1224">
                  <c:v>40704.0</c:v>
                </c:pt>
                <c:pt idx="1225">
                  <c:v>40703.0</c:v>
                </c:pt>
                <c:pt idx="1226">
                  <c:v>40702.0</c:v>
                </c:pt>
                <c:pt idx="1227">
                  <c:v>40701.0</c:v>
                </c:pt>
                <c:pt idx="1228">
                  <c:v>40700.0</c:v>
                </c:pt>
                <c:pt idx="1229">
                  <c:v>40697.0</c:v>
                </c:pt>
                <c:pt idx="1230">
                  <c:v>40696.0</c:v>
                </c:pt>
                <c:pt idx="1231">
                  <c:v>40695.0</c:v>
                </c:pt>
                <c:pt idx="1232">
                  <c:v>40694.0</c:v>
                </c:pt>
                <c:pt idx="1233">
                  <c:v>40693.0</c:v>
                </c:pt>
                <c:pt idx="1234">
                  <c:v>40690.0</c:v>
                </c:pt>
                <c:pt idx="1235">
                  <c:v>40689.0</c:v>
                </c:pt>
                <c:pt idx="1236">
                  <c:v>40688.0</c:v>
                </c:pt>
                <c:pt idx="1237">
                  <c:v>40687.0</c:v>
                </c:pt>
                <c:pt idx="1238">
                  <c:v>40686.0</c:v>
                </c:pt>
                <c:pt idx="1239">
                  <c:v>40683.0</c:v>
                </c:pt>
                <c:pt idx="1240">
                  <c:v>40682.0</c:v>
                </c:pt>
                <c:pt idx="1241">
                  <c:v>40680.0</c:v>
                </c:pt>
                <c:pt idx="1242">
                  <c:v>40679.0</c:v>
                </c:pt>
                <c:pt idx="1243">
                  <c:v>40676.0</c:v>
                </c:pt>
                <c:pt idx="1244">
                  <c:v>40675.0</c:v>
                </c:pt>
                <c:pt idx="1245">
                  <c:v>40674.0</c:v>
                </c:pt>
                <c:pt idx="1246">
                  <c:v>40673.0</c:v>
                </c:pt>
                <c:pt idx="1247">
                  <c:v>40672.0</c:v>
                </c:pt>
                <c:pt idx="1248">
                  <c:v>40669.0</c:v>
                </c:pt>
                <c:pt idx="1249">
                  <c:v>40668.0</c:v>
                </c:pt>
                <c:pt idx="1250">
                  <c:v>40667.0</c:v>
                </c:pt>
                <c:pt idx="1251">
                  <c:v>40666.0</c:v>
                </c:pt>
                <c:pt idx="1252">
                  <c:v>40662.0</c:v>
                </c:pt>
                <c:pt idx="1253">
                  <c:v>40661.0</c:v>
                </c:pt>
                <c:pt idx="1254">
                  <c:v>40659.0</c:v>
                </c:pt>
                <c:pt idx="1255">
                  <c:v>40654.0</c:v>
                </c:pt>
                <c:pt idx="1256">
                  <c:v>40653.0</c:v>
                </c:pt>
                <c:pt idx="1257">
                  <c:v>40652.0</c:v>
                </c:pt>
                <c:pt idx="1258">
                  <c:v>40651.0</c:v>
                </c:pt>
                <c:pt idx="1259">
                  <c:v>40648.0</c:v>
                </c:pt>
                <c:pt idx="1260">
                  <c:v>40647.0</c:v>
                </c:pt>
                <c:pt idx="1261">
                  <c:v>40646.0</c:v>
                </c:pt>
                <c:pt idx="1262">
                  <c:v>40645.0</c:v>
                </c:pt>
                <c:pt idx="1263">
                  <c:v>40644.0</c:v>
                </c:pt>
                <c:pt idx="1264">
                  <c:v>40641.0</c:v>
                </c:pt>
                <c:pt idx="1265">
                  <c:v>40640.0</c:v>
                </c:pt>
                <c:pt idx="1266">
                  <c:v>40639.0</c:v>
                </c:pt>
                <c:pt idx="1267">
                  <c:v>40638.0</c:v>
                </c:pt>
                <c:pt idx="1268">
                  <c:v>40637.0</c:v>
                </c:pt>
                <c:pt idx="1269">
                  <c:v>40634.0</c:v>
                </c:pt>
                <c:pt idx="1270">
                  <c:v>40633.0</c:v>
                </c:pt>
                <c:pt idx="1271">
                  <c:v>40632.0</c:v>
                </c:pt>
                <c:pt idx="1272">
                  <c:v>40631.0</c:v>
                </c:pt>
                <c:pt idx="1273">
                  <c:v>40630.0</c:v>
                </c:pt>
                <c:pt idx="1274">
                  <c:v>40627.0</c:v>
                </c:pt>
                <c:pt idx="1275">
                  <c:v>40626.0</c:v>
                </c:pt>
                <c:pt idx="1276">
                  <c:v>40625.0</c:v>
                </c:pt>
                <c:pt idx="1277">
                  <c:v>40624.0</c:v>
                </c:pt>
                <c:pt idx="1278">
                  <c:v>40620.0</c:v>
                </c:pt>
                <c:pt idx="1279">
                  <c:v>40619.0</c:v>
                </c:pt>
                <c:pt idx="1280">
                  <c:v>40618.0</c:v>
                </c:pt>
                <c:pt idx="1281">
                  <c:v>40617.0</c:v>
                </c:pt>
                <c:pt idx="1282">
                  <c:v>40616.0</c:v>
                </c:pt>
                <c:pt idx="1283">
                  <c:v>40613.0</c:v>
                </c:pt>
                <c:pt idx="1284">
                  <c:v>40612.0</c:v>
                </c:pt>
                <c:pt idx="1285">
                  <c:v>40611.0</c:v>
                </c:pt>
                <c:pt idx="1286">
                  <c:v>40610.0</c:v>
                </c:pt>
                <c:pt idx="1287">
                  <c:v>40609.0</c:v>
                </c:pt>
                <c:pt idx="1288">
                  <c:v>40606.0</c:v>
                </c:pt>
                <c:pt idx="1289">
                  <c:v>40605.0</c:v>
                </c:pt>
                <c:pt idx="1290">
                  <c:v>40604.0</c:v>
                </c:pt>
                <c:pt idx="1291">
                  <c:v>40603.0</c:v>
                </c:pt>
                <c:pt idx="1292">
                  <c:v>40602.0</c:v>
                </c:pt>
                <c:pt idx="1293">
                  <c:v>40599.0</c:v>
                </c:pt>
                <c:pt idx="1294">
                  <c:v>40598.0</c:v>
                </c:pt>
                <c:pt idx="1295">
                  <c:v>40597.0</c:v>
                </c:pt>
                <c:pt idx="1296">
                  <c:v>40596.0</c:v>
                </c:pt>
                <c:pt idx="1297">
                  <c:v>40595.0</c:v>
                </c:pt>
                <c:pt idx="1298">
                  <c:v>40592.0</c:v>
                </c:pt>
                <c:pt idx="1299">
                  <c:v>40591.0</c:v>
                </c:pt>
                <c:pt idx="1300">
                  <c:v>40590.0</c:v>
                </c:pt>
                <c:pt idx="1301">
                  <c:v>40589.0</c:v>
                </c:pt>
                <c:pt idx="1302">
                  <c:v>40588.0</c:v>
                </c:pt>
                <c:pt idx="1303">
                  <c:v>40585.0</c:v>
                </c:pt>
                <c:pt idx="1304">
                  <c:v>40584.0</c:v>
                </c:pt>
                <c:pt idx="1305">
                  <c:v>40583.0</c:v>
                </c:pt>
                <c:pt idx="1306">
                  <c:v>40582.0</c:v>
                </c:pt>
                <c:pt idx="1307">
                  <c:v>40581.0</c:v>
                </c:pt>
                <c:pt idx="1308">
                  <c:v>40578.0</c:v>
                </c:pt>
                <c:pt idx="1309">
                  <c:v>40577.0</c:v>
                </c:pt>
                <c:pt idx="1310">
                  <c:v>40576.0</c:v>
                </c:pt>
                <c:pt idx="1311">
                  <c:v>40575.0</c:v>
                </c:pt>
                <c:pt idx="1312">
                  <c:v>40574.0</c:v>
                </c:pt>
                <c:pt idx="1313">
                  <c:v>40571.0</c:v>
                </c:pt>
                <c:pt idx="1314">
                  <c:v>40570.0</c:v>
                </c:pt>
                <c:pt idx="1315">
                  <c:v>40569.0</c:v>
                </c:pt>
                <c:pt idx="1316">
                  <c:v>40568.0</c:v>
                </c:pt>
                <c:pt idx="1317">
                  <c:v>40567.0</c:v>
                </c:pt>
                <c:pt idx="1318">
                  <c:v>40564.0</c:v>
                </c:pt>
                <c:pt idx="1319">
                  <c:v>40563.0</c:v>
                </c:pt>
                <c:pt idx="1320">
                  <c:v>40562.0</c:v>
                </c:pt>
                <c:pt idx="1321">
                  <c:v>40561.0</c:v>
                </c:pt>
                <c:pt idx="1322">
                  <c:v>40560.0</c:v>
                </c:pt>
                <c:pt idx="1323">
                  <c:v>40557.0</c:v>
                </c:pt>
                <c:pt idx="1324">
                  <c:v>40556.0</c:v>
                </c:pt>
                <c:pt idx="1325">
                  <c:v>40555.0</c:v>
                </c:pt>
                <c:pt idx="1326">
                  <c:v>40554.0</c:v>
                </c:pt>
                <c:pt idx="1327">
                  <c:v>40553.0</c:v>
                </c:pt>
                <c:pt idx="1328">
                  <c:v>40550.0</c:v>
                </c:pt>
                <c:pt idx="1329">
                  <c:v>40549.0</c:v>
                </c:pt>
                <c:pt idx="1330">
                  <c:v>40548.0</c:v>
                </c:pt>
                <c:pt idx="1331">
                  <c:v>40547.0</c:v>
                </c:pt>
                <c:pt idx="1332">
                  <c:v>40546.0</c:v>
                </c:pt>
                <c:pt idx="1333">
                  <c:v>40543.0</c:v>
                </c:pt>
                <c:pt idx="1334">
                  <c:v>40542.0</c:v>
                </c:pt>
                <c:pt idx="1335">
                  <c:v>40541.0</c:v>
                </c:pt>
                <c:pt idx="1336">
                  <c:v>40540.0</c:v>
                </c:pt>
                <c:pt idx="1337">
                  <c:v>40536.0</c:v>
                </c:pt>
                <c:pt idx="1338">
                  <c:v>40535.0</c:v>
                </c:pt>
                <c:pt idx="1339">
                  <c:v>40534.0</c:v>
                </c:pt>
                <c:pt idx="1340">
                  <c:v>40533.0</c:v>
                </c:pt>
                <c:pt idx="1341">
                  <c:v>40532.0</c:v>
                </c:pt>
                <c:pt idx="1342">
                  <c:v>40529.0</c:v>
                </c:pt>
                <c:pt idx="1343">
                  <c:v>40527.0</c:v>
                </c:pt>
                <c:pt idx="1344">
                  <c:v>40526.0</c:v>
                </c:pt>
                <c:pt idx="1345">
                  <c:v>40525.0</c:v>
                </c:pt>
                <c:pt idx="1346">
                  <c:v>40522.0</c:v>
                </c:pt>
                <c:pt idx="1347">
                  <c:v>40521.0</c:v>
                </c:pt>
                <c:pt idx="1348">
                  <c:v>40520.0</c:v>
                </c:pt>
                <c:pt idx="1349">
                  <c:v>40519.0</c:v>
                </c:pt>
                <c:pt idx="1350">
                  <c:v>40518.0</c:v>
                </c:pt>
                <c:pt idx="1351">
                  <c:v>40515.0</c:v>
                </c:pt>
                <c:pt idx="1352">
                  <c:v>40514.0</c:v>
                </c:pt>
                <c:pt idx="1353">
                  <c:v>40513.0</c:v>
                </c:pt>
                <c:pt idx="1354">
                  <c:v>40512.0</c:v>
                </c:pt>
                <c:pt idx="1355">
                  <c:v>40511.0</c:v>
                </c:pt>
                <c:pt idx="1356">
                  <c:v>40508.0</c:v>
                </c:pt>
                <c:pt idx="1357">
                  <c:v>40507.0</c:v>
                </c:pt>
                <c:pt idx="1358">
                  <c:v>40506.0</c:v>
                </c:pt>
                <c:pt idx="1359">
                  <c:v>40505.0</c:v>
                </c:pt>
                <c:pt idx="1360">
                  <c:v>40504.0</c:v>
                </c:pt>
                <c:pt idx="1361">
                  <c:v>40501.0</c:v>
                </c:pt>
                <c:pt idx="1362">
                  <c:v>40500.0</c:v>
                </c:pt>
                <c:pt idx="1363">
                  <c:v>40499.0</c:v>
                </c:pt>
                <c:pt idx="1364">
                  <c:v>40498.0</c:v>
                </c:pt>
                <c:pt idx="1365">
                  <c:v>40497.0</c:v>
                </c:pt>
                <c:pt idx="1366">
                  <c:v>40494.0</c:v>
                </c:pt>
                <c:pt idx="1367">
                  <c:v>40493.0</c:v>
                </c:pt>
                <c:pt idx="1368">
                  <c:v>40492.0</c:v>
                </c:pt>
                <c:pt idx="1369">
                  <c:v>40491.0</c:v>
                </c:pt>
                <c:pt idx="1370">
                  <c:v>40490.0</c:v>
                </c:pt>
                <c:pt idx="1371">
                  <c:v>40487.0</c:v>
                </c:pt>
                <c:pt idx="1372">
                  <c:v>40486.0</c:v>
                </c:pt>
                <c:pt idx="1373">
                  <c:v>40485.0</c:v>
                </c:pt>
                <c:pt idx="1374">
                  <c:v>40484.0</c:v>
                </c:pt>
                <c:pt idx="1375">
                  <c:v>40483.0</c:v>
                </c:pt>
                <c:pt idx="1376">
                  <c:v>40480.0</c:v>
                </c:pt>
                <c:pt idx="1377">
                  <c:v>40479.0</c:v>
                </c:pt>
                <c:pt idx="1378">
                  <c:v>40478.0</c:v>
                </c:pt>
                <c:pt idx="1379">
                  <c:v>40477.0</c:v>
                </c:pt>
                <c:pt idx="1380">
                  <c:v>40476.0</c:v>
                </c:pt>
                <c:pt idx="1381">
                  <c:v>40473.0</c:v>
                </c:pt>
                <c:pt idx="1382">
                  <c:v>40472.0</c:v>
                </c:pt>
                <c:pt idx="1383">
                  <c:v>40471.0</c:v>
                </c:pt>
                <c:pt idx="1384">
                  <c:v>40470.0</c:v>
                </c:pt>
                <c:pt idx="1385">
                  <c:v>40469.0</c:v>
                </c:pt>
                <c:pt idx="1386">
                  <c:v>40466.0</c:v>
                </c:pt>
                <c:pt idx="1387">
                  <c:v>40465.0</c:v>
                </c:pt>
                <c:pt idx="1388">
                  <c:v>40464.0</c:v>
                </c:pt>
                <c:pt idx="1389">
                  <c:v>40463.0</c:v>
                </c:pt>
                <c:pt idx="1390">
                  <c:v>40462.0</c:v>
                </c:pt>
                <c:pt idx="1391">
                  <c:v>40459.0</c:v>
                </c:pt>
                <c:pt idx="1392">
                  <c:v>40458.0</c:v>
                </c:pt>
                <c:pt idx="1393">
                  <c:v>40457.0</c:v>
                </c:pt>
                <c:pt idx="1394">
                  <c:v>40456.0</c:v>
                </c:pt>
                <c:pt idx="1395">
                  <c:v>40455.0</c:v>
                </c:pt>
                <c:pt idx="1396">
                  <c:v>40452.0</c:v>
                </c:pt>
                <c:pt idx="1397">
                  <c:v>40451.0</c:v>
                </c:pt>
                <c:pt idx="1398">
                  <c:v>40450.0</c:v>
                </c:pt>
                <c:pt idx="1399">
                  <c:v>40449.0</c:v>
                </c:pt>
                <c:pt idx="1400">
                  <c:v>40448.0</c:v>
                </c:pt>
                <c:pt idx="1401">
                  <c:v>40444.0</c:v>
                </c:pt>
                <c:pt idx="1402">
                  <c:v>40443.0</c:v>
                </c:pt>
                <c:pt idx="1403">
                  <c:v>40442.0</c:v>
                </c:pt>
                <c:pt idx="1404">
                  <c:v>40441.0</c:v>
                </c:pt>
                <c:pt idx="1405">
                  <c:v>40438.0</c:v>
                </c:pt>
                <c:pt idx="1406">
                  <c:v>40437.0</c:v>
                </c:pt>
                <c:pt idx="1407">
                  <c:v>40436.0</c:v>
                </c:pt>
                <c:pt idx="1408">
                  <c:v>40435.0</c:v>
                </c:pt>
                <c:pt idx="1409">
                  <c:v>40434.0</c:v>
                </c:pt>
                <c:pt idx="1410">
                  <c:v>40431.0</c:v>
                </c:pt>
                <c:pt idx="1411">
                  <c:v>40430.0</c:v>
                </c:pt>
                <c:pt idx="1412">
                  <c:v>40429.0</c:v>
                </c:pt>
                <c:pt idx="1413">
                  <c:v>40428.0</c:v>
                </c:pt>
                <c:pt idx="1414">
                  <c:v>40427.0</c:v>
                </c:pt>
                <c:pt idx="1415">
                  <c:v>40424.0</c:v>
                </c:pt>
                <c:pt idx="1416">
                  <c:v>40423.0</c:v>
                </c:pt>
                <c:pt idx="1417">
                  <c:v>40422.0</c:v>
                </c:pt>
                <c:pt idx="1418">
                  <c:v>40421.0</c:v>
                </c:pt>
                <c:pt idx="1419">
                  <c:v>40420.0</c:v>
                </c:pt>
                <c:pt idx="1420">
                  <c:v>40417.0</c:v>
                </c:pt>
                <c:pt idx="1421">
                  <c:v>40416.0</c:v>
                </c:pt>
                <c:pt idx="1422">
                  <c:v>40415.0</c:v>
                </c:pt>
                <c:pt idx="1423">
                  <c:v>40414.0</c:v>
                </c:pt>
                <c:pt idx="1424">
                  <c:v>40413.0</c:v>
                </c:pt>
                <c:pt idx="1425">
                  <c:v>40410.0</c:v>
                </c:pt>
                <c:pt idx="1426">
                  <c:v>40409.0</c:v>
                </c:pt>
                <c:pt idx="1427">
                  <c:v>40408.0</c:v>
                </c:pt>
                <c:pt idx="1428">
                  <c:v>40407.0</c:v>
                </c:pt>
                <c:pt idx="1429">
                  <c:v>40406.0</c:v>
                </c:pt>
                <c:pt idx="1430">
                  <c:v>40403.0</c:v>
                </c:pt>
                <c:pt idx="1431">
                  <c:v>40402.0</c:v>
                </c:pt>
                <c:pt idx="1432">
                  <c:v>40401.0</c:v>
                </c:pt>
                <c:pt idx="1433">
                  <c:v>40400.0</c:v>
                </c:pt>
                <c:pt idx="1434">
                  <c:v>40396.0</c:v>
                </c:pt>
                <c:pt idx="1435">
                  <c:v>40395.0</c:v>
                </c:pt>
                <c:pt idx="1436">
                  <c:v>40394.0</c:v>
                </c:pt>
                <c:pt idx="1437">
                  <c:v>40393.0</c:v>
                </c:pt>
                <c:pt idx="1438">
                  <c:v>40392.0</c:v>
                </c:pt>
                <c:pt idx="1439">
                  <c:v>40389.0</c:v>
                </c:pt>
                <c:pt idx="1440">
                  <c:v>40388.0</c:v>
                </c:pt>
                <c:pt idx="1441">
                  <c:v>40387.0</c:v>
                </c:pt>
                <c:pt idx="1442">
                  <c:v>40386.0</c:v>
                </c:pt>
                <c:pt idx="1443">
                  <c:v>40385.0</c:v>
                </c:pt>
                <c:pt idx="1444">
                  <c:v>40382.0</c:v>
                </c:pt>
                <c:pt idx="1445">
                  <c:v>40381.0</c:v>
                </c:pt>
                <c:pt idx="1446">
                  <c:v>40380.0</c:v>
                </c:pt>
                <c:pt idx="1447">
                  <c:v>40379.0</c:v>
                </c:pt>
                <c:pt idx="1448">
                  <c:v>40378.0</c:v>
                </c:pt>
                <c:pt idx="1449">
                  <c:v>40375.0</c:v>
                </c:pt>
                <c:pt idx="1450">
                  <c:v>40374.0</c:v>
                </c:pt>
                <c:pt idx="1451">
                  <c:v>40373.0</c:v>
                </c:pt>
                <c:pt idx="1452">
                  <c:v>40372.0</c:v>
                </c:pt>
                <c:pt idx="1453">
                  <c:v>40371.0</c:v>
                </c:pt>
                <c:pt idx="1454">
                  <c:v>40368.0</c:v>
                </c:pt>
                <c:pt idx="1455">
                  <c:v>40367.0</c:v>
                </c:pt>
                <c:pt idx="1456">
                  <c:v>40366.0</c:v>
                </c:pt>
                <c:pt idx="1457">
                  <c:v>40365.0</c:v>
                </c:pt>
                <c:pt idx="1458">
                  <c:v>40364.0</c:v>
                </c:pt>
                <c:pt idx="1459">
                  <c:v>40361.0</c:v>
                </c:pt>
                <c:pt idx="1460">
                  <c:v>40360.0</c:v>
                </c:pt>
                <c:pt idx="1461">
                  <c:v>40359.0</c:v>
                </c:pt>
                <c:pt idx="1462">
                  <c:v>40358.0</c:v>
                </c:pt>
                <c:pt idx="1463">
                  <c:v>40357.0</c:v>
                </c:pt>
                <c:pt idx="1464">
                  <c:v>40354.0</c:v>
                </c:pt>
                <c:pt idx="1465">
                  <c:v>40353.0</c:v>
                </c:pt>
                <c:pt idx="1466">
                  <c:v>40352.0</c:v>
                </c:pt>
                <c:pt idx="1467">
                  <c:v>40351.0</c:v>
                </c:pt>
                <c:pt idx="1468">
                  <c:v>40350.0</c:v>
                </c:pt>
                <c:pt idx="1469">
                  <c:v>40347.0</c:v>
                </c:pt>
                <c:pt idx="1470">
                  <c:v>40346.0</c:v>
                </c:pt>
                <c:pt idx="1471">
                  <c:v>40344.0</c:v>
                </c:pt>
                <c:pt idx="1472">
                  <c:v>40343.0</c:v>
                </c:pt>
                <c:pt idx="1473">
                  <c:v>40340.0</c:v>
                </c:pt>
                <c:pt idx="1474">
                  <c:v>40339.0</c:v>
                </c:pt>
                <c:pt idx="1475">
                  <c:v>40338.0</c:v>
                </c:pt>
                <c:pt idx="1476">
                  <c:v>40337.0</c:v>
                </c:pt>
                <c:pt idx="1477">
                  <c:v>40336.0</c:v>
                </c:pt>
                <c:pt idx="1478">
                  <c:v>40333.0</c:v>
                </c:pt>
                <c:pt idx="1479">
                  <c:v>40332.0</c:v>
                </c:pt>
                <c:pt idx="1480">
                  <c:v>40331.0</c:v>
                </c:pt>
                <c:pt idx="1481">
                  <c:v>40330.0</c:v>
                </c:pt>
                <c:pt idx="1482">
                  <c:v>40329.0</c:v>
                </c:pt>
                <c:pt idx="1483">
                  <c:v>40326.0</c:v>
                </c:pt>
                <c:pt idx="1484">
                  <c:v>40325.0</c:v>
                </c:pt>
                <c:pt idx="1485">
                  <c:v>40324.0</c:v>
                </c:pt>
                <c:pt idx="1486">
                  <c:v>40323.0</c:v>
                </c:pt>
                <c:pt idx="1487">
                  <c:v>40322.0</c:v>
                </c:pt>
                <c:pt idx="1488">
                  <c:v>40319.0</c:v>
                </c:pt>
                <c:pt idx="1489">
                  <c:v>40318.0</c:v>
                </c:pt>
                <c:pt idx="1490">
                  <c:v>40317.0</c:v>
                </c:pt>
                <c:pt idx="1491">
                  <c:v>40316.0</c:v>
                </c:pt>
                <c:pt idx="1492">
                  <c:v>40315.0</c:v>
                </c:pt>
                <c:pt idx="1493">
                  <c:v>40312.0</c:v>
                </c:pt>
                <c:pt idx="1494">
                  <c:v>40311.0</c:v>
                </c:pt>
                <c:pt idx="1495">
                  <c:v>40310.0</c:v>
                </c:pt>
                <c:pt idx="1496">
                  <c:v>40309.0</c:v>
                </c:pt>
                <c:pt idx="1497">
                  <c:v>40308.0</c:v>
                </c:pt>
                <c:pt idx="1498">
                  <c:v>40305.0</c:v>
                </c:pt>
                <c:pt idx="1499">
                  <c:v>40304.0</c:v>
                </c:pt>
                <c:pt idx="1500">
                  <c:v>40303.0</c:v>
                </c:pt>
                <c:pt idx="1501">
                  <c:v>40302.0</c:v>
                </c:pt>
                <c:pt idx="1503">
                  <c:v>40301.0</c:v>
                </c:pt>
                <c:pt idx="1504">
                  <c:v>40298.0</c:v>
                </c:pt>
                <c:pt idx="1505">
                  <c:v>40297.0</c:v>
                </c:pt>
                <c:pt idx="1506">
                  <c:v>40296.0</c:v>
                </c:pt>
                <c:pt idx="1507">
                  <c:v>40294.0</c:v>
                </c:pt>
                <c:pt idx="1508">
                  <c:v>40291.0</c:v>
                </c:pt>
                <c:pt idx="1509">
                  <c:v>40290.0</c:v>
                </c:pt>
                <c:pt idx="1510">
                  <c:v>40289.0</c:v>
                </c:pt>
                <c:pt idx="1511">
                  <c:v>40288.0</c:v>
                </c:pt>
                <c:pt idx="1512">
                  <c:v>40287.0</c:v>
                </c:pt>
                <c:pt idx="1513">
                  <c:v>40284.0</c:v>
                </c:pt>
                <c:pt idx="1514">
                  <c:v>40283.0</c:v>
                </c:pt>
                <c:pt idx="1515">
                  <c:v>40282.0</c:v>
                </c:pt>
                <c:pt idx="1516">
                  <c:v>40281.0</c:v>
                </c:pt>
                <c:pt idx="1517">
                  <c:v>40280.0</c:v>
                </c:pt>
                <c:pt idx="1518">
                  <c:v>40277.0</c:v>
                </c:pt>
                <c:pt idx="1519">
                  <c:v>40276.0</c:v>
                </c:pt>
                <c:pt idx="1520">
                  <c:v>40275.0</c:v>
                </c:pt>
                <c:pt idx="1521">
                  <c:v>40274.0</c:v>
                </c:pt>
                <c:pt idx="1522">
                  <c:v>40269.0</c:v>
                </c:pt>
                <c:pt idx="1523">
                  <c:v>40268.0</c:v>
                </c:pt>
                <c:pt idx="1524">
                  <c:v>40267.0</c:v>
                </c:pt>
                <c:pt idx="1525">
                  <c:v>40266.0</c:v>
                </c:pt>
                <c:pt idx="1526">
                  <c:v>40263.0</c:v>
                </c:pt>
                <c:pt idx="1527">
                  <c:v>40262.0</c:v>
                </c:pt>
                <c:pt idx="1528">
                  <c:v>40261.0</c:v>
                </c:pt>
                <c:pt idx="1529">
                  <c:v>40260.0</c:v>
                </c:pt>
                <c:pt idx="1530">
                  <c:v>40256.0</c:v>
                </c:pt>
                <c:pt idx="1531">
                  <c:v>40255.0</c:v>
                </c:pt>
                <c:pt idx="1532">
                  <c:v>40254.0</c:v>
                </c:pt>
                <c:pt idx="1533">
                  <c:v>40253.0</c:v>
                </c:pt>
                <c:pt idx="1534">
                  <c:v>40252.0</c:v>
                </c:pt>
                <c:pt idx="1535">
                  <c:v>40249.0</c:v>
                </c:pt>
                <c:pt idx="1536">
                  <c:v>40248.0</c:v>
                </c:pt>
                <c:pt idx="1537">
                  <c:v>40247.0</c:v>
                </c:pt>
                <c:pt idx="1538">
                  <c:v>40246.0</c:v>
                </c:pt>
                <c:pt idx="1539">
                  <c:v>40245.0</c:v>
                </c:pt>
                <c:pt idx="1540">
                  <c:v>40242.0</c:v>
                </c:pt>
                <c:pt idx="1541">
                  <c:v>40241.0</c:v>
                </c:pt>
                <c:pt idx="1542">
                  <c:v>40240.0</c:v>
                </c:pt>
                <c:pt idx="1543">
                  <c:v>40239.0</c:v>
                </c:pt>
                <c:pt idx="1544">
                  <c:v>40238.0</c:v>
                </c:pt>
                <c:pt idx="1545">
                  <c:v>40235.0</c:v>
                </c:pt>
                <c:pt idx="1546">
                  <c:v>40234.0</c:v>
                </c:pt>
                <c:pt idx="1547">
                  <c:v>40233.0</c:v>
                </c:pt>
                <c:pt idx="1548">
                  <c:v>40232.0</c:v>
                </c:pt>
                <c:pt idx="1549">
                  <c:v>40231.0</c:v>
                </c:pt>
                <c:pt idx="1550">
                  <c:v>40228.0</c:v>
                </c:pt>
                <c:pt idx="1551">
                  <c:v>40227.0</c:v>
                </c:pt>
                <c:pt idx="1552">
                  <c:v>40226.0</c:v>
                </c:pt>
                <c:pt idx="1553">
                  <c:v>40225.0</c:v>
                </c:pt>
                <c:pt idx="1554">
                  <c:v>40224.0</c:v>
                </c:pt>
                <c:pt idx="1555">
                  <c:v>40221.0</c:v>
                </c:pt>
                <c:pt idx="1556">
                  <c:v>40220.0</c:v>
                </c:pt>
                <c:pt idx="1557">
                  <c:v>40219.0</c:v>
                </c:pt>
                <c:pt idx="1558">
                  <c:v>40218.0</c:v>
                </c:pt>
                <c:pt idx="1559">
                  <c:v>40217.0</c:v>
                </c:pt>
                <c:pt idx="1560">
                  <c:v>40214.0</c:v>
                </c:pt>
                <c:pt idx="1561">
                  <c:v>40213.0</c:v>
                </c:pt>
                <c:pt idx="1562">
                  <c:v>40212.0</c:v>
                </c:pt>
                <c:pt idx="1563">
                  <c:v>40211.0</c:v>
                </c:pt>
                <c:pt idx="1564">
                  <c:v>40210.0</c:v>
                </c:pt>
                <c:pt idx="1565">
                  <c:v>40207.0</c:v>
                </c:pt>
                <c:pt idx="1566">
                  <c:v>40206.0</c:v>
                </c:pt>
                <c:pt idx="1567">
                  <c:v>40205.0</c:v>
                </c:pt>
                <c:pt idx="1568">
                  <c:v>40204.0</c:v>
                </c:pt>
                <c:pt idx="1569">
                  <c:v>40203.0</c:v>
                </c:pt>
                <c:pt idx="1570">
                  <c:v>40200.0</c:v>
                </c:pt>
                <c:pt idx="1571">
                  <c:v>40199.0</c:v>
                </c:pt>
                <c:pt idx="1572">
                  <c:v>40198.0</c:v>
                </c:pt>
                <c:pt idx="1573">
                  <c:v>40197.0</c:v>
                </c:pt>
                <c:pt idx="1574">
                  <c:v>40196.0</c:v>
                </c:pt>
                <c:pt idx="1575">
                  <c:v>40193.0</c:v>
                </c:pt>
                <c:pt idx="1576">
                  <c:v>40192.0</c:v>
                </c:pt>
                <c:pt idx="1577">
                  <c:v>40191.0</c:v>
                </c:pt>
                <c:pt idx="1578">
                  <c:v>40190.0</c:v>
                </c:pt>
                <c:pt idx="1579">
                  <c:v>40189.0</c:v>
                </c:pt>
                <c:pt idx="1580">
                  <c:v>40186.0</c:v>
                </c:pt>
                <c:pt idx="1581">
                  <c:v>40185.0</c:v>
                </c:pt>
                <c:pt idx="1582">
                  <c:v>40184.0</c:v>
                </c:pt>
                <c:pt idx="1583">
                  <c:v>40183.0</c:v>
                </c:pt>
                <c:pt idx="1584">
                  <c:v>40182.0</c:v>
                </c:pt>
                <c:pt idx="1585">
                  <c:v>40178.0</c:v>
                </c:pt>
                <c:pt idx="1586">
                  <c:v>40177.0</c:v>
                </c:pt>
                <c:pt idx="1587">
                  <c:v>40176.0</c:v>
                </c:pt>
                <c:pt idx="1588">
                  <c:v>40175.0</c:v>
                </c:pt>
                <c:pt idx="1589">
                  <c:v>40171.0</c:v>
                </c:pt>
                <c:pt idx="1590">
                  <c:v>40170.0</c:v>
                </c:pt>
                <c:pt idx="1591">
                  <c:v>40169.0</c:v>
                </c:pt>
                <c:pt idx="1592">
                  <c:v>40168.0</c:v>
                </c:pt>
                <c:pt idx="1593">
                  <c:v>40165.0</c:v>
                </c:pt>
                <c:pt idx="1594">
                  <c:v>40164.0</c:v>
                </c:pt>
                <c:pt idx="1595">
                  <c:v>40162.0</c:v>
                </c:pt>
                <c:pt idx="1596">
                  <c:v>40161.0</c:v>
                </c:pt>
                <c:pt idx="1597">
                  <c:v>40158.0</c:v>
                </c:pt>
                <c:pt idx="1598">
                  <c:v>40157.0</c:v>
                </c:pt>
                <c:pt idx="1599">
                  <c:v>40156.0</c:v>
                </c:pt>
                <c:pt idx="1600">
                  <c:v>40155.0</c:v>
                </c:pt>
                <c:pt idx="1601">
                  <c:v>40154.0</c:v>
                </c:pt>
                <c:pt idx="1602">
                  <c:v>40151.0</c:v>
                </c:pt>
                <c:pt idx="1603">
                  <c:v>40150.0</c:v>
                </c:pt>
                <c:pt idx="1604">
                  <c:v>40149.0</c:v>
                </c:pt>
                <c:pt idx="1605">
                  <c:v>40148.0</c:v>
                </c:pt>
                <c:pt idx="1606">
                  <c:v>40147.0</c:v>
                </c:pt>
                <c:pt idx="1607">
                  <c:v>40144.0</c:v>
                </c:pt>
                <c:pt idx="1608">
                  <c:v>40143.0</c:v>
                </c:pt>
                <c:pt idx="1609">
                  <c:v>40142.0</c:v>
                </c:pt>
                <c:pt idx="1610">
                  <c:v>40141.0</c:v>
                </c:pt>
                <c:pt idx="1611">
                  <c:v>40140.0</c:v>
                </c:pt>
                <c:pt idx="1612">
                  <c:v>40137.0</c:v>
                </c:pt>
                <c:pt idx="1613">
                  <c:v>40136.0</c:v>
                </c:pt>
                <c:pt idx="1614">
                  <c:v>40135.0</c:v>
                </c:pt>
                <c:pt idx="1615">
                  <c:v>40134.0</c:v>
                </c:pt>
                <c:pt idx="1616">
                  <c:v>40133.0</c:v>
                </c:pt>
                <c:pt idx="1617">
                  <c:v>40130.0</c:v>
                </c:pt>
                <c:pt idx="1618">
                  <c:v>40129.0</c:v>
                </c:pt>
                <c:pt idx="1619">
                  <c:v>40128.0</c:v>
                </c:pt>
                <c:pt idx="1620">
                  <c:v>40127.0</c:v>
                </c:pt>
                <c:pt idx="1621">
                  <c:v>40126.0</c:v>
                </c:pt>
                <c:pt idx="1622">
                  <c:v>40123.0</c:v>
                </c:pt>
                <c:pt idx="1623">
                  <c:v>40122.0</c:v>
                </c:pt>
                <c:pt idx="1624">
                  <c:v>40121.0</c:v>
                </c:pt>
                <c:pt idx="1625">
                  <c:v>40120.0</c:v>
                </c:pt>
                <c:pt idx="1626">
                  <c:v>40119.0</c:v>
                </c:pt>
                <c:pt idx="1627">
                  <c:v>40116.0</c:v>
                </c:pt>
                <c:pt idx="1628">
                  <c:v>40115.0</c:v>
                </c:pt>
                <c:pt idx="1629">
                  <c:v>40114.0</c:v>
                </c:pt>
                <c:pt idx="1630">
                  <c:v>40113.0</c:v>
                </c:pt>
                <c:pt idx="1631">
                  <c:v>40112.0</c:v>
                </c:pt>
                <c:pt idx="1632">
                  <c:v>40109.0</c:v>
                </c:pt>
                <c:pt idx="1633">
                  <c:v>40108.0</c:v>
                </c:pt>
                <c:pt idx="1634">
                  <c:v>40107.0</c:v>
                </c:pt>
                <c:pt idx="1635">
                  <c:v>40106.0</c:v>
                </c:pt>
                <c:pt idx="1636">
                  <c:v>40105.0</c:v>
                </c:pt>
                <c:pt idx="1637">
                  <c:v>40102.0</c:v>
                </c:pt>
                <c:pt idx="1638">
                  <c:v>40101.0</c:v>
                </c:pt>
                <c:pt idx="1639">
                  <c:v>40100.0</c:v>
                </c:pt>
                <c:pt idx="1640">
                  <c:v>40099.0</c:v>
                </c:pt>
                <c:pt idx="1641">
                  <c:v>40098.0</c:v>
                </c:pt>
                <c:pt idx="1642">
                  <c:v>40095.0</c:v>
                </c:pt>
                <c:pt idx="1643">
                  <c:v>40094.0</c:v>
                </c:pt>
                <c:pt idx="1644">
                  <c:v>40093.0</c:v>
                </c:pt>
                <c:pt idx="1645">
                  <c:v>40092.0</c:v>
                </c:pt>
                <c:pt idx="1646">
                  <c:v>40091.0</c:v>
                </c:pt>
                <c:pt idx="1647">
                  <c:v>40088.0</c:v>
                </c:pt>
                <c:pt idx="1648">
                  <c:v>40087.0</c:v>
                </c:pt>
                <c:pt idx="1649">
                  <c:v>40086.0</c:v>
                </c:pt>
                <c:pt idx="1650">
                  <c:v>40085.0</c:v>
                </c:pt>
                <c:pt idx="1651">
                  <c:v>40084.0</c:v>
                </c:pt>
                <c:pt idx="1652">
                  <c:v>40081.0</c:v>
                </c:pt>
                <c:pt idx="1653">
                  <c:v>40079.0</c:v>
                </c:pt>
                <c:pt idx="1654">
                  <c:v>40078.0</c:v>
                </c:pt>
                <c:pt idx="1655">
                  <c:v>40077.0</c:v>
                </c:pt>
                <c:pt idx="1656">
                  <c:v>40074.0</c:v>
                </c:pt>
                <c:pt idx="1657">
                  <c:v>40073.0</c:v>
                </c:pt>
                <c:pt idx="1658">
                  <c:v>40072.0</c:v>
                </c:pt>
                <c:pt idx="1659">
                  <c:v>40071.0</c:v>
                </c:pt>
                <c:pt idx="1660">
                  <c:v>40070.0</c:v>
                </c:pt>
                <c:pt idx="1661">
                  <c:v>40067.0</c:v>
                </c:pt>
                <c:pt idx="1662">
                  <c:v>40066.0</c:v>
                </c:pt>
                <c:pt idx="1663">
                  <c:v>40065.0</c:v>
                </c:pt>
                <c:pt idx="1664">
                  <c:v>40064.0</c:v>
                </c:pt>
                <c:pt idx="1665">
                  <c:v>40063.0</c:v>
                </c:pt>
                <c:pt idx="1666">
                  <c:v>40060.0</c:v>
                </c:pt>
                <c:pt idx="1667">
                  <c:v>40059.0</c:v>
                </c:pt>
                <c:pt idx="1668">
                  <c:v>40058.0</c:v>
                </c:pt>
                <c:pt idx="1669">
                  <c:v>40057.0</c:v>
                </c:pt>
                <c:pt idx="1670">
                  <c:v>40056.0</c:v>
                </c:pt>
                <c:pt idx="1671">
                  <c:v>40053.0</c:v>
                </c:pt>
                <c:pt idx="1672">
                  <c:v>40052.0</c:v>
                </c:pt>
                <c:pt idx="1673">
                  <c:v>40051.0</c:v>
                </c:pt>
                <c:pt idx="1674">
                  <c:v>40050.0</c:v>
                </c:pt>
                <c:pt idx="1675">
                  <c:v>40049.0</c:v>
                </c:pt>
                <c:pt idx="1676">
                  <c:v>40046.0</c:v>
                </c:pt>
                <c:pt idx="1677">
                  <c:v>40045.0</c:v>
                </c:pt>
                <c:pt idx="1678">
                  <c:v>40044.0</c:v>
                </c:pt>
                <c:pt idx="1679">
                  <c:v>40043.0</c:v>
                </c:pt>
                <c:pt idx="1680">
                  <c:v>40042.0</c:v>
                </c:pt>
                <c:pt idx="1681">
                  <c:v>40039.0</c:v>
                </c:pt>
                <c:pt idx="1682">
                  <c:v>40038.0</c:v>
                </c:pt>
                <c:pt idx="1683">
                  <c:v>40037.0</c:v>
                </c:pt>
                <c:pt idx="1684">
                  <c:v>40036.0</c:v>
                </c:pt>
                <c:pt idx="1685">
                  <c:v>40032.0</c:v>
                </c:pt>
                <c:pt idx="1686">
                  <c:v>40031.0</c:v>
                </c:pt>
                <c:pt idx="1687">
                  <c:v>40030.0</c:v>
                </c:pt>
                <c:pt idx="1688">
                  <c:v>40029.0</c:v>
                </c:pt>
                <c:pt idx="1689">
                  <c:v>40028.0</c:v>
                </c:pt>
                <c:pt idx="1690">
                  <c:v>40025.0</c:v>
                </c:pt>
                <c:pt idx="1691">
                  <c:v>40024.0</c:v>
                </c:pt>
                <c:pt idx="1692">
                  <c:v>40023.0</c:v>
                </c:pt>
                <c:pt idx="1693">
                  <c:v>40022.0</c:v>
                </c:pt>
                <c:pt idx="1694">
                  <c:v>40021.0</c:v>
                </c:pt>
                <c:pt idx="1695">
                  <c:v>40018.0</c:v>
                </c:pt>
                <c:pt idx="1696">
                  <c:v>40017.0</c:v>
                </c:pt>
                <c:pt idx="1697">
                  <c:v>40016.0</c:v>
                </c:pt>
                <c:pt idx="1698">
                  <c:v>40015.0</c:v>
                </c:pt>
                <c:pt idx="1699">
                  <c:v>40014.0</c:v>
                </c:pt>
                <c:pt idx="1700">
                  <c:v>40011.0</c:v>
                </c:pt>
                <c:pt idx="1701">
                  <c:v>40010.0</c:v>
                </c:pt>
                <c:pt idx="1702">
                  <c:v>40009.0</c:v>
                </c:pt>
                <c:pt idx="1703">
                  <c:v>40008.0</c:v>
                </c:pt>
                <c:pt idx="1704">
                  <c:v>40007.0</c:v>
                </c:pt>
                <c:pt idx="1705">
                  <c:v>40004.0</c:v>
                </c:pt>
                <c:pt idx="1706">
                  <c:v>40003.0</c:v>
                </c:pt>
                <c:pt idx="1707">
                  <c:v>40002.0</c:v>
                </c:pt>
                <c:pt idx="1708">
                  <c:v>40001.0</c:v>
                </c:pt>
                <c:pt idx="1709">
                  <c:v>40000.0</c:v>
                </c:pt>
                <c:pt idx="1710">
                  <c:v>39997.0</c:v>
                </c:pt>
                <c:pt idx="1711">
                  <c:v>39996.0</c:v>
                </c:pt>
                <c:pt idx="1712">
                  <c:v>39995.0</c:v>
                </c:pt>
                <c:pt idx="1713">
                  <c:v>39994.0</c:v>
                </c:pt>
                <c:pt idx="1714">
                  <c:v>39993.0</c:v>
                </c:pt>
                <c:pt idx="1715">
                  <c:v>39990.0</c:v>
                </c:pt>
                <c:pt idx="1716">
                  <c:v>39989.0</c:v>
                </c:pt>
                <c:pt idx="1717">
                  <c:v>39988.0</c:v>
                </c:pt>
                <c:pt idx="1718">
                  <c:v>39987.0</c:v>
                </c:pt>
                <c:pt idx="1719">
                  <c:v>39986.0</c:v>
                </c:pt>
                <c:pt idx="1720">
                  <c:v>39983.0</c:v>
                </c:pt>
                <c:pt idx="1721">
                  <c:v>39982.0</c:v>
                </c:pt>
                <c:pt idx="1722">
                  <c:v>39981.0</c:v>
                </c:pt>
                <c:pt idx="1723">
                  <c:v>39979.0</c:v>
                </c:pt>
                <c:pt idx="1724">
                  <c:v>39976.0</c:v>
                </c:pt>
                <c:pt idx="1725">
                  <c:v>39975.0</c:v>
                </c:pt>
                <c:pt idx="1726">
                  <c:v>39974.0</c:v>
                </c:pt>
                <c:pt idx="1727">
                  <c:v>39973.0</c:v>
                </c:pt>
                <c:pt idx="1728">
                  <c:v>39972.0</c:v>
                </c:pt>
                <c:pt idx="1729">
                  <c:v>39969.0</c:v>
                </c:pt>
                <c:pt idx="1730">
                  <c:v>39968.0</c:v>
                </c:pt>
                <c:pt idx="1731">
                  <c:v>39967.0</c:v>
                </c:pt>
                <c:pt idx="1732">
                  <c:v>39966.0</c:v>
                </c:pt>
                <c:pt idx="1733">
                  <c:v>39965.0</c:v>
                </c:pt>
                <c:pt idx="1734">
                  <c:v>39962.0</c:v>
                </c:pt>
                <c:pt idx="1735">
                  <c:v>39961.0</c:v>
                </c:pt>
                <c:pt idx="1736">
                  <c:v>39960.0</c:v>
                </c:pt>
                <c:pt idx="1737">
                  <c:v>39959.0</c:v>
                </c:pt>
                <c:pt idx="1738">
                  <c:v>39958.0</c:v>
                </c:pt>
                <c:pt idx="1739">
                  <c:v>39955.0</c:v>
                </c:pt>
                <c:pt idx="1740">
                  <c:v>39954.0</c:v>
                </c:pt>
                <c:pt idx="1741">
                  <c:v>39953.0</c:v>
                </c:pt>
                <c:pt idx="1742">
                  <c:v>39952.0</c:v>
                </c:pt>
                <c:pt idx="1743">
                  <c:v>39951.0</c:v>
                </c:pt>
                <c:pt idx="1744">
                  <c:v>39948.0</c:v>
                </c:pt>
                <c:pt idx="1745">
                  <c:v>39947.0</c:v>
                </c:pt>
                <c:pt idx="1746">
                  <c:v>39946.0</c:v>
                </c:pt>
                <c:pt idx="1747">
                  <c:v>39945.0</c:v>
                </c:pt>
                <c:pt idx="1748">
                  <c:v>39944.0</c:v>
                </c:pt>
                <c:pt idx="1749">
                  <c:v>39941.0</c:v>
                </c:pt>
                <c:pt idx="1750">
                  <c:v>39940.0</c:v>
                </c:pt>
                <c:pt idx="1751">
                  <c:v>39939.0</c:v>
                </c:pt>
                <c:pt idx="1752">
                  <c:v>39938.0</c:v>
                </c:pt>
                <c:pt idx="1753">
                  <c:v>39937.0</c:v>
                </c:pt>
                <c:pt idx="1754">
                  <c:v>39933.0</c:v>
                </c:pt>
                <c:pt idx="1755">
                  <c:v>39932.0</c:v>
                </c:pt>
                <c:pt idx="1756">
                  <c:v>39931.0</c:v>
                </c:pt>
                <c:pt idx="1757">
                  <c:v>39927.0</c:v>
                </c:pt>
                <c:pt idx="1758">
                  <c:v>39926.0</c:v>
                </c:pt>
                <c:pt idx="1759">
                  <c:v>39924.0</c:v>
                </c:pt>
                <c:pt idx="1760">
                  <c:v>39923.0</c:v>
                </c:pt>
                <c:pt idx="1761">
                  <c:v>39920.0</c:v>
                </c:pt>
                <c:pt idx="1762">
                  <c:v>39919.0</c:v>
                </c:pt>
                <c:pt idx="1763">
                  <c:v>39918.0</c:v>
                </c:pt>
                <c:pt idx="1764">
                  <c:v>39917.0</c:v>
                </c:pt>
                <c:pt idx="1765">
                  <c:v>39912.0</c:v>
                </c:pt>
                <c:pt idx="1766">
                  <c:v>39911.0</c:v>
                </c:pt>
                <c:pt idx="1767">
                  <c:v>39910.0</c:v>
                </c:pt>
                <c:pt idx="1768">
                  <c:v>39909.0</c:v>
                </c:pt>
                <c:pt idx="1769">
                  <c:v>39906.0</c:v>
                </c:pt>
                <c:pt idx="1770">
                  <c:v>39905.0</c:v>
                </c:pt>
                <c:pt idx="1771">
                  <c:v>39904.0</c:v>
                </c:pt>
                <c:pt idx="1772">
                  <c:v>39903.0</c:v>
                </c:pt>
                <c:pt idx="1773">
                  <c:v>39902.0</c:v>
                </c:pt>
                <c:pt idx="1774">
                  <c:v>39899.0</c:v>
                </c:pt>
                <c:pt idx="1775">
                  <c:v>39898.0</c:v>
                </c:pt>
                <c:pt idx="1776">
                  <c:v>39897.0</c:v>
                </c:pt>
                <c:pt idx="1777">
                  <c:v>39896.0</c:v>
                </c:pt>
                <c:pt idx="1778">
                  <c:v>39895.0</c:v>
                </c:pt>
                <c:pt idx="1779">
                  <c:v>39892.0</c:v>
                </c:pt>
                <c:pt idx="1780">
                  <c:v>39891.0</c:v>
                </c:pt>
                <c:pt idx="1781">
                  <c:v>39890.0</c:v>
                </c:pt>
                <c:pt idx="1782">
                  <c:v>39889.0</c:v>
                </c:pt>
                <c:pt idx="1783">
                  <c:v>39888.0</c:v>
                </c:pt>
                <c:pt idx="1784">
                  <c:v>39885.0</c:v>
                </c:pt>
                <c:pt idx="1785">
                  <c:v>39884.0</c:v>
                </c:pt>
                <c:pt idx="1786">
                  <c:v>39883.0</c:v>
                </c:pt>
                <c:pt idx="1787">
                  <c:v>39882.0</c:v>
                </c:pt>
                <c:pt idx="1788">
                  <c:v>39881.0</c:v>
                </c:pt>
                <c:pt idx="1789">
                  <c:v>39878.0</c:v>
                </c:pt>
                <c:pt idx="1790">
                  <c:v>39877.0</c:v>
                </c:pt>
                <c:pt idx="1791">
                  <c:v>39876.0</c:v>
                </c:pt>
                <c:pt idx="1792">
                  <c:v>39875.0</c:v>
                </c:pt>
                <c:pt idx="1793">
                  <c:v>39874.0</c:v>
                </c:pt>
                <c:pt idx="1794">
                  <c:v>39871.0</c:v>
                </c:pt>
                <c:pt idx="1795">
                  <c:v>39870.0</c:v>
                </c:pt>
                <c:pt idx="1796">
                  <c:v>39869.0</c:v>
                </c:pt>
                <c:pt idx="1797">
                  <c:v>39868.0</c:v>
                </c:pt>
                <c:pt idx="1798">
                  <c:v>39867.0</c:v>
                </c:pt>
                <c:pt idx="1799">
                  <c:v>39864.0</c:v>
                </c:pt>
                <c:pt idx="1800">
                  <c:v>39863.0</c:v>
                </c:pt>
                <c:pt idx="1801">
                  <c:v>39862.0</c:v>
                </c:pt>
                <c:pt idx="1802">
                  <c:v>39861.0</c:v>
                </c:pt>
                <c:pt idx="1803">
                  <c:v>39860.0</c:v>
                </c:pt>
                <c:pt idx="1804">
                  <c:v>39857.0</c:v>
                </c:pt>
                <c:pt idx="1805">
                  <c:v>39856.0</c:v>
                </c:pt>
                <c:pt idx="1806">
                  <c:v>39855.0</c:v>
                </c:pt>
                <c:pt idx="1807">
                  <c:v>39854.0</c:v>
                </c:pt>
                <c:pt idx="1808">
                  <c:v>39853.0</c:v>
                </c:pt>
                <c:pt idx="1809">
                  <c:v>39850.0</c:v>
                </c:pt>
                <c:pt idx="1810">
                  <c:v>39849.0</c:v>
                </c:pt>
                <c:pt idx="1811">
                  <c:v>39848.0</c:v>
                </c:pt>
                <c:pt idx="1812">
                  <c:v>39847.0</c:v>
                </c:pt>
                <c:pt idx="1813">
                  <c:v>39846.0</c:v>
                </c:pt>
                <c:pt idx="1814">
                  <c:v>39843.0</c:v>
                </c:pt>
                <c:pt idx="1815">
                  <c:v>39842.0</c:v>
                </c:pt>
                <c:pt idx="1816">
                  <c:v>39841.0</c:v>
                </c:pt>
                <c:pt idx="1817">
                  <c:v>39840.0</c:v>
                </c:pt>
                <c:pt idx="1818">
                  <c:v>39839.0</c:v>
                </c:pt>
                <c:pt idx="1819">
                  <c:v>39836.0</c:v>
                </c:pt>
                <c:pt idx="1820">
                  <c:v>39835.0</c:v>
                </c:pt>
                <c:pt idx="1821">
                  <c:v>39834.0</c:v>
                </c:pt>
                <c:pt idx="1822">
                  <c:v>39833.0</c:v>
                </c:pt>
                <c:pt idx="1823">
                  <c:v>39832.0</c:v>
                </c:pt>
                <c:pt idx="1824">
                  <c:v>39829.0</c:v>
                </c:pt>
                <c:pt idx="1825">
                  <c:v>39828.0</c:v>
                </c:pt>
                <c:pt idx="1826">
                  <c:v>39827.0</c:v>
                </c:pt>
                <c:pt idx="1827">
                  <c:v>39826.0</c:v>
                </c:pt>
                <c:pt idx="1828">
                  <c:v>39825.0</c:v>
                </c:pt>
                <c:pt idx="1829">
                  <c:v>39822.0</c:v>
                </c:pt>
                <c:pt idx="1830">
                  <c:v>39821.0</c:v>
                </c:pt>
                <c:pt idx="1831">
                  <c:v>39820.0</c:v>
                </c:pt>
                <c:pt idx="1832">
                  <c:v>39819.0</c:v>
                </c:pt>
                <c:pt idx="1833">
                  <c:v>39818.0</c:v>
                </c:pt>
                <c:pt idx="1834">
                  <c:v>39815.0</c:v>
                </c:pt>
                <c:pt idx="1835">
                  <c:v>39813.0</c:v>
                </c:pt>
                <c:pt idx="1836">
                  <c:v>39812.0</c:v>
                </c:pt>
                <c:pt idx="1837">
                  <c:v>39811.0</c:v>
                </c:pt>
                <c:pt idx="1838">
                  <c:v>39806.0</c:v>
                </c:pt>
                <c:pt idx="1839">
                  <c:v>39805.0</c:v>
                </c:pt>
                <c:pt idx="1840">
                  <c:v>39804.0</c:v>
                </c:pt>
                <c:pt idx="1841">
                  <c:v>39801.0</c:v>
                </c:pt>
                <c:pt idx="1842">
                  <c:v>39800.0</c:v>
                </c:pt>
                <c:pt idx="1843">
                  <c:v>39799.0</c:v>
                </c:pt>
                <c:pt idx="1844">
                  <c:v>39797.0</c:v>
                </c:pt>
                <c:pt idx="1845">
                  <c:v>39794.0</c:v>
                </c:pt>
                <c:pt idx="1846">
                  <c:v>39793.0</c:v>
                </c:pt>
                <c:pt idx="1847">
                  <c:v>39792.0</c:v>
                </c:pt>
                <c:pt idx="1848">
                  <c:v>39791.0</c:v>
                </c:pt>
                <c:pt idx="1849">
                  <c:v>39790.0</c:v>
                </c:pt>
                <c:pt idx="1850">
                  <c:v>39787.0</c:v>
                </c:pt>
                <c:pt idx="1851">
                  <c:v>39786.0</c:v>
                </c:pt>
                <c:pt idx="1852">
                  <c:v>39785.0</c:v>
                </c:pt>
                <c:pt idx="1853">
                  <c:v>39784.0</c:v>
                </c:pt>
                <c:pt idx="1854">
                  <c:v>39783.0</c:v>
                </c:pt>
                <c:pt idx="1855">
                  <c:v>39780.0</c:v>
                </c:pt>
                <c:pt idx="1856">
                  <c:v>39779.0</c:v>
                </c:pt>
                <c:pt idx="1857">
                  <c:v>39778.0</c:v>
                </c:pt>
                <c:pt idx="1858">
                  <c:v>39777.0</c:v>
                </c:pt>
                <c:pt idx="1859">
                  <c:v>39776.0</c:v>
                </c:pt>
                <c:pt idx="1860">
                  <c:v>39773.0</c:v>
                </c:pt>
                <c:pt idx="1861">
                  <c:v>39772.0</c:v>
                </c:pt>
                <c:pt idx="1862">
                  <c:v>39771.0</c:v>
                </c:pt>
                <c:pt idx="1863">
                  <c:v>39770.0</c:v>
                </c:pt>
                <c:pt idx="1864">
                  <c:v>39769.0</c:v>
                </c:pt>
                <c:pt idx="1865">
                  <c:v>39766.0</c:v>
                </c:pt>
                <c:pt idx="1866">
                  <c:v>39765.0</c:v>
                </c:pt>
                <c:pt idx="1867">
                  <c:v>39764.0</c:v>
                </c:pt>
                <c:pt idx="1868">
                  <c:v>39763.0</c:v>
                </c:pt>
                <c:pt idx="1869">
                  <c:v>39762.0</c:v>
                </c:pt>
                <c:pt idx="1870">
                  <c:v>39759.0</c:v>
                </c:pt>
                <c:pt idx="1871">
                  <c:v>39758.0</c:v>
                </c:pt>
                <c:pt idx="1872">
                  <c:v>39757.0</c:v>
                </c:pt>
                <c:pt idx="1873">
                  <c:v>39756.0</c:v>
                </c:pt>
                <c:pt idx="1874">
                  <c:v>39755.0</c:v>
                </c:pt>
                <c:pt idx="1875">
                  <c:v>39752.0</c:v>
                </c:pt>
                <c:pt idx="1876">
                  <c:v>39751.0</c:v>
                </c:pt>
                <c:pt idx="1877">
                  <c:v>39750.0</c:v>
                </c:pt>
                <c:pt idx="1878">
                  <c:v>39749.0</c:v>
                </c:pt>
                <c:pt idx="1879">
                  <c:v>39748.0</c:v>
                </c:pt>
                <c:pt idx="1880">
                  <c:v>39745.0</c:v>
                </c:pt>
                <c:pt idx="1881">
                  <c:v>39744.0</c:v>
                </c:pt>
                <c:pt idx="1882">
                  <c:v>39743.0</c:v>
                </c:pt>
                <c:pt idx="1883">
                  <c:v>39742.0</c:v>
                </c:pt>
                <c:pt idx="1884">
                  <c:v>39741.0</c:v>
                </c:pt>
                <c:pt idx="1885">
                  <c:v>39738.0</c:v>
                </c:pt>
                <c:pt idx="1886">
                  <c:v>39737.0</c:v>
                </c:pt>
                <c:pt idx="1887">
                  <c:v>39736.0</c:v>
                </c:pt>
                <c:pt idx="1888">
                  <c:v>39735.0</c:v>
                </c:pt>
                <c:pt idx="1889">
                  <c:v>39734.0</c:v>
                </c:pt>
                <c:pt idx="1890">
                  <c:v>39731.0</c:v>
                </c:pt>
                <c:pt idx="1891">
                  <c:v>39730.0</c:v>
                </c:pt>
                <c:pt idx="1892">
                  <c:v>39729.0</c:v>
                </c:pt>
                <c:pt idx="1893">
                  <c:v>39728.0</c:v>
                </c:pt>
                <c:pt idx="1894">
                  <c:v>39727.0</c:v>
                </c:pt>
                <c:pt idx="1895">
                  <c:v>39724.0</c:v>
                </c:pt>
                <c:pt idx="1896">
                  <c:v>39723.0</c:v>
                </c:pt>
                <c:pt idx="1897">
                  <c:v>39722.0</c:v>
                </c:pt>
                <c:pt idx="1898">
                  <c:v>39721.0</c:v>
                </c:pt>
                <c:pt idx="1899">
                  <c:v>39720.0</c:v>
                </c:pt>
                <c:pt idx="1900">
                  <c:v>39717.0</c:v>
                </c:pt>
                <c:pt idx="1901">
                  <c:v>39716.0</c:v>
                </c:pt>
                <c:pt idx="1902">
                  <c:v>39714.0</c:v>
                </c:pt>
                <c:pt idx="1903">
                  <c:v>39713.0</c:v>
                </c:pt>
                <c:pt idx="1904">
                  <c:v>39710.0</c:v>
                </c:pt>
                <c:pt idx="1905">
                  <c:v>39709.0</c:v>
                </c:pt>
                <c:pt idx="1906">
                  <c:v>39708.0</c:v>
                </c:pt>
                <c:pt idx="1907">
                  <c:v>39707.0</c:v>
                </c:pt>
                <c:pt idx="1908">
                  <c:v>39706.0</c:v>
                </c:pt>
                <c:pt idx="1909">
                  <c:v>39703.0</c:v>
                </c:pt>
                <c:pt idx="1910">
                  <c:v>39702.0</c:v>
                </c:pt>
                <c:pt idx="1911">
                  <c:v>39701.0</c:v>
                </c:pt>
                <c:pt idx="1912">
                  <c:v>39700.0</c:v>
                </c:pt>
                <c:pt idx="1913">
                  <c:v>39699.0</c:v>
                </c:pt>
                <c:pt idx="1914">
                  <c:v>39696.0</c:v>
                </c:pt>
                <c:pt idx="1915">
                  <c:v>39695.0</c:v>
                </c:pt>
                <c:pt idx="1916">
                  <c:v>39694.0</c:v>
                </c:pt>
                <c:pt idx="1917">
                  <c:v>39693.0</c:v>
                </c:pt>
                <c:pt idx="1918">
                  <c:v>39692.0</c:v>
                </c:pt>
                <c:pt idx="1919">
                  <c:v>39689.0</c:v>
                </c:pt>
                <c:pt idx="1920">
                  <c:v>39688.0</c:v>
                </c:pt>
                <c:pt idx="1921">
                  <c:v>39687.0</c:v>
                </c:pt>
                <c:pt idx="1922">
                  <c:v>39686.0</c:v>
                </c:pt>
                <c:pt idx="1923">
                  <c:v>39685.0</c:v>
                </c:pt>
                <c:pt idx="1924">
                  <c:v>39682.0</c:v>
                </c:pt>
                <c:pt idx="1925">
                  <c:v>39681.0</c:v>
                </c:pt>
                <c:pt idx="1926">
                  <c:v>39680.0</c:v>
                </c:pt>
                <c:pt idx="1927">
                  <c:v>39679.0</c:v>
                </c:pt>
                <c:pt idx="1928">
                  <c:v>39678.0</c:v>
                </c:pt>
                <c:pt idx="1929">
                  <c:v>39675.0</c:v>
                </c:pt>
                <c:pt idx="1930">
                  <c:v>39674.0</c:v>
                </c:pt>
                <c:pt idx="1931">
                  <c:v>39673.0</c:v>
                </c:pt>
                <c:pt idx="1932">
                  <c:v>39672.0</c:v>
                </c:pt>
                <c:pt idx="1933">
                  <c:v>39671.0</c:v>
                </c:pt>
                <c:pt idx="1934">
                  <c:v>39668.0</c:v>
                </c:pt>
                <c:pt idx="1935">
                  <c:v>39667.0</c:v>
                </c:pt>
                <c:pt idx="1936">
                  <c:v>39666.0</c:v>
                </c:pt>
                <c:pt idx="1937">
                  <c:v>39665.0</c:v>
                </c:pt>
                <c:pt idx="1938">
                  <c:v>39664.0</c:v>
                </c:pt>
                <c:pt idx="1939">
                  <c:v>39661.0</c:v>
                </c:pt>
                <c:pt idx="1940">
                  <c:v>39660.0</c:v>
                </c:pt>
                <c:pt idx="1941">
                  <c:v>39659.0</c:v>
                </c:pt>
                <c:pt idx="1942">
                  <c:v>39658.0</c:v>
                </c:pt>
                <c:pt idx="1943">
                  <c:v>39657.0</c:v>
                </c:pt>
                <c:pt idx="1944">
                  <c:v>39654.0</c:v>
                </c:pt>
                <c:pt idx="1945">
                  <c:v>39653.0</c:v>
                </c:pt>
                <c:pt idx="1946">
                  <c:v>39652.0</c:v>
                </c:pt>
                <c:pt idx="1947">
                  <c:v>39651.0</c:v>
                </c:pt>
                <c:pt idx="1948">
                  <c:v>39650.0</c:v>
                </c:pt>
                <c:pt idx="1949">
                  <c:v>39647.0</c:v>
                </c:pt>
                <c:pt idx="1950">
                  <c:v>39646.0</c:v>
                </c:pt>
                <c:pt idx="1951">
                  <c:v>39645.0</c:v>
                </c:pt>
                <c:pt idx="1952">
                  <c:v>39644.0</c:v>
                </c:pt>
                <c:pt idx="1953">
                  <c:v>39643.0</c:v>
                </c:pt>
                <c:pt idx="1954">
                  <c:v>39640.0</c:v>
                </c:pt>
                <c:pt idx="1955">
                  <c:v>39639.0</c:v>
                </c:pt>
                <c:pt idx="1956">
                  <c:v>39638.0</c:v>
                </c:pt>
                <c:pt idx="1957">
                  <c:v>39637.0</c:v>
                </c:pt>
                <c:pt idx="1958">
                  <c:v>39636.0</c:v>
                </c:pt>
                <c:pt idx="1959">
                  <c:v>39633.0</c:v>
                </c:pt>
                <c:pt idx="1960">
                  <c:v>39632.0</c:v>
                </c:pt>
                <c:pt idx="1961">
                  <c:v>39631.0</c:v>
                </c:pt>
                <c:pt idx="1962">
                  <c:v>39630.0</c:v>
                </c:pt>
                <c:pt idx="1963">
                  <c:v>39629.0</c:v>
                </c:pt>
                <c:pt idx="1964">
                  <c:v>39626.0</c:v>
                </c:pt>
                <c:pt idx="1965">
                  <c:v>39625.0</c:v>
                </c:pt>
                <c:pt idx="1966">
                  <c:v>39624.0</c:v>
                </c:pt>
                <c:pt idx="1967">
                  <c:v>39623.0</c:v>
                </c:pt>
                <c:pt idx="1968">
                  <c:v>39622.0</c:v>
                </c:pt>
                <c:pt idx="1969">
                  <c:v>39619.0</c:v>
                </c:pt>
                <c:pt idx="1970">
                  <c:v>39618.0</c:v>
                </c:pt>
                <c:pt idx="1971">
                  <c:v>39617.0</c:v>
                </c:pt>
                <c:pt idx="1972">
                  <c:v>39616.0</c:v>
                </c:pt>
                <c:pt idx="1973">
                  <c:v>39612.0</c:v>
                </c:pt>
                <c:pt idx="1974">
                  <c:v>39611.0</c:v>
                </c:pt>
                <c:pt idx="1975">
                  <c:v>39610.0</c:v>
                </c:pt>
                <c:pt idx="1976">
                  <c:v>39609.0</c:v>
                </c:pt>
                <c:pt idx="1977">
                  <c:v>39608.0</c:v>
                </c:pt>
                <c:pt idx="1978">
                  <c:v>39605.0</c:v>
                </c:pt>
                <c:pt idx="1979">
                  <c:v>39604.0</c:v>
                </c:pt>
                <c:pt idx="1980">
                  <c:v>39603.0</c:v>
                </c:pt>
                <c:pt idx="1981">
                  <c:v>39602.0</c:v>
                </c:pt>
                <c:pt idx="1982">
                  <c:v>39601.0</c:v>
                </c:pt>
                <c:pt idx="1983">
                  <c:v>39598.0</c:v>
                </c:pt>
                <c:pt idx="1984">
                  <c:v>39597.0</c:v>
                </c:pt>
                <c:pt idx="1985">
                  <c:v>39596.0</c:v>
                </c:pt>
                <c:pt idx="1986">
                  <c:v>39595.0</c:v>
                </c:pt>
                <c:pt idx="1987">
                  <c:v>39594.0</c:v>
                </c:pt>
                <c:pt idx="1988">
                  <c:v>39591.0</c:v>
                </c:pt>
                <c:pt idx="1989">
                  <c:v>39590.0</c:v>
                </c:pt>
                <c:pt idx="1990">
                  <c:v>39589.0</c:v>
                </c:pt>
                <c:pt idx="1991">
                  <c:v>39588.0</c:v>
                </c:pt>
                <c:pt idx="1992">
                  <c:v>39587.0</c:v>
                </c:pt>
                <c:pt idx="1993">
                  <c:v>39584.0</c:v>
                </c:pt>
                <c:pt idx="1994">
                  <c:v>39583.0</c:v>
                </c:pt>
                <c:pt idx="1995">
                  <c:v>39582.0</c:v>
                </c:pt>
                <c:pt idx="1996">
                  <c:v>39581.0</c:v>
                </c:pt>
                <c:pt idx="1997">
                  <c:v>39580.0</c:v>
                </c:pt>
                <c:pt idx="1998">
                  <c:v>39577.0</c:v>
                </c:pt>
                <c:pt idx="1999">
                  <c:v>39576.0</c:v>
                </c:pt>
                <c:pt idx="2000">
                  <c:v>39575.0</c:v>
                </c:pt>
                <c:pt idx="2001">
                  <c:v>39574.0</c:v>
                </c:pt>
                <c:pt idx="2002">
                  <c:v>39573.0</c:v>
                </c:pt>
                <c:pt idx="2003">
                  <c:v>39568.0</c:v>
                </c:pt>
                <c:pt idx="2004">
                  <c:v>39567.0</c:v>
                </c:pt>
                <c:pt idx="2005">
                  <c:v>39563.0</c:v>
                </c:pt>
                <c:pt idx="2006">
                  <c:v>39562.0</c:v>
                </c:pt>
                <c:pt idx="2007">
                  <c:v>39561.0</c:v>
                </c:pt>
                <c:pt idx="2008">
                  <c:v>39560.0</c:v>
                </c:pt>
                <c:pt idx="2009">
                  <c:v>39559.0</c:v>
                </c:pt>
                <c:pt idx="2010">
                  <c:v>39556.0</c:v>
                </c:pt>
                <c:pt idx="2011">
                  <c:v>39555.0</c:v>
                </c:pt>
                <c:pt idx="2012">
                  <c:v>39554.0</c:v>
                </c:pt>
                <c:pt idx="2013">
                  <c:v>39553.0</c:v>
                </c:pt>
                <c:pt idx="2014">
                  <c:v>39552.0</c:v>
                </c:pt>
                <c:pt idx="2015">
                  <c:v>39549.0</c:v>
                </c:pt>
                <c:pt idx="2016">
                  <c:v>39548.0</c:v>
                </c:pt>
                <c:pt idx="2017">
                  <c:v>39547.0</c:v>
                </c:pt>
                <c:pt idx="2018">
                  <c:v>39546.0</c:v>
                </c:pt>
                <c:pt idx="2019">
                  <c:v>39545.0</c:v>
                </c:pt>
                <c:pt idx="2020">
                  <c:v>39542.0</c:v>
                </c:pt>
                <c:pt idx="2021">
                  <c:v>39541.0</c:v>
                </c:pt>
                <c:pt idx="2022">
                  <c:v>39540.0</c:v>
                </c:pt>
                <c:pt idx="2023">
                  <c:v>39539.0</c:v>
                </c:pt>
                <c:pt idx="2024">
                  <c:v>39538.0</c:v>
                </c:pt>
                <c:pt idx="2025">
                  <c:v>39535.0</c:v>
                </c:pt>
                <c:pt idx="2026">
                  <c:v>39534.0</c:v>
                </c:pt>
                <c:pt idx="2027">
                  <c:v>39533.0</c:v>
                </c:pt>
                <c:pt idx="2028">
                  <c:v>39532.0</c:v>
                </c:pt>
                <c:pt idx="2029">
                  <c:v>39527.0</c:v>
                </c:pt>
                <c:pt idx="2030">
                  <c:v>39526.0</c:v>
                </c:pt>
                <c:pt idx="2031">
                  <c:v>39525.0</c:v>
                </c:pt>
                <c:pt idx="2032">
                  <c:v>39524.0</c:v>
                </c:pt>
                <c:pt idx="2033">
                  <c:v>39521.0</c:v>
                </c:pt>
                <c:pt idx="2034">
                  <c:v>39520.0</c:v>
                </c:pt>
                <c:pt idx="2035">
                  <c:v>39519.0</c:v>
                </c:pt>
                <c:pt idx="2036">
                  <c:v>39518.0</c:v>
                </c:pt>
                <c:pt idx="2037">
                  <c:v>39517.0</c:v>
                </c:pt>
                <c:pt idx="2038">
                  <c:v>39514.0</c:v>
                </c:pt>
                <c:pt idx="2039">
                  <c:v>39513.0</c:v>
                </c:pt>
                <c:pt idx="2040">
                  <c:v>39512.0</c:v>
                </c:pt>
                <c:pt idx="2041">
                  <c:v>39511.0</c:v>
                </c:pt>
                <c:pt idx="2042">
                  <c:v>39510.0</c:v>
                </c:pt>
                <c:pt idx="2043">
                  <c:v>39507.0</c:v>
                </c:pt>
                <c:pt idx="2044">
                  <c:v>39506.0</c:v>
                </c:pt>
                <c:pt idx="2045">
                  <c:v>39505.0</c:v>
                </c:pt>
                <c:pt idx="2046">
                  <c:v>39504.0</c:v>
                </c:pt>
                <c:pt idx="2047">
                  <c:v>39503.0</c:v>
                </c:pt>
                <c:pt idx="2048">
                  <c:v>39500.0</c:v>
                </c:pt>
                <c:pt idx="2049">
                  <c:v>39499.0</c:v>
                </c:pt>
                <c:pt idx="2050">
                  <c:v>39498.0</c:v>
                </c:pt>
                <c:pt idx="2051">
                  <c:v>39497.0</c:v>
                </c:pt>
                <c:pt idx="2052">
                  <c:v>39496.0</c:v>
                </c:pt>
                <c:pt idx="2053">
                  <c:v>39493.0</c:v>
                </c:pt>
                <c:pt idx="2054">
                  <c:v>39492.0</c:v>
                </c:pt>
                <c:pt idx="2055">
                  <c:v>39491.0</c:v>
                </c:pt>
                <c:pt idx="2056">
                  <c:v>39490.0</c:v>
                </c:pt>
                <c:pt idx="2057">
                  <c:v>39489.0</c:v>
                </c:pt>
                <c:pt idx="2058">
                  <c:v>39486.0</c:v>
                </c:pt>
                <c:pt idx="2059">
                  <c:v>39485.0</c:v>
                </c:pt>
                <c:pt idx="2060">
                  <c:v>39484.0</c:v>
                </c:pt>
                <c:pt idx="2061">
                  <c:v>39483.0</c:v>
                </c:pt>
                <c:pt idx="2062">
                  <c:v>39482.0</c:v>
                </c:pt>
                <c:pt idx="2063">
                  <c:v>39479.0</c:v>
                </c:pt>
                <c:pt idx="2064">
                  <c:v>39478.0</c:v>
                </c:pt>
                <c:pt idx="2065">
                  <c:v>39477.0</c:v>
                </c:pt>
                <c:pt idx="2066">
                  <c:v>39476.0</c:v>
                </c:pt>
                <c:pt idx="2067">
                  <c:v>39475.0</c:v>
                </c:pt>
                <c:pt idx="2068">
                  <c:v>39472.0</c:v>
                </c:pt>
                <c:pt idx="2069">
                  <c:v>39471.0</c:v>
                </c:pt>
                <c:pt idx="2070">
                  <c:v>39470.0</c:v>
                </c:pt>
                <c:pt idx="2071">
                  <c:v>39469.0</c:v>
                </c:pt>
                <c:pt idx="2072">
                  <c:v>39468.0</c:v>
                </c:pt>
                <c:pt idx="2073">
                  <c:v>39465.0</c:v>
                </c:pt>
                <c:pt idx="2074">
                  <c:v>39464.0</c:v>
                </c:pt>
                <c:pt idx="2075">
                  <c:v>39463.0</c:v>
                </c:pt>
                <c:pt idx="2076">
                  <c:v>39462.0</c:v>
                </c:pt>
                <c:pt idx="2077">
                  <c:v>39461.0</c:v>
                </c:pt>
                <c:pt idx="2078">
                  <c:v>39458.0</c:v>
                </c:pt>
                <c:pt idx="2079">
                  <c:v>39457.0</c:v>
                </c:pt>
                <c:pt idx="2080">
                  <c:v>39456.0</c:v>
                </c:pt>
                <c:pt idx="2081">
                  <c:v>39455.0</c:v>
                </c:pt>
                <c:pt idx="2082">
                  <c:v>39454.0</c:v>
                </c:pt>
                <c:pt idx="2083">
                  <c:v>39451.0</c:v>
                </c:pt>
                <c:pt idx="2084">
                  <c:v>39450.0</c:v>
                </c:pt>
                <c:pt idx="2085">
                  <c:v>39449.0</c:v>
                </c:pt>
                <c:pt idx="2086">
                  <c:v>39447.0</c:v>
                </c:pt>
                <c:pt idx="2087">
                  <c:v>39444.0</c:v>
                </c:pt>
                <c:pt idx="2088">
                  <c:v>39443.0</c:v>
                </c:pt>
                <c:pt idx="2089">
                  <c:v>39440.0</c:v>
                </c:pt>
                <c:pt idx="2090">
                  <c:v>39437.0</c:v>
                </c:pt>
                <c:pt idx="2091">
                  <c:v>39436.0</c:v>
                </c:pt>
                <c:pt idx="2092">
                  <c:v>39435.0</c:v>
                </c:pt>
                <c:pt idx="2093">
                  <c:v>39434.0</c:v>
                </c:pt>
                <c:pt idx="2094">
                  <c:v>39430.0</c:v>
                </c:pt>
                <c:pt idx="2095">
                  <c:v>39429.0</c:v>
                </c:pt>
                <c:pt idx="2096">
                  <c:v>39428.0</c:v>
                </c:pt>
                <c:pt idx="2097">
                  <c:v>39427.0</c:v>
                </c:pt>
                <c:pt idx="2098">
                  <c:v>39426.0</c:v>
                </c:pt>
                <c:pt idx="2099">
                  <c:v>39423.0</c:v>
                </c:pt>
                <c:pt idx="2100">
                  <c:v>39422.0</c:v>
                </c:pt>
                <c:pt idx="2101">
                  <c:v>39421.0</c:v>
                </c:pt>
                <c:pt idx="2102">
                  <c:v>39420.0</c:v>
                </c:pt>
                <c:pt idx="2103">
                  <c:v>39419.0</c:v>
                </c:pt>
                <c:pt idx="2104">
                  <c:v>39416.0</c:v>
                </c:pt>
                <c:pt idx="2105">
                  <c:v>39415.0</c:v>
                </c:pt>
                <c:pt idx="2106">
                  <c:v>39414.0</c:v>
                </c:pt>
                <c:pt idx="2107">
                  <c:v>39413.0</c:v>
                </c:pt>
                <c:pt idx="2108">
                  <c:v>39412.0</c:v>
                </c:pt>
                <c:pt idx="2109">
                  <c:v>39409.0</c:v>
                </c:pt>
                <c:pt idx="2110">
                  <c:v>39408.0</c:v>
                </c:pt>
                <c:pt idx="2111">
                  <c:v>39407.0</c:v>
                </c:pt>
                <c:pt idx="2112">
                  <c:v>39406.0</c:v>
                </c:pt>
                <c:pt idx="2113">
                  <c:v>39405.0</c:v>
                </c:pt>
                <c:pt idx="2114">
                  <c:v>39402.0</c:v>
                </c:pt>
                <c:pt idx="2115">
                  <c:v>39401.0</c:v>
                </c:pt>
                <c:pt idx="2116">
                  <c:v>39400.0</c:v>
                </c:pt>
                <c:pt idx="2117">
                  <c:v>39399.0</c:v>
                </c:pt>
                <c:pt idx="2118">
                  <c:v>39398.0</c:v>
                </c:pt>
                <c:pt idx="2119">
                  <c:v>39395.0</c:v>
                </c:pt>
                <c:pt idx="2120">
                  <c:v>39394.0</c:v>
                </c:pt>
                <c:pt idx="2121">
                  <c:v>39393.0</c:v>
                </c:pt>
                <c:pt idx="2122">
                  <c:v>39392.0</c:v>
                </c:pt>
                <c:pt idx="2123">
                  <c:v>39391.0</c:v>
                </c:pt>
                <c:pt idx="2124">
                  <c:v>39388.0</c:v>
                </c:pt>
                <c:pt idx="2125">
                  <c:v>39387.0</c:v>
                </c:pt>
                <c:pt idx="2126">
                  <c:v>39386.0</c:v>
                </c:pt>
                <c:pt idx="2127">
                  <c:v>39385.0</c:v>
                </c:pt>
                <c:pt idx="2128">
                  <c:v>39384.0</c:v>
                </c:pt>
                <c:pt idx="2129">
                  <c:v>39381.0</c:v>
                </c:pt>
                <c:pt idx="2130">
                  <c:v>39380.0</c:v>
                </c:pt>
                <c:pt idx="2131">
                  <c:v>39379.0</c:v>
                </c:pt>
                <c:pt idx="2132">
                  <c:v>39378.0</c:v>
                </c:pt>
                <c:pt idx="2133">
                  <c:v>39377.0</c:v>
                </c:pt>
                <c:pt idx="2134">
                  <c:v>39374.0</c:v>
                </c:pt>
                <c:pt idx="2135">
                  <c:v>39373.0</c:v>
                </c:pt>
                <c:pt idx="2136">
                  <c:v>39372.0</c:v>
                </c:pt>
                <c:pt idx="2137">
                  <c:v>39371.0</c:v>
                </c:pt>
                <c:pt idx="2138">
                  <c:v>39370.0</c:v>
                </c:pt>
                <c:pt idx="2139">
                  <c:v>39367.0</c:v>
                </c:pt>
                <c:pt idx="2140">
                  <c:v>39366.0</c:v>
                </c:pt>
                <c:pt idx="2141">
                  <c:v>39365.0</c:v>
                </c:pt>
                <c:pt idx="2142">
                  <c:v>39364.0</c:v>
                </c:pt>
                <c:pt idx="2143">
                  <c:v>39363.0</c:v>
                </c:pt>
                <c:pt idx="2144">
                  <c:v>39360.0</c:v>
                </c:pt>
                <c:pt idx="2145">
                  <c:v>39359.0</c:v>
                </c:pt>
                <c:pt idx="2146">
                  <c:v>39358.0</c:v>
                </c:pt>
                <c:pt idx="2147">
                  <c:v>39357.0</c:v>
                </c:pt>
                <c:pt idx="2148">
                  <c:v>39356.0</c:v>
                </c:pt>
                <c:pt idx="2149">
                  <c:v>39353.0</c:v>
                </c:pt>
                <c:pt idx="2150">
                  <c:v>39352.0</c:v>
                </c:pt>
                <c:pt idx="2151">
                  <c:v>39351.0</c:v>
                </c:pt>
                <c:pt idx="2152">
                  <c:v>39350.0</c:v>
                </c:pt>
                <c:pt idx="2153">
                  <c:v>39346.0</c:v>
                </c:pt>
                <c:pt idx="2154">
                  <c:v>39345.0</c:v>
                </c:pt>
                <c:pt idx="2155">
                  <c:v>39344.0</c:v>
                </c:pt>
                <c:pt idx="2156">
                  <c:v>39343.0</c:v>
                </c:pt>
                <c:pt idx="2157">
                  <c:v>39342.0</c:v>
                </c:pt>
                <c:pt idx="2158">
                  <c:v>39339.0</c:v>
                </c:pt>
                <c:pt idx="2159">
                  <c:v>39338.0</c:v>
                </c:pt>
                <c:pt idx="2160">
                  <c:v>39337.0</c:v>
                </c:pt>
                <c:pt idx="2161">
                  <c:v>39336.0</c:v>
                </c:pt>
                <c:pt idx="2162">
                  <c:v>39335.0</c:v>
                </c:pt>
                <c:pt idx="2163">
                  <c:v>39332.0</c:v>
                </c:pt>
                <c:pt idx="2164">
                  <c:v>39331.0</c:v>
                </c:pt>
                <c:pt idx="2165">
                  <c:v>39330.0</c:v>
                </c:pt>
                <c:pt idx="2166">
                  <c:v>39329.0</c:v>
                </c:pt>
                <c:pt idx="2167">
                  <c:v>39328.0</c:v>
                </c:pt>
                <c:pt idx="2168">
                  <c:v>39325.0</c:v>
                </c:pt>
                <c:pt idx="2169">
                  <c:v>39324.0</c:v>
                </c:pt>
                <c:pt idx="2170">
                  <c:v>39323.0</c:v>
                </c:pt>
                <c:pt idx="2171">
                  <c:v>39322.0</c:v>
                </c:pt>
                <c:pt idx="2172">
                  <c:v>39321.0</c:v>
                </c:pt>
                <c:pt idx="2173">
                  <c:v>39318.0</c:v>
                </c:pt>
                <c:pt idx="2174">
                  <c:v>39317.0</c:v>
                </c:pt>
                <c:pt idx="2175">
                  <c:v>39316.0</c:v>
                </c:pt>
                <c:pt idx="2176">
                  <c:v>39315.0</c:v>
                </c:pt>
                <c:pt idx="2177">
                  <c:v>39314.0</c:v>
                </c:pt>
                <c:pt idx="2178">
                  <c:v>39311.0</c:v>
                </c:pt>
                <c:pt idx="2179">
                  <c:v>39310.0</c:v>
                </c:pt>
                <c:pt idx="2180">
                  <c:v>39309.0</c:v>
                </c:pt>
                <c:pt idx="2181">
                  <c:v>39308.0</c:v>
                </c:pt>
                <c:pt idx="2182">
                  <c:v>39307.0</c:v>
                </c:pt>
                <c:pt idx="2183">
                  <c:v>39304.0</c:v>
                </c:pt>
                <c:pt idx="2184">
                  <c:v>39302.0</c:v>
                </c:pt>
                <c:pt idx="2185">
                  <c:v>39301.0</c:v>
                </c:pt>
                <c:pt idx="2186">
                  <c:v>39300.0</c:v>
                </c:pt>
                <c:pt idx="2187">
                  <c:v>39297.0</c:v>
                </c:pt>
                <c:pt idx="2188">
                  <c:v>39296.0</c:v>
                </c:pt>
                <c:pt idx="2189">
                  <c:v>39295.0</c:v>
                </c:pt>
                <c:pt idx="2190">
                  <c:v>39294.0</c:v>
                </c:pt>
                <c:pt idx="2191">
                  <c:v>39293.0</c:v>
                </c:pt>
                <c:pt idx="2192">
                  <c:v>39290.0</c:v>
                </c:pt>
                <c:pt idx="2193">
                  <c:v>39289.0</c:v>
                </c:pt>
                <c:pt idx="2194">
                  <c:v>39288.0</c:v>
                </c:pt>
                <c:pt idx="2195">
                  <c:v>39287.0</c:v>
                </c:pt>
                <c:pt idx="2196">
                  <c:v>39286.0</c:v>
                </c:pt>
                <c:pt idx="2197">
                  <c:v>39283.0</c:v>
                </c:pt>
                <c:pt idx="2198">
                  <c:v>39282.0</c:v>
                </c:pt>
                <c:pt idx="2199">
                  <c:v>39281.0</c:v>
                </c:pt>
                <c:pt idx="2200">
                  <c:v>39280.0</c:v>
                </c:pt>
                <c:pt idx="2201">
                  <c:v>39279.0</c:v>
                </c:pt>
                <c:pt idx="2202">
                  <c:v>39276.0</c:v>
                </c:pt>
                <c:pt idx="2203">
                  <c:v>39275.0</c:v>
                </c:pt>
                <c:pt idx="2204">
                  <c:v>39274.0</c:v>
                </c:pt>
                <c:pt idx="2205">
                  <c:v>39273.0</c:v>
                </c:pt>
                <c:pt idx="2206">
                  <c:v>39272.0</c:v>
                </c:pt>
                <c:pt idx="2207">
                  <c:v>39269.0</c:v>
                </c:pt>
                <c:pt idx="2208">
                  <c:v>39268.0</c:v>
                </c:pt>
                <c:pt idx="2209">
                  <c:v>39267.0</c:v>
                </c:pt>
                <c:pt idx="2210">
                  <c:v>39266.0</c:v>
                </c:pt>
                <c:pt idx="2211">
                  <c:v>39265.0</c:v>
                </c:pt>
                <c:pt idx="2212">
                  <c:v>39262.0</c:v>
                </c:pt>
                <c:pt idx="2213">
                  <c:v>39261.0</c:v>
                </c:pt>
                <c:pt idx="2214">
                  <c:v>39260.0</c:v>
                </c:pt>
                <c:pt idx="2215">
                  <c:v>39259.0</c:v>
                </c:pt>
                <c:pt idx="2216">
                  <c:v>39258.0</c:v>
                </c:pt>
                <c:pt idx="2217">
                  <c:v>39255.0</c:v>
                </c:pt>
                <c:pt idx="2218">
                  <c:v>39254.0</c:v>
                </c:pt>
                <c:pt idx="2219">
                  <c:v>39253.0</c:v>
                </c:pt>
                <c:pt idx="2220">
                  <c:v>39252.0</c:v>
                </c:pt>
                <c:pt idx="2221">
                  <c:v>39251.0</c:v>
                </c:pt>
                <c:pt idx="2222">
                  <c:v>39248.0</c:v>
                </c:pt>
                <c:pt idx="2223">
                  <c:v>39247.0</c:v>
                </c:pt>
                <c:pt idx="2224">
                  <c:v>39246.0</c:v>
                </c:pt>
                <c:pt idx="2225">
                  <c:v>39245.0</c:v>
                </c:pt>
                <c:pt idx="2226">
                  <c:v>39244.0</c:v>
                </c:pt>
                <c:pt idx="2227">
                  <c:v>39241.0</c:v>
                </c:pt>
                <c:pt idx="2228">
                  <c:v>39240.0</c:v>
                </c:pt>
                <c:pt idx="2229">
                  <c:v>39239.0</c:v>
                </c:pt>
                <c:pt idx="2230">
                  <c:v>39238.0</c:v>
                </c:pt>
                <c:pt idx="2231">
                  <c:v>39237.0</c:v>
                </c:pt>
                <c:pt idx="2232">
                  <c:v>39234.0</c:v>
                </c:pt>
                <c:pt idx="2233">
                  <c:v>39233.0</c:v>
                </c:pt>
                <c:pt idx="2234">
                  <c:v>39232.0</c:v>
                </c:pt>
                <c:pt idx="2235">
                  <c:v>39231.0</c:v>
                </c:pt>
                <c:pt idx="2236">
                  <c:v>39230.0</c:v>
                </c:pt>
                <c:pt idx="2237">
                  <c:v>39227.0</c:v>
                </c:pt>
                <c:pt idx="2238">
                  <c:v>39226.0</c:v>
                </c:pt>
                <c:pt idx="2239">
                  <c:v>39225.0</c:v>
                </c:pt>
                <c:pt idx="2240">
                  <c:v>39224.0</c:v>
                </c:pt>
                <c:pt idx="2241">
                  <c:v>39223.0</c:v>
                </c:pt>
                <c:pt idx="2242">
                  <c:v>39220.0</c:v>
                </c:pt>
                <c:pt idx="2243">
                  <c:v>39219.0</c:v>
                </c:pt>
                <c:pt idx="2244">
                  <c:v>39218.0</c:v>
                </c:pt>
                <c:pt idx="2245">
                  <c:v>39217.0</c:v>
                </c:pt>
                <c:pt idx="2246">
                  <c:v>39216.0</c:v>
                </c:pt>
                <c:pt idx="2247">
                  <c:v>39213.0</c:v>
                </c:pt>
                <c:pt idx="2248">
                  <c:v>39212.0</c:v>
                </c:pt>
                <c:pt idx="2249">
                  <c:v>39211.0</c:v>
                </c:pt>
                <c:pt idx="2250">
                  <c:v>39210.0</c:v>
                </c:pt>
                <c:pt idx="2251">
                  <c:v>39209.0</c:v>
                </c:pt>
                <c:pt idx="2252">
                  <c:v>39206.0</c:v>
                </c:pt>
                <c:pt idx="2253">
                  <c:v>39205.0</c:v>
                </c:pt>
                <c:pt idx="2254">
                  <c:v>39204.0</c:v>
                </c:pt>
                <c:pt idx="2255">
                  <c:v>39202.0</c:v>
                </c:pt>
                <c:pt idx="2256">
                  <c:v>39198.0</c:v>
                </c:pt>
                <c:pt idx="2257">
                  <c:v>39197.0</c:v>
                </c:pt>
                <c:pt idx="2258">
                  <c:v>39196.0</c:v>
                </c:pt>
                <c:pt idx="2259">
                  <c:v>39195.0</c:v>
                </c:pt>
                <c:pt idx="2260">
                  <c:v>39192.0</c:v>
                </c:pt>
                <c:pt idx="2261">
                  <c:v>39191.0</c:v>
                </c:pt>
                <c:pt idx="2262">
                  <c:v>39190.0</c:v>
                </c:pt>
                <c:pt idx="2263">
                  <c:v>39189.0</c:v>
                </c:pt>
                <c:pt idx="2264">
                  <c:v>39188.0</c:v>
                </c:pt>
                <c:pt idx="2265">
                  <c:v>39185.0</c:v>
                </c:pt>
                <c:pt idx="2266">
                  <c:v>39184.0</c:v>
                </c:pt>
                <c:pt idx="2267">
                  <c:v>39183.0</c:v>
                </c:pt>
                <c:pt idx="2268">
                  <c:v>39182.0</c:v>
                </c:pt>
                <c:pt idx="2269">
                  <c:v>39177.0</c:v>
                </c:pt>
                <c:pt idx="2270">
                  <c:v>39176.0</c:v>
                </c:pt>
                <c:pt idx="2271">
                  <c:v>39175.0</c:v>
                </c:pt>
                <c:pt idx="2272">
                  <c:v>39174.0</c:v>
                </c:pt>
                <c:pt idx="2273">
                  <c:v>39171.0</c:v>
                </c:pt>
                <c:pt idx="2274">
                  <c:v>39170.0</c:v>
                </c:pt>
                <c:pt idx="2275">
                  <c:v>39169.0</c:v>
                </c:pt>
                <c:pt idx="2276">
                  <c:v>39168.0</c:v>
                </c:pt>
                <c:pt idx="2277">
                  <c:v>39167.0</c:v>
                </c:pt>
                <c:pt idx="2278">
                  <c:v>39164.0</c:v>
                </c:pt>
                <c:pt idx="2279">
                  <c:v>39163.0</c:v>
                </c:pt>
                <c:pt idx="2280">
                  <c:v>39161.0</c:v>
                </c:pt>
                <c:pt idx="2281">
                  <c:v>39160.0</c:v>
                </c:pt>
                <c:pt idx="2282">
                  <c:v>39157.0</c:v>
                </c:pt>
                <c:pt idx="2283">
                  <c:v>39156.0</c:v>
                </c:pt>
                <c:pt idx="2284">
                  <c:v>39155.0</c:v>
                </c:pt>
                <c:pt idx="2285">
                  <c:v>39154.0</c:v>
                </c:pt>
                <c:pt idx="2286">
                  <c:v>39153.0</c:v>
                </c:pt>
                <c:pt idx="2287">
                  <c:v>39150.0</c:v>
                </c:pt>
                <c:pt idx="2288">
                  <c:v>39149.0</c:v>
                </c:pt>
                <c:pt idx="2289">
                  <c:v>39148.0</c:v>
                </c:pt>
                <c:pt idx="2290">
                  <c:v>39147.0</c:v>
                </c:pt>
                <c:pt idx="2291">
                  <c:v>39146.0</c:v>
                </c:pt>
                <c:pt idx="2292">
                  <c:v>39143.0</c:v>
                </c:pt>
                <c:pt idx="2293">
                  <c:v>39142.0</c:v>
                </c:pt>
                <c:pt idx="2294">
                  <c:v>39141.0</c:v>
                </c:pt>
                <c:pt idx="2295">
                  <c:v>39140.0</c:v>
                </c:pt>
                <c:pt idx="2296">
                  <c:v>39139.0</c:v>
                </c:pt>
                <c:pt idx="2297">
                  <c:v>39136.0</c:v>
                </c:pt>
                <c:pt idx="2298">
                  <c:v>39135.0</c:v>
                </c:pt>
                <c:pt idx="2299">
                  <c:v>39134.0</c:v>
                </c:pt>
                <c:pt idx="2300">
                  <c:v>39133.0</c:v>
                </c:pt>
                <c:pt idx="2301">
                  <c:v>39132.0</c:v>
                </c:pt>
                <c:pt idx="2302">
                  <c:v>39129.0</c:v>
                </c:pt>
                <c:pt idx="2303">
                  <c:v>39128.0</c:v>
                </c:pt>
                <c:pt idx="2304">
                  <c:v>39127.0</c:v>
                </c:pt>
                <c:pt idx="2305">
                  <c:v>39126.0</c:v>
                </c:pt>
                <c:pt idx="2306">
                  <c:v>39125.0</c:v>
                </c:pt>
                <c:pt idx="2307">
                  <c:v>39122.0</c:v>
                </c:pt>
                <c:pt idx="2308">
                  <c:v>39121.0</c:v>
                </c:pt>
                <c:pt idx="2309">
                  <c:v>39120.0</c:v>
                </c:pt>
                <c:pt idx="2310">
                  <c:v>39119.0</c:v>
                </c:pt>
                <c:pt idx="2311">
                  <c:v>39118.0</c:v>
                </c:pt>
                <c:pt idx="2312">
                  <c:v>39115.0</c:v>
                </c:pt>
                <c:pt idx="2313">
                  <c:v>39114.0</c:v>
                </c:pt>
                <c:pt idx="2314">
                  <c:v>39113.0</c:v>
                </c:pt>
                <c:pt idx="2315">
                  <c:v>39112.0</c:v>
                </c:pt>
                <c:pt idx="2316">
                  <c:v>39111.0</c:v>
                </c:pt>
                <c:pt idx="2317">
                  <c:v>39108.0</c:v>
                </c:pt>
                <c:pt idx="2318">
                  <c:v>39107.0</c:v>
                </c:pt>
                <c:pt idx="2319">
                  <c:v>39106.0</c:v>
                </c:pt>
                <c:pt idx="2320">
                  <c:v>39105.0</c:v>
                </c:pt>
                <c:pt idx="2321">
                  <c:v>39104.0</c:v>
                </c:pt>
                <c:pt idx="2322">
                  <c:v>39101.0</c:v>
                </c:pt>
                <c:pt idx="2323">
                  <c:v>39100.0</c:v>
                </c:pt>
                <c:pt idx="2324">
                  <c:v>39099.0</c:v>
                </c:pt>
                <c:pt idx="2325">
                  <c:v>39098.0</c:v>
                </c:pt>
                <c:pt idx="2326">
                  <c:v>39097.0</c:v>
                </c:pt>
                <c:pt idx="2327">
                  <c:v>39094.0</c:v>
                </c:pt>
                <c:pt idx="2328">
                  <c:v>39093.0</c:v>
                </c:pt>
                <c:pt idx="2329">
                  <c:v>39092.0</c:v>
                </c:pt>
                <c:pt idx="2330">
                  <c:v>39091.0</c:v>
                </c:pt>
                <c:pt idx="2331">
                  <c:v>39090.0</c:v>
                </c:pt>
                <c:pt idx="2332">
                  <c:v>39087.0</c:v>
                </c:pt>
                <c:pt idx="2333">
                  <c:v>39086.0</c:v>
                </c:pt>
                <c:pt idx="2334">
                  <c:v>39085.0</c:v>
                </c:pt>
                <c:pt idx="2335">
                  <c:v>39084.0</c:v>
                </c:pt>
                <c:pt idx="2336">
                  <c:v>39080.0</c:v>
                </c:pt>
                <c:pt idx="2337">
                  <c:v>39079.0</c:v>
                </c:pt>
                <c:pt idx="2338">
                  <c:v>39078.0</c:v>
                </c:pt>
                <c:pt idx="2339">
                  <c:v>39073.0</c:v>
                </c:pt>
                <c:pt idx="2340">
                  <c:v>39072.0</c:v>
                </c:pt>
                <c:pt idx="2341">
                  <c:v>39071.0</c:v>
                </c:pt>
                <c:pt idx="2342">
                  <c:v>39070.0</c:v>
                </c:pt>
                <c:pt idx="2343">
                  <c:v>39069.0</c:v>
                </c:pt>
                <c:pt idx="2344">
                  <c:v>39066.0</c:v>
                </c:pt>
                <c:pt idx="2345">
                  <c:v>39065.0</c:v>
                </c:pt>
                <c:pt idx="2346">
                  <c:v>39064.0</c:v>
                </c:pt>
                <c:pt idx="2347">
                  <c:v>39063.0</c:v>
                </c:pt>
                <c:pt idx="2348">
                  <c:v>39062.0</c:v>
                </c:pt>
                <c:pt idx="2349">
                  <c:v>39059.0</c:v>
                </c:pt>
                <c:pt idx="2350">
                  <c:v>39058.0</c:v>
                </c:pt>
                <c:pt idx="2351">
                  <c:v>39057.0</c:v>
                </c:pt>
                <c:pt idx="2352">
                  <c:v>39056.0</c:v>
                </c:pt>
                <c:pt idx="2353">
                  <c:v>39055.0</c:v>
                </c:pt>
                <c:pt idx="2354">
                  <c:v>39052.0</c:v>
                </c:pt>
                <c:pt idx="2355">
                  <c:v>39051.0</c:v>
                </c:pt>
                <c:pt idx="2356">
                  <c:v>39050.0</c:v>
                </c:pt>
                <c:pt idx="2357">
                  <c:v>39049.0</c:v>
                </c:pt>
                <c:pt idx="2358">
                  <c:v>39048.0</c:v>
                </c:pt>
                <c:pt idx="2359">
                  <c:v>39045.0</c:v>
                </c:pt>
                <c:pt idx="2360">
                  <c:v>39044.0</c:v>
                </c:pt>
                <c:pt idx="2361">
                  <c:v>39043.0</c:v>
                </c:pt>
                <c:pt idx="2362">
                  <c:v>39042.0</c:v>
                </c:pt>
                <c:pt idx="2363">
                  <c:v>39041.0</c:v>
                </c:pt>
                <c:pt idx="2364">
                  <c:v>39038.0</c:v>
                </c:pt>
                <c:pt idx="2365">
                  <c:v>39037.0</c:v>
                </c:pt>
                <c:pt idx="2366">
                  <c:v>39036.0</c:v>
                </c:pt>
                <c:pt idx="2367">
                  <c:v>39035.0</c:v>
                </c:pt>
                <c:pt idx="2368">
                  <c:v>39034.0</c:v>
                </c:pt>
                <c:pt idx="2369">
                  <c:v>39031.0</c:v>
                </c:pt>
                <c:pt idx="2370">
                  <c:v>39030.0</c:v>
                </c:pt>
                <c:pt idx="2371">
                  <c:v>39029.0</c:v>
                </c:pt>
                <c:pt idx="2372">
                  <c:v>39028.0</c:v>
                </c:pt>
                <c:pt idx="2373">
                  <c:v>39027.0</c:v>
                </c:pt>
                <c:pt idx="2374">
                  <c:v>39024.0</c:v>
                </c:pt>
                <c:pt idx="2375">
                  <c:v>39023.0</c:v>
                </c:pt>
                <c:pt idx="2376">
                  <c:v>39022.0</c:v>
                </c:pt>
                <c:pt idx="2377">
                  <c:v>39021.0</c:v>
                </c:pt>
                <c:pt idx="2378">
                  <c:v>39020.0</c:v>
                </c:pt>
                <c:pt idx="2379">
                  <c:v>39017.0</c:v>
                </c:pt>
                <c:pt idx="2380">
                  <c:v>39016.0</c:v>
                </c:pt>
                <c:pt idx="2381">
                  <c:v>39015.0</c:v>
                </c:pt>
                <c:pt idx="2382">
                  <c:v>39014.0</c:v>
                </c:pt>
                <c:pt idx="2383">
                  <c:v>39013.0</c:v>
                </c:pt>
                <c:pt idx="2384">
                  <c:v>39010.0</c:v>
                </c:pt>
                <c:pt idx="2385">
                  <c:v>39009.0</c:v>
                </c:pt>
                <c:pt idx="2386">
                  <c:v>39008.0</c:v>
                </c:pt>
                <c:pt idx="2387">
                  <c:v>39007.0</c:v>
                </c:pt>
                <c:pt idx="2388">
                  <c:v>39006.0</c:v>
                </c:pt>
                <c:pt idx="2389">
                  <c:v>39003.0</c:v>
                </c:pt>
                <c:pt idx="2390">
                  <c:v>39002.0</c:v>
                </c:pt>
                <c:pt idx="2391">
                  <c:v>39001.0</c:v>
                </c:pt>
                <c:pt idx="2392">
                  <c:v>39000.0</c:v>
                </c:pt>
                <c:pt idx="2393">
                  <c:v>38999.0</c:v>
                </c:pt>
                <c:pt idx="2394">
                  <c:v>38996.0</c:v>
                </c:pt>
                <c:pt idx="2395">
                  <c:v>38995.0</c:v>
                </c:pt>
                <c:pt idx="2396">
                  <c:v>38994.0</c:v>
                </c:pt>
                <c:pt idx="2397">
                  <c:v>38993.0</c:v>
                </c:pt>
                <c:pt idx="2398">
                  <c:v>38992.0</c:v>
                </c:pt>
                <c:pt idx="2399">
                  <c:v>38989.0</c:v>
                </c:pt>
                <c:pt idx="2400">
                  <c:v>38988.0</c:v>
                </c:pt>
                <c:pt idx="2401">
                  <c:v>38987.0</c:v>
                </c:pt>
                <c:pt idx="2402">
                  <c:v>38986.0</c:v>
                </c:pt>
                <c:pt idx="2403">
                  <c:v>38982.0</c:v>
                </c:pt>
                <c:pt idx="2404">
                  <c:v>38981.0</c:v>
                </c:pt>
                <c:pt idx="2405">
                  <c:v>38980.0</c:v>
                </c:pt>
                <c:pt idx="2406">
                  <c:v>38979.0</c:v>
                </c:pt>
                <c:pt idx="2407">
                  <c:v>38978.0</c:v>
                </c:pt>
                <c:pt idx="2408">
                  <c:v>38975.0</c:v>
                </c:pt>
                <c:pt idx="2409">
                  <c:v>38974.0</c:v>
                </c:pt>
                <c:pt idx="2410">
                  <c:v>38973.0</c:v>
                </c:pt>
                <c:pt idx="2411">
                  <c:v>38972.0</c:v>
                </c:pt>
                <c:pt idx="2412">
                  <c:v>38971.0</c:v>
                </c:pt>
                <c:pt idx="2413">
                  <c:v>38968.0</c:v>
                </c:pt>
                <c:pt idx="2414">
                  <c:v>38967.0</c:v>
                </c:pt>
                <c:pt idx="2415">
                  <c:v>38966.0</c:v>
                </c:pt>
                <c:pt idx="2416">
                  <c:v>38965.0</c:v>
                </c:pt>
                <c:pt idx="2417">
                  <c:v>38964.0</c:v>
                </c:pt>
                <c:pt idx="2418">
                  <c:v>38961.0</c:v>
                </c:pt>
                <c:pt idx="2419">
                  <c:v>38960.0</c:v>
                </c:pt>
                <c:pt idx="2420">
                  <c:v>38959.0</c:v>
                </c:pt>
                <c:pt idx="2421">
                  <c:v>38958.0</c:v>
                </c:pt>
                <c:pt idx="2422">
                  <c:v>38957.0</c:v>
                </c:pt>
                <c:pt idx="2423">
                  <c:v>38954.0</c:v>
                </c:pt>
                <c:pt idx="2424">
                  <c:v>38953.0</c:v>
                </c:pt>
                <c:pt idx="2425">
                  <c:v>38952.0</c:v>
                </c:pt>
                <c:pt idx="2426">
                  <c:v>38951.0</c:v>
                </c:pt>
                <c:pt idx="2427">
                  <c:v>38950.0</c:v>
                </c:pt>
                <c:pt idx="2428">
                  <c:v>38947.0</c:v>
                </c:pt>
                <c:pt idx="2429">
                  <c:v>38946.0</c:v>
                </c:pt>
                <c:pt idx="2430">
                  <c:v>38945.0</c:v>
                </c:pt>
                <c:pt idx="2431">
                  <c:v>38944.0</c:v>
                </c:pt>
                <c:pt idx="2432">
                  <c:v>38943.0</c:v>
                </c:pt>
                <c:pt idx="2433">
                  <c:v>38940.0</c:v>
                </c:pt>
                <c:pt idx="2434">
                  <c:v>38939.0</c:v>
                </c:pt>
                <c:pt idx="2435">
                  <c:v>38937.0</c:v>
                </c:pt>
                <c:pt idx="2436">
                  <c:v>38936.0</c:v>
                </c:pt>
                <c:pt idx="2437">
                  <c:v>38933.0</c:v>
                </c:pt>
                <c:pt idx="2438">
                  <c:v>38932.0</c:v>
                </c:pt>
                <c:pt idx="2439">
                  <c:v>38931.0</c:v>
                </c:pt>
                <c:pt idx="2440">
                  <c:v>38930.0</c:v>
                </c:pt>
                <c:pt idx="2441">
                  <c:v>38929.0</c:v>
                </c:pt>
                <c:pt idx="2442">
                  <c:v>38926.0</c:v>
                </c:pt>
                <c:pt idx="2443">
                  <c:v>38925.0</c:v>
                </c:pt>
                <c:pt idx="2444">
                  <c:v>38924.0</c:v>
                </c:pt>
                <c:pt idx="2445">
                  <c:v>38923.0</c:v>
                </c:pt>
                <c:pt idx="2446">
                  <c:v>38922.0</c:v>
                </c:pt>
                <c:pt idx="2447">
                  <c:v>38919.0</c:v>
                </c:pt>
                <c:pt idx="2448">
                  <c:v>38918.0</c:v>
                </c:pt>
                <c:pt idx="2449">
                  <c:v>38917.0</c:v>
                </c:pt>
                <c:pt idx="2450">
                  <c:v>38916.0</c:v>
                </c:pt>
                <c:pt idx="2451">
                  <c:v>38915.0</c:v>
                </c:pt>
                <c:pt idx="2452">
                  <c:v>38912.0</c:v>
                </c:pt>
                <c:pt idx="2453">
                  <c:v>38911.0</c:v>
                </c:pt>
                <c:pt idx="2454">
                  <c:v>38910.0</c:v>
                </c:pt>
                <c:pt idx="2455">
                  <c:v>38909.0</c:v>
                </c:pt>
                <c:pt idx="2456">
                  <c:v>38908.0</c:v>
                </c:pt>
                <c:pt idx="2457">
                  <c:v>38905.0</c:v>
                </c:pt>
                <c:pt idx="2458">
                  <c:v>38904.0</c:v>
                </c:pt>
                <c:pt idx="2459">
                  <c:v>38903.0</c:v>
                </c:pt>
                <c:pt idx="2460">
                  <c:v>38902.0</c:v>
                </c:pt>
                <c:pt idx="2461">
                  <c:v>38901.0</c:v>
                </c:pt>
                <c:pt idx="2462">
                  <c:v>38898.0</c:v>
                </c:pt>
                <c:pt idx="2463">
                  <c:v>38897.0</c:v>
                </c:pt>
                <c:pt idx="2464">
                  <c:v>38896.0</c:v>
                </c:pt>
                <c:pt idx="2465">
                  <c:v>38895.0</c:v>
                </c:pt>
                <c:pt idx="2466">
                  <c:v>38894.0</c:v>
                </c:pt>
                <c:pt idx="2467">
                  <c:v>38891.0</c:v>
                </c:pt>
                <c:pt idx="2468">
                  <c:v>38890.0</c:v>
                </c:pt>
                <c:pt idx="2469">
                  <c:v>38889.0</c:v>
                </c:pt>
                <c:pt idx="2470">
                  <c:v>38888.0</c:v>
                </c:pt>
                <c:pt idx="2471">
                  <c:v>38887.0</c:v>
                </c:pt>
                <c:pt idx="2472">
                  <c:v>38883.0</c:v>
                </c:pt>
                <c:pt idx="2473">
                  <c:v>38882.0</c:v>
                </c:pt>
                <c:pt idx="2474">
                  <c:v>38881.0</c:v>
                </c:pt>
                <c:pt idx="2475">
                  <c:v>38880.0</c:v>
                </c:pt>
                <c:pt idx="2476">
                  <c:v>38877.0</c:v>
                </c:pt>
                <c:pt idx="2477">
                  <c:v>38876.0</c:v>
                </c:pt>
                <c:pt idx="2478">
                  <c:v>38875.0</c:v>
                </c:pt>
                <c:pt idx="2479">
                  <c:v>38874.0</c:v>
                </c:pt>
                <c:pt idx="2480">
                  <c:v>38873.0</c:v>
                </c:pt>
                <c:pt idx="2481">
                  <c:v>38870.0</c:v>
                </c:pt>
                <c:pt idx="2482">
                  <c:v>38869.0</c:v>
                </c:pt>
                <c:pt idx="2483">
                  <c:v>38868.0</c:v>
                </c:pt>
                <c:pt idx="2484">
                  <c:v>38867.0</c:v>
                </c:pt>
                <c:pt idx="2485">
                  <c:v>38866.0</c:v>
                </c:pt>
                <c:pt idx="2486">
                  <c:v>38863.0</c:v>
                </c:pt>
                <c:pt idx="2487">
                  <c:v>38862.0</c:v>
                </c:pt>
                <c:pt idx="2488">
                  <c:v>38861.0</c:v>
                </c:pt>
                <c:pt idx="2489">
                  <c:v>38860.0</c:v>
                </c:pt>
                <c:pt idx="2490">
                  <c:v>38859.0</c:v>
                </c:pt>
                <c:pt idx="2491">
                  <c:v>38856.0</c:v>
                </c:pt>
                <c:pt idx="2492">
                  <c:v>38855.0</c:v>
                </c:pt>
                <c:pt idx="2493">
                  <c:v>38854.0</c:v>
                </c:pt>
                <c:pt idx="2494">
                  <c:v>38853.0</c:v>
                </c:pt>
                <c:pt idx="2495">
                  <c:v>38852.0</c:v>
                </c:pt>
                <c:pt idx="2496">
                  <c:v>38849.0</c:v>
                </c:pt>
                <c:pt idx="2497">
                  <c:v>38848.0</c:v>
                </c:pt>
                <c:pt idx="2498">
                  <c:v>38847.0</c:v>
                </c:pt>
                <c:pt idx="2499">
                  <c:v>38846.0</c:v>
                </c:pt>
                <c:pt idx="2500">
                  <c:v>38845.0</c:v>
                </c:pt>
                <c:pt idx="2501">
                  <c:v>38842.0</c:v>
                </c:pt>
                <c:pt idx="2502">
                  <c:v>38841.0</c:v>
                </c:pt>
                <c:pt idx="2503">
                  <c:v>38840.0</c:v>
                </c:pt>
                <c:pt idx="2504">
                  <c:v>38839.0</c:v>
                </c:pt>
                <c:pt idx="2505">
                  <c:v>38835.0</c:v>
                </c:pt>
                <c:pt idx="2506">
                  <c:v>38833.0</c:v>
                </c:pt>
                <c:pt idx="2507">
                  <c:v>38832.0</c:v>
                </c:pt>
                <c:pt idx="2508">
                  <c:v>38831.0</c:v>
                </c:pt>
                <c:pt idx="2509">
                  <c:v>38828.0</c:v>
                </c:pt>
                <c:pt idx="2510">
                  <c:v>38827.0</c:v>
                </c:pt>
                <c:pt idx="2511">
                  <c:v>38826.0</c:v>
                </c:pt>
                <c:pt idx="2512">
                  <c:v>38825.0</c:v>
                </c:pt>
                <c:pt idx="2513">
                  <c:v>38820.0</c:v>
                </c:pt>
                <c:pt idx="2514">
                  <c:v>38819.0</c:v>
                </c:pt>
                <c:pt idx="2515">
                  <c:v>38818.0</c:v>
                </c:pt>
                <c:pt idx="2516">
                  <c:v>38817.0</c:v>
                </c:pt>
                <c:pt idx="2517">
                  <c:v>38814.0</c:v>
                </c:pt>
                <c:pt idx="2518">
                  <c:v>38813.0</c:v>
                </c:pt>
                <c:pt idx="2519">
                  <c:v>38812.0</c:v>
                </c:pt>
                <c:pt idx="2520">
                  <c:v>38811.0</c:v>
                </c:pt>
                <c:pt idx="2521">
                  <c:v>38810.0</c:v>
                </c:pt>
                <c:pt idx="2522">
                  <c:v>38807.0</c:v>
                </c:pt>
                <c:pt idx="2523">
                  <c:v>38806.0</c:v>
                </c:pt>
                <c:pt idx="2524">
                  <c:v>38805.0</c:v>
                </c:pt>
                <c:pt idx="2525">
                  <c:v>38804.0</c:v>
                </c:pt>
                <c:pt idx="2526">
                  <c:v>38803.0</c:v>
                </c:pt>
                <c:pt idx="2527">
                  <c:v>38800.0</c:v>
                </c:pt>
                <c:pt idx="2528">
                  <c:v>38799.0</c:v>
                </c:pt>
                <c:pt idx="2529">
                  <c:v>38798.0</c:v>
                </c:pt>
                <c:pt idx="2530">
                  <c:v>38796.0</c:v>
                </c:pt>
                <c:pt idx="2531">
                  <c:v>38793.0</c:v>
                </c:pt>
                <c:pt idx="2532">
                  <c:v>38792.0</c:v>
                </c:pt>
                <c:pt idx="2533">
                  <c:v>38791.0</c:v>
                </c:pt>
                <c:pt idx="2534">
                  <c:v>38790.0</c:v>
                </c:pt>
                <c:pt idx="2535">
                  <c:v>38789.0</c:v>
                </c:pt>
                <c:pt idx="2536">
                  <c:v>38786.0</c:v>
                </c:pt>
                <c:pt idx="2537">
                  <c:v>38785.0</c:v>
                </c:pt>
                <c:pt idx="2538">
                  <c:v>38784.0</c:v>
                </c:pt>
                <c:pt idx="2539">
                  <c:v>38783.0</c:v>
                </c:pt>
                <c:pt idx="2540">
                  <c:v>38782.0</c:v>
                </c:pt>
                <c:pt idx="2541">
                  <c:v>38779.0</c:v>
                </c:pt>
                <c:pt idx="2542">
                  <c:v>38778.0</c:v>
                </c:pt>
                <c:pt idx="2543">
                  <c:v>38776.0</c:v>
                </c:pt>
                <c:pt idx="2544">
                  <c:v>38775.0</c:v>
                </c:pt>
                <c:pt idx="2545">
                  <c:v>38772.0</c:v>
                </c:pt>
                <c:pt idx="2546">
                  <c:v>38771.0</c:v>
                </c:pt>
                <c:pt idx="2547">
                  <c:v>38770.0</c:v>
                </c:pt>
                <c:pt idx="2548">
                  <c:v>38769.0</c:v>
                </c:pt>
                <c:pt idx="2549">
                  <c:v>38768.0</c:v>
                </c:pt>
                <c:pt idx="2550">
                  <c:v>38765.0</c:v>
                </c:pt>
                <c:pt idx="2551">
                  <c:v>38764.0</c:v>
                </c:pt>
                <c:pt idx="2552">
                  <c:v>38763.0</c:v>
                </c:pt>
                <c:pt idx="2553">
                  <c:v>38762.0</c:v>
                </c:pt>
                <c:pt idx="2554">
                  <c:v>38761.0</c:v>
                </c:pt>
                <c:pt idx="2555">
                  <c:v>38758.0</c:v>
                </c:pt>
                <c:pt idx="2556">
                  <c:v>38757.0</c:v>
                </c:pt>
                <c:pt idx="2557">
                  <c:v>38756.0</c:v>
                </c:pt>
                <c:pt idx="2558">
                  <c:v>38755.0</c:v>
                </c:pt>
                <c:pt idx="2559">
                  <c:v>38754.0</c:v>
                </c:pt>
                <c:pt idx="2560">
                  <c:v>38751.0</c:v>
                </c:pt>
                <c:pt idx="2561">
                  <c:v>38750.0</c:v>
                </c:pt>
                <c:pt idx="2562">
                  <c:v>38749.0</c:v>
                </c:pt>
                <c:pt idx="2563">
                  <c:v>38748.0</c:v>
                </c:pt>
                <c:pt idx="2564">
                  <c:v>38747.0</c:v>
                </c:pt>
                <c:pt idx="2565">
                  <c:v>38744.0</c:v>
                </c:pt>
                <c:pt idx="2566">
                  <c:v>38743.0</c:v>
                </c:pt>
                <c:pt idx="2567">
                  <c:v>38742.0</c:v>
                </c:pt>
                <c:pt idx="2568">
                  <c:v>38741.0</c:v>
                </c:pt>
                <c:pt idx="2569">
                  <c:v>38740.0</c:v>
                </c:pt>
                <c:pt idx="2570">
                  <c:v>38737.0</c:v>
                </c:pt>
                <c:pt idx="2571">
                  <c:v>38736.0</c:v>
                </c:pt>
                <c:pt idx="2572">
                  <c:v>38735.0</c:v>
                </c:pt>
                <c:pt idx="2573">
                  <c:v>38734.0</c:v>
                </c:pt>
                <c:pt idx="2574">
                  <c:v>38733.0</c:v>
                </c:pt>
                <c:pt idx="2575">
                  <c:v>38730.0</c:v>
                </c:pt>
                <c:pt idx="2576">
                  <c:v>38729.0</c:v>
                </c:pt>
                <c:pt idx="2577">
                  <c:v>38728.0</c:v>
                </c:pt>
                <c:pt idx="2578">
                  <c:v>38727.0</c:v>
                </c:pt>
                <c:pt idx="2579">
                  <c:v>38726.0</c:v>
                </c:pt>
                <c:pt idx="2580">
                  <c:v>38723.0</c:v>
                </c:pt>
                <c:pt idx="2581">
                  <c:v>38722.0</c:v>
                </c:pt>
                <c:pt idx="2582">
                  <c:v>38721.0</c:v>
                </c:pt>
                <c:pt idx="2583">
                  <c:v>38720.0</c:v>
                </c:pt>
                <c:pt idx="2584">
                  <c:v>38716.0</c:v>
                </c:pt>
                <c:pt idx="2585">
                  <c:v>38715.0</c:v>
                </c:pt>
                <c:pt idx="2586">
                  <c:v>38714.0</c:v>
                </c:pt>
                <c:pt idx="2587">
                  <c:v>38713.0</c:v>
                </c:pt>
                <c:pt idx="2588">
                  <c:v>38709.0</c:v>
                </c:pt>
                <c:pt idx="2589">
                  <c:v>38708.0</c:v>
                </c:pt>
                <c:pt idx="2590">
                  <c:v>38707.0</c:v>
                </c:pt>
                <c:pt idx="2591">
                  <c:v>38706.0</c:v>
                </c:pt>
                <c:pt idx="2592">
                  <c:v>38705.0</c:v>
                </c:pt>
                <c:pt idx="2593">
                  <c:v>38701.0</c:v>
                </c:pt>
                <c:pt idx="2594">
                  <c:v>38700.0</c:v>
                </c:pt>
                <c:pt idx="2595">
                  <c:v>38699.0</c:v>
                </c:pt>
                <c:pt idx="2596">
                  <c:v>38698.0</c:v>
                </c:pt>
                <c:pt idx="2597">
                  <c:v>38695.0</c:v>
                </c:pt>
                <c:pt idx="2598">
                  <c:v>38694.0</c:v>
                </c:pt>
                <c:pt idx="2599">
                  <c:v>38693.0</c:v>
                </c:pt>
                <c:pt idx="2600">
                  <c:v>38692.0</c:v>
                </c:pt>
                <c:pt idx="2601">
                  <c:v>38691.0</c:v>
                </c:pt>
                <c:pt idx="2602">
                  <c:v>38688.0</c:v>
                </c:pt>
                <c:pt idx="2603">
                  <c:v>38687.0</c:v>
                </c:pt>
                <c:pt idx="2604">
                  <c:v>38686.0</c:v>
                </c:pt>
                <c:pt idx="2605">
                  <c:v>38685.0</c:v>
                </c:pt>
                <c:pt idx="2606">
                  <c:v>38684.0</c:v>
                </c:pt>
                <c:pt idx="2607">
                  <c:v>38681.0</c:v>
                </c:pt>
                <c:pt idx="2608">
                  <c:v>38680.0</c:v>
                </c:pt>
                <c:pt idx="2609">
                  <c:v>38679.0</c:v>
                </c:pt>
                <c:pt idx="2610">
                  <c:v>38678.0</c:v>
                </c:pt>
                <c:pt idx="2611">
                  <c:v>38677.0</c:v>
                </c:pt>
                <c:pt idx="2612">
                  <c:v>38674.0</c:v>
                </c:pt>
                <c:pt idx="2613">
                  <c:v>38673.0</c:v>
                </c:pt>
                <c:pt idx="2614">
                  <c:v>38672.0</c:v>
                </c:pt>
                <c:pt idx="2615">
                  <c:v>38671.0</c:v>
                </c:pt>
                <c:pt idx="2616">
                  <c:v>38670.0</c:v>
                </c:pt>
                <c:pt idx="2617">
                  <c:v>38667.0</c:v>
                </c:pt>
                <c:pt idx="2618">
                  <c:v>38666.0</c:v>
                </c:pt>
                <c:pt idx="2619">
                  <c:v>38665.0</c:v>
                </c:pt>
                <c:pt idx="2620">
                  <c:v>38664.0</c:v>
                </c:pt>
                <c:pt idx="2621">
                  <c:v>38663.0</c:v>
                </c:pt>
                <c:pt idx="2622">
                  <c:v>38660.0</c:v>
                </c:pt>
                <c:pt idx="2623">
                  <c:v>38659.0</c:v>
                </c:pt>
                <c:pt idx="2624">
                  <c:v>38658.0</c:v>
                </c:pt>
                <c:pt idx="2625">
                  <c:v>38657.0</c:v>
                </c:pt>
                <c:pt idx="2626">
                  <c:v>38656.0</c:v>
                </c:pt>
                <c:pt idx="2627">
                  <c:v>38653.0</c:v>
                </c:pt>
                <c:pt idx="2628">
                  <c:v>38652.0</c:v>
                </c:pt>
                <c:pt idx="2629">
                  <c:v>38651.0</c:v>
                </c:pt>
                <c:pt idx="2630">
                  <c:v>38650.0</c:v>
                </c:pt>
                <c:pt idx="2631">
                  <c:v>38649.0</c:v>
                </c:pt>
                <c:pt idx="2632">
                  <c:v>38646.0</c:v>
                </c:pt>
                <c:pt idx="2633">
                  <c:v>38645.0</c:v>
                </c:pt>
                <c:pt idx="2634">
                  <c:v>38644.0</c:v>
                </c:pt>
                <c:pt idx="2635">
                  <c:v>38643.0</c:v>
                </c:pt>
                <c:pt idx="2636">
                  <c:v>38642.0</c:v>
                </c:pt>
                <c:pt idx="2637">
                  <c:v>38639.0</c:v>
                </c:pt>
                <c:pt idx="2638">
                  <c:v>38638.0</c:v>
                </c:pt>
                <c:pt idx="2639">
                  <c:v>38637.0</c:v>
                </c:pt>
                <c:pt idx="2640">
                  <c:v>38636.0</c:v>
                </c:pt>
                <c:pt idx="2641">
                  <c:v>38635.0</c:v>
                </c:pt>
                <c:pt idx="2642">
                  <c:v>38632.0</c:v>
                </c:pt>
                <c:pt idx="2643">
                  <c:v>38631.0</c:v>
                </c:pt>
                <c:pt idx="2644">
                  <c:v>38630.0</c:v>
                </c:pt>
                <c:pt idx="2645">
                  <c:v>38629.0</c:v>
                </c:pt>
                <c:pt idx="2646">
                  <c:v>38628.0</c:v>
                </c:pt>
                <c:pt idx="2647">
                  <c:v>38625.0</c:v>
                </c:pt>
                <c:pt idx="2648">
                  <c:v>38624.0</c:v>
                </c:pt>
                <c:pt idx="2649">
                  <c:v>38623.0</c:v>
                </c:pt>
                <c:pt idx="2650">
                  <c:v>38622.0</c:v>
                </c:pt>
                <c:pt idx="2651">
                  <c:v>38621.0</c:v>
                </c:pt>
                <c:pt idx="2652">
                  <c:v>38618.0</c:v>
                </c:pt>
                <c:pt idx="2653">
                  <c:v>38617.0</c:v>
                </c:pt>
                <c:pt idx="2654">
                  <c:v>38616.0</c:v>
                </c:pt>
                <c:pt idx="2655">
                  <c:v>38615.0</c:v>
                </c:pt>
                <c:pt idx="2656">
                  <c:v>38614.0</c:v>
                </c:pt>
                <c:pt idx="2657">
                  <c:v>38611.0</c:v>
                </c:pt>
                <c:pt idx="2658">
                  <c:v>38610.0</c:v>
                </c:pt>
                <c:pt idx="2659">
                  <c:v>38609.0</c:v>
                </c:pt>
                <c:pt idx="2660">
                  <c:v>38608.0</c:v>
                </c:pt>
                <c:pt idx="2661">
                  <c:v>38607.0</c:v>
                </c:pt>
                <c:pt idx="2662">
                  <c:v>38604.0</c:v>
                </c:pt>
                <c:pt idx="2663">
                  <c:v>38603.0</c:v>
                </c:pt>
                <c:pt idx="2664">
                  <c:v>38602.0</c:v>
                </c:pt>
                <c:pt idx="2665">
                  <c:v>38601.0</c:v>
                </c:pt>
                <c:pt idx="2666">
                  <c:v>38600.0</c:v>
                </c:pt>
                <c:pt idx="2667">
                  <c:v>38597.0</c:v>
                </c:pt>
                <c:pt idx="2668">
                  <c:v>38596.0</c:v>
                </c:pt>
                <c:pt idx="2669">
                  <c:v>38595.0</c:v>
                </c:pt>
                <c:pt idx="2670">
                  <c:v>38594.0</c:v>
                </c:pt>
                <c:pt idx="2671">
                  <c:v>38593.0</c:v>
                </c:pt>
                <c:pt idx="2672">
                  <c:v>38590.0</c:v>
                </c:pt>
                <c:pt idx="2673">
                  <c:v>38589.0</c:v>
                </c:pt>
                <c:pt idx="2674">
                  <c:v>38588.0</c:v>
                </c:pt>
                <c:pt idx="2675">
                  <c:v>38587.0</c:v>
                </c:pt>
                <c:pt idx="2676">
                  <c:v>38586.0</c:v>
                </c:pt>
                <c:pt idx="2677">
                  <c:v>38583.0</c:v>
                </c:pt>
                <c:pt idx="2678">
                  <c:v>38582.0</c:v>
                </c:pt>
                <c:pt idx="2679">
                  <c:v>38581.0</c:v>
                </c:pt>
                <c:pt idx="2680">
                  <c:v>38580.0</c:v>
                </c:pt>
                <c:pt idx="2681">
                  <c:v>38579.0</c:v>
                </c:pt>
                <c:pt idx="2682">
                  <c:v>38576.0</c:v>
                </c:pt>
                <c:pt idx="2683">
                  <c:v>38575.0</c:v>
                </c:pt>
                <c:pt idx="2684">
                  <c:v>38574.0</c:v>
                </c:pt>
                <c:pt idx="2685">
                  <c:v>38572.0</c:v>
                </c:pt>
                <c:pt idx="2686">
                  <c:v>38569.0</c:v>
                </c:pt>
                <c:pt idx="2687">
                  <c:v>38568.0</c:v>
                </c:pt>
                <c:pt idx="2688">
                  <c:v>38567.0</c:v>
                </c:pt>
                <c:pt idx="2689">
                  <c:v>38566.0</c:v>
                </c:pt>
                <c:pt idx="2690">
                  <c:v>38565.0</c:v>
                </c:pt>
                <c:pt idx="2691">
                  <c:v>38562.0</c:v>
                </c:pt>
                <c:pt idx="2692">
                  <c:v>38561.0</c:v>
                </c:pt>
                <c:pt idx="2693">
                  <c:v>38560.0</c:v>
                </c:pt>
                <c:pt idx="2694">
                  <c:v>38559.0</c:v>
                </c:pt>
                <c:pt idx="2695">
                  <c:v>38558.0</c:v>
                </c:pt>
                <c:pt idx="2696">
                  <c:v>38555.0</c:v>
                </c:pt>
                <c:pt idx="2697">
                  <c:v>38554.0</c:v>
                </c:pt>
                <c:pt idx="2698">
                  <c:v>38553.0</c:v>
                </c:pt>
                <c:pt idx="2699">
                  <c:v>38552.0</c:v>
                </c:pt>
                <c:pt idx="2700">
                  <c:v>38551.0</c:v>
                </c:pt>
                <c:pt idx="2701">
                  <c:v>38548.0</c:v>
                </c:pt>
                <c:pt idx="2702">
                  <c:v>38547.0</c:v>
                </c:pt>
                <c:pt idx="2703">
                  <c:v>38546.0</c:v>
                </c:pt>
                <c:pt idx="2704">
                  <c:v>38545.0</c:v>
                </c:pt>
                <c:pt idx="2705">
                  <c:v>38544.0</c:v>
                </c:pt>
                <c:pt idx="2706">
                  <c:v>38541.0</c:v>
                </c:pt>
                <c:pt idx="2707">
                  <c:v>38540.0</c:v>
                </c:pt>
                <c:pt idx="2708">
                  <c:v>38539.0</c:v>
                </c:pt>
                <c:pt idx="2709">
                  <c:v>38538.0</c:v>
                </c:pt>
                <c:pt idx="2710">
                  <c:v>38537.0</c:v>
                </c:pt>
                <c:pt idx="2711">
                  <c:v>38534.0</c:v>
                </c:pt>
                <c:pt idx="2712">
                  <c:v>38533.0</c:v>
                </c:pt>
                <c:pt idx="2713">
                  <c:v>38532.0</c:v>
                </c:pt>
                <c:pt idx="2714">
                  <c:v>38531.0</c:v>
                </c:pt>
                <c:pt idx="2715">
                  <c:v>38530.0</c:v>
                </c:pt>
                <c:pt idx="2716">
                  <c:v>38527.0</c:v>
                </c:pt>
                <c:pt idx="2717">
                  <c:v>38526.0</c:v>
                </c:pt>
                <c:pt idx="2718">
                  <c:v>38525.0</c:v>
                </c:pt>
                <c:pt idx="2719">
                  <c:v>38524.0</c:v>
                </c:pt>
                <c:pt idx="2720">
                  <c:v>38523.0</c:v>
                </c:pt>
                <c:pt idx="2721">
                  <c:v>38520.0</c:v>
                </c:pt>
                <c:pt idx="2722">
                  <c:v>38518.0</c:v>
                </c:pt>
                <c:pt idx="2723">
                  <c:v>38517.0</c:v>
                </c:pt>
                <c:pt idx="2724">
                  <c:v>38516.0</c:v>
                </c:pt>
                <c:pt idx="2725">
                  <c:v>38513.0</c:v>
                </c:pt>
                <c:pt idx="2726">
                  <c:v>38512.0</c:v>
                </c:pt>
                <c:pt idx="2727">
                  <c:v>38511.0</c:v>
                </c:pt>
                <c:pt idx="2728">
                  <c:v>38510.0</c:v>
                </c:pt>
                <c:pt idx="2729">
                  <c:v>38509.0</c:v>
                </c:pt>
                <c:pt idx="2730">
                  <c:v>38506.0</c:v>
                </c:pt>
                <c:pt idx="2731">
                  <c:v>38505.0</c:v>
                </c:pt>
                <c:pt idx="2732">
                  <c:v>38504.0</c:v>
                </c:pt>
                <c:pt idx="2733">
                  <c:v>38503.0</c:v>
                </c:pt>
                <c:pt idx="2734">
                  <c:v>38502.0</c:v>
                </c:pt>
                <c:pt idx="2735">
                  <c:v>38499.0</c:v>
                </c:pt>
                <c:pt idx="2736">
                  <c:v>38498.0</c:v>
                </c:pt>
                <c:pt idx="2737">
                  <c:v>38497.0</c:v>
                </c:pt>
                <c:pt idx="2738">
                  <c:v>38496.0</c:v>
                </c:pt>
                <c:pt idx="2739">
                  <c:v>38495.0</c:v>
                </c:pt>
                <c:pt idx="2740">
                  <c:v>38492.0</c:v>
                </c:pt>
                <c:pt idx="2741">
                  <c:v>38491.0</c:v>
                </c:pt>
                <c:pt idx="2742">
                  <c:v>38490.0</c:v>
                </c:pt>
                <c:pt idx="2743">
                  <c:v>38489.0</c:v>
                </c:pt>
                <c:pt idx="2744">
                  <c:v>38488.0</c:v>
                </c:pt>
                <c:pt idx="2745">
                  <c:v>38485.0</c:v>
                </c:pt>
                <c:pt idx="2746">
                  <c:v>38484.0</c:v>
                </c:pt>
                <c:pt idx="2747">
                  <c:v>38483.0</c:v>
                </c:pt>
                <c:pt idx="2748">
                  <c:v>38482.0</c:v>
                </c:pt>
                <c:pt idx="2749">
                  <c:v>38481.0</c:v>
                </c:pt>
                <c:pt idx="2750">
                  <c:v>38478.0</c:v>
                </c:pt>
              </c:numCache>
            </c:numRef>
          </c:cat>
          <c:val>
            <c:numRef>
              <c:f>'4f. JALSH vs Oceana Prices'!$D$9:$D$2759</c:f>
              <c:numCache>
                <c:formatCode>0.00</c:formatCode>
                <c:ptCount val="2751"/>
                <c:pt idx="0">
                  <c:v>130.2406590581326</c:v>
                </c:pt>
                <c:pt idx="1">
                  <c:v>130.3375985714917</c:v>
                </c:pt>
                <c:pt idx="2">
                  <c:v>132.9618448485725</c:v>
                </c:pt>
                <c:pt idx="3">
                  <c:v>133.6313576854631</c:v>
                </c:pt>
                <c:pt idx="4">
                  <c:v>133.2270538824012</c:v>
                </c:pt>
                <c:pt idx="5">
                  <c:v>133.0321203466021</c:v>
                </c:pt>
                <c:pt idx="6">
                  <c:v>132.8825809159968</c:v>
                </c:pt>
                <c:pt idx="7">
                  <c:v>133.881426981774</c:v>
                </c:pt>
                <c:pt idx="8">
                  <c:v>135.0518567394178</c:v>
                </c:pt>
                <c:pt idx="9">
                  <c:v>134.0254427933845</c:v>
                </c:pt>
                <c:pt idx="10">
                  <c:v>133.4872665517754</c:v>
                </c:pt>
                <c:pt idx="11">
                  <c:v>133.1666957912032</c:v>
                </c:pt>
                <c:pt idx="12">
                  <c:v>132.687371199248</c:v>
                </c:pt>
                <c:pt idx="13">
                  <c:v>132.913940007472</c:v>
                </c:pt>
                <c:pt idx="14">
                  <c:v>130.7083087281214</c:v>
                </c:pt>
                <c:pt idx="15">
                  <c:v>129.1223270705537</c:v>
                </c:pt>
                <c:pt idx="16">
                  <c:v>129.1132884212894</c:v>
                </c:pt>
                <c:pt idx="17">
                  <c:v>128.4161574894248</c:v>
                </c:pt>
                <c:pt idx="18">
                  <c:v>128.5103100859274</c:v>
                </c:pt>
                <c:pt idx="19">
                  <c:v>128.6151835247518</c:v>
                </c:pt>
                <c:pt idx="20">
                  <c:v>130.2949913831544</c:v>
                </c:pt>
                <c:pt idx="21">
                  <c:v>129.5141274088</c:v>
                </c:pt>
                <c:pt idx="22">
                  <c:v>131.186654133073</c:v>
                </c:pt>
                <c:pt idx="23">
                  <c:v>131.8022363626868</c:v>
                </c:pt>
                <c:pt idx="24">
                  <c:v>130.0239825493811</c:v>
                </c:pt>
                <c:pt idx="25">
                  <c:v>131.3711932222182</c:v>
                </c:pt>
                <c:pt idx="26">
                  <c:v>131.988256786017</c:v>
                </c:pt>
                <c:pt idx="27">
                  <c:v>134.0553707653928</c:v>
                </c:pt>
                <c:pt idx="28">
                  <c:v>135.1385524502774</c:v>
                </c:pt>
                <c:pt idx="29">
                  <c:v>133.5474488914599</c:v>
                </c:pt>
                <c:pt idx="30">
                  <c:v>132.2798787615845</c:v>
                </c:pt>
                <c:pt idx="31">
                  <c:v>131.1954668161057</c:v>
                </c:pt>
                <c:pt idx="32">
                  <c:v>131.7426314922609</c:v>
                </c:pt>
                <c:pt idx="33">
                  <c:v>129.905048989479</c:v>
                </c:pt>
                <c:pt idx="34">
                  <c:v>129.3877118558958</c:v>
                </c:pt>
                <c:pt idx="35">
                  <c:v>129.2638823609755</c:v>
                </c:pt>
                <c:pt idx="36">
                  <c:v>131.1805279374606</c:v>
                </c:pt>
                <c:pt idx="37">
                  <c:v>132.2499758969353</c:v>
                </c:pt>
                <c:pt idx="38">
                  <c:v>131.062196954176</c:v>
                </c:pt>
                <c:pt idx="39">
                  <c:v>130.0235055095589</c:v>
                </c:pt>
                <c:pt idx="40">
                  <c:v>127.9645012071618</c:v>
                </c:pt>
                <c:pt idx="41">
                  <c:v>126.3279031137142</c:v>
                </c:pt>
                <c:pt idx="42">
                  <c:v>124.0687931595502</c:v>
                </c:pt>
                <c:pt idx="43">
                  <c:v>124.1041694284762</c:v>
                </c:pt>
                <c:pt idx="44">
                  <c:v>121.4522548417031</c:v>
                </c:pt>
                <c:pt idx="45">
                  <c:v>120.5048286472958</c:v>
                </c:pt>
                <c:pt idx="46">
                  <c:v>121.57482896867</c:v>
                </c:pt>
                <c:pt idx="47">
                  <c:v>123.3092704404032</c:v>
                </c:pt>
                <c:pt idx="48">
                  <c:v>122.8764948921589</c:v>
                </c:pt>
                <c:pt idx="49">
                  <c:v>125.1795176173317</c:v>
                </c:pt>
                <c:pt idx="50">
                  <c:v>125.6354923653543</c:v>
                </c:pt>
                <c:pt idx="51">
                  <c:v>123.9979652996212</c:v>
                </c:pt>
                <c:pt idx="52">
                  <c:v>125.165080885868</c:v>
                </c:pt>
                <c:pt idx="53">
                  <c:v>121.9958793802299</c:v>
                </c:pt>
                <c:pt idx="54">
                  <c:v>119.0379311937846</c:v>
                </c:pt>
                <c:pt idx="55">
                  <c:v>121.2013570025429</c:v>
                </c:pt>
                <c:pt idx="56">
                  <c:v>121.3808997272337</c:v>
                </c:pt>
                <c:pt idx="57">
                  <c:v>124.1046464682984</c:v>
                </c:pt>
                <c:pt idx="58">
                  <c:v>124.9173716813093</c:v>
                </c:pt>
                <c:pt idx="59">
                  <c:v>124.601621533678</c:v>
                </c:pt>
                <c:pt idx="60">
                  <c:v>121.8597723867257</c:v>
                </c:pt>
                <c:pt idx="61">
                  <c:v>120.588737441299</c:v>
                </c:pt>
                <c:pt idx="62">
                  <c:v>123.1655057023834</c:v>
                </c:pt>
                <c:pt idx="63">
                  <c:v>123.3824332847255</c:v>
                </c:pt>
                <c:pt idx="64">
                  <c:v>122.2793916788186</c:v>
                </c:pt>
                <c:pt idx="65">
                  <c:v>120.3243067356014</c:v>
                </c:pt>
                <c:pt idx="66">
                  <c:v>119.3413034133957</c:v>
                </c:pt>
                <c:pt idx="67">
                  <c:v>118.5328966661444</c:v>
                </c:pt>
                <c:pt idx="68">
                  <c:v>119.666368391241</c:v>
                </c:pt>
                <c:pt idx="69">
                  <c:v>116.2019294503296</c:v>
                </c:pt>
                <c:pt idx="70">
                  <c:v>116.3218421972354</c:v>
                </c:pt>
                <c:pt idx="71">
                  <c:v>119.5807271894622</c:v>
                </c:pt>
                <c:pt idx="72">
                  <c:v>117.6948130204755</c:v>
                </c:pt>
                <c:pt idx="73">
                  <c:v>117.9050871526648</c:v>
                </c:pt>
                <c:pt idx="74">
                  <c:v>119.7559012336752</c:v>
                </c:pt>
                <c:pt idx="75">
                  <c:v>121.5517553056871</c:v>
                </c:pt>
                <c:pt idx="76">
                  <c:v>121.5100268749171</c:v>
                </c:pt>
                <c:pt idx="77">
                  <c:v>121.325487785772</c:v>
                </c:pt>
                <c:pt idx="78">
                  <c:v>120.7781473581033</c:v>
                </c:pt>
                <c:pt idx="79">
                  <c:v>120.6478401645436</c:v>
                </c:pt>
                <c:pt idx="80">
                  <c:v>123.2326678878886</c:v>
                </c:pt>
                <c:pt idx="81">
                  <c:v>124.5317979681116</c:v>
                </c:pt>
                <c:pt idx="82">
                  <c:v>123.8209835255553</c:v>
                </c:pt>
                <c:pt idx="83">
                  <c:v>127.2786434795184</c:v>
                </c:pt>
                <c:pt idx="84">
                  <c:v>127.5582641374517</c:v>
                </c:pt>
                <c:pt idx="85">
                  <c:v>127.9582494747541</c:v>
                </c:pt>
                <c:pt idx="86">
                  <c:v>128.5213573239171</c:v>
                </c:pt>
                <c:pt idx="87">
                  <c:v>128.8610347847396</c:v>
                </c:pt>
                <c:pt idx="88">
                  <c:v>127.6453364586974</c:v>
                </c:pt>
                <c:pt idx="89">
                  <c:v>124.9852619802275</c:v>
                </c:pt>
                <c:pt idx="90">
                  <c:v>123.5030741450442</c:v>
                </c:pt>
                <c:pt idx="91">
                  <c:v>122.3162241745705</c:v>
                </c:pt>
                <c:pt idx="92">
                  <c:v>124.7993670936926</c:v>
                </c:pt>
                <c:pt idx="93">
                  <c:v>121.5918517581177</c:v>
                </c:pt>
                <c:pt idx="94">
                  <c:v>120.7204757543255</c:v>
                </c:pt>
                <c:pt idx="95">
                  <c:v>120.684873519168</c:v>
                </c:pt>
                <c:pt idx="96">
                  <c:v>122.987218345646</c:v>
                </c:pt>
                <c:pt idx="97">
                  <c:v>124.3405803214545</c:v>
                </c:pt>
                <c:pt idx="98">
                  <c:v>123.2364590991078</c:v>
                </c:pt>
                <c:pt idx="99">
                  <c:v>125.1871502544882</c:v>
                </c:pt>
                <c:pt idx="100">
                  <c:v>123.7403386882309</c:v>
                </c:pt>
                <c:pt idx="101">
                  <c:v>126.603581916274</c:v>
                </c:pt>
                <c:pt idx="102">
                  <c:v>128.4470144337186</c:v>
                </c:pt>
                <c:pt idx="103">
                  <c:v>129.3928337571456</c:v>
                </c:pt>
                <c:pt idx="104">
                  <c:v>129.5736318497897</c:v>
                </c:pt>
                <c:pt idx="105">
                  <c:v>129.6475730222431</c:v>
                </c:pt>
                <c:pt idx="106">
                  <c:v>131.1355355500118</c:v>
                </c:pt>
                <c:pt idx="107">
                  <c:v>130.3437247671041</c:v>
                </c:pt>
                <c:pt idx="108">
                  <c:v>130.1009114975636</c:v>
                </c:pt>
                <c:pt idx="109">
                  <c:v>131.0503211733372</c:v>
                </c:pt>
                <c:pt idx="110">
                  <c:v>131.1622999947777</c:v>
                </c:pt>
                <c:pt idx="111">
                  <c:v>130.8501653068521</c:v>
                </c:pt>
                <c:pt idx="112">
                  <c:v>129.6909083239934</c:v>
                </c:pt>
                <c:pt idx="113">
                  <c:v>130.5121951464462</c:v>
                </c:pt>
                <c:pt idx="114">
                  <c:v>129.4218578642274</c:v>
                </c:pt>
                <c:pt idx="115">
                  <c:v>128.5480213392466</c:v>
                </c:pt>
                <c:pt idx="116">
                  <c:v>130.7005505541696</c:v>
                </c:pt>
                <c:pt idx="117">
                  <c:v>132.0498953525274</c:v>
                </c:pt>
                <c:pt idx="118">
                  <c:v>131.9780883055947</c:v>
                </c:pt>
                <c:pt idx="119">
                  <c:v>134.0010635477301</c:v>
                </c:pt>
                <c:pt idx="120">
                  <c:v>132.978792315943</c:v>
                </c:pt>
                <c:pt idx="121">
                  <c:v>135.7630477923601</c:v>
                </c:pt>
                <c:pt idx="122">
                  <c:v>137.1088022383713</c:v>
                </c:pt>
                <c:pt idx="123">
                  <c:v>135.7707306442348</c:v>
                </c:pt>
                <c:pt idx="124">
                  <c:v>135.2288887282018</c:v>
                </c:pt>
                <c:pt idx="125">
                  <c:v>135.0618745756856</c:v>
                </c:pt>
                <c:pt idx="126">
                  <c:v>134.0891652706975</c:v>
                </c:pt>
                <c:pt idx="127">
                  <c:v>134.9664415038706</c:v>
                </c:pt>
                <c:pt idx="128">
                  <c:v>135.0029978186726</c:v>
                </c:pt>
                <c:pt idx="129">
                  <c:v>135.9581068649545</c:v>
                </c:pt>
                <c:pt idx="130">
                  <c:v>136.3289676657387</c:v>
                </c:pt>
                <c:pt idx="131">
                  <c:v>133.8070840915756</c:v>
                </c:pt>
                <c:pt idx="132">
                  <c:v>133.0639062631814</c:v>
                </c:pt>
                <c:pt idx="133">
                  <c:v>132.7681164660086</c:v>
                </c:pt>
                <c:pt idx="134">
                  <c:v>133.5311542154252</c:v>
                </c:pt>
                <c:pt idx="135">
                  <c:v>132.9311887631513</c:v>
                </c:pt>
                <c:pt idx="136">
                  <c:v>132.9846925453238</c:v>
                </c:pt>
                <c:pt idx="137">
                  <c:v>133.2172871197239</c:v>
                </c:pt>
                <c:pt idx="138">
                  <c:v>133.2273300633509</c:v>
                </c:pt>
                <c:pt idx="139">
                  <c:v>132.4604006732789</c:v>
                </c:pt>
                <c:pt idx="140">
                  <c:v>133.8112770205398</c:v>
                </c:pt>
                <c:pt idx="141">
                  <c:v>132.3825678601701</c:v>
                </c:pt>
                <c:pt idx="142">
                  <c:v>131.9778874467222</c:v>
                </c:pt>
                <c:pt idx="143">
                  <c:v>130.7343952741925</c:v>
                </c:pt>
                <c:pt idx="144">
                  <c:v>130.7373077278443</c:v>
                </c:pt>
                <c:pt idx="145">
                  <c:v>127.9367826827514</c:v>
                </c:pt>
                <c:pt idx="146">
                  <c:v>126.8337912915627</c:v>
                </c:pt>
                <c:pt idx="147">
                  <c:v>125.7598993295331</c:v>
                </c:pt>
                <c:pt idx="148">
                  <c:v>123.9900062667968</c:v>
                </c:pt>
                <c:pt idx="149">
                  <c:v>124.2583537205089</c:v>
                </c:pt>
                <c:pt idx="150">
                  <c:v>126.3681502102993</c:v>
                </c:pt>
                <c:pt idx="151">
                  <c:v>126.4949674809485</c:v>
                </c:pt>
                <c:pt idx="152">
                  <c:v>125.1679431248016</c:v>
                </c:pt>
                <c:pt idx="153">
                  <c:v>127.3875592031527</c:v>
                </c:pt>
                <c:pt idx="154">
                  <c:v>128.15945985032</c:v>
                </c:pt>
                <c:pt idx="155">
                  <c:v>129.4876140376249</c:v>
                </c:pt>
                <c:pt idx="156">
                  <c:v>128.1209451615106</c:v>
                </c:pt>
                <c:pt idx="157">
                  <c:v>124.2605380607478</c:v>
                </c:pt>
                <c:pt idx="158">
                  <c:v>123.9464952135331</c:v>
                </c:pt>
                <c:pt idx="159">
                  <c:v>122.8519147876319</c:v>
                </c:pt>
                <c:pt idx="160">
                  <c:v>124.3520543845483</c:v>
                </c:pt>
                <c:pt idx="161">
                  <c:v>124.8427023954429</c:v>
                </c:pt>
                <c:pt idx="162">
                  <c:v>124.4659413652779</c:v>
                </c:pt>
                <c:pt idx="163">
                  <c:v>122.6420423731878</c:v>
                </c:pt>
                <c:pt idx="164">
                  <c:v>123.2834098605638</c:v>
                </c:pt>
                <c:pt idx="165">
                  <c:v>126.568933760761</c:v>
                </c:pt>
                <c:pt idx="166">
                  <c:v>123.6004404835075</c:v>
                </c:pt>
                <c:pt idx="167">
                  <c:v>121.8086789110235</c:v>
                </c:pt>
                <c:pt idx="168">
                  <c:v>125.467323274321</c:v>
                </c:pt>
                <c:pt idx="169">
                  <c:v>125.4534389047568</c:v>
                </c:pt>
                <c:pt idx="170">
                  <c:v>123.3401022773379</c:v>
                </c:pt>
                <c:pt idx="171">
                  <c:v>121.4172802905223</c:v>
                </c:pt>
                <c:pt idx="172">
                  <c:v>122.9779537301501</c:v>
                </c:pt>
                <c:pt idx="173">
                  <c:v>119.5893390136223</c:v>
                </c:pt>
                <c:pt idx="174">
                  <c:v>123.0972639004383</c:v>
                </c:pt>
                <c:pt idx="175">
                  <c:v>124.9384116482077</c:v>
                </c:pt>
                <c:pt idx="176">
                  <c:v>125.8905580261197</c:v>
                </c:pt>
                <c:pt idx="177">
                  <c:v>127.9898596398199</c:v>
                </c:pt>
                <c:pt idx="178">
                  <c:v>127.4226090764107</c:v>
                </c:pt>
                <c:pt idx="179">
                  <c:v>127.5985614487549</c:v>
                </c:pt>
                <c:pt idx="180">
                  <c:v>128.9901619324231</c:v>
                </c:pt>
                <c:pt idx="181">
                  <c:v>126.9694212452447</c:v>
                </c:pt>
                <c:pt idx="182">
                  <c:v>131.1135666108279</c:v>
                </c:pt>
                <c:pt idx="183">
                  <c:v>130.5958277594996</c:v>
                </c:pt>
                <c:pt idx="184">
                  <c:v>131.7247299452459</c:v>
                </c:pt>
                <c:pt idx="185">
                  <c:v>132.5021039966898</c:v>
                </c:pt>
                <c:pt idx="186">
                  <c:v>131.6575677597407</c:v>
                </c:pt>
                <c:pt idx="187">
                  <c:v>129.6284663219928</c:v>
                </c:pt>
                <c:pt idx="188">
                  <c:v>130.6920140520867</c:v>
                </c:pt>
                <c:pt idx="189">
                  <c:v>129.991870237134</c:v>
                </c:pt>
                <c:pt idx="190">
                  <c:v>129.5503071132161</c:v>
                </c:pt>
                <c:pt idx="191">
                  <c:v>127.4409876632481</c:v>
                </c:pt>
                <c:pt idx="192">
                  <c:v>128.8046436562742</c:v>
                </c:pt>
                <c:pt idx="193">
                  <c:v>128.9415540852686</c:v>
                </c:pt>
                <c:pt idx="194">
                  <c:v>131.1533617749497</c:v>
                </c:pt>
                <c:pt idx="195">
                  <c:v>130.5019262365877</c:v>
                </c:pt>
                <c:pt idx="196">
                  <c:v>132.8214947113859</c:v>
                </c:pt>
                <c:pt idx="197">
                  <c:v>133.0396776616813</c:v>
                </c:pt>
                <c:pt idx="198">
                  <c:v>132.3753369407587</c:v>
                </c:pt>
                <c:pt idx="199">
                  <c:v>132.6901832234635</c:v>
                </c:pt>
                <c:pt idx="200">
                  <c:v>131.8917943124801</c:v>
                </c:pt>
                <c:pt idx="201">
                  <c:v>130.8332429468407</c:v>
                </c:pt>
                <c:pt idx="202">
                  <c:v>131.7504147735718</c:v>
                </c:pt>
                <c:pt idx="203">
                  <c:v>130.0578774841221</c:v>
                </c:pt>
                <c:pt idx="204">
                  <c:v>129.1832877383693</c:v>
                </c:pt>
                <c:pt idx="205">
                  <c:v>126.1287264342328</c:v>
                </c:pt>
                <c:pt idx="206">
                  <c:v>125.5312466105065</c:v>
                </c:pt>
                <c:pt idx="207">
                  <c:v>129.004673985964</c:v>
                </c:pt>
                <c:pt idx="208">
                  <c:v>130.475613724285</c:v>
                </c:pt>
                <c:pt idx="209">
                  <c:v>131.0992554161595</c:v>
                </c:pt>
                <c:pt idx="210">
                  <c:v>130.2771651582165</c:v>
                </c:pt>
                <c:pt idx="211">
                  <c:v>130.0735695835392</c:v>
                </c:pt>
                <c:pt idx="212">
                  <c:v>130.5580662914623</c:v>
                </c:pt>
                <c:pt idx="213">
                  <c:v>132.2398325238721</c:v>
                </c:pt>
                <c:pt idx="214">
                  <c:v>132.7084362735055</c:v>
                </c:pt>
                <c:pt idx="215">
                  <c:v>132.5263074908308</c:v>
                </c:pt>
                <c:pt idx="216">
                  <c:v>132.0446228071233</c:v>
                </c:pt>
                <c:pt idx="217">
                  <c:v>131.0335996721983</c:v>
                </c:pt>
                <c:pt idx="218">
                  <c:v>130.0729670069216</c:v>
                </c:pt>
                <c:pt idx="219">
                  <c:v>130.3085242496917</c:v>
                </c:pt>
                <c:pt idx="220">
                  <c:v>129.5430761938047</c:v>
                </c:pt>
                <c:pt idx="221">
                  <c:v>128.7954292554965</c:v>
                </c:pt>
                <c:pt idx="222">
                  <c:v>130.1283287336651</c:v>
                </c:pt>
                <c:pt idx="223">
                  <c:v>130.2606194085911</c:v>
                </c:pt>
                <c:pt idx="224">
                  <c:v>130.4534941409467</c:v>
                </c:pt>
                <c:pt idx="225">
                  <c:v>128.2490429074724</c:v>
                </c:pt>
                <c:pt idx="226">
                  <c:v>129.6124729342669</c:v>
                </c:pt>
                <c:pt idx="227">
                  <c:v>129.7906096468499</c:v>
                </c:pt>
                <c:pt idx="228">
                  <c:v>128.8602062418903</c:v>
                </c:pt>
                <c:pt idx="229">
                  <c:v>130.1833389573818</c:v>
                </c:pt>
                <c:pt idx="230">
                  <c:v>131.0242848419844</c:v>
                </c:pt>
                <c:pt idx="231">
                  <c:v>130.7437603191246</c:v>
                </c:pt>
                <c:pt idx="232">
                  <c:v>131.2383250780337</c:v>
                </c:pt>
                <c:pt idx="233">
                  <c:v>132.5928670997184</c:v>
                </c:pt>
                <c:pt idx="234">
                  <c:v>132.9016374015289</c:v>
                </c:pt>
                <c:pt idx="235">
                  <c:v>132.9770850155264</c:v>
                </c:pt>
                <c:pt idx="236">
                  <c:v>135.5437350109066</c:v>
                </c:pt>
                <c:pt idx="237">
                  <c:v>135.7187835183244</c:v>
                </c:pt>
                <c:pt idx="238">
                  <c:v>135.890794035295</c:v>
                </c:pt>
                <c:pt idx="239">
                  <c:v>136.0619760094163</c:v>
                </c:pt>
                <c:pt idx="240">
                  <c:v>136.4010760009802</c:v>
                </c:pt>
                <c:pt idx="241">
                  <c:v>136.6077095661047</c:v>
                </c:pt>
                <c:pt idx="242">
                  <c:v>135.650466394302</c:v>
                </c:pt>
                <c:pt idx="243">
                  <c:v>135.2648675737453</c:v>
                </c:pt>
                <c:pt idx="244">
                  <c:v>135.7151178439005</c:v>
                </c:pt>
                <c:pt idx="245">
                  <c:v>135.4150597956864</c:v>
                </c:pt>
                <c:pt idx="246">
                  <c:v>135.9840929815893</c:v>
                </c:pt>
                <c:pt idx="247">
                  <c:v>135.0539155428613</c:v>
                </c:pt>
                <c:pt idx="248">
                  <c:v>133.6669850279796</c:v>
                </c:pt>
                <c:pt idx="249">
                  <c:v>135.1999650505562</c:v>
                </c:pt>
                <c:pt idx="250">
                  <c:v>137.0233870028241</c:v>
                </c:pt>
                <c:pt idx="251">
                  <c:v>137.1862584410941</c:v>
                </c:pt>
                <c:pt idx="252">
                  <c:v>136.6855423792135</c:v>
                </c:pt>
                <c:pt idx="253">
                  <c:v>136.9399050339251</c:v>
                </c:pt>
                <c:pt idx="254">
                  <c:v>138.1891216843221</c:v>
                </c:pt>
                <c:pt idx="255">
                  <c:v>138.5633468712213</c:v>
                </c:pt>
                <c:pt idx="256">
                  <c:v>137.3034595932206</c:v>
                </c:pt>
                <c:pt idx="257">
                  <c:v>136.2866617657102</c:v>
                </c:pt>
                <c:pt idx="258">
                  <c:v>135.9335769751457</c:v>
                </c:pt>
                <c:pt idx="259">
                  <c:v>135.1772931053183</c:v>
                </c:pt>
                <c:pt idx="260">
                  <c:v>134.9119836420534</c:v>
                </c:pt>
                <c:pt idx="261">
                  <c:v>136.2382296700692</c:v>
                </c:pt>
                <c:pt idx="262">
                  <c:v>134.8781640293897</c:v>
                </c:pt>
                <c:pt idx="263">
                  <c:v>133.8509968625844</c:v>
                </c:pt>
                <c:pt idx="264">
                  <c:v>134.5486048342713</c:v>
                </c:pt>
                <c:pt idx="265">
                  <c:v>134.1254705119089</c:v>
                </c:pt>
                <c:pt idx="266">
                  <c:v>133.030212187313</c:v>
                </c:pt>
                <c:pt idx="267">
                  <c:v>132.581920291165</c:v>
                </c:pt>
                <c:pt idx="268">
                  <c:v>132.0538874226191</c:v>
                </c:pt>
                <c:pt idx="269">
                  <c:v>131.1340291084678</c:v>
                </c:pt>
                <c:pt idx="270">
                  <c:v>131.2641354431549</c:v>
                </c:pt>
                <c:pt idx="271">
                  <c:v>131.0150955485657</c:v>
                </c:pt>
                <c:pt idx="272">
                  <c:v>131.7015558528267</c:v>
                </c:pt>
                <c:pt idx="273">
                  <c:v>130.0816290457998</c:v>
                </c:pt>
                <c:pt idx="274">
                  <c:v>129.5638399797534</c:v>
                </c:pt>
                <c:pt idx="275">
                  <c:v>131.3441777038617</c:v>
                </c:pt>
                <c:pt idx="276">
                  <c:v>132.7127798466242</c:v>
                </c:pt>
                <c:pt idx="277">
                  <c:v>131.9626472797683</c:v>
                </c:pt>
                <c:pt idx="278">
                  <c:v>132.1444998814933</c:v>
                </c:pt>
                <c:pt idx="279">
                  <c:v>132.4187726719452</c:v>
                </c:pt>
                <c:pt idx="280">
                  <c:v>131.02897991813</c:v>
                </c:pt>
                <c:pt idx="281">
                  <c:v>131.3120904989736</c:v>
                </c:pt>
                <c:pt idx="282">
                  <c:v>130.9076360517573</c:v>
                </c:pt>
                <c:pt idx="283">
                  <c:v>130.0529564417449</c:v>
                </c:pt>
                <c:pt idx="284">
                  <c:v>131.1609944121062</c:v>
                </c:pt>
                <c:pt idx="285">
                  <c:v>129.9382911328842</c:v>
                </c:pt>
                <c:pt idx="286">
                  <c:v>130.7805677075173</c:v>
                </c:pt>
                <c:pt idx="287">
                  <c:v>132.100059855944</c:v>
                </c:pt>
                <c:pt idx="288">
                  <c:v>133.9402033093508</c:v>
                </c:pt>
                <c:pt idx="289">
                  <c:v>133.7860692320362</c:v>
                </c:pt>
                <c:pt idx="290">
                  <c:v>132.7960860640097</c:v>
                </c:pt>
                <c:pt idx="291">
                  <c:v>133.3962523751562</c:v>
                </c:pt>
                <c:pt idx="292">
                  <c:v>132.9507725032238</c:v>
                </c:pt>
                <c:pt idx="293">
                  <c:v>133.933198356171</c:v>
                </c:pt>
                <c:pt idx="294">
                  <c:v>133.9004583599472</c:v>
                </c:pt>
                <c:pt idx="295">
                  <c:v>133.6157158007641</c:v>
                </c:pt>
                <c:pt idx="296">
                  <c:v>134.0102277337897</c:v>
                </c:pt>
                <c:pt idx="297">
                  <c:v>133.9137652602529</c:v>
                </c:pt>
                <c:pt idx="298">
                  <c:v>133.1575316051436</c:v>
                </c:pt>
                <c:pt idx="299">
                  <c:v>132.6561125372091</c:v>
                </c:pt>
                <c:pt idx="300">
                  <c:v>131.9046241729636</c:v>
                </c:pt>
                <c:pt idx="301">
                  <c:v>132.6509153138822</c:v>
                </c:pt>
                <c:pt idx="302">
                  <c:v>133.0586839324954</c:v>
                </c:pt>
                <c:pt idx="303">
                  <c:v>132.987730535771</c:v>
                </c:pt>
                <c:pt idx="304">
                  <c:v>131.8335452394439</c:v>
                </c:pt>
                <c:pt idx="305">
                  <c:v>130.7322611486717</c:v>
                </c:pt>
                <c:pt idx="306">
                  <c:v>130.8332931615588</c:v>
                </c:pt>
                <c:pt idx="307">
                  <c:v>130.8228485001868</c:v>
                </c:pt>
                <c:pt idx="308">
                  <c:v>130.5540491140115</c:v>
                </c:pt>
                <c:pt idx="309">
                  <c:v>129.7766750625675</c:v>
                </c:pt>
                <c:pt idx="310">
                  <c:v>129.6313536682856</c:v>
                </c:pt>
                <c:pt idx="311">
                  <c:v>130.4310481619405</c:v>
                </c:pt>
                <c:pt idx="312">
                  <c:v>129.0381420956008</c:v>
                </c:pt>
                <c:pt idx="313">
                  <c:v>128.7174206908742</c:v>
                </c:pt>
                <c:pt idx="314">
                  <c:v>127.9108467808348</c:v>
                </c:pt>
                <c:pt idx="315">
                  <c:v>128.551109544412</c:v>
                </c:pt>
                <c:pt idx="316">
                  <c:v>127.3221545327822</c:v>
                </c:pt>
                <c:pt idx="317">
                  <c:v>126.3853738586195</c:v>
                </c:pt>
                <c:pt idx="318">
                  <c:v>125.0762510494876</c:v>
                </c:pt>
                <c:pt idx="319">
                  <c:v>125.2171535485737</c:v>
                </c:pt>
                <c:pt idx="320">
                  <c:v>124.504355624651</c:v>
                </c:pt>
                <c:pt idx="321">
                  <c:v>123.3393239492068</c:v>
                </c:pt>
                <c:pt idx="322">
                  <c:v>123.0183765782486</c:v>
                </c:pt>
                <c:pt idx="323">
                  <c:v>121.6658682526483</c:v>
                </c:pt>
                <c:pt idx="324">
                  <c:v>121.831576822493</c:v>
                </c:pt>
                <c:pt idx="325">
                  <c:v>120.6595904085871</c:v>
                </c:pt>
                <c:pt idx="326">
                  <c:v>124.1132080777404</c:v>
                </c:pt>
                <c:pt idx="327">
                  <c:v>121.6913271147426</c:v>
                </c:pt>
                <c:pt idx="328">
                  <c:v>122.9017780027397</c:v>
                </c:pt>
                <c:pt idx="329">
                  <c:v>124.5210520184308</c:v>
                </c:pt>
                <c:pt idx="330">
                  <c:v>122.9282913739149</c:v>
                </c:pt>
                <c:pt idx="331">
                  <c:v>122.0172206354371</c:v>
                </c:pt>
                <c:pt idx="332">
                  <c:v>120.0911095845837</c:v>
                </c:pt>
                <c:pt idx="333">
                  <c:v>124.3278257830483</c:v>
                </c:pt>
                <c:pt idx="334">
                  <c:v>124.9608325198549</c:v>
                </c:pt>
                <c:pt idx="335">
                  <c:v>124.923196588613</c:v>
                </c:pt>
                <c:pt idx="336">
                  <c:v>126.1747231160442</c:v>
                </c:pt>
                <c:pt idx="337">
                  <c:v>124.2276223130104</c:v>
                </c:pt>
                <c:pt idx="338">
                  <c:v>124.4521574251499</c:v>
                </c:pt>
                <c:pt idx="339">
                  <c:v>123.8780023379973</c:v>
                </c:pt>
                <c:pt idx="340">
                  <c:v>123.9969861126176</c:v>
                </c:pt>
                <c:pt idx="341">
                  <c:v>123.7555788551848</c:v>
                </c:pt>
                <c:pt idx="342">
                  <c:v>118.7138202955839</c:v>
                </c:pt>
                <c:pt idx="343">
                  <c:v>119.0024544954224</c:v>
                </c:pt>
                <c:pt idx="344">
                  <c:v>120.623762207198</c:v>
                </c:pt>
                <c:pt idx="345">
                  <c:v>120.7928100557986</c:v>
                </c:pt>
                <c:pt idx="346">
                  <c:v>122.3869013903451</c:v>
                </c:pt>
                <c:pt idx="347">
                  <c:v>121.9126735922806</c:v>
                </c:pt>
                <c:pt idx="348">
                  <c:v>124.5078957622795</c:v>
                </c:pt>
                <c:pt idx="349">
                  <c:v>124.2979731331172</c:v>
                </c:pt>
                <c:pt idx="350">
                  <c:v>124.0117492397492</c:v>
                </c:pt>
                <c:pt idx="351">
                  <c:v>125.1782120346602</c:v>
                </c:pt>
                <c:pt idx="352">
                  <c:v>124.5109839674448</c:v>
                </c:pt>
                <c:pt idx="353">
                  <c:v>122.6714430906557</c:v>
                </c:pt>
                <c:pt idx="354">
                  <c:v>125.3142688134463</c:v>
                </c:pt>
                <c:pt idx="355">
                  <c:v>126.9373591477156</c:v>
                </c:pt>
                <c:pt idx="356">
                  <c:v>126.4300649577594</c:v>
                </c:pt>
                <c:pt idx="357">
                  <c:v>126.8112197757611</c:v>
                </c:pt>
                <c:pt idx="358">
                  <c:v>127.3626527029579</c:v>
                </c:pt>
                <c:pt idx="359">
                  <c:v>127.6837005033523</c:v>
                </c:pt>
                <c:pt idx="360">
                  <c:v>123.7091051335511</c:v>
                </c:pt>
                <c:pt idx="361">
                  <c:v>125.9146108761063</c:v>
                </c:pt>
                <c:pt idx="362">
                  <c:v>126.470914630962</c:v>
                </c:pt>
                <c:pt idx="363">
                  <c:v>126.8210869678746</c:v>
                </c:pt>
                <c:pt idx="364">
                  <c:v>127.0382656238074</c:v>
                </c:pt>
                <c:pt idx="365">
                  <c:v>127.0141123443846</c:v>
                </c:pt>
                <c:pt idx="366">
                  <c:v>126.4779446915009</c:v>
                </c:pt>
                <c:pt idx="367">
                  <c:v>126.4290606633967</c:v>
                </c:pt>
                <c:pt idx="368">
                  <c:v>126.7522174819528</c:v>
                </c:pt>
                <c:pt idx="369">
                  <c:v>125.7362481972916</c:v>
                </c:pt>
                <c:pt idx="370">
                  <c:v>124.5004639839956</c:v>
                </c:pt>
                <c:pt idx="371">
                  <c:v>124.8264328267673</c:v>
                </c:pt>
                <c:pt idx="372">
                  <c:v>125.0053227601223</c:v>
                </c:pt>
                <c:pt idx="373">
                  <c:v>125.5936383977889</c:v>
                </c:pt>
                <c:pt idx="374">
                  <c:v>124.8410202023854</c:v>
                </c:pt>
                <c:pt idx="375">
                  <c:v>122.1735139456315</c:v>
                </c:pt>
                <c:pt idx="376">
                  <c:v>123.3192129545939</c:v>
                </c:pt>
                <c:pt idx="377">
                  <c:v>121.6725970248784</c:v>
                </c:pt>
                <c:pt idx="378">
                  <c:v>120.6434965914249</c:v>
                </c:pt>
                <c:pt idx="379">
                  <c:v>120.2126543098288</c:v>
                </c:pt>
                <c:pt idx="380">
                  <c:v>120.7780971433851</c:v>
                </c:pt>
                <c:pt idx="381">
                  <c:v>121.0247769462221</c:v>
                </c:pt>
                <c:pt idx="382">
                  <c:v>121.8471935998329</c:v>
                </c:pt>
                <c:pt idx="383">
                  <c:v>119.5091461087611</c:v>
                </c:pt>
                <c:pt idx="384">
                  <c:v>120.1052952424567</c:v>
                </c:pt>
                <c:pt idx="385">
                  <c:v>117.7061113320559</c:v>
                </c:pt>
                <c:pt idx="386">
                  <c:v>117.1845310547903</c:v>
                </c:pt>
                <c:pt idx="387">
                  <c:v>119.7290865741912</c:v>
                </c:pt>
                <c:pt idx="388">
                  <c:v>118.9293920805364</c:v>
                </c:pt>
                <c:pt idx="389">
                  <c:v>118.2361778966862</c:v>
                </c:pt>
                <c:pt idx="390">
                  <c:v>120.8505569816535</c:v>
                </c:pt>
                <c:pt idx="391">
                  <c:v>120.5997344645705</c:v>
                </c:pt>
                <c:pt idx="392">
                  <c:v>122.3040973201409</c:v>
                </c:pt>
                <c:pt idx="393">
                  <c:v>123.4433437378229</c:v>
                </c:pt>
                <c:pt idx="394">
                  <c:v>122.0548816740382</c:v>
                </c:pt>
                <c:pt idx="395">
                  <c:v>120.9900032539137</c:v>
                </c:pt>
                <c:pt idx="396">
                  <c:v>122.7122927638583</c:v>
                </c:pt>
                <c:pt idx="397">
                  <c:v>123.870445022918</c:v>
                </c:pt>
                <c:pt idx="398">
                  <c:v>123.9578437398315</c:v>
                </c:pt>
                <c:pt idx="399">
                  <c:v>124.6922842072703</c:v>
                </c:pt>
                <c:pt idx="400">
                  <c:v>124.2903404959607</c:v>
                </c:pt>
                <c:pt idx="401">
                  <c:v>125.6721491095926</c:v>
                </c:pt>
                <c:pt idx="402">
                  <c:v>126.7558329416585</c:v>
                </c:pt>
                <c:pt idx="403">
                  <c:v>129.2085457415911</c:v>
                </c:pt>
                <c:pt idx="404">
                  <c:v>129.420953999301</c:v>
                </c:pt>
                <c:pt idx="405">
                  <c:v>128.4819638775404</c:v>
                </c:pt>
                <c:pt idx="406">
                  <c:v>128.4946179865103</c:v>
                </c:pt>
                <c:pt idx="407">
                  <c:v>128.9929990639977</c:v>
                </c:pt>
                <c:pt idx="408">
                  <c:v>128.6694656350555</c:v>
                </c:pt>
                <c:pt idx="409">
                  <c:v>128.6272350571042</c:v>
                </c:pt>
                <c:pt idx="410">
                  <c:v>128.7090599403047</c:v>
                </c:pt>
                <c:pt idx="411">
                  <c:v>129.8232492136375</c:v>
                </c:pt>
                <c:pt idx="412">
                  <c:v>129.5794065423752</c:v>
                </c:pt>
                <c:pt idx="413">
                  <c:v>130.029506168376</c:v>
                </c:pt>
                <c:pt idx="414">
                  <c:v>130.76218912068</c:v>
                </c:pt>
                <c:pt idx="415">
                  <c:v>130.0401767959796</c:v>
                </c:pt>
                <c:pt idx="416">
                  <c:v>129.208922351977</c:v>
                </c:pt>
                <c:pt idx="417">
                  <c:v>128.3334287412978</c:v>
                </c:pt>
                <c:pt idx="418">
                  <c:v>127.9446412861395</c:v>
                </c:pt>
                <c:pt idx="419">
                  <c:v>128.3817855148615</c:v>
                </c:pt>
                <c:pt idx="420">
                  <c:v>129.5801346557882</c:v>
                </c:pt>
                <c:pt idx="421">
                  <c:v>129.8795650200256</c:v>
                </c:pt>
                <c:pt idx="422">
                  <c:v>129.1461790616677</c:v>
                </c:pt>
                <c:pt idx="423">
                  <c:v>128.5425479349699</c:v>
                </c:pt>
                <c:pt idx="424">
                  <c:v>129.1608668667221</c:v>
                </c:pt>
                <c:pt idx="425">
                  <c:v>129.14369343312</c:v>
                </c:pt>
                <c:pt idx="426">
                  <c:v>128.9598573500287</c:v>
                </c:pt>
                <c:pt idx="427">
                  <c:v>129.4841492220736</c:v>
                </c:pt>
                <c:pt idx="428">
                  <c:v>128.6945981014819</c:v>
                </c:pt>
                <c:pt idx="429">
                  <c:v>128.2330746271055</c:v>
                </c:pt>
                <c:pt idx="430">
                  <c:v>128.7166674701022</c:v>
                </c:pt>
                <c:pt idx="431">
                  <c:v>129.1748767730817</c:v>
                </c:pt>
                <c:pt idx="432">
                  <c:v>129.361324021516</c:v>
                </c:pt>
                <c:pt idx="433">
                  <c:v>127.218862857579</c:v>
                </c:pt>
                <c:pt idx="434">
                  <c:v>127.2305628869044</c:v>
                </c:pt>
                <c:pt idx="435">
                  <c:v>128.2780167998361</c:v>
                </c:pt>
                <c:pt idx="436">
                  <c:v>128.9240542559986</c:v>
                </c:pt>
                <c:pt idx="437">
                  <c:v>128.6490031374156</c:v>
                </c:pt>
                <c:pt idx="438">
                  <c:v>127.8410985373457</c:v>
                </c:pt>
                <c:pt idx="439">
                  <c:v>129.041958414179</c:v>
                </c:pt>
                <c:pt idx="440">
                  <c:v>129.9822792259702</c:v>
                </c:pt>
                <c:pt idx="441">
                  <c:v>131.1661665280741</c:v>
                </c:pt>
                <c:pt idx="442">
                  <c:v>130.3764145486099</c:v>
                </c:pt>
                <c:pt idx="443">
                  <c:v>129.4288628174072</c:v>
                </c:pt>
                <c:pt idx="444">
                  <c:v>129.6080038243529</c:v>
                </c:pt>
                <c:pt idx="445">
                  <c:v>130.3346107957627</c:v>
                </c:pt>
                <c:pt idx="446">
                  <c:v>130.3858549156192</c:v>
                </c:pt>
                <c:pt idx="447">
                  <c:v>129.1040740205117</c:v>
                </c:pt>
                <c:pt idx="448">
                  <c:v>129.7926182355753</c:v>
                </c:pt>
                <c:pt idx="449">
                  <c:v>130.0303598185843</c:v>
                </c:pt>
                <c:pt idx="450">
                  <c:v>130.7513427415629</c:v>
                </c:pt>
                <c:pt idx="451">
                  <c:v>129.8936502484624</c:v>
                </c:pt>
                <c:pt idx="452">
                  <c:v>129.4055380808337</c:v>
                </c:pt>
                <c:pt idx="453">
                  <c:v>128.4525882674315</c:v>
                </c:pt>
                <c:pt idx="454">
                  <c:v>128.0336217666743</c:v>
                </c:pt>
                <c:pt idx="455">
                  <c:v>129.0554912807164</c:v>
                </c:pt>
                <c:pt idx="456">
                  <c:v>129.5748872177431</c:v>
                </c:pt>
                <c:pt idx="457">
                  <c:v>130.2497228147559</c:v>
                </c:pt>
                <c:pt idx="458">
                  <c:v>130.7089866268163</c:v>
                </c:pt>
                <c:pt idx="459">
                  <c:v>130.3534915297814</c:v>
                </c:pt>
                <c:pt idx="460">
                  <c:v>130.2662936717404</c:v>
                </c:pt>
                <c:pt idx="461">
                  <c:v>129.2531615186538</c:v>
                </c:pt>
                <c:pt idx="462">
                  <c:v>127.9100935600628</c:v>
                </c:pt>
                <c:pt idx="463">
                  <c:v>127.1069342508567</c:v>
                </c:pt>
                <c:pt idx="464">
                  <c:v>127.449524165331</c:v>
                </c:pt>
                <c:pt idx="465">
                  <c:v>126.4170844531215</c:v>
                </c:pt>
                <c:pt idx="466">
                  <c:v>127.7736601708907</c:v>
                </c:pt>
                <c:pt idx="467">
                  <c:v>128.1938318248832</c:v>
                </c:pt>
                <c:pt idx="468">
                  <c:v>128.8576703986245</c:v>
                </c:pt>
                <c:pt idx="469">
                  <c:v>128.7091101550229</c:v>
                </c:pt>
                <c:pt idx="470">
                  <c:v>127.2791205193407</c:v>
                </c:pt>
                <c:pt idx="471">
                  <c:v>127.8242012846934</c:v>
                </c:pt>
                <c:pt idx="472">
                  <c:v>127.4542694561947</c:v>
                </c:pt>
                <c:pt idx="473">
                  <c:v>127.0336207623799</c:v>
                </c:pt>
                <c:pt idx="474">
                  <c:v>127.1924750231992</c:v>
                </c:pt>
                <c:pt idx="475">
                  <c:v>127.3857514732998</c:v>
                </c:pt>
                <c:pt idx="476">
                  <c:v>125.8745646383938</c:v>
                </c:pt>
                <c:pt idx="477">
                  <c:v>125.3710616596567</c:v>
                </c:pt>
                <c:pt idx="478">
                  <c:v>125.5378749533003</c:v>
                </c:pt>
                <c:pt idx="479">
                  <c:v>125.4368931551313</c:v>
                </c:pt>
                <c:pt idx="480">
                  <c:v>125.3774640362189</c:v>
                </c:pt>
                <c:pt idx="481">
                  <c:v>125.0795652208845</c:v>
                </c:pt>
                <c:pt idx="482">
                  <c:v>124.6146020383158</c:v>
                </c:pt>
                <c:pt idx="483">
                  <c:v>124.8504605693947</c:v>
                </c:pt>
                <c:pt idx="484">
                  <c:v>124.7599234325978</c:v>
                </c:pt>
                <c:pt idx="485">
                  <c:v>125.0960356484327</c:v>
                </c:pt>
                <c:pt idx="486">
                  <c:v>125.5913285207548</c:v>
                </c:pt>
                <c:pt idx="487">
                  <c:v>125.4180124211127</c:v>
                </c:pt>
                <c:pt idx="488">
                  <c:v>125.2640289879525</c:v>
                </c:pt>
                <c:pt idx="489">
                  <c:v>124.6533175859977</c:v>
                </c:pt>
                <c:pt idx="490">
                  <c:v>124.5751834845801</c:v>
                </c:pt>
                <c:pt idx="491">
                  <c:v>124.3002076880742</c:v>
                </c:pt>
                <c:pt idx="492">
                  <c:v>123.4271997059426</c:v>
                </c:pt>
                <c:pt idx="493">
                  <c:v>124.1674148659669</c:v>
                </c:pt>
                <c:pt idx="494">
                  <c:v>124.6134219924397</c:v>
                </c:pt>
                <c:pt idx="495">
                  <c:v>123.5274533906986</c:v>
                </c:pt>
                <c:pt idx="496">
                  <c:v>123.6268534252464</c:v>
                </c:pt>
                <c:pt idx="497">
                  <c:v>122.6556003470841</c:v>
                </c:pt>
                <c:pt idx="498">
                  <c:v>123.0937237628098</c:v>
                </c:pt>
                <c:pt idx="499">
                  <c:v>122.8804869622506</c:v>
                </c:pt>
                <c:pt idx="500">
                  <c:v>122.7268048173992</c:v>
                </c:pt>
                <c:pt idx="501">
                  <c:v>123.2549381153814</c:v>
                </c:pt>
                <c:pt idx="502">
                  <c:v>122.699914835838</c:v>
                </c:pt>
                <c:pt idx="503">
                  <c:v>122.8637654611117</c:v>
                </c:pt>
                <c:pt idx="504">
                  <c:v>122.8023528608329</c:v>
                </c:pt>
                <c:pt idx="505">
                  <c:v>122.861631335591</c:v>
                </c:pt>
                <c:pt idx="506">
                  <c:v>122.1413263113072</c:v>
                </c:pt>
                <c:pt idx="507">
                  <c:v>122.1305050395491</c:v>
                </c:pt>
                <c:pt idx="508">
                  <c:v>121.4247622835243</c:v>
                </c:pt>
                <c:pt idx="509">
                  <c:v>120.8660482221981</c:v>
                </c:pt>
                <c:pt idx="510">
                  <c:v>119.9874664063536</c:v>
                </c:pt>
                <c:pt idx="511">
                  <c:v>121.0507630628568</c:v>
                </c:pt>
                <c:pt idx="512">
                  <c:v>120.5966964741234</c:v>
                </c:pt>
                <c:pt idx="513">
                  <c:v>121.845712265648</c:v>
                </c:pt>
                <c:pt idx="514">
                  <c:v>121.2481571198444</c:v>
                </c:pt>
                <c:pt idx="515">
                  <c:v>120.6898949909814</c:v>
                </c:pt>
                <c:pt idx="516">
                  <c:v>120.158673487834</c:v>
                </c:pt>
                <c:pt idx="517">
                  <c:v>121.3884319349539</c:v>
                </c:pt>
                <c:pt idx="518">
                  <c:v>121.0962827048459</c:v>
                </c:pt>
                <c:pt idx="519">
                  <c:v>121.5344312279306</c:v>
                </c:pt>
                <c:pt idx="520">
                  <c:v>120.7789005788753</c:v>
                </c:pt>
                <c:pt idx="521">
                  <c:v>119.9401641418706</c:v>
                </c:pt>
                <c:pt idx="522">
                  <c:v>120.3396473319916</c:v>
                </c:pt>
                <c:pt idx="523">
                  <c:v>118.9611277823975</c:v>
                </c:pt>
                <c:pt idx="524">
                  <c:v>119.6438219827984</c:v>
                </c:pt>
                <c:pt idx="525">
                  <c:v>118.9776484246639</c:v>
                </c:pt>
                <c:pt idx="526">
                  <c:v>117.6916746005921</c:v>
                </c:pt>
                <c:pt idx="527">
                  <c:v>116.7699834492289</c:v>
                </c:pt>
                <c:pt idx="528">
                  <c:v>117.1673576211882</c:v>
                </c:pt>
                <c:pt idx="529">
                  <c:v>118.1531980749686</c:v>
                </c:pt>
                <c:pt idx="530">
                  <c:v>117.5442441881485</c:v>
                </c:pt>
                <c:pt idx="531">
                  <c:v>116.52927919785</c:v>
                </c:pt>
                <c:pt idx="532">
                  <c:v>117.5665144156413</c:v>
                </c:pt>
                <c:pt idx="533">
                  <c:v>118.4787149852771</c:v>
                </c:pt>
                <c:pt idx="534">
                  <c:v>119.5431916876564</c:v>
                </c:pt>
                <c:pt idx="535">
                  <c:v>118.8141995171353</c:v>
                </c:pt>
                <c:pt idx="536">
                  <c:v>119.9799593059924</c:v>
                </c:pt>
                <c:pt idx="537">
                  <c:v>120.0622110142971</c:v>
                </c:pt>
                <c:pt idx="538">
                  <c:v>119.2971144614371</c:v>
                </c:pt>
                <c:pt idx="539">
                  <c:v>119.5177830402802</c:v>
                </c:pt>
                <c:pt idx="540">
                  <c:v>118.3518726072687</c:v>
                </c:pt>
                <c:pt idx="541">
                  <c:v>118.8304188710928</c:v>
                </c:pt>
                <c:pt idx="542">
                  <c:v>118.1295971574452</c:v>
                </c:pt>
                <c:pt idx="543">
                  <c:v>118.0477471668856</c:v>
                </c:pt>
                <c:pt idx="544">
                  <c:v>117.8959982886824</c:v>
                </c:pt>
                <c:pt idx="545">
                  <c:v>118.9938175639033</c:v>
                </c:pt>
                <c:pt idx="546">
                  <c:v>119.1400428231116</c:v>
                </c:pt>
                <c:pt idx="547">
                  <c:v>118.37956602432</c:v>
                </c:pt>
                <c:pt idx="548">
                  <c:v>119.1050682719308</c:v>
                </c:pt>
                <c:pt idx="549">
                  <c:v>118.2868696546433</c:v>
                </c:pt>
                <c:pt idx="550">
                  <c:v>118.0737332835203</c:v>
                </c:pt>
                <c:pt idx="551">
                  <c:v>117.0724518039135</c:v>
                </c:pt>
                <c:pt idx="552">
                  <c:v>116.1259796891508</c:v>
                </c:pt>
                <c:pt idx="553">
                  <c:v>116.5611906512246</c:v>
                </c:pt>
                <c:pt idx="554">
                  <c:v>115.1574633131269</c:v>
                </c:pt>
                <c:pt idx="555">
                  <c:v>115.2951771776115</c:v>
                </c:pt>
                <c:pt idx="556">
                  <c:v>113.8386741707541</c:v>
                </c:pt>
                <c:pt idx="557">
                  <c:v>112.9463084147816</c:v>
                </c:pt>
                <c:pt idx="558">
                  <c:v>111.670452856414</c:v>
                </c:pt>
                <c:pt idx="559">
                  <c:v>111.6061529098425</c:v>
                </c:pt>
                <c:pt idx="560">
                  <c:v>112.8749281929531</c:v>
                </c:pt>
                <c:pt idx="561">
                  <c:v>113.3147840164544</c:v>
                </c:pt>
                <c:pt idx="562">
                  <c:v>113.4306544785503</c:v>
                </c:pt>
                <c:pt idx="563">
                  <c:v>114.4007275108363</c:v>
                </c:pt>
                <c:pt idx="564">
                  <c:v>114.8026461147868</c:v>
                </c:pt>
                <c:pt idx="565">
                  <c:v>114.867925248362</c:v>
                </c:pt>
                <c:pt idx="566">
                  <c:v>116.6541632018511</c:v>
                </c:pt>
                <c:pt idx="567">
                  <c:v>118.1186754562509</c:v>
                </c:pt>
                <c:pt idx="568">
                  <c:v>118.0069728157602</c:v>
                </c:pt>
                <c:pt idx="569">
                  <c:v>117.7275028019813</c:v>
                </c:pt>
                <c:pt idx="570">
                  <c:v>117.8403603809891</c:v>
                </c:pt>
                <c:pt idx="571">
                  <c:v>117.1908078945571</c:v>
                </c:pt>
                <c:pt idx="572">
                  <c:v>117.3228223885334</c:v>
                </c:pt>
                <c:pt idx="573">
                  <c:v>116.6047268118475</c:v>
                </c:pt>
                <c:pt idx="574">
                  <c:v>115.4488342151038</c:v>
                </c:pt>
                <c:pt idx="575">
                  <c:v>115.5698014710904</c:v>
                </c:pt>
                <c:pt idx="576">
                  <c:v>114.3593756904524</c:v>
                </c:pt>
                <c:pt idx="577">
                  <c:v>114.0993638799507</c:v>
                </c:pt>
                <c:pt idx="578">
                  <c:v>114.733023408093</c:v>
                </c:pt>
                <c:pt idx="579">
                  <c:v>115.161229416987</c:v>
                </c:pt>
                <c:pt idx="580">
                  <c:v>115.2363506353166</c:v>
                </c:pt>
                <c:pt idx="581">
                  <c:v>116.0112892729311</c:v>
                </c:pt>
                <c:pt idx="582">
                  <c:v>116.9744326741145</c:v>
                </c:pt>
                <c:pt idx="583">
                  <c:v>116.1371775712949</c:v>
                </c:pt>
                <c:pt idx="584">
                  <c:v>115.8234862271071</c:v>
                </c:pt>
                <c:pt idx="585">
                  <c:v>114.829159485962</c:v>
                </c:pt>
                <c:pt idx="586">
                  <c:v>112.764179632107</c:v>
                </c:pt>
                <c:pt idx="587">
                  <c:v>112.3634410740326</c:v>
                </c:pt>
                <c:pt idx="588">
                  <c:v>111.914169990881</c:v>
                </c:pt>
                <c:pt idx="589">
                  <c:v>111.2954995561019</c:v>
                </c:pt>
                <c:pt idx="590">
                  <c:v>110.2850287830764</c:v>
                </c:pt>
                <c:pt idx="591">
                  <c:v>110.0931332377245</c:v>
                </c:pt>
                <c:pt idx="592">
                  <c:v>108.4279629696583</c:v>
                </c:pt>
                <c:pt idx="593">
                  <c:v>108.5947762633019</c:v>
                </c:pt>
                <c:pt idx="594">
                  <c:v>111.5692199846544</c:v>
                </c:pt>
                <c:pt idx="595">
                  <c:v>112.0817113979376</c:v>
                </c:pt>
                <c:pt idx="596">
                  <c:v>112.3112930892496</c:v>
                </c:pt>
                <c:pt idx="597">
                  <c:v>112.0195204695277</c:v>
                </c:pt>
                <c:pt idx="598">
                  <c:v>111.2197255464366</c:v>
                </c:pt>
                <c:pt idx="599">
                  <c:v>110.4381585660283</c:v>
                </c:pt>
                <c:pt idx="600">
                  <c:v>110.3790558427838</c:v>
                </c:pt>
                <c:pt idx="601">
                  <c:v>112.1278838312625</c:v>
                </c:pt>
                <c:pt idx="602">
                  <c:v>112.9220295985635</c:v>
                </c:pt>
                <c:pt idx="603">
                  <c:v>113.1292908476646</c:v>
                </c:pt>
                <c:pt idx="604">
                  <c:v>111.888460055196</c:v>
                </c:pt>
                <c:pt idx="605">
                  <c:v>110.4426025685833</c:v>
                </c:pt>
                <c:pt idx="606">
                  <c:v>111.8595865922686</c:v>
                </c:pt>
                <c:pt idx="607">
                  <c:v>111.566081564771</c:v>
                </c:pt>
                <c:pt idx="608">
                  <c:v>112.3342161080781</c:v>
                </c:pt>
                <c:pt idx="609">
                  <c:v>113.4879745793011</c:v>
                </c:pt>
                <c:pt idx="610">
                  <c:v>113.329923753972</c:v>
                </c:pt>
                <c:pt idx="611">
                  <c:v>114.0598448967786</c:v>
                </c:pt>
                <c:pt idx="612">
                  <c:v>113.4204357834099</c:v>
                </c:pt>
                <c:pt idx="613">
                  <c:v>112.7417085457416</c:v>
                </c:pt>
                <c:pt idx="614">
                  <c:v>112.041589838148</c:v>
                </c:pt>
                <c:pt idx="615">
                  <c:v>114.1086284954465</c:v>
                </c:pt>
                <c:pt idx="616">
                  <c:v>114.2088068581254</c:v>
                </c:pt>
                <c:pt idx="617">
                  <c:v>114.1912568141373</c:v>
                </c:pt>
                <c:pt idx="618">
                  <c:v>115.6657617974459</c:v>
                </c:pt>
                <c:pt idx="619">
                  <c:v>115.9781977736803</c:v>
                </c:pt>
                <c:pt idx="620">
                  <c:v>114.8667452024858</c:v>
                </c:pt>
                <c:pt idx="621">
                  <c:v>114.668924320394</c:v>
                </c:pt>
                <c:pt idx="622">
                  <c:v>114.3918395057265</c:v>
                </c:pt>
                <c:pt idx="623">
                  <c:v>114.2825722790653</c:v>
                </c:pt>
                <c:pt idx="624">
                  <c:v>114.5194602118659</c:v>
                </c:pt>
                <c:pt idx="625">
                  <c:v>114.0975812574569</c:v>
                </c:pt>
                <c:pt idx="626">
                  <c:v>113.9916030948335</c:v>
                </c:pt>
                <c:pt idx="627">
                  <c:v>113.2945474850461</c:v>
                </c:pt>
                <c:pt idx="628">
                  <c:v>113.1425224258931</c:v>
                </c:pt>
                <c:pt idx="629">
                  <c:v>113.0729499339174</c:v>
                </c:pt>
                <c:pt idx="630">
                  <c:v>113.881482217964</c:v>
                </c:pt>
                <c:pt idx="631">
                  <c:v>112.7991039685696</c:v>
                </c:pt>
                <c:pt idx="632">
                  <c:v>112.2030050495921</c:v>
                </c:pt>
                <c:pt idx="633">
                  <c:v>111.763199440809</c:v>
                </c:pt>
                <c:pt idx="634">
                  <c:v>111.5218926128124</c:v>
                </c:pt>
                <c:pt idx="635">
                  <c:v>111.2184952858423</c:v>
                </c:pt>
                <c:pt idx="636">
                  <c:v>109.777307768016</c:v>
                </c:pt>
                <c:pt idx="637">
                  <c:v>109.5197313713439</c:v>
                </c:pt>
                <c:pt idx="638">
                  <c:v>108.768494080689</c:v>
                </c:pt>
                <c:pt idx="639">
                  <c:v>107.4089556945499</c:v>
                </c:pt>
                <c:pt idx="640">
                  <c:v>108.5983917230076</c:v>
                </c:pt>
                <c:pt idx="641">
                  <c:v>109.7836850372191</c:v>
                </c:pt>
                <c:pt idx="642">
                  <c:v>110.2857820038485</c:v>
                </c:pt>
                <c:pt idx="643">
                  <c:v>110.4896035447574</c:v>
                </c:pt>
                <c:pt idx="644">
                  <c:v>110.3916346296765</c:v>
                </c:pt>
                <c:pt idx="645">
                  <c:v>110.3381308475039</c:v>
                </c:pt>
                <c:pt idx="646">
                  <c:v>110.5522966203486</c:v>
                </c:pt>
                <c:pt idx="647">
                  <c:v>111.3730812956201</c:v>
                </c:pt>
                <c:pt idx="648">
                  <c:v>111.3519157919263</c:v>
                </c:pt>
                <c:pt idx="649">
                  <c:v>111.6119527097871</c:v>
                </c:pt>
                <c:pt idx="650">
                  <c:v>110.5168952440636</c:v>
                </c:pt>
                <c:pt idx="651">
                  <c:v>110.7091673998015</c:v>
                </c:pt>
                <c:pt idx="652">
                  <c:v>111.2329822320241</c:v>
                </c:pt>
                <c:pt idx="653">
                  <c:v>108.8942317348984</c:v>
                </c:pt>
                <c:pt idx="654">
                  <c:v>109.8770090908726</c:v>
                </c:pt>
                <c:pt idx="655">
                  <c:v>109.4553309953361</c:v>
                </c:pt>
                <c:pt idx="656">
                  <c:v>109.4747138765361</c:v>
                </c:pt>
                <c:pt idx="657">
                  <c:v>109.8504706123384</c:v>
                </c:pt>
                <c:pt idx="658">
                  <c:v>109.014445770113</c:v>
                </c:pt>
                <c:pt idx="659">
                  <c:v>109.3320789696743</c:v>
                </c:pt>
                <c:pt idx="660">
                  <c:v>107.3832206515059</c:v>
                </c:pt>
                <c:pt idx="661">
                  <c:v>107.5541766593956</c:v>
                </c:pt>
                <c:pt idx="662">
                  <c:v>107.4524918551727</c:v>
                </c:pt>
                <c:pt idx="663">
                  <c:v>106.763520815005</c:v>
                </c:pt>
                <c:pt idx="664">
                  <c:v>107.691112195749</c:v>
                </c:pt>
                <c:pt idx="665">
                  <c:v>107.2729491304819</c:v>
                </c:pt>
                <c:pt idx="666">
                  <c:v>106.0242095199071</c:v>
                </c:pt>
                <c:pt idx="667">
                  <c:v>106.5289176518794</c:v>
                </c:pt>
                <c:pt idx="668">
                  <c:v>106.231746949958</c:v>
                </c:pt>
                <c:pt idx="669">
                  <c:v>108.169608244855</c:v>
                </c:pt>
                <c:pt idx="670">
                  <c:v>108.6911383074025</c:v>
                </c:pt>
                <c:pt idx="671">
                  <c:v>107.9488894512937</c:v>
                </c:pt>
                <c:pt idx="672">
                  <c:v>107.9978990161933</c:v>
                </c:pt>
                <c:pt idx="673">
                  <c:v>107.365017816182</c:v>
                </c:pt>
                <c:pt idx="674">
                  <c:v>107.3721734135162</c:v>
                </c:pt>
                <c:pt idx="675">
                  <c:v>107.7613374790605</c:v>
                </c:pt>
                <c:pt idx="676">
                  <c:v>108.0673710787326</c:v>
                </c:pt>
                <c:pt idx="677">
                  <c:v>106.7306301746267</c:v>
                </c:pt>
                <c:pt idx="678">
                  <c:v>108.0098752264684</c:v>
                </c:pt>
                <c:pt idx="679">
                  <c:v>107.1716409366451</c:v>
                </c:pt>
                <c:pt idx="680">
                  <c:v>106.6994970493832</c:v>
                </c:pt>
                <c:pt idx="681">
                  <c:v>104.8160936163033</c:v>
                </c:pt>
                <c:pt idx="682">
                  <c:v>104.4466890423451</c:v>
                </c:pt>
                <c:pt idx="683">
                  <c:v>104.3806064732797</c:v>
                </c:pt>
                <c:pt idx="684">
                  <c:v>104.9586280937288</c:v>
                </c:pt>
                <c:pt idx="685">
                  <c:v>104.6981643507639</c:v>
                </c:pt>
                <c:pt idx="686">
                  <c:v>105.2234103024533</c:v>
                </c:pt>
                <c:pt idx="687">
                  <c:v>103.6754160791544</c:v>
                </c:pt>
                <c:pt idx="688">
                  <c:v>102.9183287738369</c:v>
                </c:pt>
                <c:pt idx="689">
                  <c:v>102.4881894982947</c:v>
                </c:pt>
                <c:pt idx="690">
                  <c:v>101.6793057112212</c:v>
                </c:pt>
                <c:pt idx="691">
                  <c:v>102.2872553036785</c:v>
                </c:pt>
                <c:pt idx="692">
                  <c:v>102.6554798317606</c:v>
                </c:pt>
                <c:pt idx="693">
                  <c:v>103.3834928152781</c:v>
                </c:pt>
                <c:pt idx="694">
                  <c:v>102.6741597069067</c:v>
                </c:pt>
                <c:pt idx="695">
                  <c:v>101.8088345766498</c:v>
                </c:pt>
                <c:pt idx="696">
                  <c:v>103.3107567960599</c:v>
                </c:pt>
                <c:pt idx="697">
                  <c:v>102.804692866698</c:v>
                </c:pt>
                <c:pt idx="698">
                  <c:v>101.3969232437904</c:v>
                </c:pt>
                <c:pt idx="699">
                  <c:v>102.2877323435008</c:v>
                </c:pt>
                <c:pt idx="700">
                  <c:v>102.2745509799904</c:v>
                </c:pt>
                <c:pt idx="701">
                  <c:v>101.7927658668467</c:v>
                </c:pt>
                <c:pt idx="702">
                  <c:v>99.5219056686391</c:v>
                </c:pt>
                <c:pt idx="703">
                  <c:v>99.84965713390459</c:v>
                </c:pt>
                <c:pt idx="704">
                  <c:v>99.91516223371135</c:v>
                </c:pt>
                <c:pt idx="705">
                  <c:v>98.3450986417923</c:v>
                </c:pt>
                <c:pt idx="706">
                  <c:v>100.5052353865127</c:v>
                </c:pt>
                <c:pt idx="707">
                  <c:v>98.78066110689308</c:v>
                </c:pt>
                <c:pt idx="708">
                  <c:v>100.039518983172</c:v>
                </c:pt>
                <c:pt idx="709">
                  <c:v>100.2607901386328</c:v>
                </c:pt>
                <c:pt idx="710">
                  <c:v>99.3701567904359</c:v>
                </c:pt>
                <c:pt idx="711">
                  <c:v>98.1278697711414</c:v>
                </c:pt>
                <c:pt idx="712">
                  <c:v>97.7832963753008</c:v>
                </c:pt>
                <c:pt idx="713">
                  <c:v>96.62363767469702</c:v>
                </c:pt>
                <c:pt idx="714">
                  <c:v>95.59682201091868</c:v>
                </c:pt>
                <c:pt idx="715">
                  <c:v>97.9604287935211</c:v>
                </c:pt>
                <c:pt idx="716">
                  <c:v>99.2646556676348</c:v>
                </c:pt>
                <c:pt idx="717">
                  <c:v>102.3986315485014</c:v>
                </c:pt>
                <c:pt idx="718">
                  <c:v>102.9483320679225</c:v>
                </c:pt>
                <c:pt idx="719">
                  <c:v>101.2419606236266</c:v>
                </c:pt>
                <c:pt idx="720">
                  <c:v>99.95686555712225</c:v>
                </c:pt>
                <c:pt idx="721">
                  <c:v>99.8432547573424</c:v>
                </c:pt>
                <c:pt idx="722">
                  <c:v>99.47786736083494</c:v>
                </c:pt>
                <c:pt idx="723">
                  <c:v>102.7741623180721</c:v>
                </c:pt>
                <c:pt idx="724">
                  <c:v>102.4714931045149</c:v>
                </c:pt>
                <c:pt idx="725">
                  <c:v>101.2861997903033</c:v>
                </c:pt>
                <c:pt idx="726">
                  <c:v>102.4224835396154</c:v>
                </c:pt>
                <c:pt idx="727">
                  <c:v>102.6832736782482</c:v>
                </c:pt>
                <c:pt idx="728">
                  <c:v>102.833742081139</c:v>
                </c:pt>
                <c:pt idx="729">
                  <c:v>105.4922096886286</c:v>
                </c:pt>
                <c:pt idx="730">
                  <c:v>105.3049841120632</c:v>
                </c:pt>
                <c:pt idx="731">
                  <c:v>103.5253493940088</c:v>
                </c:pt>
                <c:pt idx="732">
                  <c:v>105.3785235667715</c:v>
                </c:pt>
                <c:pt idx="733">
                  <c:v>104.0259650264531</c:v>
                </c:pt>
                <c:pt idx="734">
                  <c:v>102.936606931238</c:v>
                </c:pt>
                <c:pt idx="735">
                  <c:v>102.5783500247056</c:v>
                </c:pt>
                <c:pt idx="736">
                  <c:v>105.039197608976</c:v>
                </c:pt>
                <c:pt idx="737">
                  <c:v>104.9873258051428</c:v>
                </c:pt>
                <c:pt idx="738">
                  <c:v>103.1399012176065</c:v>
                </c:pt>
                <c:pt idx="739">
                  <c:v>103.978210829507</c:v>
                </c:pt>
                <c:pt idx="740">
                  <c:v>104.0141645676915</c:v>
                </c:pt>
                <c:pt idx="741">
                  <c:v>102.9777830001085</c:v>
                </c:pt>
                <c:pt idx="742">
                  <c:v>102.2153729346687</c:v>
                </c:pt>
                <c:pt idx="743">
                  <c:v>101.4519836822252</c:v>
                </c:pt>
                <c:pt idx="744">
                  <c:v>101.0120525366467</c:v>
                </c:pt>
                <c:pt idx="745">
                  <c:v>101.2775879661432</c:v>
                </c:pt>
                <c:pt idx="746">
                  <c:v>101.5758884992227</c:v>
                </c:pt>
                <c:pt idx="747">
                  <c:v>99.9812196954176</c:v>
                </c:pt>
                <c:pt idx="748">
                  <c:v>100.0</c:v>
                </c:pt>
                <c:pt idx="750">
                  <c:v>305.7755741167657</c:v>
                </c:pt>
                <c:pt idx="751">
                  <c:v>301.8411896680221</c:v>
                </c:pt>
                <c:pt idx="752">
                  <c:v>299.1547054984689</c:v>
                </c:pt>
                <c:pt idx="753">
                  <c:v>301.3993504863629</c:v>
                </c:pt>
                <c:pt idx="754">
                  <c:v>301.837868730282</c:v>
                </c:pt>
                <c:pt idx="755">
                  <c:v>302.1966072373273</c:v>
                </c:pt>
                <c:pt idx="756">
                  <c:v>299.5259554453725</c:v>
                </c:pt>
                <c:pt idx="757">
                  <c:v>299.2120882133741</c:v>
                </c:pt>
                <c:pt idx="758">
                  <c:v>294.7844286635542</c:v>
                </c:pt>
                <c:pt idx="759">
                  <c:v>296.7389936014025</c:v>
                </c:pt>
                <c:pt idx="760">
                  <c:v>292.3399867934802</c:v>
                </c:pt>
                <c:pt idx="761">
                  <c:v>291.9464942868286</c:v>
                </c:pt>
                <c:pt idx="762">
                  <c:v>296.7965307785283</c:v>
                </c:pt>
                <c:pt idx="763">
                  <c:v>293.506794406923</c:v>
                </c:pt>
                <c:pt idx="764">
                  <c:v>298.3479493209454</c:v>
                </c:pt>
                <c:pt idx="765">
                  <c:v>302.0507176700919</c:v>
                </c:pt>
                <c:pt idx="766">
                  <c:v>301.7463498646525</c:v>
                </c:pt>
                <c:pt idx="767">
                  <c:v>297.6549545687994</c:v>
                </c:pt>
                <c:pt idx="768">
                  <c:v>297.9804064673332</c:v>
                </c:pt>
                <c:pt idx="769">
                  <c:v>297.3413962612419</c:v>
                </c:pt>
                <c:pt idx="770">
                  <c:v>301.7024053629283</c:v>
                </c:pt>
                <c:pt idx="771">
                  <c:v>304.4013237412294</c:v>
                </c:pt>
                <c:pt idx="772">
                  <c:v>309.2435598907952</c:v>
                </c:pt>
                <c:pt idx="773">
                  <c:v>307.849692813259</c:v>
                </c:pt>
                <c:pt idx="774">
                  <c:v>308.0165120113684</c:v>
                </c:pt>
                <c:pt idx="775">
                  <c:v>310.880318810023</c:v>
                </c:pt>
                <c:pt idx="776">
                  <c:v>308.9916320092059</c:v>
                </c:pt>
                <c:pt idx="777">
                  <c:v>309.4139317199754</c:v>
                </c:pt>
                <c:pt idx="778">
                  <c:v>311.3864915065087</c:v>
                </c:pt>
                <c:pt idx="779">
                  <c:v>311.5979502863343</c:v>
                </c:pt>
                <c:pt idx="780">
                  <c:v>312.55932314655</c:v>
                </c:pt>
                <c:pt idx="781">
                  <c:v>314.7780957125149</c:v>
                </c:pt>
                <c:pt idx="782">
                  <c:v>315.9415051571074</c:v>
                </c:pt>
                <c:pt idx="783">
                  <c:v>315.6906585110614</c:v>
                </c:pt>
                <c:pt idx="784">
                  <c:v>316.2803952688222</c:v>
                </c:pt>
                <c:pt idx="785">
                  <c:v>316.5256812749311</c:v>
                </c:pt>
                <c:pt idx="786">
                  <c:v>314.5840139324923</c:v>
                </c:pt>
                <c:pt idx="787">
                  <c:v>314.4826094847526</c:v>
                </c:pt>
                <c:pt idx="788">
                  <c:v>312.3013712383623</c:v>
                </c:pt>
                <c:pt idx="789">
                  <c:v>313.1431131088225</c:v>
                </c:pt>
                <c:pt idx="790">
                  <c:v>307.7214891702676</c:v>
                </c:pt>
                <c:pt idx="791">
                  <c:v>309.9668292381538</c:v>
                </c:pt>
                <c:pt idx="792">
                  <c:v>306.6813405776115</c:v>
                </c:pt>
                <c:pt idx="793">
                  <c:v>303.3280430022822</c:v>
                </c:pt>
                <c:pt idx="794">
                  <c:v>305.5902194521997</c:v>
                </c:pt>
                <c:pt idx="795">
                  <c:v>307.2868324818603</c:v>
                </c:pt>
                <c:pt idx="796">
                  <c:v>306.2817468132513</c:v>
                </c:pt>
                <c:pt idx="797">
                  <c:v>306.3765093855106</c:v>
                </c:pt>
                <c:pt idx="798">
                  <c:v>312.2320949324807</c:v>
                </c:pt>
                <c:pt idx="799">
                  <c:v>314.5817742302954</c:v>
                </c:pt>
                <c:pt idx="800">
                  <c:v>312.884543351753</c:v>
                </c:pt>
                <c:pt idx="801">
                  <c:v>314.1865054081085</c:v>
                </c:pt>
                <c:pt idx="802">
                  <c:v>314.5844000880435</c:v>
                </c:pt>
                <c:pt idx="803">
                  <c:v>315.1703525214027</c:v>
                </c:pt>
                <c:pt idx="804">
                  <c:v>314.3340940597691</c:v>
                </c:pt>
                <c:pt idx="805">
                  <c:v>315.3552437993072</c:v>
                </c:pt>
                <c:pt idx="806">
                  <c:v>315.8184759985018</c:v>
                </c:pt>
                <c:pt idx="807">
                  <c:v>314.2902267891552</c:v>
                </c:pt>
                <c:pt idx="808">
                  <c:v>313.2468344898692</c:v>
                </c:pt>
                <c:pt idx="809">
                  <c:v>314.047489409684</c:v>
                </c:pt>
                <c:pt idx="810">
                  <c:v>313.3406702888058</c:v>
                </c:pt>
                <c:pt idx="811">
                  <c:v>313.566725748466</c:v>
                </c:pt>
                <c:pt idx="812">
                  <c:v>312.6540857188092</c:v>
                </c:pt>
                <c:pt idx="813">
                  <c:v>312.4861852851566</c:v>
                </c:pt>
                <c:pt idx="814">
                  <c:v>313.9673235172592</c:v>
                </c:pt>
                <c:pt idx="815">
                  <c:v>313.6997949514023</c:v>
                </c:pt>
                <c:pt idx="816">
                  <c:v>313.0868888605708</c:v>
                </c:pt>
                <c:pt idx="817">
                  <c:v>313.5937566370486</c:v>
                </c:pt>
                <c:pt idx="818">
                  <c:v>310.354683873758</c:v>
                </c:pt>
                <c:pt idx="819">
                  <c:v>308.2482825731861</c:v>
                </c:pt>
                <c:pt idx="820">
                  <c:v>308.8438888953248</c:v>
                </c:pt>
                <c:pt idx="821">
                  <c:v>310.210570622058</c:v>
                </c:pt>
                <c:pt idx="822">
                  <c:v>308.650733888625</c:v>
                </c:pt>
                <c:pt idx="823">
                  <c:v>307.9958140738253</c:v>
                </c:pt>
                <c:pt idx="824">
                  <c:v>308.253148133131</c:v>
                </c:pt>
                <c:pt idx="825">
                  <c:v>310.0371095484683</c:v>
                </c:pt>
                <c:pt idx="826">
                  <c:v>311.0957163764708</c:v>
                </c:pt>
                <c:pt idx="827">
                  <c:v>311.2382077748558</c:v>
                </c:pt>
                <c:pt idx="828">
                  <c:v>311.4764657499334</c:v>
                </c:pt>
                <c:pt idx="829">
                  <c:v>310.1263114807907</c:v>
                </c:pt>
                <c:pt idx="830">
                  <c:v>310.1799098712943</c:v>
                </c:pt>
                <c:pt idx="831">
                  <c:v>311.046674621471</c:v>
                </c:pt>
                <c:pt idx="832">
                  <c:v>310.8166803751888</c:v>
                </c:pt>
                <c:pt idx="833">
                  <c:v>309.401343049007</c:v>
                </c:pt>
                <c:pt idx="834">
                  <c:v>303.1339612222595</c:v>
                </c:pt>
                <c:pt idx="835">
                  <c:v>304.1750365882385</c:v>
                </c:pt>
                <c:pt idx="836">
                  <c:v>304.5001023312211</c:v>
                </c:pt>
                <c:pt idx="837">
                  <c:v>302.6484864633171</c:v>
                </c:pt>
                <c:pt idx="838">
                  <c:v>302.1634750910362</c:v>
                </c:pt>
                <c:pt idx="839">
                  <c:v>302.907828531489</c:v>
                </c:pt>
                <c:pt idx="840">
                  <c:v>302.4744075408456</c:v>
                </c:pt>
                <c:pt idx="841">
                  <c:v>300.2722396635813</c:v>
                </c:pt>
                <c:pt idx="842">
                  <c:v>298.6873028193217</c:v>
                </c:pt>
                <c:pt idx="843">
                  <c:v>298.704448125794</c:v>
                </c:pt>
                <c:pt idx="844">
                  <c:v>299.3758953981843</c:v>
                </c:pt>
                <c:pt idx="845">
                  <c:v>297.6175747114453</c:v>
                </c:pt>
                <c:pt idx="846">
                  <c:v>296.2359101493264</c:v>
                </c:pt>
                <c:pt idx="847">
                  <c:v>294.9910991145453</c:v>
                </c:pt>
                <c:pt idx="848">
                  <c:v>295.6989222398566</c:v>
                </c:pt>
                <c:pt idx="849">
                  <c:v>294.9442198306322</c:v>
                </c:pt>
                <c:pt idx="850">
                  <c:v>293.4111050613408</c:v>
                </c:pt>
                <c:pt idx="851">
                  <c:v>293.8623664384487</c:v>
                </c:pt>
                <c:pt idx="852">
                  <c:v>294.2861335403127</c:v>
                </c:pt>
                <c:pt idx="853">
                  <c:v>292.777809957407</c:v>
                </c:pt>
                <c:pt idx="854">
                  <c:v>289.1409969764021</c:v>
                </c:pt>
                <c:pt idx="855">
                  <c:v>291.9783907353561</c:v>
                </c:pt>
                <c:pt idx="856">
                  <c:v>291.672864463263</c:v>
                </c:pt>
                <c:pt idx="857">
                  <c:v>292.440155543456</c:v>
                </c:pt>
                <c:pt idx="858">
                  <c:v>292.2776612875199</c:v>
                </c:pt>
                <c:pt idx="859">
                  <c:v>289.6013716245178</c:v>
                </c:pt>
                <c:pt idx="860">
                  <c:v>288.1230137123836</c:v>
                </c:pt>
                <c:pt idx="861">
                  <c:v>287.5286430880087</c:v>
                </c:pt>
                <c:pt idx="862">
                  <c:v>284.3553712306392</c:v>
                </c:pt>
                <c:pt idx="863">
                  <c:v>285.9614693991034</c:v>
                </c:pt>
                <c:pt idx="864">
                  <c:v>287.6224788869452</c:v>
                </c:pt>
                <c:pt idx="865">
                  <c:v>288.8041921046636</c:v>
                </c:pt>
                <c:pt idx="866">
                  <c:v>289.3324528986766</c:v>
                </c:pt>
                <c:pt idx="867">
                  <c:v>288.414947309075</c:v>
                </c:pt>
                <c:pt idx="868">
                  <c:v>290.3338314739943</c:v>
                </c:pt>
                <c:pt idx="869">
                  <c:v>289.398022111267</c:v>
                </c:pt>
                <c:pt idx="870">
                  <c:v>290.371056869128</c:v>
                </c:pt>
                <c:pt idx="871">
                  <c:v>290.2297239373964</c:v>
                </c:pt>
                <c:pt idx="872">
                  <c:v>290.8895093121411</c:v>
                </c:pt>
                <c:pt idx="873">
                  <c:v>288.6691921239713</c:v>
                </c:pt>
                <c:pt idx="874">
                  <c:v>286.9620756633187</c:v>
                </c:pt>
                <c:pt idx="875">
                  <c:v>286.8905596552403</c:v>
                </c:pt>
                <c:pt idx="876">
                  <c:v>285.7015094820496</c:v>
                </c:pt>
                <c:pt idx="877">
                  <c:v>284.7643099593378</c:v>
                </c:pt>
                <c:pt idx="878">
                  <c:v>285.7215123396006</c:v>
                </c:pt>
                <c:pt idx="879">
                  <c:v>285.3807686812402</c:v>
                </c:pt>
                <c:pt idx="880">
                  <c:v>283.2684978162903</c:v>
                </c:pt>
                <c:pt idx="881">
                  <c:v>285.5118298753104</c:v>
                </c:pt>
                <c:pt idx="882">
                  <c:v>284.0801195537587</c:v>
                </c:pt>
                <c:pt idx="883">
                  <c:v>286.1563234902283</c:v>
                </c:pt>
                <c:pt idx="884">
                  <c:v>287.8764920085109</c:v>
                </c:pt>
                <c:pt idx="885">
                  <c:v>285.5561605325857</c:v>
                </c:pt>
                <c:pt idx="886">
                  <c:v>282.8224881546785</c:v>
                </c:pt>
                <c:pt idx="887">
                  <c:v>281.4305518548982</c:v>
                </c:pt>
                <c:pt idx="888">
                  <c:v>281.8815043075652</c:v>
                </c:pt>
                <c:pt idx="889">
                  <c:v>279.1720824982719</c:v>
                </c:pt>
                <c:pt idx="890">
                  <c:v>278.578329722779</c:v>
                </c:pt>
                <c:pt idx="891">
                  <c:v>280.6376972772172</c:v>
                </c:pt>
                <c:pt idx="892">
                  <c:v>282.578360615223</c:v>
                </c:pt>
                <c:pt idx="893">
                  <c:v>280.1092047898734</c:v>
                </c:pt>
                <c:pt idx="894">
                  <c:v>278.9622455717612</c:v>
                </c:pt>
                <c:pt idx="895">
                  <c:v>279.9466333028271</c:v>
                </c:pt>
                <c:pt idx="896">
                  <c:v>280.1115989542907</c:v>
                </c:pt>
                <c:pt idx="897">
                  <c:v>276.1628495190433</c:v>
                </c:pt>
                <c:pt idx="898">
                  <c:v>275.0709560825292</c:v>
                </c:pt>
                <c:pt idx="899">
                  <c:v>273.5145175179466</c:v>
                </c:pt>
                <c:pt idx="900">
                  <c:v>278.352351494229</c:v>
                </c:pt>
                <c:pt idx="901">
                  <c:v>279.6255063464665</c:v>
                </c:pt>
                <c:pt idx="902">
                  <c:v>280.81216235524</c:v>
                </c:pt>
                <c:pt idx="903">
                  <c:v>281.6088784884327</c:v>
                </c:pt>
                <c:pt idx="904">
                  <c:v>281.4745735877326</c:v>
                </c:pt>
                <c:pt idx="905">
                  <c:v>280.8322424439013</c:v>
                </c:pt>
                <c:pt idx="906">
                  <c:v>282.280325760823</c:v>
                </c:pt>
                <c:pt idx="907">
                  <c:v>277.1456153967941</c:v>
                </c:pt>
                <c:pt idx="908">
                  <c:v>275.9962620142646</c:v>
                </c:pt>
                <c:pt idx="909">
                  <c:v>273.7584905951816</c:v>
                </c:pt>
                <c:pt idx="910">
                  <c:v>274.3627468016666</c:v>
                </c:pt>
                <c:pt idx="911">
                  <c:v>276.0568112046895</c:v>
                </c:pt>
                <c:pt idx="912">
                  <c:v>275.51990052633</c:v>
                </c:pt>
                <c:pt idx="913">
                  <c:v>270.6606735325124</c:v>
                </c:pt>
                <c:pt idx="914">
                  <c:v>271.5523839312952</c:v>
                </c:pt>
                <c:pt idx="915">
                  <c:v>274.0553669829281</c:v>
                </c:pt>
                <c:pt idx="916">
                  <c:v>273.3166514135224</c:v>
                </c:pt>
                <c:pt idx="917">
                  <c:v>272.6825839984863</c:v>
                </c:pt>
                <c:pt idx="918">
                  <c:v>276.0022088097527</c:v>
                </c:pt>
                <c:pt idx="919">
                  <c:v>276.2379181581925</c:v>
                </c:pt>
                <c:pt idx="920">
                  <c:v>277.241845360148</c:v>
                </c:pt>
                <c:pt idx="921">
                  <c:v>276.4419627514356</c:v>
                </c:pt>
                <c:pt idx="922">
                  <c:v>276.8265736804099</c:v>
                </c:pt>
                <c:pt idx="923">
                  <c:v>275.0718056247417</c:v>
                </c:pt>
                <c:pt idx="924">
                  <c:v>276.7410016102686</c:v>
                </c:pt>
                <c:pt idx="925">
                  <c:v>273.9470117352672</c:v>
                </c:pt>
                <c:pt idx="926">
                  <c:v>274.5359761819256</c:v>
                </c:pt>
                <c:pt idx="927">
                  <c:v>276.0489336314455</c:v>
                </c:pt>
                <c:pt idx="928">
                  <c:v>274.5097176044454</c:v>
                </c:pt>
                <c:pt idx="929">
                  <c:v>274.6673463004367</c:v>
                </c:pt>
                <c:pt idx="930">
                  <c:v>273.5366828465843</c:v>
                </c:pt>
                <c:pt idx="931">
                  <c:v>274.7458903395465</c:v>
                </c:pt>
                <c:pt idx="932">
                  <c:v>274.129045462093</c:v>
                </c:pt>
                <c:pt idx="933">
                  <c:v>274.072048902739</c:v>
                </c:pt>
                <c:pt idx="934">
                  <c:v>273.9324150554326</c:v>
                </c:pt>
                <c:pt idx="935">
                  <c:v>272.1950239995675</c:v>
                </c:pt>
                <c:pt idx="936">
                  <c:v>270.5644435691584</c:v>
                </c:pt>
                <c:pt idx="937">
                  <c:v>270.8546008503145</c:v>
                </c:pt>
                <c:pt idx="938">
                  <c:v>267.1956997717821</c:v>
                </c:pt>
                <c:pt idx="939">
                  <c:v>269.9890717979016</c:v>
                </c:pt>
                <c:pt idx="940">
                  <c:v>267.7679822986295</c:v>
                </c:pt>
                <c:pt idx="941">
                  <c:v>264.8175994254005</c:v>
                </c:pt>
                <c:pt idx="942">
                  <c:v>263.1232260979368</c:v>
                </c:pt>
                <c:pt idx="943">
                  <c:v>262.5738039797191</c:v>
                </c:pt>
                <c:pt idx="944">
                  <c:v>261.1556863335688</c:v>
                </c:pt>
                <c:pt idx="945">
                  <c:v>264.3267184887416</c:v>
                </c:pt>
                <c:pt idx="946">
                  <c:v>264.839687522928</c:v>
                </c:pt>
                <c:pt idx="947">
                  <c:v>262.8565470742925</c:v>
                </c:pt>
                <c:pt idx="948">
                  <c:v>260.3195823341558</c:v>
                </c:pt>
                <c:pt idx="949">
                  <c:v>260.4861698389345</c:v>
                </c:pt>
                <c:pt idx="950">
                  <c:v>260.9851600421682</c:v>
                </c:pt>
                <c:pt idx="951">
                  <c:v>257.8786930951526</c:v>
                </c:pt>
                <c:pt idx="952">
                  <c:v>260.4595251059032</c:v>
                </c:pt>
                <c:pt idx="953">
                  <c:v>262.5749624463726</c:v>
                </c:pt>
                <c:pt idx="954">
                  <c:v>262.0536524522808</c:v>
                </c:pt>
                <c:pt idx="955">
                  <c:v>264.3328197464503</c:v>
                </c:pt>
                <c:pt idx="956">
                  <c:v>264.3047848534346</c:v>
                </c:pt>
                <c:pt idx="957">
                  <c:v>262.9033491270954</c:v>
                </c:pt>
                <c:pt idx="958">
                  <c:v>262.4754115452787</c:v>
                </c:pt>
                <c:pt idx="959">
                  <c:v>259.9034611122053</c:v>
                </c:pt>
                <c:pt idx="960">
                  <c:v>260.3330205473368</c:v>
                </c:pt>
                <c:pt idx="961">
                  <c:v>256.813135467229</c:v>
                </c:pt>
                <c:pt idx="962">
                  <c:v>260.6405548282959</c:v>
                </c:pt>
                <c:pt idx="963">
                  <c:v>261.4378888103706</c:v>
                </c:pt>
                <c:pt idx="964">
                  <c:v>261.2109065773876</c:v>
                </c:pt>
                <c:pt idx="965">
                  <c:v>263.503821009179</c:v>
                </c:pt>
                <c:pt idx="966">
                  <c:v>266.71030224395</c:v>
                </c:pt>
                <c:pt idx="967">
                  <c:v>268.6744438394674</c:v>
                </c:pt>
                <c:pt idx="968">
                  <c:v>268.100539459305</c:v>
                </c:pt>
                <c:pt idx="969">
                  <c:v>265.9743669945128</c:v>
                </c:pt>
                <c:pt idx="970">
                  <c:v>262.2758463564293</c:v>
                </c:pt>
                <c:pt idx="971">
                  <c:v>261.2420307148126</c:v>
                </c:pt>
                <c:pt idx="972">
                  <c:v>262.8779400918278</c:v>
                </c:pt>
                <c:pt idx="973">
                  <c:v>261.469476334457</c:v>
                </c:pt>
                <c:pt idx="974">
                  <c:v>259.6245023420335</c:v>
                </c:pt>
                <c:pt idx="975">
                  <c:v>260.0040160177322</c:v>
                </c:pt>
                <c:pt idx="976">
                  <c:v>261.850998019022</c:v>
                </c:pt>
                <c:pt idx="977">
                  <c:v>259.5224028143016</c:v>
                </c:pt>
                <c:pt idx="978">
                  <c:v>255.7728324123524</c:v>
                </c:pt>
                <c:pt idx="979">
                  <c:v>255.4519371493225</c:v>
                </c:pt>
                <c:pt idx="980">
                  <c:v>255.6925892888173</c:v>
                </c:pt>
                <c:pt idx="981">
                  <c:v>255.9640566412963</c:v>
                </c:pt>
                <c:pt idx="982">
                  <c:v>254.6217799453976</c:v>
                </c:pt>
                <c:pt idx="983">
                  <c:v>258.2623772508041</c:v>
                </c:pt>
                <c:pt idx="984">
                  <c:v>255.6663307113371</c:v>
                </c:pt>
                <c:pt idx="985">
                  <c:v>254.8028096677904</c:v>
                </c:pt>
                <c:pt idx="986">
                  <c:v>255.218930889741</c:v>
                </c:pt>
                <c:pt idx="987">
                  <c:v>253.993427632519</c:v>
                </c:pt>
                <c:pt idx="988">
                  <c:v>258.6326231932748</c:v>
                </c:pt>
                <c:pt idx="989">
                  <c:v>255.5268513262512</c:v>
                </c:pt>
                <c:pt idx="990">
                  <c:v>256.0086962230125</c:v>
                </c:pt>
                <c:pt idx="991">
                  <c:v>259.0248027710522</c:v>
                </c:pt>
                <c:pt idx="992">
                  <c:v>261.0003745708847</c:v>
                </c:pt>
                <c:pt idx="993">
                  <c:v>258.6167135845661</c:v>
                </c:pt>
                <c:pt idx="994">
                  <c:v>258.9834068959658</c:v>
                </c:pt>
                <c:pt idx="995">
                  <c:v>262.8828056517726</c:v>
                </c:pt>
                <c:pt idx="996">
                  <c:v>261.5795306665431</c:v>
                </c:pt>
                <c:pt idx="997">
                  <c:v>258.2148028868989</c:v>
                </c:pt>
                <c:pt idx="998">
                  <c:v>259.093152303611</c:v>
                </c:pt>
                <c:pt idx="999">
                  <c:v>262.2465757656499</c:v>
                </c:pt>
                <c:pt idx="1000">
                  <c:v>263.5687723728872</c:v>
                </c:pt>
                <c:pt idx="1001">
                  <c:v>265.4858802222712</c:v>
                </c:pt>
                <c:pt idx="1002">
                  <c:v>266.3116352529126</c:v>
                </c:pt>
                <c:pt idx="1003">
                  <c:v>265.667605024656</c:v>
                </c:pt>
                <c:pt idx="1004">
                  <c:v>264.527596606465</c:v>
                </c:pt>
                <c:pt idx="1005">
                  <c:v>262.808277630395</c:v>
                </c:pt>
                <c:pt idx="1006">
                  <c:v>261.2023339241514</c:v>
                </c:pt>
                <c:pt idx="1007">
                  <c:v>260.2936326811166</c:v>
                </c:pt>
                <c:pt idx="1008">
                  <c:v>264.2582144939625</c:v>
                </c:pt>
                <c:pt idx="1009">
                  <c:v>263.4115298324471</c:v>
                </c:pt>
                <c:pt idx="1010">
                  <c:v>262.9737838996305</c:v>
                </c:pt>
                <c:pt idx="1011">
                  <c:v>260.8710124612397</c:v>
                </c:pt>
                <c:pt idx="1012">
                  <c:v>259.9692620181261</c:v>
                </c:pt>
                <c:pt idx="1013">
                  <c:v>260.3076887431795</c:v>
                </c:pt>
                <c:pt idx="1014">
                  <c:v>261.1721365600491</c:v>
                </c:pt>
                <c:pt idx="1015">
                  <c:v>259.7495395095053</c:v>
                </c:pt>
                <c:pt idx="1016">
                  <c:v>259.633538381931</c:v>
                </c:pt>
                <c:pt idx="1017">
                  <c:v>260.5175256696903</c:v>
                </c:pt>
                <c:pt idx="1018">
                  <c:v>257.985272027278</c:v>
                </c:pt>
                <c:pt idx="1019">
                  <c:v>264.070079509428</c:v>
                </c:pt>
                <c:pt idx="1020">
                  <c:v>262.3898394751374</c:v>
                </c:pt>
                <c:pt idx="1021">
                  <c:v>259.1428891386028</c:v>
                </c:pt>
                <c:pt idx="1022">
                  <c:v>258.5949344114796</c:v>
                </c:pt>
                <c:pt idx="1023">
                  <c:v>259.6658982171198</c:v>
                </c:pt>
                <c:pt idx="1024">
                  <c:v>261.4907921208821</c:v>
                </c:pt>
                <c:pt idx="1025">
                  <c:v>259.9943621289528</c:v>
                </c:pt>
                <c:pt idx="1026">
                  <c:v>259.280823901484</c:v>
                </c:pt>
                <c:pt idx="1027">
                  <c:v>259.1172484100045</c:v>
                </c:pt>
                <c:pt idx="1028">
                  <c:v>261.6478801991017</c:v>
                </c:pt>
                <c:pt idx="1029">
                  <c:v>264.239061178624</c:v>
                </c:pt>
                <c:pt idx="1030">
                  <c:v>264.2973706668521</c:v>
                </c:pt>
                <c:pt idx="1031">
                  <c:v>264.248560605183</c:v>
                </c:pt>
                <c:pt idx="1032">
                  <c:v>265.8815352000093</c:v>
                </c:pt>
                <c:pt idx="1033">
                  <c:v>263.9403312442318</c:v>
                </c:pt>
                <c:pt idx="1034">
                  <c:v>261.826747450408</c:v>
                </c:pt>
                <c:pt idx="1035">
                  <c:v>262.0158092082652</c:v>
                </c:pt>
                <c:pt idx="1036">
                  <c:v>260.7215702629334</c:v>
                </c:pt>
                <c:pt idx="1037">
                  <c:v>259.4372168997115</c:v>
                </c:pt>
                <c:pt idx="1038">
                  <c:v>257.8518166687905</c:v>
                </c:pt>
                <c:pt idx="1039">
                  <c:v>262.8311380390249</c:v>
                </c:pt>
                <c:pt idx="1040">
                  <c:v>264.0285291721211</c:v>
                </c:pt>
                <c:pt idx="1041">
                  <c:v>264.8909689801246</c:v>
                </c:pt>
                <c:pt idx="1042">
                  <c:v>264.8718156647861</c:v>
                </c:pt>
                <c:pt idx="1043">
                  <c:v>264.2426138096948</c:v>
                </c:pt>
                <c:pt idx="1044">
                  <c:v>261.5919648752911</c:v>
                </c:pt>
                <c:pt idx="1045">
                  <c:v>264.5996532323151</c:v>
                </c:pt>
                <c:pt idx="1046">
                  <c:v>263.4214154145573</c:v>
                </c:pt>
                <c:pt idx="1047">
                  <c:v>262.6361294856794</c:v>
                </c:pt>
                <c:pt idx="1048">
                  <c:v>263.6853141182331</c:v>
                </c:pt>
                <c:pt idx="1049">
                  <c:v>263.4044245703054</c:v>
                </c:pt>
                <c:pt idx="1050">
                  <c:v>263.2250939323378</c:v>
                </c:pt>
                <c:pt idx="1051">
                  <c:v>261.0538184991678</c:v>
                </c:pt>
                <c:pt idx="1052">
                  <c:v>263.2798507894951</c:v>
                </c:pt>
                <c:pt idx="1053">
                  <c:v>263.4541614052973</c:v>
                </c:pt>
                <c:pt idx="1054">
                  <c:v>264.1877797214274</c:v>
                </c:pt>
                <c:pt idx="1055">
                  <c:v>261.7561582156525</c:v>
                </c:pt>
                <c:pt idx="1056">
                  <c:v>264.6566497916691</c:v>
                </c:pt>
                <c:pt idx="1057">
                  <c:v>264.3368357641826</c:v>
                </c:pt>
                <c:pt idx="1058">
                  <c:v>262.3884493151531</c:v>
                </c:pt>
                <c:pt idx="1059">
                  <c:v>263.9473592752633</c:v>
                </c:pt>
                <c:pt idx="1060">
                  <c:v>265.5743870746014</c:v>
                </c:pt>
                <c:pt idx="1061">
                  <c:v>265.4549105470666</c:v>
                </c:pt>
                <c:pt idx="1062">
                  <c:v>263.6633032518159</c:v>
                </c:pt>
                <c:pt idx="1063">
                  <c:v>260.9830748021919</c:v>
                </c:pt>
                <c:pt idx="1064">
                  <c:v>259.7264474075447</c:v>
                </c:pt>
                <c:pt idx="1065">
                  <c:v>261.7750026065499</c:v>
                </c:pt>
                <c:pt idx="1066">
                  <c:v>263.0915613427401</c:v>
                </c:pt>
                <c:pt idx="1067">
                  <c:v>259.7843707402216</c:v>
                </c:pt>
                <c:pt idx="1068">
                  <c:v>260.52725678958</c:v>
                </c:pt>
                <c:pt idx="1069">
                  <c:v>262.1260952336821</c:v>
                </c:pt>
                <c:pt idx="1070">
                  <c:v>260.2949456099906</c:v>
                </c:pt>
                <c:pt idx="1071">
                  <c:v>259.389565304696</c:v>
                </c:pt>
                <c:pt idx="1072">
                  <c:v>259.1110699211856</c:v>
                </c:pt>
                <c:pt idx="1073">
                  <c:v>258.1429007232694</c:v>
                </c:pt>
                <c:pt idx="1074">
                  <c:v>256.4459787691678</c:v>
                </c:pt>
                <c:pt idx="1075">
                  <c:v>254.3016569934701</c:v>
                </c:pt>
                <c:pt idx="1076">
                  <c:v>254.928464684144</c:v>
                </c:pt>
                <c:pt idx="1077">
                  <c:v>253.5269517266946</c:v>
                </c:pt>
                <c:pt idx="1078">
                  <c:v>255.0183616964586</c:v>
                </c:pt>
                <c:pt idx="1079">
                  <c:v>253.1236508690431</c:v>
                </c:pt>
                <c:pt idx="1080">
                  <c:v>252.9285650845874</c:v>
                </c:pt>
                <c:pt idx="1081">
                  <c:v>251.766159644428</c:v>
                </c:pt>
                <c:pt idx="1082">
                  <c:v>254.0878812803374</c:v>
                </c:pt>
                <c:pt idx="1083">
                  <c:v>253.0736051096102</c:v>
                </c:pt>
                <c:pt idx="1084">
                  <c:v>247.0288805736727</c:v>
                </c:pt>
                <c:pt idx="1085">
                  <c:v>247.1076563061133</c:v>
                </c:pt>
                <c:pt idx="1086">
                  <c:v>247.8567980754007</c:v>
                </c:pt>
                <c:pt idx="1087">
                  <c:v>248.1223186323915</c:v>
                </c:pt>
                <c:pt idx="1088">
                  <c:v>246.39921533192</c:v>
                </c:pt>
                <c:pt idx="1089">
                  <c:v>244.4115182477806</c:v>
                </c:pt>
                <c:pt idx="1090">
                  <c:v>245.4705884624445</c:v>
                </c:pt>
                <c:pt idx="1091">
                  <c:v>244.9876623301398</c:v>
                </c:pt>
                <c:pt idx="1092">
                  <c:v>247.1912975984986</c:v>
                </c:pt>
                <c:pt idx="1093">
                  <c:v>245.0313751385333</c:v>
                </c:pt>
                <c:pt idx="1094">
                  <c:v>248.7475044697505</c:v>
                </c:pt>
                <c:pt idx="1095">
                  <c:v>249.2252561176693</c:v>
                </c:pt>
                <c:pt idx="1096">
                  <c:v>252.0276641836865</c:v>
                </c:pt>
                <c:pt idx="1097">
                  <c:v>253.0104300614373</c:v>
                </c:pt>
                <c:pt idx="1098">
                  <c:v>253.0112023725397</c:v>
                </c:pt>
                <c:pt idx="1099">
                  <c:v>252.6942458961319</c:v>
                </c:pt>
                <c:pt idx="1100">
                  <c:v>253.5668802106865</c:v>
                </c:pt>
                <c:pt idx="1101">
                  <c:v>251.8576012789472</c:v>
                </c:pt>
                <c:pt idx="1102">
                  <c:v>252.9230044446504</c:v>
                </c:pt>
                <c:pt idx="1103">
                  <c:v>253.4156616968447</c:v>
                </c:pt>
                <c:pt idx="1104">
                  <c:v>244.3311206620251</c:v>
                </c:pt>
                <c:pt idx="1105">
                  <c:v>245.8215266273561</c:v>
                </c:pt>
                <c:pt idx="1106">
                  <c:v>240.3737985735414</c:v>
                </c:pt>
                <c:pt idx="1107">
                  <c:v>240.9751199978375</c:v>
                </c:pt>
                <c:pt idx="1108">
                  <c:v>239.078092237115</c:v>
                </c:pt>
                <c:pt idx="1109">
                  <c:v>242.2719848009175</c:v>
                </c:pt>
                <c:pt idx="1110">
                  <c:v>240.3123998409039</c:v>
                </c:pt>
                <c:pt idx="1111">
                  <c:v>245.6927051354827</c:v>
                </c:pt>
                <c:pt idx="1112">
                  <c:v>250.5226615385209</c:v>
                </c:pt>
                <c:pt idx="1113">
                  <c:v>252.3346578468739</c:v>
                </c:pt>
                <c:pt idx="1114">
                  <c:v>252.3463197445195</c:v>
                </c:pt>
                <c:pt idx="1115">
                  <c:v>249.7954534045404</c:v>
                </c:pt>
                <c:pt idx="1116">
                  <c:v>249.160304753961</c:v>
                </c:pt>
                <c:pt idx="1117">
                  <c:v>248.8124558334588</c:v>
                </c:pt>
                <c:pt idx="1118">
                  <c:v>247.2709228731518</c:v>
                </c:pt>
                <c:pt idx="1119">
                  <c:v>252.3172808470708</c:v>
                </c:pt>
                <c:pt idx="1120">
                  <c:v>251.112166602951</c:v>
                </c:pt>
                <c:pt idx="1121">
                  <c:v>246.4986890019038</c:v>
                </c:pt>
                <c:pt idx="1122">
                  <c:v>248.7759255183173</c:v>
                </c:pt>
                <c:pt idx="1123">
                  <c:v>248.657607457436</c:v>
                </c:pt>
                <c:pt idx="1124">
                  <c:v>245.0096731965571</c:v>
                </c:pt>
                <c:pt idx="1125">
                  <c:v>249.8313658708001</c:v>
                </c:pt>
                <c:pt idx="1126">
                  <c:v>254.044863551936</c:v>
                </c:pt>
                <c:pt idx="1127">
                  <c:v>250.6346466483629</c:v>
                </c:pt>
                <c:pt idx="1128">
                  <c:v>245.1054397732495</c:v>
                </c:pt>
                <c:pt idx="1129">
                  <c:v>244.5415754374177</c:v>
                </c:pt>
                <c:pt idx="1130">
                  <c:v>244.4697505048984</c:v>
                </c:pt>
                <c:pt idx="1131">
                  <c:v>242.89176446056</c:v>
                </c:pt>
                <c:pt idx="1132">
                  <c:v>238.1567250920016</c:v>
                </c:pt>
                <c:pt idx="1133">
                  <c:v>240.9405976915621</c:v>
                </c:pt>
                <c:pt idx="1134">
                  <c:v>239.8350343485363</c:v>
                </c:pt>
                <c:pt idx="1135">
                  <c:v>240.1519135938339</c:v>
                </c:pt>
                <c:pt idx="1136">
                  <c:v>240.3709410224627</c:v>
                </c:pt>
                <c:pt idx="1137">
                  <c:v>238.1374173144426</c:v>
                </c:pt>
                <c:pt idx="1138">
                  <c:v>240.4200600085727</c:v>
                </c:pt>
                <c:pt idx="1139">
                  <c:v>237.9017851971131</c:v>
                </c:pt>
                <c:pt idx="1140">
                  <c:v>238.525967030039</c:v>
                </c:pt>
                <c:pt idx="1141">
                  <c:v>233.5847205971509</c:v>
                </c:pt>
                <c:pt idx="1142">
                  <c:v>230.8350613794249</c:v>
                </c:pt>
                <c:pt idx="1143">
                  <c:v>227.588960585103</c:v>
                </c:pt>
                <c:pt idx="1144">
                  <c:v>225.3470186860671</c:v>
                </c:pt>
                <c:pt idx="1145">
                  <c:v>230.7503388514961</c:v>
                </c:pt>
                <c:pt idx="1146">
                  <c:v>229.1771411359924</c:v>
                </c:pt>
                <c:pt idx="1147">
                  <c:v>229.2905936369288</c:v>
                </c:pt>
                <c:pt idx="1148">
                  <c:v>234.3116970378007</c:v>
                </c:pt>
                <c:pt idx="1149">
                  <c:v>237.5041994416191</c:v>
                </c:pt>
                <c:pt idx="1150">
                  <c:v>229.5197383409985</c:v>
                </c:pt>
                <c:pt idx="1151">
                  <c:v>232.1660623332291</c:v>
                </c:pt>
                <c:pt idx="1152">
                  <c:v>234.1882044925337</c:v>
                </c:pt>
                <c:pt idx="1153">
                  <c:v>241.8196421882663</c:v>
                </c:pt>
                <c:pt idx="1154">
                  <c:v>242.0724196120681</c:v>
                </c:pt>
                <c:pt idx="1155">
                  <c:v>239.1043508145951</c:v>
                </c:pt>
                <c:pt idx="1156">
                  <c:v>239.8130234821191</c:v>
                </c:pt>
                <c:pt idx="1157">
                  <c:v>239.4013816645621</c:v>
                </c:pt>
                <c:pt idx="1158">
                  <c:v>235.2445716183393</c:v>
                </c:pt>
                <c:pt idx="1159">
                  <c:v>231.945953669057</c:v>
                </c:pt>
                <c:pt idx="1160">
                  <c:v>230.5792719423238</c:v>
                </c:pt>
                <c:pt idx="1161">
                  <c:v>235.0982186644424</c:v>
                </c:pt>
                <c:pt idx="1162">
                  <c:v>238.7831466271244</c:v>
                </c:pt>
                <c:pt idx="1163">
                  <c:v>235.6676436402112</c:v>
                </c:pt>
                <c:pt idx="1164">
                  <c:v>228.0312631534235</c:v>
                </c:pt>
                <c:pt idx="1165">
                  <c:v>230.8294235083777</c:v>
                </c:pt>
                <c:pt idx="1166">
                  <c:v>235.701007479833</c:v>
                </c:pt>
                <c:pt idx="1167">
                  <c:v>240.0970022744562</c:v>
                </c:pt>
                <c:pt idx="1168">
                  <c:v>239.4589188416878</c:v>
                </c:pt>
                <c:pt idx="1169">
                  <c:v>234.5132702355163</c:v>
                </c:pt>
                <c:pt idx="1170">
                  <c:v>233.9543486907396</c:v>
                </c:pt>
                <c:pt idx="1171">
                  <c:v>227.2529280244668</c:v>
                </c:pt>
                <c:pt idx="1172">
                  <c:v>226.669060831084</c:v>
                </c:pt>
                <c:pt idx="1173">
                  <c:v>228.6395353776408</c:v>
                </c:pt>
                <c:pt idx="1174">
                  <c:v>225.9771473144812</c:v>
                </c:pt>
                <c:pt idx="1175">
                  <c:v>227.3152535304271</c:v>
                </c:pt>
                <c:pt idx="1176">
                  <c:v>226.8948845974135</c:v>
                </c:pt>
                <c:pt idx="1177">
                  <c:v>226.2011175341651</c:v>
                </c:pt>
                <c:pt idx="1178">
                  <c:v>233.0736051096103</c:v>
                </c:pt>
                <c:pt idx="1179">
                  <c:v>231.5950155041454</c:v>
                </c:pt>
                <c:pt idx="1180">
                  <c:v>232.9245490668551</c:v>
                </c:pt>
                <c:pt idx="1181">
                  <c:v>230.3525986337817</c:v>
                </c:pt>
                <c:pt idx="1182">
                  <c:v>227.7560887076532</c:v>
                </c:pt>
                <c:pt idx="1183">
                  <c:v>221.3333178871113</c:v>
                </c:pt>
                <c:pt idx="1184">
                  <c:v>219.2682352305156</c:v>
                </c:pt>
                <c:pt idx="1185">
                  <c:v>225.9531284391979</c:v>
                </c:pt>
                <c:pt idx="1186">
                  <c:v>228.6165205067906</c:v>
                </c:pt>
                <c:pt idx="1187">
                  <c:v>235.7126693774786</c:v>
                </c:pt>
                <c:pt idx="1188">
                  <c:v>238.4261844356144</c:v>
                </c:pt>
                <c:pt idx="1189">
                  <c:v>241.4036754285362</c:v>
                </c:pt>
                <c:pt idx="1190">
                  <c:v>241.0231577484042</c:v>
                </c:pt>
                <c:pt idx="1191">
                  <c:v>242.8639612608751</c:v>
                </c:pt>
                <c:pt idx="1192">
                  <c:v>244.003892447956</c:v>
                </c:pt>
                <c:pt idx="1193">
                  <c:v>246.125739970575</c:v>
                </c:pt>
                <c:pt idx="1194">
                  <c:v>247.6480423844333</c:v>
                </c:pt>
                <c:pt idx="1195">
                  <c:v>247.265439464325</c:v>
                </c:pt>
                <c:pt idx="1196">
                  <c:v>248.1110428902971</c:v>
                </c:pt>
                <c:pt idx="1197">
                  <c:v>247.5725103586227</c:v>
                </c:pt>
                <c:pt idx="1198">
                  <c:v>247.5927449095045</c:v>
                </c:pt>
                <c:pt idx="1199">
                  <c:v>246.1478280681024</c:v>
                </c:pt>
                <c:pt idx="1200">
                  <c:v>249.3671296671725</c:v>
                </c:pt>
                <c:pt idx="1201">
                  <c:v>248.71460401679</c:v>
                </c:pt>
                <c:pt idx="1202">
                  <c:v>249.5366519541402</c:v>
                </c:pt>
                <c:pt idx="1203">
                  <c:v>246.5722902499585</c:v>
                </c:pt>
                <c:pt idx="1204">
                  <c:v>245.9426250082058</c:v>
                </c:pt>
                <c:pt idx="1205">
                  <c:v>247.1575476033256</c:v>
                </c:pt>
                <c:pt idx="1206">
                  <c:v>249.4261342353927</c:v>
                </c:pt>
                <c:pt idx="1207">
                  <c:v>248.1490405965331</c:v>
                </c:pt>
                <c:pt idx="1208">
                  <c:v>249.1030765012763</c:v>
                </c:pt>
                <c:pt idx="1209">
                  <c:v>247.7403335611651</c:v>
                </c:pt>
                <c:pt idx="1210">
                  <c:v>246.563949290053</c:v>
                </c:pt>
                <c:pt idx="1211">
                  <c:v>246.0933801353861</c:v>
                </c:pt>
                <c:pt idx="1212">
                  <c:v>245.0257372674861</c:v>
                </c:pt>
                <c:pt idx="1213">
                  <c:v>241.668887061086</c:v>
                </c:pt>
                <c:pt idx="1214">
                  <c:v>238.6213474511803</c:v>
                </c:pt>
                <c:pt idx="1215">
                  <c:v>236.9468225190471</c:v>
                </c:pt>
                <c:pt idx="1216">
                  <c:v>234.2152353811162</c:v>
                </c:pt>
                <c:pt idx="1217">
                  <c:v>237.8167537447434</c:v>
                </c:pt>
                <c:pt idx="1218">
                  <c:v>239.199267849075</c:v>
                </c:pt>
                <c:pt idx="1219">
                  <c:v>236.5407413414272</c:v>
                </c:pt>
                <c:pt idx="1220">
                  <c:v>236.8620999911184</c:v>
                </c:pt>
                <c:pt idx="1221">
                  <c:v>239.4204577487904</c:v>
                </c:pt>
                <c:pt idx="1222">
                  <c:v>241.187814475427</c:v>
                </c:pt>
                <c:pt idx="1223">
                  <c:v>240.7801886756023</c:v>
                </c:pt>
                <c:pt idx="1224">
                  <c:v>240.6857350277839</c:v>
                </c:pt>
                <c:pt idx="1225">
                  <c:v>244.3142070488834</c:v>
                </c:pt>
                <c:pt idx="1226">
                  <c:v>243.4427312009824</c:v>
                </c:pt>
                <c:pt idx="1227">
                  <c:v>245.7362634816557</c:v>
                </c:pt>
                <c:pt idx="1228">
                  <c:v>243.8806315960195</c:v>
                </c:pt>
                <c:pt idx="1229">
                  <c:v>243.8622505917834</c:v>
                </c:pt>
                <c:pt idx="1230">
                  <c:v>246.1955568942281</c:v>
                </c:pt>
                <c:pt idx="1231">
                  <c:v>249.6271668153366</c:v>
                </c:pt>
                <c:pt idx="1232">
                  <c:v>251.508748354012</c:v>
                </c:pt>
                <c:pt idx="1233">
                  <c:v>250.1508709738457</c:v>
                </c:pt>
                <c:pt idx="1234">
                  <c:v>250.108393863216</c:v>
                </c:pt>
                <c:pt idx="1235">
                  <c:v>246.9859400763816</c:v>
                </c:pt>
                <c:pt idx="1236">
                  <c:v>245.545425408263</c:v>
                </c:pt>
                <c:pt idx="1237">
                  <c:v>245.0624220448481</c:v>
                </c:pt>
                <c:pt idx="1238">
                  <c:v>242.077285172013</c:v>
                </c:pt>
                <c:pt idx="1239">
                  <c:v>245.5495958882157</c:v>
                </c:pt>
                <c:pt idx="1240">
                  <c:v>246.5134401439588</c:v>
                </c:pt>
                <c:pt idx="1241">
                  <c:v>245.9340523549697</c:v>
                </c:pt>
                <c:pt idx="1242">
                  <c:v>248.3444353054297</c:v>
                </c:pt>
                <c:pt idx="1243">
                  <c:v>246.8300876959257</c:v>
                </c:pt>
                <c:pt idx="1244">
                  <c:v>244.6822905202674</c:v>
                </c:pt>
                <c:pt idx="1245">
                  <c:v>247.5361345057016</c:v>
                </c:pt>
                <c:pt idx="1246">
                  <c:v>247.8003421338184</c:v>
                </c:pt>
                <c:pt idx="1247">
                  <c:v>244.1258403710183</c:v>
                </c:pt>
                <c:pt idx="1248">
                  <c:v>246.2037433919131</c:v>
                </c:pt>
                <c:pt idx="1249">
                  <c:v>243.9123735823264</c:v>
                </c:pt>
                <c:pt idx="1250">
                  <c:v>246.0323675582998</c:v>
                </c:pt>
                <c:pt idx="1251">
                  <c:v>249.6559740194545</c:v>
                </c:pt>
                <c:pt idx="1252">
                  <c:v>253.5978498858911</c:v>
                </c:pt>
                <c:pt idx="1253">
                  <c:v>252.236419874654</c:v>
                </c:pt>
                <c:pt idx="1254">
                  <c:v>252.2997493850473</c:v>
                </c:pt>
                <c:pt idx="1255">
                  <c:v>252.2280016836382</c:v>
                </c:pt>
                <c:pt idx="1256">
                  <c:v>251.2042260863521</c:v>
                </c:pt>
                <c:pt idx="1257">
                  <c:v>245.8811490444581</c:v>
                </c:pt>
                <c:pt idx="1258">
                  <c:v>242.417874368153</c:v>
                </c:pt>
                <c:pt idx="1259">
                  <c:v>248.8977962102694</c:v>
                </c:pt>
                <c:pt idx="1260">
                  <c:v>250.3703617891359</c:v>
                </c:pt>
                <c:pt idx="1261">
                  <c:v>249.8719122036739</c:v>
                </c:pt>
                <c:pt idx="1262">
                  <c:v>248.9920953958674</c:v>
                </c:pt>
                <c:pt idx="1263">
                  <c:v>253.429486065577</c:v>
                </c:pt>
                <c:pt idx="1264">
                  <c:v>253.3664654796245</c:v>
                </c:pt>
                <c:pt idx="1265">
                  <c:v>252.0302128103243</c:v>
                </c:pt>
                <c:pt idx="1266">
                  <c:v>253.9935820947394</c:v>
                </c:pt>
                <c:pt idx="1267">
                  <c:v>252.0117545749779</c:v>
                </c:pt>
                <c:pt idx="1268">
                  <c:v>250.5204990674343</c:v>
                </c:pt>
                <c:pt idx="1269">
                  <c:v>250.1154218942474</c:v>
                </c:pt>
                <c:pt idx="1270">
                  <c:v>248.7155307901129</c:v>
                </c:pt>
                <c:pt idx="1271">
                  <c:v>249.2603962728266</c:v>
                </c:pt>
                <c:pt idx="1272">
                  <c:v>244.9617126771006</c:v>
                </c:pt>
                <c:pt idx="1273">
                  <c:v>242.3289813602715</c:v>
                </c:pt>
                <c:pt idx="1274">
                  <c:v>244.0185663589007</c:v>
                </c:pt>
                <c:pt idx="1275">
                  <c:v>244.4186235099222</c:v>
                </c:pt>
                <c:pt idx="1276">
                  <c:v>241.0811583121913</c:v>
                </c:pt>
                <c:pt idx="1277">
                  <c:v>238.3993852403625</c:v>
                </c:pt>
                <c:pt idx="1278">
                  <c:v>236.9224947193229</c:v>
                </c:pt>
                <c:pt idx="1279">
                  <c:v>237.2427721334708</c:v>
                </c:pt>
                <c:pt idx="1280">
                  <c:v>236.4230411294278</c:v>
                </c:pt>
                <c:pt idx="1281">
                  <c:v>233.1912280904994</c:v>
                </c:pt>
                <c:pt idx="1282">
                  <c:v>238.4787015905747</c:v>
                </c:pt>
                <c:pt idx="1283">
                  <c:v>240.7591818136182</c:v>
                </c:pt>
                <c:pt idx="1284">
                  <c:v>238.6359441310149</c:v>
                </c:pt>
                <c:pt idx="1285">
                  <c:v>245.7522503214745</c:v>
                </c:pt>
                <c:pt idx="1286">
                  <c:v>245.8066982541907</c:v>
                </c:pt>
                <c:pt idx="1287">
                  <c:v>249.4426616929831</c:v>
                </c:pt>
                <c:pt idx="1288">
                  <c:v>249.7427045562494</c:v>
                </c:pt>
                <c:pt idx="1289">
                  <c:v>249.8435683862173</c:v>
                </c:pt>
                <c:pt idx="1290">
                  <c:v>246.931723836996</c:v>
                </c:pt>
                <c:pt idx="1291">
                  <c:v>247.531346176867</c:v>
                </c:pt>
                <c:pt idx="1292">
                  <c:v>249.2409340330472</c:v>
                </c:pt>
                <c:pt idx="1293">
                  <c:v>246.8738005043192</c:v>
                </c:pt>
                <c:pt idx="1294">
                  <c:v>244.8725879758885</c:v>
                </c:pt>
                <c:pt idx="1295">
                  <c:v>246.6149218228087</c:v>
                </c:pt>
                <c:pt idx="1296">
                  <c:v>250.570158671316</c:v>
                </c:pt>
                <c:pt idx="1297">
                  <c:v>253.3695547240339</c:v>
                </c:pt>
                <c:pt idx="1298">
                  <c:v>251.1094635140927</c:v>
                </c:pt>
                <c:pt idx="1299">
                  <c:v>252.7226669446987</c:v>
                </c:pt>
                <c:pt idx="1300">
                  <c:v>253.1490599043107</c:v>
                </c:pt>
                <c:pt idx="1301">
                  <c:v>255.3282129107247</c:v>
                </c:pt>
                <c:pt idx="1302">
                  <c:v>255.5890996011013</c:v>
                </c:pt>
                <c:pt idx="1303">
                  <c:v>254.5099492977762</c:v>
                </c:pt>
                <c:pt idx="1304">
                  <c:v>250.3020122565772</c:v>
                </c:pt>
                <c:pt idx="1305">
                  <c:v>252.3724238597792</c:v>
                </c:pt>
                <c:pt idx="1306">
                  <c:v>253.232006116704</c:v>
                </c:pt>
                <c:pt idx="1307">
                  <c:v>253.3198178890421</c:v>
                </c:pt>
                <c:pt idx="1308">
                  <c:v>254.1098149156443</c:v>
                </c:pt>
                <c:pt idx="1309">
                  <c:v>253.278190320625</c:v>
                </c:pt>
                <c:pt idx="1310">
                  <c:v>250.9054189208497</c:v>
                </c:pt>
                <c:pt idx="1311">
                  <c:v>245.889644466584</c:v>
                </c:pt>
                <c:pt idx="1312">
                  <c:v>242.4960322517117</c:v>
                </c:pt>
                <c:pt idx="1313">
                  <c:v>243.6104771724146</c:v>
                </c:pt>
                <c:pt idx="1314">
                  <c:v>248.2095125558478</c:v>
                </c:pt>
                <c:pt idx="1315">
                  <c:v>246.871097415461</c:v>
                </c:pt>
                <c:pt idx="1316">
                  <c:v>244.4876681224731</c:v>
                </c:pt>
                <c:pt idx="1317">
                  <c:v>246.1282885972127</c:v>
                </c:pt>
                <c:pt idx="1318">
                  <c:v>248.2208655290524</c:v>
                </c:pt>
                <c:pt idx="1319">
                  <c:v>245.88176689334</c:v>
                </c:pt>
                <c:pt idx="1320">
                  <c:v>249.9488343894688</c:v>
                </c:pt>
                <c:pt idx="1321">
                  <c:v>251.4623324567602</c:v>
                </c:pt>
                <c:pt idx="1322">
                  <c:v>249.5816004602974</c:v>
                </c:pt>
                <c:pt idx="1323">
                  <c:v>252.2449925278901</c:v>
                </c:pt>
                <c:pt idx="1324">
                  <c:v>252.0217173881983</c:v>
                </c:pt>
                <c:pt idx="1325">
                  <c:v>250.8770751033932</c:v>
                </c:pt>
                <c:pt idx="1326">
                  <c:v>248.3918552071145</c:v>
                </c:pt>
                <c:pt idx="1327">
                  <c:v>244.8109575499203</c:v>
                </c:pt>
                <c:pt idx="1328">
                  <c:v>246.5967725119032</c:v>
                </c:pt>
                <c:pt idx="1329">
                  <c:v>248.0345068600534</c:v>
                </c:pt>
                <c:pt idx="1330">
                  <c:v>247.2208771137189</c:v>
                </c:pt>
                <c:pt idx="1331">
                  <c:v>250.4404104061198</c:v>
                </c:pt>
                <c:pt idx="1332">
                  <c:v>249.5191204921167</c:v>
                </c:pt>
                <c:pt idx="1333">
                  <c:v>248.0577534242344</c:v>
                </c:pt>
                <c:pt idx="1334">
                  <c:v>248.7617149940339</c:v>
                </c:pt>
                <c:pt idx="1335">
                  <c:v>248.0925846549507</c:v>
                </c:pt>
                <c:pt idx="1336">
                  <c:v>247.2346242513409</c:v>
                </c:pt>
                <c:pt idx="1337">
                  <c:v>247.4257712491746</c:v>
                </c:pt>
                <c:pt idx="1338">
                  <c:v>248.1227820190529</c:v>
                </c:pt>
                <c:pt idx="1339">
                  <c:v>247.5949846117013</c:v>
                </c:pt>
                <c:pt idx="1340">
                  <c:v>247.6323644690555</c:v>
                </c:pt>
                <c:pt idx="1341">
                  <c:v>245.0737750180528</c:v>
                </c:pt>
                <c:pt idx="1342">
                  <c:v>244.2902654047103</c:v>
                </c:pt>
                <c:pt idx="1343">
                  <c:v>244.850499878361</c:v>
                </c:pt>
                <c:pt idx="1344">
                  <c:v>244.5649764638191</c:v>
                </c:pt>
                <c:pt idx="1345">
                  <c:v>243.7813896193665</c:v>
                </c:pt>
                <c:pt idx="1346">
                  <c:v>243.1915756304955</c:v>
                </c:pt>
                <c:pt idx="1347">
                  <c:v>244.1866984858841</c:v>
                </c:pt>
                <c:pt idx="1348">
                  <c:v>245.3623104458938</c:v>
                </c:pt>
                <c:pt idx="1349">
                  <c:v>245.3197561041539</c:v>
                </c:pt>
                <c:pt idx="1350">
                  <c:v>244.4822619447566</c:v>
                </c:pt>
                <c:pt idx="1351">
                  <c:v>242.3275139691771</c:v>
                </c:pt>
                <c:pt idx="1352">
                  <c:v>240.5376829894618</c:v>
                </c:pt>
                <c:pt idx="1353">
                  <c:v>237.7738904785626</c:v>
                </c:pt>
                <c:pt idx="1354">
                  <c:v>233.750767484158</c:v>
                </c:pt>
                <c:pt idx="1355">
                  <c:v>237.2249317470064</c:v>
                </c:pt>
                <c:pt idx="1356">
                  <c:v>240.8172596085155</c:v>
                </c:pt>
                <c:pt idx="1357">
                  <c:v>241.7196279005109</c:v>
                </c:pt>
                <c:pt idx="1358">
                  <c:v>240.2852144901009</c:v>
                </c:pt>
                <c:pt idx="1359">
                  <c:v>238.6060556913536</c:v>
                </c:pt>
                <c:pt idx="1360">
                  <c:v>242.535111193491</c:v>
                </c:pt>
                <c:pt idx="1361">
                  <c:v>242.4965728694833</c:v>
                </c:pt>
                <c:pt idx="1362">
                  <c:v>243.8495074585945</c:v>
                </c:pt>
                <c:pt idx="1363">
                  <c:v>242.0822279630681</c:v>
                </c:pt>
                <c:pt idx="1364">
                  <c:v>242.6576769654352</c:v>
                </c:pt>
                <c:pt idx="1365">
                  <c:v>245.7232114240258</c:v>
                </c:pt>
                <c:pt idx="1366">
                  <c:v>244.7670130481961</c:v>
                </c:pt>
                <c:pt idx="1367">
                  <c:v>243.741924522036</c:v>
                </c:pt>
                <c:pt idx="1368">
                  <c:v>243.4157003123999</c:v>
                </c:pt>
                <c:pt idx="1369">
                  <c:v>244.5302224642131</c:v>
                </c:pt>
                <c:pt idx="1370">
                  <c:v>242.4205774570112</c:v>
                </c:pt>
                <c:pt idx="1371">
                  <c:v>242.9417329888826</c:v>
                </c:pt>
                <c:pt idx="1372">
                  <c:v>241.9488498356908</c:v>
                </c:pt>
                <c:pt idx="1373">
                  <c:v>238.0106038314354</c:v>
                </c:pt>
                <c:pt idx="1374">
                  <c:v>236.4015708807822</c:v>
                </c:pt>
                <c:pt idx="1375">
                  <c:v>236.6203666160803</c:v>
                </c:pt>
                <c:pt idx="1376">
                  <c:v>235.0212192475373</c:v>
                </c:pt>
                <c:pt idx="1377">
                  <c:v>233.1343087622556</c:v>
                </c:pt>
                <c:pt idx="1378">
                  <c:v>231.3522781246742</c:v>
                </c:pt>
                <c:pt idx="1379">
                  <c:v>232.7265285002105</c:v>
                </c:pt>
                <c:pt idx="1380">
                  <c:v>233.7217285867093</c:v>
                </c:pt>
                <c:pt idx="1381">
                  <c:v>232.6058935060221</c:v>
                </c:pt>
                <c:pt idx="1382">
                  <c:v>235.0873290778991</c:v>
                </c:pt>
                <c:pt idx="1383">
                  <c:v>232.315041144874</c:v>
                </c:pt>
                <c:pt idx="1384">
                  <c:v>231.7171178894283</c:v>
                </c:pt>
                <c:pt idx="1385">
                  <c:v>233.0607075142009</c:v>
                </c:pt>
                <c:pt idx="1386">
                  <c:v>232.2029788039218</c:v>
                </c:pt>
                <c:pt idx="1387">
                  <c:v>233.6344574321428</c:v>
                </c:pt>
                <c:pt idx="1388">
                  <c:v>233.758953981843</c:v>
                </c:pt>
                <c:pt idx="1389">
                  <c:v>229.9876816379174</c:v>
                </c:pt>
                <c:pt idx="1390">
                  <c:v>229.7402331607218</c:v>
                </c:pt>
                <c:pt idx="1391">
                  <c:v>228.9747183960643</c:v>
                </c:pt>
                <c:pt idx="1392">
                  <c:v>228.017979402463</c:v>
                </c:pt>
                <c:pt idx="1393">
                  <c:v>229.3607967161332</c:v>
                </c:pt>
                <c:pt idx="1394">
                  <c:v>228.3649787807525</c:v>
                </c:pt>
                <c:pt idx="1395">
                  <c:v>226.2483057425192</c:v>
                </c:pt>
                <c:pt idx="1396">
                  <c:v>226.0302050872133</c:v>
                </c:pt>
                <c:pt idx="1397">
                  <c:v>227.4922672350876</c:v>
                </c:pt>
                <c:pt idx="1398">
                  <c:v>224.5095245266698</c:v>
                </c:pt>
                <c:pt idx="1399">
                  <c:v>223.7576024374139</c:v>
                </c:pt>
                <c:pt idx="1400">
                  <c:v>223.6568158385561</c:v>
                </c:pt>
                <c:pt idx="1401">
                  <c:v>221.7673567266366</c:v>
                </c:pt>
                <c:pt idx="1402">
                  <c:v>221.8287554592741</c:v>
                </c:pt>
                <c:pt idx="1403">
                  <c:v>221.8443561435417</c:v>
                </c:pt>
                <c:pt idx="1404">
                  <c:v>221.737699980306</c:v>
                </c:pt>
                <c:pt idx="1405">
                  <c:v>219.4410784552233</c:v>
                </c:pt>
                <c:pt idx="1406">
                  <c:v>219.8378146685048</c:v>
                </c:pt>
                <c:pt idx="1407">
                  <c:v>220.1247282430309</c:v>
                </c:pt>
                <c:pt idx="1408">
                  <c:v>220.1255777852435</c:v>
                </c:pt>
                <c:pt idx="1409">
                  <c:v>220.0417820306376</c:v>
                </c:pt>
                <c:pt idx="1410">
                  <c:v>216.9197916304646</c:v>
                </c:pt>
                <c:pt idx="1411">
                  <c:v>216.1307213771852</c:v>
                </c:pt>
                <c:pt idx="1412">
                  <c:v>215.560833014755</c:v>
                </c:pt>
                <c:pt idx="1413">
                  <c:v>213.6621061696073</c:v>
                </c:pt>
                <c:pt idx="1414">
                  <c:v>216.0972803064531</c:v>
                </c:pt>
                <c:pt idx="1415">
                  <c:v>215.8060417897537</c:v>
                </c:pt>
                <c:pt idx="1416">
                  <c:v>215.0189795453405</c:v>
                </c:pt>
                <c:pt idx="1417">
                  <c:v>216.0869313376814</c:v>
                </c:pt>
                <c:pt idx="1418">
                  <c:v>210.4846638322849</c:v>
                </c:pt>
                <c:pt idx="1419">
                  <c:v>209.6206794020767</c:v>
                </c:pt>
                <c:pt idx="1420">
                  <c:v>206.5075705795809</c:v>
                </c:pt>
                <c:pt idx="1421">
                  <c:v>207.543780385615</c:v>
                </c:pt>
                <c:pt idx="1422">
                  <c:v>204.4343786564104</c:v>
                </c:pt>
                <c:pt idx="1423">
                  <c:v>209.0625301684024</c:v>
                </c:pt>
                <c:pt idx="1424">
                  <c:v>211.3174468939578</c:v>
                </c:pt>
                <c:pt idx="1425">
                  <c:v>208.4439089754135</c:v>
                </c:pt>
                <c:pt idx="1426">
                  <c:v>209.6728104014859</c:v>
                </c:pt>
                <c:pt idx="1427">
                  <c:v>210.7412255804884</c:v>
                </c:pt>
                <c:pt idx="1428">
                  <c:v>213.7813510038114</c:v>
                </c:pt>
                <c:pt idx="1429">
                  <c:v>213.0272664434687</c:v>
                </c:pt>
                <c:pt idx="1430">
                  <c:v>212.5881303506678</c:v>
                </c:pt>
                <c:pt idx="1431">
                  <c:v>212.1318489513946</c:v>
                </c:pt>
                <c:pt idx="1432">
                  <c:v>212.0902213829775</c:v>
                </c:pt>
                <c:pt idx="1433">
                  <c:v>215.6114966230697</c:v>
                </c:pt>
                <c:pt idx="1434">
                  <c:v>218.4259527422836</c:v>
                </c:pt>
                <c:pt idx="1435">
                  <c:v>220.3239845074393</c:v>
                </c:pt>
                <c:pt idx="1436">
                  <c:v>220.4211412441159</c:v>
                </c:pt>
                <c:pt idx="1437">
                  <c:v>221.0908122009708</c:v>
                </c:pt>
                <c:pt idx="1438">
                  <c:v>223.0680830852284</c:v>
                </c:pt>
                <c:pt idx="1439">
                  <c:v>218.9904349269973</c:v>
                </c:pt>
                <c:pt idx="1440">
                  <c:v>220.4953603410526</c:v>
                </c:pt>
                <c:pt idx="1441">
                  <c:v>219.0834984148315</c:v>
                </c:pt>
                <c:pt idx="1442">
                  <c:v>219.8111699354734</c:v>
                </c:pt>
                <c:pt idx="1443">
                  <c:v>220.1009410610782</c:v>
                </c:pt>
                <c:pt idx="1444">
                  <c:v>219.5230206631835</c:v>
                </c:pt>
                <c:pt idx="1445">
                  <c:v>218.3634727741028</c:v>
                </c:pt>
                <c:pt idx="1446">
                  <c:v>214.9613651371046</c:v>
                </c:pt>
                <c:pt idx="1447">
                  <c:v>211.2240744816827</c:v>
                </c:pt>
                <c:pt idx="1448">
                  <c:v>211.0706934967544</c:v>
                </c:pt>
                <c:pt idx="1449">
                  <c:v>212.6159335503528</c:v>
                </c:pt>
                <c:pt idx="1450">
                  <c:v>212.1900039774022</c:v>
                </c:pt>
                <c:pt idx="1451">
                  <c:v>211.9505103045609</c:v>
                </c:pt>
                <c:pt idx="1452">
                  <c:v>212.3541973177635</c:v>
                </c:pt>
                <c:pt idx="1453">
                  <c:v>210.0092291176732</c:v>
                </c:pt>
                <c:pt idx="1454">
                  <c:v>210.6270779995598</c:v>
                </c:pt>
                <c:pt idx="1455">
                  <c:v>208.996574800261</c:v>
                </c:pt>
                <c:pt idx="1456">
                  <c:v>207.4035286894267</c:v>
                </c:pt>
                <c:pt idx="1457">
                  <c:v>206.3914149897862</c:v>
                </c:pt>
                <c:pt idx="1458">
                  <c:v>202.2116673038233</c:v>
                </c:pt>
                <c:pt idx="1459">
                  <c:v>203.2302684167236</c:v>
                </c:pt>
                <c:pt idx="1460">
                  <c:v>200.8744878612002</c:v>
                </c:pt>
                <c:pt idx="1461">
                  <c:v>202.7997822082691</c:v>
                </c:pt>
                <c:pt idx="1462">
                  <c:v>206.1970242853226</c:v>
                </c:pt>
                <c:pt idx="1463">
                  <c:v>210.7615373624804</c:v>
                </c:pt>
                <c:pt idx="1464">
                  <c:v>210.5171008985839</c:v>
                </c:pt>
                <c:pt idx="1465">
                  <c:v>211.718662511633</c:v>
                </c:pt>
                <c:pt idx="1466">
                  <c:v>213.2961851693099</c:v>
                </c:pt>
                <c:pt idx="1467">
                  <c:v>215.6100292319752</c:v>
                </c:pt>
                <c:pt idx="1468">
                  <c:v>216.4736275066323</c:v>
                </c:pt>
                <c:pt idx="1469">
                  <c:v>214.4066913033909</c:v>
                </c:pt>
                <c:pt idx="1470">
                  <c:v>214.6949950379012</c:v>
                </c:pt>
                <c:pt idx="1471">
                  <c:v>213.7967199947483</c:v>
                </c:pt>
                <c:pt idx="1472">
                  <c:v>211.969200233238</c:v>
                </c:pt>
                <c:pt idx="1473">
                  <c:v>207.3591208010411</c:v>
                </c:pt>
                <c:pt idx="1474">
                  <c:v>209.557890509455</c:v>
                </c:pt>
                <c:pt idx="1475">
                  <c:v>205.8275506539544</c:v>
                </c:pt>
                <c:pt idx="1476">
                  <c:v>200.9531091314203</c:v>
                </c:pt>
                <c:pt idx="1477">
                  <c:v>202.2943045917756</c:v>
                </c:pt>
                <c:pt idx="1478">
                  <c:v>205.1114637998479</c:v>
                </c:pt>
                <c:pt idx="1479">
                  <c:v>209.5726416515101</c:v>
                </c:pt>
                <c:pt idx="1480">
                  <c:v>210.4401787127891</c:v>
                </c:pt>
                <c:pt idx="1481">
                  <c:v>210.9109023296765</c:v>
                </c:pt>
                <c:pt idx="1482">
                  <c:v>209.646629055116</c:v>
                </c:pt>
                <c:pt idx="1483">
                  <c:v>210.0896267034287</c:v>
                </c:pt>
                <c:pt idx="1484">
                  <c:v>211.997389588474</c:v>
                </c:pt>
                <c:pt idx="1485">
                  <c:v>208.8909226414584</c:v>
                </c:pt>
                <c:pt idx="1486">
                  <c:v>202.1898108996266</c:v>
                </c:pt>
                <c:pt idx="1487">
                  <c:v>206.8078451361777</c:v>
                </c:pt>
                <c:pt idx="1488">
                  <c:v>202.7950711105448</c:v>
                </c:pt>
                <c:pt idx="1489">
                  <c:v>203.4075138147148</c:v>
                </c:pt>
                <c:pt idx="1490">
                  <c:v>209.875850990296</c:v>
                </c:pt>
                <c:pt idx="1491">
                  <c:v>212.9557504353904</c:v>
                </c:pt>
                <c:pt idx="1492">
                  <c:v>210.8929847121018</c:v>
                </c:pt>
                <c:pt idx="1493">
                  <c:v>211.1680046956515</c:v>
                </c:pt>
                <c:pt idx="1494">
                  <c:v>216.5703208566475</c:v>
                </c:pt>
                <c:pt idx="1495">
                  <c:v>217.6235987380437</c:v>
                </c:pt>
                <c:pt idx="1496">
                  <c:v>212.493522240629</c:v>
                </c:pt>
                <c:pt idx="1497">
                  <c:v>213.6336851210405</c:v>
                </c:pt>
                <c:pt idx="1498">
                  <c:v>204.7788294080622</c:v>
                </c:pt>
                <c:pt idx="1499">
                  <c:v>212.4846406629519</c:v>
                </c:pt>
                <c:pt idx="1500">
                  <c:v>213.2866857427509</c:v>
                </c:pt>
                <c:pt idx="1501">
                  <c:v>215.7516710881477</c:v>
                </c:pt>
                <c:pt idx="1503">
                  <c:v>221.1190015562069</c:v>
                </c:pt>
                <c:pt idx="1504">
                  <c:v>221.1571537246633</c:v>
                </c:pt>
                <c:pt idx="1505">
                  <c:v>221.778941393172</c:v>
                </c:pt>
                <c:pt idx="1506">
                  <c:v>220.3000428632662</c:v>
                </c:pt>
                <c:pt idx="1507">
                  <c:v>226.3602908523611</c:v>
                </c:pt>
                <c:pt idx="1508">
                  <c:v>223.4404142676753</c:v>
                </c:pt>
                <c:pt idx="1509">
                  <c:v>222.5981317794434</c:v>
                </c:pt>
                <c:pt idx="1510">
                  <c:v>223.4974108270293</c:v>
                </c:pt>
                <c:pt idx="1511">
                  <c:v>224.066449647247</c:v>
                </c:pt>
                <c:pt idx="1512">
                  <c:v>221.8928572807699</c:v>
                </c:pt>
                <c:pt idx="1513">
                  <c:v>224.390356923576</c:v>
                </c:pt>
                <c:pt idx="1514">
                  <c:v>228.3345497233195</c:v>
                </c:pt>
                <c:pt idx="1515">
                  <c:v>227.8294582623773</c:v>
                </c:pt>
                <c:pt idx="1516">
                  <c:v>223.5209663156513</c:v>
                </c:pt>
                <c:pt idx="1517">
                  <c:v>225.5927680788375</c:v>
                </c:pt>
                <c:pt idx="1518">
                  <c:v>226.7312318748238</c:v>
                </c:pt>
                <c:pt idx="1519">
                  <c:v>224.2048477967895</c:v>
                </c:pt>
                <c:pt idx="1520">
                  <c:v>226.0181570340164</c:v>
                </c:pt>
                <c:pt idx="1521">
                  <c:v>226.8103165317053</c:v>
                </c:pt>
                <c:pt idx="1522">
                  <c:v>224.1248363665852</c:v>
                </c:pt>
                <c:pt idx="1523">
                  <c:v>222.0205975371</c:v>
                </c:pt>
                <c:pt idx="1524">
                  <c:v>221.9256032715098</c:v>
                </c:pt>
                <c:pt idx="1525">
                  <c:v>221.6982348829755</c:v>
                </c:pt>
                <c:pt idx="1526">
                  <c:v>220.7531577870198</c:v>
                </c:pt>
                <c:pt idx="1527">
                  <c:v>220.5375285272413</c:v>
                </c:pt>
                <c:pt idx="1528">
                  <c:v>219.3493278962632</c:v>
                </c:pt>
                <c:pt idx="1529">
                  <c:v>219.7303089630565</c:v>
                </c:pt>
                <c:pt idx="1530">
                  <c:v>220.449639523793</c:v>
                </c:pt>
                <c:pt idx="1531">
                  <c:v>222.4730173808614</c:v>
                </c:pt>
                <c:pt idx="1532">
                  <c:v>220.3476172271714</c:v>
                </c:pt>
                <c:pt idx="1533">
                  <c:v>218.1978892737573</c:v>
                </c:pt>
                <c:pt idx="1534">
                  <c:v>216.5009673196557</c:v>
                </c:pt>
                <c:pt idx="1535">
                  <c:v>218.2736529928986</c:v>
                </c:pt>
                <c:pt idx="1536">
                  <c:v>215.5630727169518</c:v>
                </c:pt>
                <c:pt idx="1537">
                  <c:v>216.924193803748</c:v>
                </c:pt>
                <c:pt idx="1538">
                  <c:v>215.4604325714484</c:v>
                </c:pt>
                <c:pt idx="1539">
                  <c:v>217.1483184856524</c:v>
                </c:pt>
                <c:pt idx="1540">
                  <c:v>215.510710024212</c:v>
                </c:pt>
                <c:pt idx="1541">
                  <c:v>214.5024578800832</c:v>
                </c:pt>
                <c:pt idx="1542">
                  <c:v>213.8039024880003</c:v>
                </c:pt>
                <c:pt idx="1543">
                  <c:v>211.3963770886188</c:v>
                </c:pt>
                <c:pt idx="1544">
                  <c:v>208.7249529855617</c:v>
                </c:pt>
                <c:pt idx="1545">
                  <c:v>206.7060545328869</c:v>
                </c:pt>
                <c:pt idx="1546">
                  <c:v>206.4530454157544</c:v>
                </c:pt>
                <c:pt idx="1547">
                  <c:v>208.0071670470299</c:v>
                </c:pt>
                <c:pt idx="1548">
                  <c:v>208.9526302985369</c:v>
                </c:pt>
                <c:pt idx="1549">
                  <c:v>210.7185968651892</c:v>
                </c:pt>
                <c:pt idx="1550">
                  <c:v>209.0578963017883</c:v>
                </c:pt>
                <c:pt idx="1551">
                  <c:v>210.6909481277248</c:v>
                </c:pt>
                <c:pt idx="1552">
                  <c:v>210.0113143576495</c:v>
                </c:pt>
                <c:pt idx="1553">
                  <c:v>208.0590663531084</c:v>
                </c:pt>
                <c:pt idx="1554">
                  <c:v>206.2175677606454</c:v>
                </c:pt>
                <c:pt idx="1555">
                  <c:v>202.8275081768438</c:v>
                </c:pt>
                <c:pt idx="1556">
                  <c:v>203.5086093380135</c:v>
                </c:pt>
                <c:pt idx="1557">
                  <c:v>203.5747963994856</c:v>
                </c:pt>
                <c:pt idx="1558">
                  <c:v>204.3156744399779</c:v>
                </c:pt>
                <c:pt idx="1559">
                  <c:v>201.124948351695</c:v>
                </c:pt>
                <c:pt idx="1560">
                  <c:v>199.2026660179254</c:v>
                </c:pt>
                <c:pt idx="1561">
                  <c:v>203.2596162386132</c:v>
                </c:pt>
                <c:pt idx="1562">
                  <c:v>207.9560400520537</c:v>
                </c:pt>
                <c:pt idx="1563">
                  <c:v>207.0739835420504</c:v>
                </c:pt>
                <c:pt idx="1564">
                  <c:v>204.5657487749215</c:v>
                </c:pt>
                <c:pt idx="1565">
                  <c:v>206.0213235095361</c:v>
                </c:pt>
                <c:pt idx="1566">
                  <c:v>206.9430768102007</c:v>
                </c:pt>
                <c:pt idx="1567">
                  <c:v>206.9958256584918</c:v>
                </c:pt>
                <c:pt idx="1568">
                  <c:v>205.8367411560725</c:v>
                </c:pt>
                <c:pt idx="1569">
                  <c:v>209.1421554430556</c:v>
                </c:pt>
                <c:pt idx="1570">
                  <c:v>209.0124071778594</c:v>
                </c:pt>
                <c:pt idx="1571">
                  <c:v>212.3071635716299</c:v>
                </c:pt>
                <c:pt idx="1572">
                  <c:v>215.4882357711334</c:v>
                </c:pt>
                <c:pt idx="1573">
                  <c:v>216.9163934616142</c:v>
                </c:pt>
                <c:pt idx="1574">
                  <c:v>217.0171028293618</c:v>
                </c:pt>
                <c:pt idx="1575">
                  <c:v>215.7004668620614</c:v>
                </c:pt>
                <c:pt idx="1576">
                  <c:v>217.3422458034545</c:v>
                </c:pt>
                <c:pt idx="1577">
                  <c:v>216.7645570988906</c:v>
                </c:pt>
                <c:pt idx="1578">
                  <c:v>216.6925777041508</c:v>
                </c:pt>
                <c:pt idx="1579">
                  <c:v>218.9253291010685</c:v>
                </c:pt>
                <c:pt idx="1580">
                  <c:v>218.3056266725362</c:v>
                </c:pt>
                <c:pt idx="1581">
                  <c:v>216.3846572676406</c:v>
                </c:pt>
                <c:pt idx="1582">
                  <c:v>216.8677378621657</c:v>
                </c:pt>
                <c:pt idx="1583">
                  <c:v>216.2383815448539</c:v>
                </c:pt>
                <c:pt idx="1584">
                  <c:v>215.4376493939289</c:v>
                </c:pt>
                <c:pt idx="1585">
                  <c:v>213.6710649783946</c:v>
                </c:pt>
                <c:pt idx="1586">
                  <c:v>212.1944061506856</c:v>
                </c:pt>
                <c:pt idx="1587">
                  <c:v>213.5842572104895</c:v>
                </c:pt>
                <c:pt idx="1588">
                  <c:v>215.3891482567008</c:v>
                </c:pt>
                <c:pt idx="1589">
                  <c:v>213.0051011148311</c:v>
                </c:pt>
                <c:pt idx="1590">
                  <c:v>213.2190312901843</c:v>
                </c:pt>
                <c:pt idx="1591">
                  <c:v>213.3272320756247</c:v>
                </c:pt>
                <c:pt idx="1592">
                  <c:v>212.3501813000313</c:v>
                </c:pt>
                <c:pt idx="1593">
                  <c:v>211.1961940508876</c:v>
                </c:pt>
                <c:pt idx="1594">
                  <c:v>209.528079300904</c:v>
                </c:pt>
                <c:pt idx="1595">
                  <c:v>209.2843379169997</c:v>
                </c:pt>
                <c:pt idx="1596">
                  <c:v>210.3833366156555</c:v>
                </c:pt>
                <c:pt idx="1597">
                  <c:v>209.364967196086</c:v>
                </c:pt>
                <c:pt idx="1598">
                  <c:v>207.76157211648</c:v>
                </c:pt>
                <c:pt idx="1599">
                  <c:v>206.4392210470222</c:v>
                </c:pt>
                <c:pt idx="1600">
                  <c:v>208.453871788634</c:v>
                </c:pt>
                <c:pt idx="1601">
                  <c:v>209.6399099485255</c:v>
                </c:pt>
                <c:pt idx="1602">
                  <c:v>211.5384051003425</c:v>
                </c:pt>
                <c:pt idx="1603">
                  <c:v>210.9497495781251</c:v>
                </c:pt>
                <c:pt idx="1604">
                  <c:v>211.8430818302228</c:v>
                </c:pt>
                <c:pt idx="1605">
                  <c:v>210.6671609457722</c:v>
                </c:pt>
                <c:pt idx="1606">
                  <c:v>207.7110629703857</c:v>
                </c:pt>
                <c:pt idx="1607">
                  <c:v>207.0468754223577</c:v>
                </c:pt>
                <c:pt idx="1608">
                  <c:v>208.721786510042</c:v>
                </c:pt>
                <c:pt idx="1609">
                  <c:v>212.3024524739056</c:v>
                </c:pt>
                <c:pt idx="1610">
                  <c:v>211.4397809725714</c:v>
                </c:pt>
                <c:pt idx="1611">
                  <c:v>211.7945034618845</c:v>
                </c:pt>
                <c:pt idx="1612">
                  <c:v>207.9775875318095</c:v>
                </c:pt>
                <c:pt idx="1613">
                  <c:v>208.9812830404343</c:v>
                </c:pt>
                <c:pt idx="1614">
                  <c:v>210.1507937427355</c:v>
                </c:pt>
                <c:pt idx="1615">
                  <c:v>210.4269721929388</c:v>
                </c:pt>
                <c:pt idx="1616">
                  <c:v>209.3294408853775</c:v>
                </c:pt>
                <c:pt idx="1617">
                  <c:v>206.170302321181</c:v>
                </c:pt>
                <c:pt idx="1618">
                  <c:v>206.1142325351498</c:v>
                </c:pt>
                <c:pt idx="1619">
                  <c:v>205.9177565907099</c:v>
                </c:pt>
                <c:pt idx="1620">
                  <c:v>203.7042357402409</c:v>
                </c:pt>
                <c:pt idx="1621">
                  <c:v>203.4654371473917</c:v>
                </c:pt>
                <c:pt idx="1622">
                  <c:v>200.2869135745261</c:v>
                </c:pt>
                <c:pt idx="1623">
                  <c:v>200.0115846665354</c:v>
                </c:pt>
                <c:pt idx="1624">
                  <c:v>200.2177917308651</c:v>
                </c:pt>
                <c:pt idx="1625">
                  <c:v>198.9133582789819</c:v>
                </c:pt>
                <c:pt idx="1626">
                  <c:v>201.671512918834</c:v>
                </c:pt>
                <c:pt idx="1627">
                  <c:v>203.5854542926982</c:v>
                </c:pt>
                <c:pt idx="1628">
                  <c:v>205.044041040612</c:v>
                </c:pt>
                <c:pt idx="1629">
                  <c:v>201.2370879237575</c:v>
                </c:pt>
                <c:pt idx="1630">
                  <c:v>204.8070187632983</c:v>
                </c:pt>
                <c:pt idx="1631">
                  <c:v>207.8295354934875</c:v>
                </c:pt>
                <c:pt idx="1632">
                  <c:v>206.9953622718303</c:v>
                </c:pt>
                <c:pt idx="1633">
                  <c:v>206.4533543401953</c:v>
                </c:pt>
                <c:pt idx="1634">
                  <c:v>205.1617412526114</c:v>
                </c:pt>
                <c:pt idx="1635">
                  <c:v>204.2301796009469</c:v>
                </c:pt>
                <c:pt idx="1636">
                  <c:v>204.0836721848295</c:v>
                </c:pt>
                <c:pt idx="1637">
                  <c:v>200.7827373022401</c:v>
                </c:pt>
                <c:pt idx="1638">
                  <c:v>202.2115128416029</c:v>
                </c:pt>
                <c:pt idx="1639">
                  <c:v>201.2365473059858</c:v>
                </c:pt>
                <c:pt idx="1640">
                  <c:v>198.2544996775601</c:v>
                </c:pt>
                <c:pt idx="1641">
                  <c:v>197.9445712321838</c:v>
                </c:pt>
                <c:pt idx="1642">
                  <c:v>196.0129439340755</c:v>
                </c:pt>
                <c:pt idx="1643">
                  <c:v>197.158667454424</c:v>
                </c:pt>
                <c:pt idx="1644">
                  <c:v>195.3867540922835</c:v>
                </c:pt>
                <c:pt idx="1645">
                  <c:v>193.230075338948</c:v>
                </c:pt>
                <c:pt idx="1646">
                  <c:v>190.463734201411</c:v>
                </c:pt>
                <c:pt idx="1647">
                  <c:v>189.3688287515977</c:v>
                </c:pt>
                <c:pt idx="1648">
                  <c:v>192.8219089213517</c:v>
                </c:pt>
                <c:pt idx="1649">
                  <c:v>192.3892602418106</c:v>
                </c:pt>
                <c:pt idx="1650">
                  <c:v>191.9587740333561</c:v>
                </c:pt>
                <c:pt idx="1651">
                  <c:v>193.0311279989805</c:v>
                </c:pt>
                <c:pt idx="1652">
                  <c:v>192.651691554392</c:v>
                </c:pt>
                <c:pt idx="1653">
                  <c:v>195.8807242733518</c:v>
                </c:pt>
                <c:pt idx="1654">
                  <c:v>196.6003637585292</c:v>
                </c:pt>
                <c:pt idx="1655">
                  <c:v>195.7085761286361</c:v>
                </c:pt>
                <c:pt idx="1656">
                  <c:v>199.1948656757915</c:v>
                </c:pt>
                <c:pt idx="1657">
                  <c:v>200.1889845267471</c:v>
                </c:pt>
                <c:pt idx="1658">
                  <c:v>197.5475260944614</c:v>
                </c:pt>
                <c:pt idx="1659">
                  <c:v>194.7580156238536</c:v>
                </c:pt>
                <c:pt idx="1660">
                  <c:v>194.3463738062966</c:v>
                </c:pt>
                <c:pt idx="1661">
                  <c:v>197.4597915532335</c:v>
                </c:pt>
                <c:pt idx="1662">
                  <c:v>195.5171974374718</c:v>
                </c:pt>
                <c:pt idx="1663">
                  <c:v>193.7413452887092</c:v>
                </c:pt>
                <c:pt idx="1664">
                  <c:v>194.8244343786564</c:v>
                </c:pt>
                <c:pt idx="1665">
                  <c:v>193.2394203032866</c:v>
                </c:pt>
                <c:pt idx="1666">
                  <c:v>190.9088943208103</c:v>
                </c:pt>
                <c:pt idx="1667">
                  <c:v>190.1667805825543</c:v>
                </c:pt>
                <c:pt idx="1668">
                  <c:v>189.4958739279357</c:v>
                </c:pt>
                <c:pt idx="1669">
                  <c:v>191.6273753393342</c:v>
                </c:pt>
                <c:pt idx="1670">
                  <c:v>192.5326784135185</c:v>
                </c:pt>
                <c:pt idx="1671">
                  <c:v>194.9409761240023</c:v>
                </c:pt>
                <c:pt idx="1672">
                  <c:v>193.0364569455868</c:v>
                </c:pt>
                <c:pt idx="1673">
                  <c:v>193.9572834729286</c:v>
                </c:pt>
                <c:pt idx="1674">
                  <c:v>194.5150465510517</c:v>
                </c:pt>
                <c:pt idx="1675">
                  <c:v>195.1992369566309</c:v>
                </c:pt>
                <c:pt idx="1676">
                  <c:v>192.1410394535127</c:v>
                </c:pt>
                <c:pt idx="1677">
                  <c:v>190.0015832377598</c:v>
                </c:pt>
                <c:pt idx="1678">
                  <c:v>187.3591208010411</c:v>
                </c:pt>
                <c:pt idx="1679">
                  <c:v>187.3308542146948</c:v>
                </c:pt>
                <c:pt idx="1680">
                  <c:v>185.9271015550484</c:v>
                </c:pt>
                <c:pt idx="1681">
                  <c:v>191.6549468456884</c:v>
                </c:pt>
                <c:pt idx="1682">
                  <c:v>193.1541571575862</c:v>
                </c:pt>
                <c:pt idx="1683">
                  <c:v>189.8993292478076</c:v>
                </c:pt>
                <c:pt idx="1684">
                  <c:v>190.6193548885362</c:v>
                </c:pt>
                <c:pt idx="1685">
                  <c:v>193.6261937033476</c:v>
                </c:pt>
                <c:pt idx="1686">
                  <c:v>193.4305673011202</c:v>
                </c:pt>
                <c:pt idx="1687">
                  <c:v>192.373350633102</c:v>
                </c:pt>
                <c:pt idx="1688">
                  <c:v>191.8079416750656</c:v>
                </c:pt>
                <c:pt idx="1689">
                  <c:v>191.5787969709959</c:v>
                </c:pt>
                <c:pt idx="1690">
                  <c:v>187.3511659966868</c:v>
                </c:pt>
                <c:pt idx="1691">
                  <c:v>185.8752794800802</c:v>
                </c:pt>
                <c:pt idx="1692">
                  <c:v>182.182705637485</c:v>
                </c:pt>
                <c:pt idx="1693">
                  <c:v>183.5659148218085</c:v>
                </c:pt>
                <c:pt idx="1694">
                  <c:v>184.8267126964084</c:v>
                </c:pt>
                <c:pt idx="1695">
                  <c:v>184.9220158864393</c:v>
                </c:pt>
                <c:pt idx="1696">
                  <c:v>184.6870016179918</c:v>
                </c:pt>
                <c:pt idx="1697">
                  <c:v>182.3257376536417</c:v>
                </c:pt>
                <c:pt idx="1698">
                  <c:v>184.2578283384113</c:v>
                </c:pt>
                <c:pt idx="1699">
                  <c:v>182.6938983561358</c:v>
                </c:pt>
                <c:pt idx="1700">
                  <c:v>181.8260523704159</c:v>
                </c:pt>
                <c:pt idx="1701">
                  <c:v>181.493031823079</c:v>
                </c:pt>
                <c:pt idx="1702">
                  <c:v>182.0274711059109</c:v>
                </c:pt>
                <c:pt idx="1703">
                  <c:v>177.2953665195414</c:v>
                </c:pt>
                <c:pt idx="1704">
                  <c:v>173.5365283843638</c:v>
                </c:pt>
                <c:pt idx="1705">
                  <c:v>172.3289427447164</c:v>
                </c:pt>
                <c:pt idx="1706">
                  <c:v>171.1277672872187</c:v>
                </c:pt>
                <c:pt idx="1707">
                  <c:v>170.0169522286968</c:v>
                </c:pt>
                <c:pt idx="1708">
                  <c:v>168.9866119870406</c:v>
                </c:pt>
                <c:pt idx="1709">
                  <c:v>167.3281511258365</c:v>
                </c:pt>
                <c:pt idx="1710">
                  <c:v>171.718353587192</c:v>
                </c:pt>
                <c:pt idx="1711">
                  <c:v>171.3408479203593</c:v>
                </c:pt>
                <c:pt idx="1712">
                  <c:v>175.3930870433228</c:v>
                </c:pt>
                <c:pt idx="1713">
                  <c:v>170.2901186656009</c:v>
                </c:pt>
                <c:pt idx="1714">
                  <c:v>172.25804458552</c:v>
                </c:pt>
                <c:pt idx="1715">
                  <c:v>172.2893231851654</c:v>
                </c:pt>
                <c:pt idx="1716">
                  <c:v>171.1145607673683</c:v>
                </c:pt>
                <c:pt idx="1717">
                  <c:v>172.9311137112252</c:v>
                </c:pt>
                <c:pt idx="1718">
                  <c:v>168.69166637705</c:v>
                </c:pt>
                <c:pt idx="1719">
                  <c:v>169.4554048261721</c:v>
                </c:pt>
                <c:pt idx="1720">
                  <c:v>172.9557504353904</c:v>
                </c:pt>
                <c:pt idx="1721">
                  <c:v>171.116414314014</c:v>
                </c:pt>
                <c:pt idx="1722">
                  <c:v>169.5119379988647</c:v>
                </c:pt>
                <c:pt idx="1723">
                  <c:v>174.6881987002004</c:v>
                </c:pt>
                <c:pt idx="1724">
                  <c:v>176.9755524920548</c:v>
                </c:pt>
                <c:pt idx="1725">
                  <c:v>178.0742422662697</c:v>
                </c:pt>
                <c:pt idx="1726">
                  <c:v>179.8460011661898</c:v>
                </c:pt>
                <c:pt idx="1727">
                  <c:v>178.0133069202936</c:v>
                </c:pt>
                <c:pt idx="1728">
                  <c:v>177.2383699601874</c:v>
                </c:pt>
                <c:pt idx="1729">
                  <c:v>178.9165247545016</c:v>
                </c:pt>
                <c:pt idx="1730">
                  <c:v>176.5699347010963</c:v>
                </c:pt>
                <c:pt idx="1731">
                  <c:v>178.1194996968679</c:v>
                </c:pt>
                <c:pt idx="1732">
                  <c:v>182.7432490355765</c:v>
                </c:pt>
                <c:pt idx="1733">
                  <c:v>181.8688384054865</c:v>
                </c:pt>
                <c:pt idx="1734">
                  <c:v>175.8600263358086</c:v>
                </c:pt>
                <c:pt idx="1735">
                  <c:v>172.3436938867715</c:v>
                </c:pt>
                <c:pt idx="1736">
                  <c:v>173.937435077598</c:v>
                </c:pt>
                <c:pt idx="1737">
                  <c:v>173.3130987824516</c:v>
                </c:pt>
                <c:pt idx="1738">
                  <c:v>173.0539111765001</c:v>
                </c:pt>
                <c:pt idx="1739">
                  <c:v>173.1949351837907</c:v>
                </c:pt>
                <c:pt idx="1740">
                  <c:v>170.0288458196731</c:v>
                </c:pt>
                <c:pt idx="1741">
                  <c:v>175.1153639709148</c:v>
                </c:pt>
                <c:pt idx="1742">
                  <c:v>172.9851754883902</c:v>
                </c:pt>
                <c:pt idx="1743">
                  <c:v>169.4845981858412</c:v>
                </c:pt>
                <c:pt idx="1744">
                  <c:v>167.6312060024019</c:v>
                </c:pt>
                <c:pt idx="1745">
                  <c:v>165.2463865494298</c:v>
                </c:pt>
                <c:pt idx="1746">
                  <c:v>164.422485065434</c:v>
                </c:pt>
                <c:pt idx="1747">
                  <c:v>169.3718407648969</c:v>
                </c:pt>
                <c:pt idx="1748">
                  <c:v>168.8425759664508</c:v>
                </c:pt>
                <c:pt idx="1749">
                  <c:v>168.6766835416643</c:v>
                </c:pt>
                <c:pt idx="1750">
                  <c:v>166.354344056873</c:v>
                </c:pt>
                <c:pt idx="1751">
                  <c:v>168.2358483644382</c:v>
                </c:pt>
                <c:pt idx="1752">
                  <c:v>164.7489409684009</c:v>
                </c:pt>
                <c:pt idx="1753">
                  <c:v>165.1466039550052</c:v>
                </c:pt>
                <c:pt idx="1754">
                  <c:v>159.459304997239</c:v>
                </c:pt>
                <c:pt idx="1755">
                  <c:v>158.1829836694818</c:v>
                </c:pt>
                <c:pt idx="1756">
                  <c:v>156.6333414426</c:v>
                </c:pt>
                <c:pt idx="1757">
                  <c:v>159.6763244170017</c:v>
                </c:pt>
                <c:pt idx="1758">
                  <c:v>156.9527693145353</c:v>
                </c:pt>
                <c:pt idx="1759">
                  <c:v>152.9054729826269</c:v>
                </c:pt>
                <c:pt idx="1760">
                  <c:v>155.1776894768751</c:v>
                </c:pt>
                <c:pt idx="1761">
                  <c:v>160.7541617914528</c:v>
                </c:pt>
                <c:pt idx="1762">
                  <c:v>161.6977714963141</c:v>
                </c:pt>
                <c:pt idx="1763">
                  <c:v>164.6560319427872</c:v>
                </c:pt>
                <c:pt idx="1764">
                  <c:v>165.5149191197198</c:v>
                </c:pt>
                <c:pt idx="1765">
                  <c:v>161.9218961782185</c:v>
                </c:pt>
                <c:pt idx="1766">
                  <c:v>157.8402320022551</c:v>
                </c:pt>
                <c:pt idx="1767">
                  <c:v>158.2660843440955</c:v>
                </c:pt>
                <c:pt idx="1768">
                  <c:v>160.0025486266378</c:v>
                </c:pt>
                <c:pt idx="1769">
                  <c:v>163.6951224692331</c:v>
                </c:pt>
                <c:pt idx="1770">
                  <c:v>165.3008344821461</c:v>
                </c:pt>
                <c:pt idx="1771">
                  <c:v>160.1928460822589</c:v>
                </c:pt>
                <c:pt idx="1772">
                  <c:v>157.2727378042423</c:v>
                </c:pt>
                <c:pt idx="1773">
                  <c:v>153.914188513417</c:v>
                </c:pt>
                <c:pt idx="1774">
                  <c:v>159.569668253766</c:v>
                </c:pt>
                <c:pt idx="1775">
                  <c:v>163.0636809119449</c:v>
                </c:pt>
                <c:pt idx="1776">
                  <c:v>164.1750365882385</c:v>
                </c:pt>
                <c:pt idx="1777">
                  <c:v>163.0207404146538</c:v>
                </c:pt>
                <c:pt idx="1778">
                  <c:v>165.4535976181926</c:v>
                </c:pt>
                <c:pt idx="1779">
                  <c:v>160.6585496769809</c:v>
                </c:pt>
                <c:pt idx="1780">
                  <c:v>158.0992651459861</c:v>
                </c:pt>
                <c:pt idx="1781">
                  <c:v>149.486837888038</c:v>
                </c:pt>
                <c:pt idx="1782">
                  <c:v>150.0059854110433</c:v>
                </c:pt>
                <c:pt idx="1783">
                  <c:v>152.3924267173303</c:v>
                </c:pt>
                <c:pt idx="1784">
                  <c:v>152.6243517413685</c:v>
                </c:pt>
                <c:pt idx="1785">
                  <c:v>148.0413804288644</c:v>
                </c:pt>
                <c:pt idx="1786">
                  <c:v>147.6661916953387</c:v>
                </c:pt>
                <c:pt idx="1787">
                  <c:v>143.5530944575094</c:v>
                </c:pt>
                <c:pt idx="1788">
                  <c:v>140.19323223781</c:v>
                </c:pt>
                <c:pt idx="1789">
                  <c:v>143.9650451995073</c:v>
                </c:pt>
                <c:pt idx="1790">
                  <c:v>142.2515957878153</c:v>
                </c:pt>
                <c:pt idx="1791">
                  <c:v>142.6779887474272</c:v>
                </c:pt>
                <c:pt idx="1792">
                  <c:v>139.9481006939215</c:v>
                </c:pt>
                <c:pt idx="1793">
                  <c:v>142.001289759541</c:v>
                </c:pt>
                <c:pt idx="1794">
                  <c:v>142.609793677089</c:v>
                </c:pt>
                <c:pt idx="1795">
                  <c:v>146.7269069326506</c:v>
                </c:pt>
                <c:pt idx="1796">
                  <c:v>145.3301050729255</c:v>
                </c:pt>
                <c:pt idx="1797">
                  <c:v>145.2978224688469</c:v>
                </c:pt>
                <c:pt idx="1798">
                  <c:v>148.9539432274109</c:v>
                </c:pt>
                <c:pt idx="1799">
                  <c:v>149.848356715052</c:v>
                </c:pt>
                <c:pt idx="1800">
                  <c:v>154.9348748662937</c:v>
                </c:pt>
                <c:pt idx="1801">
                  <c:v>154.1017056490695</c:v>
                </c:pt>
                <c:pt idx="1802">
                  <c:v>154.8058216810896</c:v>
                </c:pt>
                <c:pt idx="1803">
                  <c:v>157.4133756559818</c:v>
                </c:pt>
                <c:pt idx="1804">
                  <c:v>159.485177419168</c:v>
                </c:pt>
                <c:pt idx="1805">
                  <c:v>159.6051173333642</c:v>
                </c:pt>
                <c:pt idx="1806">
                  <c:v>162.6061638149079</c:v>
                </c:pt>
                <c:pt idx="1807">
                  <c:v>165.5848132744832</c:v>
                </c:pt>
                <c:pt idx="1808">
                  <c:v>167.4764348574893</c:v>
                </c:pt>
                <c:pt idx="1809">
                  <c:v>165.5519128215228</c:v>
                </c:pt>
                <c:pt idx="1810">
                  <c:v>157.8387646111607</c:v>
                </c:pt>
                <c:pt idx="1811">
                  <c:v>159.3978290334913</c:v>
                </c:pt>
                <c:pt idx="1812">
                  <c:v>154.5751323548152</c:v>
                </c:pt>
                <c:pt idx="1813">
                  <c:v>153.878816664929</c:v>
                </c:pt>
                <c:pt idx="1814">
                  <c:v>158.8647799106436</c:v>
                </c:pt>
                <c:pt idx="1815">
                  <c:v>158.95529477184</c:v>
                </c:pt>
                <c:pt idx="1816">
                  <c:v>162.405749083846</c:v>
                </c:pt>
                <c:pt idx="1817">
                  <c:v>159.4261728509478</c:v>
                </c:pt>
                <c:pt idx="1818">
                  <c:v>155.6689565690852</c:v>
                </c:pt>
                <c:pt idx="1819">
                  <c:v>151.2292489660685</c:v>
                </c:pt>
                <c:pt idx="1820">
                  <c:v>153.5071805624742</c:v>
                </c:pt>
                <c:pt idx="1821">
                  <c:v>154.8406529118059</c:v>
                </c:pt>
                <c:pt idx="1822">
                  <c:v>156.7410788413789</c:v>
                </c:pt>
                <c:pt idx="1823">
                  <c:v>159.2760355726494</c:v>
                </c:pt>
                <c:pt idx="1824">
                  <c:v>162.4118503415546</c:v>
                </c:pt>
                <c:pt idx="1825">
                  <c:v>157.8752949263022</c:v>
                </c:pt>
                <c:pt idx="1826">
                  <c:v>160.9730347578611</c:v>
                </c:pt>
                <c:pt idx="1827">
                  <c:v>166.5447959747145</c:v>
                </c:pt>
                <c:pt idx="1828">
                  <c:v>171.3224669161231</c:v>
                </c:pt>
                <c:pt idx="1829">
                  <c:v>171.6133965083815</c:v>
                </c:pt>
                <c:pt idx="1830">
                  <c:v>171.7731104443492</c:v>
                </c:pt>
                <c:pt idx="1831">
                  <c:v>175.4611276514406</c:v>
                </c:pt>
                <c:pt idx="1832">
                  <c:v>177.0118511138657</c:v>
                </c:pt>
                <c:pt idx="1833">
                  <c:v>172.2595892077247</c:v>
                </c:pt>
                <c:pt idx="1834">
                  <c:v>168.0927391171712</c:v>
                </c:pt>
                <c:pt idx="1835">
                  <c:v>166.1179396284411</c:v>
                </c:pt>
                <c:pt idx="1836">
                  <c:v>164.8764495314003</c:v>
                </c:pt>
                <c:pt idx="1837">
                  <c:v>164.0202654433259</c:v>
                </c:pt>
                <c:pt idx="1838">
                  <c:v>162.1736695975873</c:v>
                </c:pt>
                <c:pt idx="1839">
                  <c:v>164.0763352293571</c:v>
                </c:pt>
                <c:pt idx="1840">
                  <c:v>162.8870533628356</c:v>
                </c:pt>
                <c:pt idx="1841">
                  <c:v>164.4072705367176</c:v>
                </c:pt>
                <c:pt idx="1842">
                  <c:v>170.1758938535621</c:v>
                </c:pt>
                <c:pt idx="1843">
                  <c:v>173.0692029363268</c:v>
                </c:pt>
                <c:pt idx="1844">
                  <c:v>168.4088460513664</c:v>
                </c:pt>
                <c:pt idx="1845">
                  <c:v>164.9288894552504</c:v>
                </c:pt>
                <c:pt idx="1846">
                  <c:v>167.9752705985025</c:v>
                </c:pt>
                <c:pt idx="1847">
                  <c:v>169.3750844715268</c:v>
                </c:pt>
                <c:pt idx="1848">
                  <c:v>161.8240443615497</c:v>
                </c:pt>
                <c:pt idx="1849">
                  <c:v>159.4315017975541</c:v>
                </c:pt>
                <c:pt idx="1850">
                  <c:v>148.899958681356</c:v>
                </c:pt>
                <c:pt idx="1851">
                  <c:v>152.9247807601858</c:v>
                </c:pt>
                <c:pt idx="1852">
                  <c:v>147.6139834648193</c:v>
                </c:pt>
                <c:pt idx="1853">
                  <c:v>152.2530245633546</c:v>
                </c:pt>
                <c:pt idx="1854">
                  <c:v>156.3578580723887</c:v>
                </c:pt>
                <c:pt idx="1855">
                  <c:v>163.8032460235632</c:v>
                </c:pt>
                <c:pt idx="1856">
                  <c:v>164.5100651444415</c:v>
                </c:pt>
                <c:pt idx="1857">
                  <c:v>158.128381274545</c:v>
                </c:pt>
                <c:pt idx="1858">
                  <c:v>156.4942482130652</c:v>
                </c:pt>
                <c:pt idx="1859">
                  <c:v>146.6172387561157</c:v>
                </c:pt>
                <c:pt idx="1860">
                  <c:v>139.5286585342308</c:v>
                </c:pt>
                <c:pt idx="1861">
                  <c:v>137.582743480729</c:v>
                </c:pt>
                <c:pt idx="1862">
                  <c:v>144.8596903804791</c:v>
                </c:pt>
                <c:pt idx="1863">
                  <c:v>144.7863980568653</c:v>
                </c:pt>
                <c:pt idx="1864">
                  <c:v>145.836895618293</c:v>
                </c:pt>
                <c:pt idx="1865">
                  <c:v>149.934160478524</c:v>
                </c:pt>
                <c:pt idx="1866">
                  <c:v>147.4701791375602</c:v>
                </c:pt>
                <c:pt idx="1867">
                  <c:v>151.9176870827106</c:v>
                </c:pt>
                <c:pt idx="1868">
                  <c:v>155.2207072052764</c:v>
                </c:pt>
                <c:pt idx="1869">
                  <c:v>162.5927256017269</c:v>
                </c:pt>
                <c:pt idx="1870">
                  <c:v>154.6976208956492</c:v>
                </c:pt>
                <c:pt idx="1871">
                  <c:v>155.4296945895746</c:v>
                </c:pt>
                <c:pt idx="1872">
                  <c:v>161.8067445928569</c:v>
                </c:pt>
                <c:pt idx="1873">
                  <c:v>167.2021099539317</c:v>
                </c:pt>
                <c:pt idx="1874">
                  <c:v>163.2300367233929</c:v>
                </c:pt>
                <c:pt idx="1875">
                  <c:v>162.1213841359577</c:v>
                </c:pt>
                <c:pt idx="1876">
                  <c:v>161.1158350806872</c:v>
                </c:pt>
                <c:pt idx="1877">
                  <c:v>152.8769747029499</c:v>
                </c:pt>
                <c:pt idx="1878">
                  <c:v>143.2578399230778</c:v>
                </c:pt>
                <c:pt idx="1879">
                  <c:v>141.8248939037623</c:v>
                </c:pt>
                <c:pt idx="1880">
                  <c:v>142.5619103887428</c:v>
                </c:pt>
                <c:pt idx="1881">
                  <c:v>151.3619320134537</c:v>
                </c:pt>
                <c:pt idx="1882">
                  <c:v>156.6912647752768</c:v>
                </c:pt>
                <c:pt idx="1883">
                  <c:v>164.2474793696396</c:v>
                </c:pt>
                <c:pt idx="1884">
                  <c:v>159.9708066403309</c:v>
                </c:pt>
                <c:pt idx="1885">
                  <c:v>155.5402895394323</c:v>
                </c:pt>
                <c:pt idx="1886">
                  <c:v>155.2033302054734</c:v>
                </c:pt>
                <c:pt idx="1887">
                  <c:v>158.8788359727065</c:v>
                </c:pt>
                <c:pt idx="1888">
                  <c:v>170.812509895236</c:v>
                </c:pt>
                <c:pt idx="1889">
                  <c:v>165.6737835134749</c:v>
                </c:pt>
                <c:pt idx="1890">
                  <c:v>159.0592478462174</c:v>
                </c:pt>
                <c:pt idx="1891">
                  <c:v>164.1337951753726</c:v>
                </c:pt>
                <c:pt idx="1892">
                  <c:v>161.83068623703</c:v>
                </c:pt>
                <c:pt idx="1893">
                  <c:v>166.5179195483525</c:v>
                </c:pt>
                <c:pt idx="1894">
                  <c:v>162.3601054976966</c:v>
                </c:pt>
                <c:pt idx="1895">
                  <c:v>175.1466425705603</c:v>
                </c:pt>
                <c:pt idx="1896">
                  <c:v>174.2393314875098</c:v>
                </c:pt>
                <c:pt idx="1897">
                  <c:v>180.2006464243927</c:v>
                </c:pt>
                <c:pt idx="1898">
                  <c:v>184.0878426647822</c:v>
                </c:pt>
                <c:pt idx="1899">
                  <c:v>178.3086386858354</c:v>
                </c:pt>
                <c:pt idx="1900">
                  <c:v>189.2157566911103</c:v>
                </c:pt>
                <c:pt idx="1901">
                  <c:v>192.5868174217939</c:v>
                </c:pt>
                <c:pt idx="1902">
                  <c:v>192.4857218984951</c:v>
                </c:pt>
                <c:pt idx="1903">
                  <c:v>199.9778346713623</c:v>
                </c:pt>
                <c:pt idx="1904">
                  <c:v>196.1833157632558</c:v>
                </c:pt>
                <c:pt idx="1905">
                  <c:v>186.0709058823075</c:v>
                </c:pt>
                <c:pt idx="1906">
                  <c:v>187.8506968176921</c:v>
                </c:pt>
                <c:pt idx="1907">
                  <c:v>192.9145090225245</c:v>
                </c:pt>
                <c:pt idx="1908">
                  <c:v>198.03832980001</c:v>
                </c:pt>
                <c:pt idx="1909">
                  <c:v>201.9977371284701</c:v>
                </c:pt>
                <c:pt idx="1910">
                  <c:v>197.3200032437067</c:v>
                </c:pt>
                <c:pt idx="1911">
                  <c:v>195.1908187656151</c:v>
                </c:pt>
                <c:pt idx="1912">
                  <c:v>195.5531099037314</c:v>
                </c:pt>
                <c:pt idx="1913">
                  <c:v>202.639913810081</c:v>
                </c:pt>
                <c:pt idx="1914">
                  <c:v>196.2957642597591</c:v>
                </c:pt>
                <c:pt idx="1915">
                  <c:v>202.2689727876183</c:v>
                </c:pt>
                <c:pt idx="1916">
                  <c:v>204.910431219904</c:v>
                </c:pt>
                <c:pt idx="1917">
                  <c:v>206.576383498801</c:v>
                </c:pt>
                <c:pt idx="1918">
                  <c:v>207.4202878403478</c:v>
                </c:pt>
                <c:pt idx="1919">
                  <c:v>213.9460849619444</c:v>
                </c:pt>
                <c:pt idx="1920">
                  <c:v>216.4613477601047</c:v>
                </c:pt>
                <c:pt idx="1921">
                  <c:v>211.8185995682781</c:v>
                </c:pt>
                <c:pt idx="1922">
                  <c:v>208.7044867413491</c:v>
                </c:pt>
                <c:pt idx="1923">
                  <c:v>206.234172449346</c:v>
                </c:pt>
                <c:pt idx="1924">
                  <c:v>209.7700443692729</c:v>
                </c:pt>
                <c:pt idx="1925">
                  <c:v>209.0249958488278</c:v>
                </c:pt>
                <c:pt idx="1926">
                  <c:v>206.934967543626</c:v>
                </c:pt>
                <c:pt idx="1927">
                  <c:v>202.8896792205836</c:v>
                </c:pt>
                <c:pt idx="1928">
                  <c:v>207.0259457914837</c:v>
                </c:pt>
                <c:pt idx="1929">
                  <c:v>210.4287485084742</c:v>
                </c:pt>
                <c:pt idx="1930">
                  <c:v>214.8560219027429</c:v>
                </c:pt>
                <c:pt idx="1931">
                  <c:v>208.7993265447188</c:v>
                </c:pt>
                <c:pt idx="1932">
                  <c:v>207.9243752968571</c:v>
                </c:pt>
                <c:pt idx="1933">
                  <c:v>208.2224101512571</c:v>
                </c:pt>
                <c:pt idx="1934">
                  <c:v>206.6698331421863</c:v>
                </c:pt>
                <c:pt idx="1935">
                  <c:v>205.933511737198</c:v>
                </c:pt>
                <c:pt idx="1936">
                  <c:v>208.1019296192893</c:v>
                </c:pt>
                <c:pt idx="1937">
                  <c:v>203.9749307816174</c:v>
                </c:pt>
                <c:pt idx="1938">
                  <c:v>199.8403632951426</c:v>
                </c:pt>
                <c:pt idx="1939">
                  <c:v>204.6978139734248</c:v>
                </c:pt>
                <c:pt idx="1940">
                  <c:v>214.0820889470696</c:v>
                </c:pt>
                <c:pt idx="1941">
                  <c:v>214.4520259650993</c:v>
                </c:pt>
                <c:pt idx="1942">
                  <c:v>209.7912829245877</c:v>
                </c:pt>
                <c:pt idx="1943">
                  <c:v>210.9957020887154</c:v>
                </c:pt>
                <c:pt idx="1944">
                  <c:v>208.491560570429</c:v>
                </c:pt>
                <c:pt idx="1945">
                  <c:v>211.8458621501914</c:v>
                </c:pt>
                <c:pt idx="1946">
                  <c:v>211.410819306233</c:v>
                </c:pt>
                <c:pt idx="1947">
                  <c:v>210.574097457938</c:v>
                </c:pt>
                <c:pt idx="1948">
                  <c:v>213.9417600197712</c:v>
                </c:pt>
                <c:pt idx="1949">
                  <c:v>213.2357904411055</c:v>
                </c:pt>
                <c:pt idx="1950">
                  <c:v>216.2134358962477</c:v>
                </c:pt>
                <c:pt idx="1951">
                  <c:v>207.5736688252762</c:v>
                </c:pt>
                <c:pt idx="1952">
                  <c:v>209.1349729498036</c:v>
                </c:pt>
                <c:pt idx="1953">
                  <c:v>214.0896575958728</c:v>
                </c:pt>
                <c:pt idx="1954">
                  <c:v>214.2054270301163</c:v>
                </c:pt>
                <c:pt idx="1955">
                  <c:v>213.8334820032205</c:v>
                </c:pt>
                <c:pt idx="1956">
                  <c:v>216.3197831350425</c:v>
                </c:pt>
                <c:pt idx="1957">
                  <c:v>213.2476840320818</c:v>
                </c:pt>
                <c:pt idx="1958">
                  <c:v>217.5905438228627</c:v>
                </c:pt>
                <c:pt idx="1959">
                  <c:v>217.5776462274533</c:v>
                </c:pt>
                <c:pt idx="1960">
                  <c:v>219.2760355726494</c:v>
                </c:pt>
                <c:pt idx="1961">
                  <c:v>226.3156512706448</c:v>
                </c:pt>
                <c:pt idx="1962">
                  <c:v>231.7223696049242</c:v>
                </c:pt>
                <c:pt idx="1963">
                  <c:v>234.8862964979553</c:v>
                </c:pt>
                <c:pt idx="1964">
                  <c:v>234.5931272035001</c:v>
                </c:pt>
                <c:pt idx="1965">
                  <c:v>231.6015801485154</c:v>
                </c:pt>
                <c:pt idx="1966">
                  <c:v>231.4195464216896</c:v>
                </c:pt>
                <c:pt idx="1967">
                  <c:v>233.4146576924117</c:v>
                </c:pt>
                <c:pt idx="1968">
                  <c:v>235.3497603904805</c:v>
                </c:pt>
                <c:pt idx="1969">
                  <c:v>236.1776006610983</c:v>
                </c:pt>
                <c:pt idx="1970">
                  <c:v>241.6983121140858</c:v>
                </c:pt>
                <c:pt idx="1971">
                  <c:v>239.2759583415391</c:v>
                </c:pt>
                <c:pt idx="1972">
                  <c:v>242.8998737271348</c:v>
                </c:pt>
                <c:pt idx="1973">
                  <c:v>239.9382151118114</c:v>
                </c:pt>
                <c:pt idx="1974">
                  <c:v>239.6736213281434</c:v>
                </c:pt>
                <c:pt idx="1975">
                  <c:v>236.6357356070172</c:v>
                </c:pt>
                <c:pt idx="1976">
                  <c:v>239.7827488869067</c:v>
                </c:pt>
                <c:pt idx="1977">
                  <c:v>243.1787552661964</c:v>
                </c:pt>
                <c:pt idx="1978">
                  <c:v>244.7949707101015</c:v>
                </c:pt>
                <c:pt idx="1979">
                  <c:v>245.1412750083988</c:v>
                </c:pt>
                <c:pt idx="1980">
                  <c:v>243.1263153423462</c:v>
                </c:pt>
                <c:pt idx="1981">
                  <c:v>244.7317956619285</c:v>
                </c:pt>
                <c:pt idx="1982">
                  <c:v>245.0370130095805</c:v>
                </c:pt>
                <c:pt idx="1983">
                  <c:v>245.9136633418674</c:v>
                </c:pt>
                <c:pt idx="1984">
                  <c:v>246.3224476083456</c:v>
                </c:pt>
                <c:pt idx="1985">
                  <c:v>248.7533740341284</c:v>
                </c:pt>
                <c:pt idx="1986">
                  <c:v>250.7290230650711</c:v>
                </c:pt>
                <c:pt idx="1987">
                  <c:v>252.7173379980924</c:v>
                </c:pt>
                <c:pt idx="1988">
                  <c:v>251.3284909427215</c:v>
                </c:pt>
                <c:pt idx="1989">
                  <c:v>256.6612991045053</c:v>
                </c:pt>
                <c:pt idx="1990">
                  <c:v>254.1499750929669</c:v>
                </c:pt>
                <c:pt idx="1991">
                  <c:v>254.5425408262957</c:v>
                </c:pt>
                <c:pt idx="1992">
                  <c:v>256.3439564725463</c:v>
                </c:pt>
                <c:pt idx="1993">
                  <c:v>252.5532991199515</c:v>
                </c:pt>
                <c:pt idx="1994">
                  <c:v>252.1397265246387</c:v>
                </c:pt>
                <c:pt idx="1995">
                  <c:v>250.1284739518773</c:v>
                </c:pt>
                <c:pt idx="1996">
                  <c:v>247.1319841058375</c:v>
                </c:pt>
                <c:pt idx="1997">
                  <c:v>248.2631881774616</c:v>
                </c:pt>
                <c:pt idx="1998">
                  <c:v>248.1910543205014</c:v>
                </c:pt>
                <c:pt idx="1999">
                  <c:v>248.3248958345401</c:v>
                </c:pt>
                <c:pt idx="2000">
                  <c:v>246.3262319327471</c:v>
                </c:pt>
                <c:pt idx="2001">
                  <c:v>246.5919069519584</c:v>
                </c:pt>
                <c:pt idx="2002">
                  <c:v>241.7328344203612</c:v>
                </c:pt>
                <c:pt idx="2003">
                  <c:v>237.4353865223989</c:v>
                </c:pt>
                <c:pt idx="2004">
                  <c:v>236.2036275452478</c:v>
                </c:pt>
                <c:pt idx="2005">
                  <c:v>240.1126801898341</c:v>
                </c:pt>
                <c:pt idx="2006">
                  <c:v>240.9148025007433</c:v>
                </c:pt>
                <c:pt idx="2007">
                  <c:v>245.1373362217768</c:v>
                </c:pt>
                <c:pt idx="2008">
                  <c:v>244.9252595930693</c:v>
                </c:pt>
                <c:pt idx="2009">
                  <c:v>245.3949019744133</c:v>
                </c:pt>
                <c:pt idx="2010">
                  <c:v>244.0045102968378</c:v>
                </c:pt>
                <c:pt idx="2011">
                  <c:v>244.8158231098651</c:v>
                </c:pt>
                <c:pt idx="2012">
                  <c:v>246.0374648115754</c:v>
                </c:pt>
                <c:pt idx="2013">
                  <c:v>241.5803802087557</c:v>
                </c:pt>
                <c:pt idx="2014">
                  <c:v>237.6582755065396</c:v>
                </c:pt>
                <c:pt idx="2015">
                  <c:v>240.3551858759746</c:v>
                </c:pt>
                <c:pt idx="2016">
                  <c:v>241.0782235300024</c:v>
                </c:pt>
                <c:pt idx="2017">
                  <c:v>242.1976884728706</c:v>
                </c:pt>
                <c:pt idx="2018">
                  <c:v>238.03500886227</c:v>
                </c:pt>
                <c:pt idx="2019">
                  <c:v>239.1862157914451</c:v>
                </c:pt>
                <c:pt idx="2020">
                  <c:v>234.7543085305623</c:v>
                </c:pt>
                <c:pt idx="2021">
                  <c:v>231.5395635669961</c:v>
                </c:pt>
                <c:pt idx="2022">
                  <c:v>231.1756505755649</c:v>
                </c:pt>
                <c:pt idx="2023">
                  <c:v>228.8175530867344</c:v>
                </c:pt>
                <c:pt idx="2024">
                  <c:v>228.507624641358</c:v>
                </c:pt>
                <c:pt idx="2025">
                  <c:v>231.4012426485637</c:v>
                </c:pt>
                <c:pt idx="2026">
                  <c:v>232.4274896413773</c:v>
                </c:pt>
                <c:pt idx="2027">
                  <c:v>229.3234940898893</c:v>
                </c:pt>
                <c:pt idx="2028">
                  <c:v>225.1473762661075</c:v>
                </c:pt>
                <c:pt idx="2029">
                  <c:v>219.4810069392152</c:v>
                </c:pt>
                <c:pt idx="2030">
                  <c:v>227.901746581558</c:v>
                </c:pt>
                <c:pt idx="2031">
                  <c:v>232.0336882102849</c:v>
                </c:pt>
                <c:pt idx="2032">
                  <c:v>231.1378073315493</c:v>
                </c:pt>
                <c:pt idx="2033">
                  <c:v>236.6981383440878</c:v>
                </c:pt>
                <c:pt idx="2034">
                  <c:v>234.0637079428335</c:v>
                </c:pt>
                <c:pt idx="2035">
                  <c:v>237.1807555519514</c:v>
                </c:pt>
                <c:pt idx="2036">
                  <c:v>233.3373493510655</c:v>
                </c:pt>
                <c:pt idx="2037">
                  <c:v>232.5804844707545</c:v>
                </c:pt>
                <c:pt idx="2038">
                  <c:v>237.2352807157779</c:v>
                </c:pt>
                <c:pt idx="2039">
                  <c:v>240.0277259685747</c:v>
                </c:pt>
                <c:pt idx="2040">
                  <c:v>235.7080355108645</c:v>
                </c:pt>
                <c:pt idx="2041">
                  <c:v>238.5284384255666</c:v>
                </c:pt>
                <c:pt idx="2042">
                  <c:v>236.5710159366396</c:v>
                </c:pt>
                <c:pt idx="2043">
                  <c:v>236.8966995285041</c:v>
                </c:pt>
                <c:pt idx="2044">
                  <c:v>232.9778385329178</c:v>
                </c:pt>
                <c:pt idx="2045">
                  <c:v>232.1420434579457</c:v>
                </c:pt>
                <c:pt idx="2046">
                  <c:v>233.9893343836764</c:v>
                </c:pt>
                <c:pt idx="2047">
                  <c:v>230.2519664971444</c:v>
                </c:pt>
                <c:pt idx="2048">
                  <c:v>230.526291400702</c:v>
                </c:pt>
                <c:pt idx="2049">
                  <c:v>233.0971605982322</c:v>
                </c:pt>
                <c:pt idx="2050">
                  <c:v>227.752072689921</c:v>
                </c:pt>
                <c:pt idx="2051">
                  <c:v>228.3895382738075</c:v>
                </c:pt>
                <c:pt idx="2052">
                  <c:v>224.109699068979</c:v>
                </c:pt>
                <c:pt idx="2053">
                  <c:v>220.1536126782591</c:v>
                </c:pt>
                <c:pt idx="2054">
                  <c:v>224.275745955986</c:v>
                </c:pt>
                <c:pt idx="2055">
                  <c:v>220.1258867096844</c:v>
                </c:pt>
                <c:pt idx="2056">
                  <c:v>220.7697624757205</c:v>
                </c:pt>
                <c:pt idx="2057">
                  <c:v>213.4127269146558</c:v>
                </c:pt>
                <c:pt idx="2058">
                  <c:v>215.8265852650765</c:v>
                </c:pt>
                <c:pt idx="2059">
                  <c:v>214.3093028733835</c:v>
                </c:pt>
                <c:pt idx="2060">
                  <c:v>215.3309932306932</c:v>
                </c:pt>
                <c:pt idx="2061">
                  <c:v>214.4246861520758</c:v>
                </c:pt>
                <c:pt idx="2062">
                  <c:v>221.0318848638609</c:v>
                </c:pt>
                <c:pt idx="2063">
                  <c:v>222.0538841456115</c:v>
                </c:pt>
                <c:pt idx="2064">
                  <c:v>210.973305066747</c:v>
                </c:pt>
                <c:pt idx="2065">
                  <c:v>209.0504048840954</c:v>
                </c:pt>
                <c:pt idx="2066">
                  <c:v>204.2199850943957</c:v>
                </c:pt>
                <c:pt idx="2067">
                  <c:v>198.4288875244726</c:v>
                </c:pt>
                <c:pt idx="2068">
                  <c:v>204.6796646625193</c:v>
                </c:pt>
                <c:pt idx="2069">
                  <c:v>204.3776910214973</c:v>
                </c:pt>
                <c:pt idx="2070">
                  <c:v>194.1213995821797</c:v>
                </c:pt>
                <c:pt idx="2071">
                  <c:v>196.1451635947992</c:v>
                </c:pt>
                <c:pt idx="2072">
                  <c:v>196.3499804991447</c:v>
                </c:pt>
                <c:pt idx="2073">
                  <c:v>205.8414522537969</c:v>
                </c:pt>
                <c:pt idx="2074">
                  <c:v>208.8326903843406</c:v>
                </c:pt>
                <c:pt idx="2075">
                  <c:v>207.840502311141</c:v>
                </c:pt>
                <c:pt idx="2076">
                  <c:v>213.4356645543958</c:v>
                </c:pt>
                <c:pt idx="2077">
                  <c:v>215.8701436112495</c:v>
                </c:pt>
                <c:pt idx="2078">
                  <c:v>212.4569919254874</c:v>
                </c:pt>
                <c:pt idx="2079">
                  <c:v>215.5052266153852</c:v>
                </c:pt>
                <c:pt idx="2080">
                  <c:v>219.3423770963419</c:v>
                </c:pt>
                <c:pt idx="2081">
                  <c:v>223.4869846271475</c:v>
                </c:pt>
                <c:pt idx="2082">
                  <c:v>221.1931434220332</c:v>
                </c:pt>
                <c:pt idx="2083">
                  <c:v>223.813672223445</c:v>
                </c:pt>
                <c:pt idx="2084">
                  <c:v>224.9343728640771</c:v>
                </c:pt>
                <c:pt idx="2085">
                  <c:v>226.2110803473856</c:v>
                </c:pt>
                <c:pt idx="2086">
                  <c:v>223.6456173275719</c:v>
                </c:pt>
                <c:pt idx="2087">
                  <c:v>228.8716920950097</c:v>
                </c:pt>
                <c:pt idx="2088">
                  <c:v>230.0049814066102</c:v>
                </c:pt>
                <c:pt idx="2089">
                  <c:v>227.8731710707708</c:v>
                </c:pt>
                <c:pt idx="2090">
                  <c:v>226.5342153126122</c:v>
                </c:pt>
                <c:pt idx="2091">
                  <c:v>219.8066905310797</c:v>
                </c:pt>
                <c:pt idx="2092">
                  <c:v>217.1189706637628</c:v>
                </c:pt>
                <c:pt idx="2093">
                  <c:v>220.3120909164629</c:v>
                </c:pt>
                <c:pt idx="2094">
                  <c:v>221.715071265007</c:v>
                </c:pt>
                <c:pt idx="2095">
                  <c:v>226.9718067832085</c:v>
                </c:pt>
                <c:pt idx="2096">
                  <c:v>234.0650981028178</c:v>
                </c:pt>
                <c:pt idx="2097">
                  <c:v>235.3124577642366</c:v>
                </c:pt>
                <c:pt idx="2098">
                  <c:v>235.2797890046069</c:v>
                </c:pt>
                <c:pt idx="2099">
                  <c:v>234.7105184910586</c:v>
                </c:pt>
                <c:pt idx="2100">
                  <c:v>232.7262195757695</c:v>
                </c:pt>
                <c:pt idx="2101">
                  <c:v>232.6058162749119</c:v>
                </c:pt>
                <c:pt idx="2102">
                  <c:v>231.2877901476273</c:v>
                </c:pt>
                <c:pt idx="2103">
                  <c:v>234.0386078320069</c:v>
                </c:pt>
                <c:pt idx="2104">
                  <c:v>234.0705042805343</c:v>
                </c:pt>
                <c:pt idx="2105">
                  <c:v>231.1199669450848</c:v>
                </c:pt>
                <c:pt idx="2106">
                  <c:v>227.1372358213335</c:v>
                </c:pt>
                <c:pt idx="2107">
                  <c:v>226.1813463699447</c:v>
                </c:pt>
                <c:pt idx="2108">
                  <c:v>227.4355023690643</c:v>
                </c:pt>
                <c:pt idx="2109">
                  <c:v>228.6240891555937</c:v>
                </c:pt>
                <c:pt idx="2110">
                  <c:v>224.9542984905179</c:v>
                </c:pt>
                <c:pt idx="2111">
                  <c:v>225.1004969821943</c:v>
                </c:pt>
                <c:pt idx="2112">
                  <c:v>228.1569181697771</c:v>
                </c:pt>
                <c:pt idx="2113">
                  <c:v>225.6884574244197</c:v>
                </c:pt>
                <c:pt idx="2114">
                  <c:v>230.6743434390241</c:v>
                </c:pt>
                <c:pt idx="2115">
                  <c:v>232.8119461081313</c:v>
                </c:pt>
                <c:pt idx="2116">
                  <c:v>236.9578665678108</c:v>
                </c:pt>
                <c:pt idx="2117">
                  <c:v>235.20549267656</c:v>
                </c:pt>
                <c:pt idx="2118">
                  <c:v>237.6723315686025</c:v>
                </c:pt>
                <c:pt idx="2119">
                  <c:v>238.8002147024864</c:v>
                </c:pt>
                <c:pt idx="2120">
                  <c:v>239.842139610678</c:v>
                </c:pt>
                <c:pt idx="2121">
                  <c:v>237.6228264269413</c:v>
                </c:pt>
                <c:pt idx="2122">
                  <c:v>237.5986530894375</c:v>
                </c:pt>
                <c:pt idx="2123">
                  <c:v>234.3684619038241</c:v>
                </c:pt>
                <c:pt idx="2124">
                  <c:v>235.9676092723671</c:v>
                </c:pt>
                <c:pt idx="2125">
                  <c:v>237.9968566938134</c:v>
                </c:pt>
                <c:pt idx="2126">
                  <c:v>242.003606692848</c:v>
                </c:pt>
                <c:pt idx="2127">
                  <c:v>241.306055305198</c:v>
                </c:pt>
                <c:pt idx="2128">
                  <c:v>241.0494163258844</c:v>
                </c:pt>
                <c:pt idx="2129">
                  <c:v>237.9093538459162</c:v>
                </c:pt>
                <c:pt idx="2130">
                  <c:v>234.9174206353804</c:v>
                </c:pt>
                <c:pt idx="2131">
                  <c:v>232.0116001127574</c:v>
                </c:pt>
                <c:pt idx="2132">
                  <c:v>235.164251263694</c:v>
                </c:pt>
                <c:pt idx="2133">
                  <c:v>232.8256932457533</c:v>
                </c:pt>
                <c:pt idx="2134">
                  <c:v>237.6108556048547</c:v>
                </c:pt>
                <c:pt idx="2135">
                  <c:v>239.546421689585</c:v>
                </c:pt>
                <c:pt idx="2136">
                  <c:v>239.9436212895278</c:v>
                </c:pt>
                <c:pt idx="2137">
                  <c:v>239.6745481014663</c:v>
                </c:pt>
                <c:pt idx="2138">
                  <c:v>240.6859667211146</c:v>
                </c:pt>
                <c:pt idx="2139">
                  <c:v>241.1607063557342</c:v>
                </c:pt>
                <c:pt idx="2140">
                  <c:v>243.5177998401316</c:v>
                </c:pt>
                <c:pt idx="2141">
                  <c:v>240.9512555847747</c:v>
                </c:pt>
                <c:pt idx="2142">
                  <c:v>238.909110567919</c:v>
                </c:pt>
                <c:pt idx="2143">
                  <c:v>237.786479149531</c:v>
                </c:pt>
                <c:pt idx="2144">
                  <c:v>238.8575974173916</c:v>
                </c:pt>
                <c:pt idx="2145">
                  <c:v>238.5697570695427</c:v>
                </c:pt>
                <c:pt idx="2146">
                  <c:v>237.3319740657932</c:v>
                </c:pt>
                <c:pt idx="2147">
                  <c:v>235.0197518564428</c:v>
                </c:pt>
                <c:pt idx="2148">
                  <c:v>232.9871062661462</c:v>
                </c:pt>
                <c:pt idx="2149">
                  <c:v>231.3781505466032</c:v>
                </c:pt>
                <c:pt idx="2150">
                  <c:v>231.2632306545723</c:v>
                </c:pt>
                <c:pt idx="2151">
                  <c:v>230.2443206172311</c:v>
                </c:pt>
                <c:pt idx="2152">
                  <c:v>229.9635855315238</c:v>
                </c:pt>
                <c:pt idx="2153">
                  <c:v>229.4486084884713</c:v>
                </c:pt>
                <c:pt idx="2154">
                  <c:v>230.3981649888208</c:v>
                </c:pt>
                <c:pt idx="2155">
                  <c:v>230.2155134131131</c:v>
                </c:pt>
                <c:pt idx="2156">
                  <c:v>222.1656375621228</c:v>
                </c:pt>
                <c:pt idx="2157">
                  <c:v>220.3899398755807</c:v>
                </c:pt>
                <c:pt idx="2158">
                  <c:v>223.4145418457463</c:v>
                </c:pt>
                <c:pt idx="2159">
                  <c:v>224.6372647829999</c:v>
                </c:pt>
                <c:pt idx="2160">
                  <c:v>221.8862926363998</c:v>
                </c:pt>
                <c:pt idx="2161">
                  <c:v>222.8746191540877</c:v>
                </c:pt>
                <c:pt idx="2162">
                  <c:v>218.1060614836869</c:v>
                </c:pt>
                <c:pt idx="2163">
                  <c:v>218.6549429841329</c:v>
                </c:pt>
                <c:pt idx="2164">
                  <c:v>222.8132204214502</c:v>
                </c:pt>
                <c:pt idx="2165">
                  <c:v>221.6275684171098</c:v>
                </c:pt>
                <c:pt idx="2166">
                  <c:v>224.3715125326784</c:v>
                </c:pt>
                <c:pt idx="2167">
                  <c:v>223.1012152315196</c:v>
                </c:pt>
                <c:pt idx="2168">
                  <c:v>221.3470650247332</c:v>
                </c:pt>
                <c:pt idx="2169">
                  <c:v>215.5515652815267</c:v>
                </c:pt>
                <c:pt idx="2170">
                  <c:v>213.1652784374602</c:v>
                </c:pt>
                <c:pt idx="2171">
                  <c:v>212.2275382969768</c:v>
                </c:pt>
                <c:pt idx="2172">
                  <c:v>214.8614280804594</c:v>
                </c:pt>
                <c:pt idx="2173">
                  <c:v>211.7517174268139</c:v>
                </c:pt>
                <c:pt idx="2174">
                  <c:v>212.1389542135363</c:v>
                </c:pt>
                <c:pt idx="2175">
                  <c:v>210.3861941667342</c:v>
                </c:pt>
                <c:pt idx="2176">
                  <c:v>204.9632572993053</c:v>
                </c:pt>
                <c:pt idx="2177">
                  <c:v>205.7450678282226</c:v>
                </c:pt>
                <c:pt idx="2178">
                  <c:v>200.6838814811382</c:v>
                </c:pt>
                <c:pt idx="2179">
                  <c:v>200.7375571027521</c:v>
                </c:pt>
                <c:pt idx="2180">
                  <c:v>209.2278047443071</c:v>
                </c:pt>
                <c:pt idx="2181">
                  <c:v>211.379386244367</c:v>
                </c:pt>
                <c:pt idx="2182">
                  <c:v>214.3372605352888</c:v>
                </c:pt>
                <c:pt idx="2183">
                  <c:v>209.1132710078274</c:v>
                </c:pt>
                <c:pt idx="2184">
                  <c:v>217.8608527086881</c:v>
                </c:pt>
                <c:pt idx="2185">
                  <c:v>210.9341488938574</c:v>
                </c:pt>
                <c:pt idx="2186">
                  <c:v>207.7862860717554</c:v>
                </c:pt>
                <c:pt idx="2187">
                  <c:v>213.0189254835633</c:v>
                </c:pt>
                <c:pt idx="2188">
                  <c:v>215.1599263215208</c:v>
                </c:pt>
                <c:pt idx="2189">
                  <c:v>214.8577982182783</c:v>
                </c:pt>
                <c:pt idx="2190">
                  <c:v>220.5860296644695</c:v>
                </c:pt>
                <c:pt idx="2191">
                  <c:v>217.4536902955249</c:v>
                </c:pt>
                <c:pt idx="2192">
                  <c:v>214.0417743075266</c:v>
                </c:pt>
                <c:pt idx="2193">
                  <c:v>220.7716160223661</c:v>
                </c:pt>
                <c:pt idx="2194">
                  <c:v>224.7832315813456</c:v>
                </c:pt>
                <c:pt idx="2195">
                  <c:v>228.533110907736</c:v>
                </c:pt>
                <c:pt idx="2196">
                  <c:v>230.80725817974</c:v>
                </c:pt>
                <c:pt idx="2197">
                  <c:v>229.3149214366531</c:v>
                </c:pt>
                <c:pt idx="2198">
                  <c:v>228.7684341006244</c:v>
                </c:pt>
                <c:pt idx="2199">
                  <c:v>227.2344697891205</c:v>
                </c:pt>
                <c:pt idx="2200">
                  <c:v>228.6521240486093</c:v>
                </c:pt>
                <c:pt idx="2201">
                  <c:v>230.6755791367879</c:v>
                </c:pt>
                <c:pt idx="2202">
                  <c:v>231.3977672486031</c:v>
                </c:pt>
                <c:pt idx="2203">
                  <c:v>230.0812857435232</c:v>
                </c:pt>
                <c:pt idx="2204">
                  <c:v>228.9389603920251</c:v>
                </c:pt>
                <c:pt idx="2205">
                  <c:v>227.4501762800091</c:v>
                </c:pt>
                <c:pt idx="2206">
                  <c:v>229.4857566524948</c:v>
                </c:pt>
                <c:pt idx="2207">
                  <c:v>225.6564065136719</c:v>
                </c:pt>
                <c:pt idx="2208">
                  <c:v>223.169796457409</c:v>
                </c:pt>
                <c:pt idx="2209">
                  <c:v>222.7678085286315</c:v>
                </c:pt>
                <c:pt idx="2210">
                  <c:v>222.0782891764461</c:v>
                </c:pt>
                <c:pt idx="2211">
                  <c:v>221.6774597143222</c:v>
                </c:pt>
                <c:pt idx="2212">
                  <c:v>218.851496159683</c:v>
                </c:pt>
                <c:pt idx="2213">
                  <c:v>219.3579005494993</c:v>
                </c:pt>
                <c:pt idx="2214">
                  <c:v>218.448967613134</c:v>
                </c:pt>
                <c:pt idx="2215">
                  <c:v>222.0118704216433</c:v>
                </c:pt>
                <c:pt idx="2216">
                  <c:v>223.3094303047154</c:v>
                </c:pt>
                <c:pt idx="2217">
                  <c:v>224.6986635156374</c:v>
                </c:pt>
                <c:pt idx="2218">
                  <c:v>226.3620671678966</c:v>
                </c:pt>
                <c:pt idx="2219">
                  <c:v>227.9117093947784</c:v>
                </c:pt>
                <c:pt idx="2220">
                  <c:v>225.8484030537181</c:v>
                </c:pt>
                <c:pt idx="2221">
                  <c:v>226.4307256248962</c:v>
                </c:pt>
                <c:pt idx="2222">
                  <c:v>226.3935774608728</c:v>
                </c:pt>
                <c:pt idx="2223">
                  <c:v>223.8775423516101</c:v>
                </c:pt>
                <c:pt idx="2224">
                  <c:v>220.9037584519797</c:v>
                </c:pt>
                <c:pt idx="2225">
                  <c:v>218.5588674829995</c:v>
                </c:pt>
                <c:pt idx="2226">
                  <c:v>220.4606063414465</c:v>
                </c:pt>
                <c:pt idx="2227">
                  <c:v>217.5540907388314</c:v>
                </c:pt>
                <c:pt idx="2228">
                  <c:v>220.5281835629028</c:v>
                </c:pt>
                <c:pt idx="2229">
                  <c:v>220.4086298042577</c:v>
                </c:pt>
                <c:pt idx="2230">
                  <c:v>222.9345504956306</c:v>
                </c:pt>
                <c:pt idx="2231">
                  <c:v>222.7153686047814</c:v>
                </c:pt>
                <c:pt idx="2232">
                  <c:v>223.5283032711237</c:v>
                </c:pt>
                <c:pt idx="2233">
                  <c:v>221.0956005298054</c:v>
                </c:pt>
                <c:pt idx="2234">
                  <c:v>219.6406436440727</c:v>
                </c:pt>
                <c:pt idx="2235">
                  <c:v>221.3903916775755</c:v>
                </c:pt>
                <c:pt idx="2236">
                  <c:v>221.1684294667578</c:v>
                </c:pt>
                <c:pt idx="2237">
                  <c:v>220.3637585292107</c:v>
                </c:pt>
                <c:pt idx="2238">
                  <c:v>222.5255345358217</c:v>
                </c:pt>
                <c:pt idx="2239">
                  <c:v>224.6459146673463</c:v>
                </c:pt>
                <c:pt idx="2240">
                  <c:v>221.1078802763329</c:v>
                </c:pt>
                <c:pt idx="2241">
                  <c:v>221.20843518186</c:v>
                </c:pt>
                <c:pt idx="2242">
                  <c:v>218.806933809077</c:v>
                </c:pt>
                <c:pt idx="2243">
                  <c:v>215.3540081015435</c:v>
                </c:pt>
                <c:pt idx="2244">
                  <c:v>216.6085502562142</c:v>
                </c:pt>
                <c:pt idx="2245">
                  <c:v>216.7048574506783</c:v>
                </c:pt>
                <c:pt idx="2246">
                  <c:v>216.9792595853462</c:v>
                </c:pt>
                <c:pt idx="2247">
                  <c:v>221.4330232504257</c:v>
                </c:pt>
                <c:pt idx="2248">
                  <c:v>219.63647316412</c:v>
                </c:pt>
                <c:pt idx="2249">
                  <c:v>218.9842564381784</c:v>
                </c:pt>
                <c:pt idx="2250">
                  <c:v>217.4965535617057</c:v>
                </c:pt>
                <c:pt idx="2251">
                  <c:v>222.4085294038145</c:v>
                </c:pt>
                <c:pt idx="2252">
                  <c:v>221.2648138923321</c:v>
                </c:pt>
                <c:pt idx="2253">
                  <c:v>218.3959098404019</c:v>
                </c:pt>
                <c:pt idx="2254">
                  <c:v>218.7812158493684</c:v>
                </c:pt>
                <c:pt idx="2255">
                  <c:v>217.5646714009337</c:v>
                </c:pt>
                <c:pt idx="2256">
                  <c:v>216.8355324891973</c:v>
                </c:pt>
                <c:pt idx="2257">
                  <c:v>217.9717565829868</c:v>
                </c:pt>
                <c:pt idx="2258">
                  <c:v>217.4113676471156</c:v>
                </c:pt>
                <c:pt idx="2259">
                  <c:v>220.1217934608419</c:v>
                </c:pt>
                <c:pt idx="2260">
                  <c:v>219.0856608859181</c:v>
                </c:pt>
                <c:pt idx="2261">
                  <c:v>217.0090707938972</c:v>
                </c:pt>
                <c:pt idx="2262">
                  <c:v>217.394145109533</c:v>
                </c:pt>
                <c:pt idx="2263">
                  <c:v>220.1605634781803</c:v>
                </c:pt>
                <c:pt idx="2264">
                  <c:v>219.1781065248703</c:v>
                </c:pt>
                <c:pt idx="2265">
                  <c:v>217.2700347153841</c:v>
                </c:pt>
                <c:pt idx="2266">
                  <c:v>214.8744801380892</c:v>
                </c:pt>
                <c:pt idx="2267">
                  <c:v>213.4562852608288</c:v>
                </c:pt>
                <c:pt idx="2268">
                  <c:v>215.2865081111973</c:v>
                </c:pt>
                <c:pt idx="2269">
                  <c:v>212.7551040109977</c:v>
                </c:pt>
                <c:pt idx="2270">
                  <c:v>212.5843460262663</c:v>
                </c:pt>
                <c:pt idx="2271">
                  <c:v>212.9120376269969</c:v>
                </c:pt>
                <c:pt idx="2272">
                  <c:v>211.7590543822863</c:v>
                </c:pt>
                <c:pt idx="2273">
                  <c:v>210.5879218266702</c:v>
                </c:pt>
                <c:pt idx="2274">
                  <c:v>209.6870209257693</c:v>
                </c:pt>
                <c:pt idx="2275">
                  <c:v>207.2095241405143</c:v>
                </c:pt>
                <c:pt idx="2276">
                  <c:v>207.2854423218761</c:v>
                </c:pt>
                <c:pt idx="2277">
                  <c:v>206.6417982491708</c:v>
                </c:pt>
                <c:pt idx="2278">
                  <c:v>207.856875306511</c:v>
                </c:pt>
                <c:pt idx="2279">
                  <c:v>205.8587520224897</c:v>
                </c:pt>
                <c:pt idx="2280">
                  <c:v>203.5883890748872</c:v>
                </c:pt>
                <c:pt idx="2281">
                  <c:v>202.0484007367848</c:v>
                </c:pt>
                <c:pt idx="2282">
                  <c:v>199.5584697427818</c:v>
                </c:pt>
                <c:pt idx="2283">
                  <c:v>198.1928692515919</c:v>
                </c:pt>
                <c:pt idx="2284">
                  <c:v>195.00901673212</c:v>
                </c:pt>
                <c:pt idx="2285">
                  <c:v>199.6659754482301</c:v>
                </c:pt>
                <c:pt idx="2286">
                  <c:v>200.8944907187513</c:v>
                </c:pt>
                <c:pt idx="2287">
                  <c:v>200.209914157621</c:v>
                </c:pt>
                <c:pt idx="2288">
                  <c:v>197.8400775400347</c:v>
                </c:pt>
                <c:pt idx="2289">
                  <c:v>195.2433359205755</c:v>
                </c:pt>
                <c:pt idx="2290">
                  <c:v>194.8394944451524</c:v>
                </c:pt>
                <c:pt idx="2291">
                  <c:v>192.4557562277236</c:v>
                </c:pt>
                <c:pt idx="2292">
                  <c:v>197.4113676471156</c:v>
                </c:pt>
                <c:pt idx="2293">
                  <c:v>195.6772202978804</c:v>
                </c:pt>
                <c:pt idx="2294">
                  <c:v>199.2252947332244</c:v>
                </c:pt>
                <c:pt idx="2295">
                  <c:v>201.405606206292</c:v>
                </c:pt>
                <c:pt idx="2296">
                  <c:v>207.999984553778</c:v>
                </c:pt>
                <c:pt idx="2297">
                  <c:v>206.9206025571221</c:v>
                </c:pt>
                <c:pt idx="2298">
                  <c:v>206.1893011742991</c:v>
                </c:pt>
                <c:pt idx="2299">
                  <c:v>203.1664755196688</c:v>
                </c:pt>
                <c:pt idx="2300">
                  <c:v>204.7765124747551</c:v>
                </c:pt>
                <c:pt idx="2301">
                  <c:v>205.6141610963728</c:v>
                </c:pt>
                <c:pt idx="2302">
                  <c:v>204.7480141950781</c:v>
                </c:pt>
                <c:pt idx="2303">
                  <c:v>204.8253997675343</c:v>
                </c:pt>
                <c:pt idx="2304">
                  <c:v>203.2060178481096</c:v>
                </c:pt>
                <c:pt idx="2305">
                  <c:v>200.9812212555461</c:v>
                </c:pt>
                <c:pt idx="2306">
                  <c:v>199.415437726625</c:v>
                </c:pt>
                <c:pt idx="2307">
                  <c:v>198.2276232511981</c:v>
                </c:pt>
                <c:pt idx="2308">
                  <c:v>197.6873916350985</c:v>
                </c:pt>
                <c:pt idx="2309">
                  <c:v>200.1513729760622</c:v>
                </c:pt>
                <c:pt idx="2310">
                  <c:v>200.2896938944946</c:v>
                </c:pt>
                <c:pt idx="2311">
                  <c:v>197.7516479188147</c:v>
                </c:pt>
                <c:pt idx="2312">
                  <c:v>198.32323536567</c:v>
                </c:pt>
                <c:pt idx="2313">
                  <c:v>199.1201831921935</c:v>
                </c:pt>
                <c:pt idx="2314">
                  <c:v>196.5356440881516</c:v>
                </c:pt>
                <c:pt idx="2315">
                  <c:v>196.7945227696621</c:v>
                </c:pt>
                <c:pt idx="2316">
                  <c:v>195.7176121685337</c:v>
                </c:pt>
                <c:pt idx="2317">
                  <c:v>195.9916281476505</c:v>
                </c:pt>
                <c:pt idx="2318">
                  <c:v>197.4984071083514</c:v>
                </c:pt>
                <c:pt idx="2319">
                  <c:v>196.5089993551202</c:v>
                </c:pt>
                <c:pt idx="2320">
                  <c:v>193.878507740488</c:v>
                </c:pt>
                <c:pt idx="2321">
                  <c:v>194.1573120484393</c:v>
                </c:pt>
                <c:pt idx="2322">
                  <c:v>192.4672636631488</c:v>
                </c:pt>
                <c:pt idx="2323">
                  <c:v>194.8656757915223</c:v>
                </c:pt>
                <c:pt idx="2324">
                  <c:v>192.9267115379417</c:v>
                </c:pt>
                <c:pt idx="2325">
                  <c:v>194.2783331981789</c:v>
                </c:pt>
                <c:pt idx="2326">
                  <c:v>194.5816969991852</c:v>
                </c:pt>
                <c:pt idx="2327">
                  <c:v>192.373968481984</c:v>
                </c:pt>
                <c:pt idx="2328">
                  <c:v>190.5868405911269</c:v>
                </c:pt>
                <c:pt idx="2329">
                  <c:v>189.491394523542</c:v>
                </c:pt>
                <c:pt idx="2330">
                  <c:v>190.0164116109251</c:v>
                </c:pt>
                <c:pt idx="2331">
                  <c:v>188.5402161698776</c:v>
                </c:pt>
                <c:pt idx="2332">
                  <c:v>187.3708599297969</c:v>
                </c:pt>
                <c:pt idx="2333">
                  <c:v>186.907164343941</c:v>
                </c:pt>
                <c:pt idx="2334">
                  <c:v>189.9959453667126</c:v>
                </c:pt>
                <c:pt idx="2335">
                  <c:v>194.2880643180686</c:v>
                </c:pt>
                <c:pt idx="2336">
                  <c:v>192.4228557747632</c:v>
                </c:pt>
                <c:pt idx="2337">
                  <c:v>192.9681846441384</c:v>
                </c:pt>
                <c:pt idx="2338">
                  <c:v>192.5546892799358</c:v>
                </c:pt>
                <c:pt idx="2339">
                  <c:v>190.2304962484988</c:v>
                </c:pt>
                <c:pt idx="2340">
                  <c:v>191.726231160436</c:v>
                </c:pt>
                <c:pt idx="2341">
                  <c:v>188.8070496557423</c:v>
                </c:pt>
                <c:pt idx="2342">
                  <c:v>186.2677679822986</c:v>
                </c:pt>
                <c:pt idx="2343">
                  <c:v>186.4148160161876</c:v>
                </c:pt>
                <c:pt idx="2344">
                  <c:v>186.5058714951557</c:v>
                </c:pt>
                <c:pt idx="2345">
                  <c:v>185.0913837111866</c:v>
                </c:pt>
                <c:pt idx="2346">
                  <c:v>183.1239984090391</c:v>
                </c:pt>
                <c:pt idx="2347">
                  <c:v>181.9187297026988</c:v>
                </c:pt>
                <c:pt idx="2348">
                  <c:v>183.0648393785985</c:v>
                </c:pt>
                <c:pt idx="2349">
                  <c:v>183.5056745558246</c:v>
                </c:pt>
                <c:pt idx="2350">
                  <c:v>184.2470932140885</c:v>
                </c:pt>
                <c:pt idx="2351">
                  <c:v>184.9412464328881</c:v>
                </c:pt>
                <c:pt idx="2352">
                  <c:v>186.8331769403351</c:v>
                </c:pt>
                <c:pt idx="2353">
                  <c:v>185.9199962929067</c:v>
                </c:pt>
                <c:pt idx="2354">
                  <c:v>185.9023875997729</c:v>
                </c:pt>
                <c:pt idx="2355">
                  <c:v>184.9681228592502</c:v>
                </c:pt>
                <c:pt idx="2356">
                  <c:v>182.9739383618509</c:v>
                </c:pt>
                <c:pt idx="2357">
                  <c:v>181.990168479667</c:v>
                </c:pt>
                <c:pt idx="2358">
                  <c:v>183.8851110004132</c:v>
                </c:pt>
                <c:pt idx="2359">
                  <c:v>185.2841525623352</c:v>
                </c:pt>
                <c:pt idx="2360">
                  <c:v>184.2601452717184</c:v>
                </c:pt>
                <c:pt idx="2361">
                  <c:v>184.5754798948113</c:v>
                </c:pt>
                <c:pt idx="2362">
                  <c:v>183.7487208597367</c:v>
                </c:pt>
                <c:pt idx="2363">
                  <c:v>182.2928372006812</c:v>
                </c:pt>
                <c:pt idx="2364">
                  <c:v>179.0896769036503</c:v>
                </c:pt>
                <c:pt idx="2365">
                  <c:v>181.0009151886563</c:v>
                </c:pt>
                <c:pt idx="2366">
                  <c:v>182.7244818757892</c:v>
                </c:pt>
                <c:pt idx="2367">
                  <c:v>182.8399423855918</c:v>
                </c:pt>
                <c:pt idx="2368">
                  <c:v>182.0102485683283</c:v>
                </c:pt>
                <c:pt idx="2369">
                  <c:v>183.958403324027</c:v>
                </c:pt>
                <c:pt idx="2370">
                  <c:v>182.9193359669142</c:v>
                </c:pt>
                <c:pt idx="2371">
                  <c:v>184.9892069523445</c:v>
                </c:pt>
                <c:pt idx="2372">
                  <c:v>185.5292841062237</c:v>
                </c:pt>
                <c:pt idx="2373">
                  <c:v>184.9761548947147</c:v>
                </c:pt>
                <c:pt idx="2374">
                  <c:v>182.1925912195951</c:v>
                </c:pt>
                <c:pt idx="2375">
                  <c:v>181.7064213806605</c:v>
                </c:pt>
                <c:pt idx="2376">
                  <c:v>182.2694361742797</c:v>
                </c:pt>
                <c:pt idx="2377">
                  <c:v>180.2432007661326</c:v>
                </c:pt>
                <c:pt idx="2378">
                  <c:v>179.1761757471145</c:v>
                </c:pt>
                <c:pt idx="2379">
                  <c:v>178.1123944347262</c:v>
                </c:pt>
                <c:pt idx="2380">
                  <c:v>179.2743364882242</c:v>
                </c:pt>
                <c:pt idx="2381">
                  <c:v>181.4118619262211</c:v>
                </c:pt>
                <c:pt idx="2382">
                  <c:v>181.746504326873</c:v>
                </c:pt>
                <c:pt idx="2383">
                  <c:v>181.2597938701668</c:v>
                </c:pt>
                <c:pt idx="2384">
                  <c:v>180.2393392106208</c:v>
                </c:pt>
                <c:pt idx="2385">
                  <c:v>179.6001745423091</c:v>
                </c:pt>
                <c:pt idx="2386">
                  <c:v>179.2476917551928</c:v>
                </c:pt>
                <c:pt idx="2387">
                  <c:v>178.8294852932658</c:v>
                </c:pt>
                <c:pt idx="2388">
                  <c:v>178.7212072767152</c:v>
                </c:pt>
                <c:pt idx="2389">
                  <c:v>176.3981727119318</c:v>
                </c:pt>
                <c:pt idx="2390">
                  <c:v>175.7122832219275</c:v>
                </c:pt>
                <c:pt idx="2391">
                  <c:v>175.1553696860169</c:v>
                </c:pt>
                <c:pt idx="2392">
                  <c:v>176.0835331688311</c:v>
                </c:pt>
                <c:pt idx="2393">
                  <c:v>175.8811876600132</c:v>
                </c:pt>
                <c:pt idx="2394">
                  <c:v>173.8596633495905</c:v>
                </c:pt>
                <c:pt idx="2395">
                  <c:v>173.5780014905604</c:v>
                </c:pt>
                <c:pt idx="2396">
                  <c:v>172.7439827311238</c:v>
                </c:pt>
                <c:pt idx="2397">
                  <c:v>172.0256561748203</c:v>
                </c:pt>
                <c:pt idx="2398">
                  <c:v>174.1782416793133</c:v>
                </c:pt>
                <c:pt idx="2399">
                  <c:v>172.801365446029</c:v>
                </c:pt>
                <c:pt idx="2400">
                  <c:v>173.7028069647015</c:v>
                </c:pt>
                <c:pt idx="2401">
                  <c:v>171.8370578036244</c:v>
                </c:pt>
                <c:pt idx="2402">
                  <c:v>171.1646065268012</c:v>
                </c:pt>
                <c:pt idx="2403">
                  <c:v>169.9777960558072</c:v>
                </c:pt>
                <c:pt idx="2404">
                  <c:v>169.0310971065365</c:v>
                </c:pt>
                <c:pt idx="2405">
                  <c:v>167.030965813649</c:v>
                </c:pt>
                <c:pt idx="2406">
                  <c:v>166.1812691388345</c:v>
                </c:pt>
                <c:pt idx="2407">
                  <c:v>165.4169128408305</c:v>
                </c:pt>
                <c:pt idx="2408">
                  <c:v>165.1261377107926</c:v>
                </c:pt>
                <c:pt idx="2409">
                  <c:v>165.824461409545</c:v>
                </c:pt>
                <c:pt idx="2410">
                  <c:v>164.6429798851574</c:v>
                </c:pt>
                <c:pt idx="2411">
                  <c:v>164.2064696501045</c:v>
                </c:pt>
                <c:pt idx="2412">
                  <c:v>162.6053915038055</c:v>
                </c:pt>
                <c:pt idx="2413">
                  <c:v>167.7350046145588</c:v>
                </c:pt>
                <c:pt idx="2414">
                  <c:v>169.0193579777806</c:v>
                </c:pt>
                <c:pt idx="2415">
                  <c:v>172.8102470237061</c:v>
                </c:pt>
                <c:pt idx="2416">
                  <c:v>173.2948722404359</c:v>
                </c:pt>
                <c:pt idx="2417">
                  <c:v>173.6197062900878</c:v>
                </c:pt>
                <c:pt idx="2418">
                  <c:v>171.5501442290984</c:v>
                </c:pt>
                <c:pt idx="2419">
                  <c:v>169.551634789526</c:v>
                </c:pt>
                <c:pt idx="2420">
                  <c:v>170.3052559632071</c:v>
                </c:pt>
                <c:pt idx="2421">
                  <c:v>167.3616694276789</c:v>
                </c:pt>
                <c:pt idx="2422">
                  <c:v>169.4862972702664</c:v>
                </c:pt>
                <c:pt idx="2423">
                  <c:v>168.1137459791553</c:v>
                </c:pt>
                <c:pt idx="2424">
                  <c:v>167.3185744681673</c:v>
                </c:pt>
                <c:pt idx="2425">
                  <c:v>167.2601105177188</c:v>
                </c:pt>
                <c:pt idx="2426">
                  <c:v>169.832292644123</c:v>
                </c:pt>
                <c:pt idx="2427">
                  <c:v>167.853940524322</c:v>
                </c:pt>
                <c:pt idx="2428">
                  <c:v>164.34255086634</c:v>
                </c:pt>
                <c:pt idx="2429">
                  <c:v>165.1598104748555</c:v>
                </c:pt>
                <c:pt idx="2430">
                  <c:v>162.8071963948518</c:v>
                </c:pt>
                <c:pt idx="2431">
                  <c:v>161.800566104038</c:v>
                </c:pt>
                <c:pt idx="2432">
                  <c:v>160.4134181330924</c:v>
                </c:pt>
                <c:pt idx="2433">
                  <c:v>159.8729548236621</c:v>
                </c:pt>
                <c:pt idx="2434">
                  <c:v>158.6333182732669</c:v>
                </c:pt>
                <c:pt idx="2435">
                  <c:v>160.590122913312</c:v>
                </c:pt>
                <c:pt idx="2436">
                  <c:v>159.7401173140564</c:v>
                </c:pt>
                <c:pt idx="2437">
                  <c:v>162.1983063217525</c:v>
                </c:pt>
                <c:pt idx="2438">
                  <c:v>159.8916447523391</c:v>
                </c:pt>
                <c:pt idx="2439">
                  <c:v>160.471264234659</c:v>
                </c:pt>
                <c:pt idx="2440">
                  <c:v>159.2272255109803</c:v>
                </c:pt>
                <c:pt idx="2441">
                  <c:v>161.3015759008044</c:v>
                </c:pt>
                <c:pt idx="2442">
                  <c:v>160.1187042164325</c:v>
                </c:pt>
                <c:pt idx="2443">
                  <c:v>160.8520908392319</c:v>
                </c:pt>
                <c:pt idx="2444">
                  <c:v>158.7396655120615</c:v>
                </c:pt>
                <c:pt idx="2445">
                  <c:v>157.65186532439</c:v>
                </c:pt>
                <c:pt idx="2446">
                  <c:v>157.2338133246834</c:v>
                </c:pt>
                <c:pt idx="2447">
                  <c:v>155.849677367037</c:v>
                </c:pt>
                <c:pt idx="2448">
                  <c:v>158.4848800793936</c:v>
                </c:pt>
                <c:pt idx="2449">
                  <c:v>160.6067276020127</c:v>
                </c:pt>
                <c:pt idx="2450">
                  <c:v>156.3356155126408</c:v>
                </c:pt>
                <c:pt idx="2451">
                  <c:v>156.536416399254</c:v>
                </c:pt>
                <c:pt idx="2452">
                  <c:v>159.6845881457969</c:v>
                </c:pt>
                <c:pt idx="2453">
                  <c:v>161.9070678050532</c:v>
                </c:pt>
                <c:pt idx="2454">
                  <c:v>166.7549418256662</c:v>
                </c:pt>
                <c:pt idx="2455">
                  <c:v>164.2548935562223</c:v>
                </c:pt>
                <c:pt idx="2456">
                  <c:v>164.861930082676</c:v>
                </c:pt>
                <c:pt idx="2457">
                  <c:v>164.9525994060928</c:v>
                </c:pt>
                <c:pt idx="2458">
                  <c:v>164.0684576561131</c:v>
                </c:pt>
                <c:pt idx="2459">
                  <c:v>161.6904345408417</c:v>
                </c:pt>
                <c:pt idx="2460">
                  <c:v>165.0286720496751</c:v>
                </c:pt>
                <c:pt idx="2461">
                  <c:v>165.2778968424061</c:v>
                </c:pt>
                <c:pt idx="2462">
                  <c:v>164.0224279144125</c:v>
                </c:pt>
                <c:pt idx="2463">
                  <c:v>160.3618277514549</c:v>
                </c:pt>
                <c:pt idx="2464">
                  <c:v>156.0956584531381</c:v>
                </c:pt>
                <c:pt idx="2465">
                  <c:v>156.2352923004445</c:v>
                </c:pt>
                <c:pt idx="2466">
                  <c:v>156.8624861466696</c:v>
                </c:pt>
                <c:pt idx="2467">
                  <c:v>158.3224630545677</c:v>
                </c:pt>
                <c:pt idx="2468">
                  <c:v>159.8426029973394</c:v>
                </c:pt>
                <c:pt idx="2469">
                  <c:v>159.6886041635292</c:v>
                </c:pt>
                <c:pt idx="2470">
                  <c:v>156.6441537980329</c:v>
                </c:pt>
                <c:pt idx="2471">
                  <c:v>153.6206330634106</c:v>
                </c:pt>
                <c:pt idx="2472">
                  <c:v>152.1371006668906</c:v>
                </c:pt>
                <c:pt idx="2473">
                  <c:v>144.83706166518</c:v>
                </c:pt>
                <c:pt idx="2474">
                  <c:v>141.9512440001081</c:v>
                </c:pt>
                <c:pt idx="2475">
                  <c:v>147.8208083780308</c:v>
                </c:pt>
                <c:pt idx="2476">
                  <c:v>149.2469580596456</c:v>
                </c:pt>
                <c:pt idx="2477">
                  <c:v>142.2186953348548</c:v>
                </c:pt>
                <c:pt idx="2478">
                  <c:v>152.0742345431587</c:v>
                </c:pt>
                <c:pt idx="2479">
                  <c:v>154.5220745820831</c:v>
                </c:pt>
                <c:pt idx="2480">
                  <c:v>161.076447214467</c:v>
                </c:pt>
                <c:pt idx="2481">
                  <c:v>161.2188613817418</c:v>
                </c:pt>
                <c:pt idx="2482">
                  <c:v>157.2290249958488</c:v>
                </c:pt>
                <c:pt idx="2483">
                  <c:v>158.8293308310454</c:v>
                </c:pt>
                <c:pt idx="2484">
                  <c:v>158.1227434034978</c:v>
                </c:pt>
                <c:pt idx="2485">
                  <c:v>160.8660696701845</c:v>
                </c:pt>
                <c:pt idx="2486">
                  <c:v>159.8387414418276</c:v>
                </c:pt>
                <c:pt idx="2487">
                  <c:v>154.6659561404525</c:v>
                </c:pt>
                <c:pt idx="2488">
                  <c:v>154.5725837281774</c:v>
                </c:pt>
                <c:pt idx="2489">
                  <c:v>157.5096056193356</c:v>
                </c:pt>
                <c:pt idx="2490">
                  <c:v>151.6936396319165</c:v>
                </c:pt>
                <c:pt idx="2491">
                  <c:v>156.004911898611</c:v>
                </c:pt>
                <c:pt idx="2492">
                  <c:v>157.3454895100845</c:v>
                </c:pt>
                <c:pt idx="2493">
                  <c:v>159.5023999567506</c:v>
                </c:pt>
                <c:pt idx="2494">
                  <c:v>160.7407235782718</c:v>
                </c:pt>
                <c:pt idx="2495">
                  <c:v>161.9856118441631</c:v>
                </c:pt>
                <c:pt idx="2496">
                  <c:v>168.2206338357217</c:v>
                </c:pt>
                <c:pt idx="2497">
                  <c:v>170.635341728355</c:v>
                </c:pt>
                <c:pt idx="2498">
                  <c:v>170.0940288767121</c:v>
                </c:pt>
                <c:pt idx="2499">
                  <c:v>169.2407795708267</c:v>
                </c:pt>
                <c:pt idx="2500">
                  <c:v>168.0309542289825</c:v>
                </c:pt>
                <c:pt idx="2501">
                  <c:v>168.5355823032634</c:v>
                </c:pt>
                <c:pt idx="2502">
                  <c:v>166.242667871472</c:v>
                </c:pt>
                <c:pt idx="2503">
                  <c:v>164.9865810945965</c:v>
                </c:pt>
                <c:pt idx="2504">
                  <c:v>165.2296273985087</c:v>
                </c:pt>
                <c:pt idx="2505">
                  <c:v>163.2318902700386</c:v>
                </c:pt>
                <c:pt idx="2506">
                  <c:v>164.91892664203</c:v>
                </c:pt>
                <c:pt idx="2507">
                  <c:v>162.4227399280979</c:v>
                </c:pt>
                <c:pt idx="2508">
                  <c:v>162.5453829311523</c:v>
                </c:pt>
                <c:pt idx="2509">
                  <c:v>162.4094561771373</c:v>
                </c:pt>
                <c:pt idx="2510">
                  <c:v>162.0731919231705</c:v>
                </c:pt>
                <c:pt idx="2511">
                  <c:v>162.9623536953156</c:v>
                </c:pt>
                <c:pt idx="2512">
                  <c:v>161.7752342998807</c:v>
                </c:pt>
                <c:pt idx="2513">
                  <c:v>159.6133038310492</c:v>
                </c:pt>
                <c:pt idx="2514">
                  <c:v>160.0451029683777</c:v>
                </c:pt>
                <c:pt idx="2515">
                  <c:v>161.1453373647973</c:v>
                </c:pt>
                <c:pt idx="2516">
                  <c:v>160.0676544525666</c:v>
                </c:pt>
                <c:pt idx="2517">
                  <c:v>159.0953920058078</c:v>
                </c:pt>
                <c:pt idx="2518">
                  <c:v>159.3375887675074</c:v>
                </c:pt>
                <c:pt idx="2519">
                  <c:v>159.7551001494422</c:v>
                </c:pt>
                <c:pt idx="2520">
                  <c:v>159.4637071705224</c:v>
                </c:pt>
                <c:pt idx="2521">
                  <c:v>159.9591447426853</c:v>
                </c:pt>
                <c:pt idx="2522">
                  <c:v>157.1787475430853</c:v>
                </c:pt>
                <c:pt idx="2523">
                  <c:v>159.6981808211984</c:v>
                </c:pt>
                <c:pt idx="2524">
                  <c:v>156.992620567417</c:v>
                </c:pt>
                <c:pt idx="2525">
                  <c:v>156.0080011430204</c:v>
                </c:pt>
                <c:pt idx="2526">
                  <c:v>157.8486501932709</c:v>
                </c:pt>
                <c:pt idx="2527">
                  <c:v>156.9374003235984</c:v>
                </c:pt>
                <c:pt idx="2528">
                  <c:v>155.6961419198882</c:v>
                </c:pt>
                <c:pt idx="2529">
                  <c:v>154.3964195657295</c:v>
                </c:pt>
                <c:pt idx="2530">
                  <c:v>155.5316396550859</c:v>
                </c:pt>
                <c:pt idx="2531">
                  <c:v>153.0772349717913</c:v>
                </c:pt>
                <c:pt idx="2532">
                  <c:v>151.6198066905311</c:v>
                </c:pt>
                <c:pt idx="2533">
                  <c:v>152.0899896896468</c:v>
                </c:pt>
                <c:pt idx="2534">
                  <c:v>148.9763402493793</c:v>
                </c:pt>
                <c:pt idx="2535">
                  <c:v>146.3164235817472</c:v>
                </c:pt>
                <c:pt idx="2536">
                  <c:v>144.8318871807941</c:v>
                </c:pt>
                <c:pt idx="2537">
                  <c:v>145.3406085039175</c:v>
                </c:pt>
                <c:pt idx="2538">
                  <c:v>143.1911122438341</c:v>
                </c:pt>
                <c:pt idx="2539">
                  <c:v>143.8524422407834</c:v>
                </c:pt>
                <c:pt idx="2540">
                  <c:v>149.5955020601399</c:v>
                </c:pt>
                <c:pt idx="2541">
                  <c:v>149.0526445862923</c:v>
                </c:pt>
                <c:pt idx="2542">
                  <c:v>149.7598498627217</c:v>
                </c:pt>
                <c:pt idx="2543">
                  <c:v>147.3982769739306</c:v>
                </c:pt>
                <c:pt idx="2544">
                  <c:v>151.8172094082939</c:v>
                </c:pt>
                <c:pt idx="2545">
                  <c:v>150.4934681788518</c:v>
                </c:pt>
                <c:pt idx="2546">
                  <c:v>151.8379073458371</c:v>
                </c:pt>
                <c:pt idx="2547">
                  <c:v>152.0251927881589</c:v>
                </c:pt>
                <c:pt idx="2548">
                  <c:v>150.7432335893545</c:v>
                </c:pt>
                <c:pt idx="2549">
                  <c:v>149.740619316273</c:v>
                </c:pt>
                <c:pt idx="2550">
                  <c:v>149.745871031769</c:v>
                </c:pt>
                <c:pt idx="2551">
                  <c:v>144.1528712596008</c:v>
                </c:pt>
                <c:pt idx="2552">
                  <c:v>144.6875422357634</c:v>
                </c:pt>
                <c:pt idx="2553">
                  <c:v>144.8116526299124</c:v>
                </c:pt>
                <c:pt idx="2554">
                  <c:v>146.5085745840139</c:v>
                </c:pt>
                <c:pt idx="2555">
                  <c:v>149.7903561512649</c:v>
                </c:pt>
                <c:pt idx="2556">
                  <c:v>150.365805153632</c:v>
                </c:pt>
                <c:pt idx="2557">
                  <c:v>148.293771697115</c:v>
                </c:pt>
                <c:pt idx="2558">
                  <c:v>151.6342489081452</c:v>
                </c:pt>
                <c:pt idx="2559">
                  <c:v>152.6795719851871</c:v>
                </c:pt>
                <c:pt idx="2560">
                  <c:v>150.6469263948904</c:v>
                </c:pt>
                <c:pt idx="2561">
                  <c:v>155.0545830871592</c:v>
                </c:pt>
                <c:pt idx="2562">
                  <c:v>154.7784818680661</c:v>
                </c:pt>
                <c:pt idx="2563">
                  <c:v>152.4940628584006</c:v>
                </c:pt>
                <c:pt idx="2564">
                  <c:v>151.2952815653201</c:v>
                </c:pt>
                <c:pt idx="2565">
                  <c:v>152.2879330251812</c:v>
                </c:pt>
                <c:pt idx="2566">
                  <c:v>149.9374041851539</c:v>
                </c:pt>
                <c:pt idx="2567">
                  <c:v>148.7656537806559</c:v>
                </c:pt>
                <c:pt idx="2568">
                  <c:v>146.8698617176971</c:v>
                </c:pt>
                <c:pt idx="2569">
                  <c:v>145.178654865753</c:v>
                </c:pt>
                <c:pt idx="2570">
                  <c:v>145.8156570629781</c:v>
                </c:pt>
                <c:pt idx="2571">
                  <c:v>144.658580569425</c:v>
                </c:pt>
                <c:pt idx="2572">
                  <c:v>141.3644420245363</c:v>
                </c:pt>
                <c:pt idx="2573">
                  <c:v>141.0318076327506</c:v>
                </c:pt>
                <c:pt idx="2574">
                  <c:v>141.5545850179369</c:v>
                </c:pt>
                <c:pt idx="2575">
                  <c:v>143.3999451659117</c:v>
                </c:pt>
                <c:pt idx="2576">
                  <c:v>143.4722334850925</c:v>
                </c:pt>
                <c:pt idx="2577">
                  <c:v>143.6047620702572</c:v>
                </c:pt>
                <c:pt idx="2578">
                  <c:v>142.6716557963879</c:v>
                </c:pt>
                <c:pt idx="2579">
                  <c:v>143.2983862559516</c:v>
                </c:pt>
                <c:pt idx="2580">
                  <c:v>142.2199310326186</c:v>
                </c:pt>
                <c:pt idx="2581">
                  <c:v>140.9053803052946</c:v>
                </c:pt>
                <c:pt idx="2582">
                  <c:v>142.2237153570201</c:v>
                </c:pt>
                <c:pt idx="2583">
                  <c:v>141.7631090155737</c:v>
                </c:pt>
                <c:pt idx="2584">
                  <c:v>139.761587562702</c:v>
                </c:pt>
                <c:pt idx="2585">
                  <c:v>140.3478489205022</c:v>
                </c:pt>
                <c:pt idx="2586">
                  <c:v>139.6186327776555</c:v>
                </c:pt>
                <c:pt idx="2587">
                  <c:v>141.4266902993864</c:v>
                </c:pt>
                <c:pt idx="2588">
                  <c:v>139.9731235736379</c:v>
                </c:pt>
                <c:pt idx="2589">
                  <c:v>139.395434869074</c:v>
                </c:pt>
                <c:pt idx="2590">
                  <c:v>138.2296312600642</c:v>
                </c:pt>
                <c:pt idx="2591">
                  <c:v>137.1751176809042</c:v>
                </c:pt>
                <c:pt idx="2592">
                  <c:v>138.0108355247661</c:v>
                </c:pt>
                <c:pt idx="2593">
                  <c:v>136.376934156617</c:v>
                </c:pt>
                <c:pt idx="2594">
                  <c:v>134.8360190451918</c:v>
                </c:pt>
                <c:pt idx="2595">
                  <c:v>134.5857902480277</c:v>
                </c:pt>
                <c:pt idx="2596">
                  <c:v>135.8291338917143</c:v>
                </c:pt>
                <c:pt idx="2597">
                  <c:v>134.3357159130841</c:v>
                </c:pt>
                <c:pt idx="2598">
                  <c:v>133.2377212188614</c:v>
                </c:pt>
                <c:pt idx="2599">
                  <c:v>133.5509706019779</c:v>
                </c:pt>
                <c:pt idx="2600">
                  <c:v>131.4200870394612</c:v>
                </c:pt>
                <c:pt idx="2601">
                  <c:v>130.2018435066013</c:v>
                </c:pt>
                <c:pt idx="2602">
                  <c:v>130.8359109216375</c:v>
                </c:pt>
                <c:pt idx="2603">
                  <c:v>129.7554476894383</c:v>
                </c:pt>
                <c:pt idx="2604">
                  <c:v>129.5516347895259</c:v>
                </c:pt>
                <c:pt idx="2605">
                  <c:v>131.5286739804528</c:v>
                </c:pt>
                <c:pt idx="2606">
                  <c:v>132.8119461081313</c:v>
                </c:pt>
                <c:pt idx="2607">
                  <c:v>133.7509219463784</c:v>
                </c:pt>
                <c:pt idx="2608">
                  <c:v>134.7733846147905</c:v>
                </c:pt>
                <c:pt idx="2609">
                  <c:v>133.1158505269093</c:v>
                </c:pt>
                <c:pt idx="2610">
                  <c:v>133.5135135135135</c:v>
                </c:pt>
                <c:pt idx="2611">
                  <c:v>134.6898205535154</c:v>
                </c:pt>
                <c:pt idx="2612">
                  <c:v>134.9147947776323</c:v>
                </c:pt>
                <c:pt idx="2613">
                  <c:v>133.5172978379151</c:v>
                </c:pt>
                <c:pt idx="2614">
                  <c:v>132.2751898919923</c:v>
                </c:pt>
                <c:pt idx="2615">
                  <c:v>133.5690426817731</c:v>
                </c:pt>
                <c:pt idx="2616">
                  <c:v>134.3387279263833</c:v>
                </c:pt>
                <c:pt idx="2617">
                  <c:v>132.1234307603789</c:v>
                </c:pt>
                <c:pt idx="2618">
                  <c:v>131.2895664631627</c:v>
                </c:pt>
                <c:pt idx="2619">
                  <c:v>129.8941547634218</c:v>
                </c:pt>
                <c:pt idx="2620">
                  <c:v>129.6660140637852</c:v>
                </c:pt>
                <c:pt idx="2621">
                  <c:v>131.7395921425069</c:v>
                </c:pt>
                <c:pt idx="2622">
                  <c:v>130.3806335267973</c:v>
                </c:pt>
                <c:pt idx="2623">
                  <c:v>131.0397238215498</c:v>
                </c:pt>
                <c:pt idx="2624">
                  <c:v>127.9483169410302</c:v>
                </c:pt>
                <c:pt idx="2625">
                  <c:v>127.879812946251</c:v>
                </c:pt>
                <c:pt idx="2626">
                  <c:v>126.9146557616339</c:v>
                </c:pt>
                <c:pt idx="2627">
                  <c:v>125.4016210810039</c:v>
                </c:pt>
                <c:pt idx="2628">
                  <c:v>125.4932944088538</c:v>
                </c:pt>
                <c:pt idx="2629">
                  <c:v>126.9886431652398</c:v>
                </c:pt>
                <c:pt idx="2630">
                  <c:v>124.3440954885447</c:v>
                </c:pt>
                <c:pt idx="2631">
                  <c:v>123.6141070345957</c:v>
                </c:pt>
                <c:pt idx="2632">
                  <c:v>120.6042562064851</c:v>
                </c:pt>
                <c:pt idx="2633">
                  <c:v>122.2894390318308</c:v>
                </c:pt>
                <c:pt idx="2634">
                  <c:v>120.0140560620629</c:v>
                </c:pt>
                <c:pt idx="2635">
                  <c:v>122.2360723346578</c:v>
                </c:pt>
                <c:pt idx="2636">
                  <c:v>123.0029000281894</c:v>
                </c:pt>
                <c:pt idx="2637">
                  <c:v>120.9577429980345</c:v>
                </c:pt>
                <c:pt idx="2638">
                  <c:v>123.0700910940945</c:v>
                </c:pt>
                <c:pt idx="2639">
                  <c:v>126.1373246371103</c:v>
                </c:pt>
                <c:pt idx="2640">
                  <c:v>125.916829817387</c:v>
                </c:pt>
                <c:pt idx="2641">
                  <c:v>124.5910033479686</c:v>
                </c:pt>
                <c:pt idx="2642">
                  <c:v>124.6221274853937</c:v>
                </c:pt>
                <c:pt idx="2643">
                  <c:v>125.872267466781</c:v>
                </c:pt>
                <c:pt idx="2644">
                  <c:v>128.1261029567931</c:v>
                </c:pt>
                <c:pt idx="2645">
                  <c:v>128.9301560454582</c:v>
                </c:pt>
                <c:pt idx="2646">
                  <c:v>128.6798500171839</c:v>
                </c:pt>
                <c:pt idx="2647">
                  <c:v>130.3325185451204</c:v>
                </c:pt>
                <c:pt idx="2648">
                  <c:v>128.7327533276954</c:v>
                </c:pt>
                <c:pt idx="2649">
                  <c:v>128.5000559925549</c:v>
                </c:pt>
                <c:pt idx="2650">
                  <c:v>127.0685001332237</c:v>
                </c:pt>
                <c:pt idx="2651">
                  <c:v>126.6037233118245</c:v>
                </c:pt>
                <c:pt idx="2652">
                  <c:v>124.6544873205825</c:v>
                </c:pt>
                <c:pt idx="2653">
                  <c:v>125.3304912284767</c:v>
                </c:pt>
                <c:pt idx="2654">
                  <c:v>126.9304881392323</c:v>
                </c:pt>
                <c:pt idx="2655">
                  <c:v>126.3428366214478</c:v>
                </c:pt>
                <c:pt idx="2656">
                  <c:v>127.2214949626008</c:v>
                </c:pt>
                <c:pt idx="2657">
                  <c:v>126.449956171345</c:v>
                </c:pt>
                <c:pt idx="2658">
                  <c:v>124.7178940620861</c:v>
                </c:pt>
                <c:pt idx="2659">
                  <c:v>123.4513038542186</c:v>
                </c:pt>
                <c:pt idx="2660">
                  <c:v>123.1077798758896</c:v>
                </c:pt>
                <c:pt idx="2661">
                  <c:v>123.9350022976255</c:v>
                </c:pt>
                <c:pt idx="2662">
                  <c:v>122.7217015558207</c:v>
                </c:pt>
                <c:pt idx="2663">
                  <c:v>122.4064441638381</c:v>
                </c:pt>
                <c:pt idx="2664">
                  <c:v>123.1054629425825</c:v>
                </c:pt>
                <c:pt idx="2665">
                  <c:v>122.3688326131532</c:v>
                </c:pt>
                <c:pt idx="2666">
                  <c:v>121.1438699737028</c:v>
                </c:pt>
                <c:pt idx="2667">
                  <c:v>121.7652714866603</c:v>
                </c:pt>
                <c:pt idx="2668">
                  <c:v>121.0850198677031</c:v>
                </c:pt>
                <c:pt idx="2669">
                  <c:v>119.0441105486112</c:v>
                </c:pt>
                <c:pt idx="2670">
                  <c:v>118.1676146785448</c:v>
                </c:pt>
                <c:pt idx="2671">
                  <c:v>117.9042565926406</c:v>
                </c:pt>
                <c:pt idx="2672">
                  <c:v>118.1538675409228</c:v>
                </c:pt>
                <c:pt idx="2673">
                  <c:v>118.8037673335573</c:v>
                </c:pt>
                <c:pt idx="2674">
                  <c:v>119.2067592667678</c:v>
                </c:pt>
                <c:pt idx="2675">
                  <c:v>121.0648625479316</c:v>
                </c:pt>
                <c:pt idx="2676">
                  <c:v>121.0976857697818</c:v>
                </c:pt>
                <c:pt idx="2677">
                  <c:v>120.6781663789808</c:v>
                </c:pt>
                <c:pt idx="2678">
                  <c:v>119.5043307345065</c:v>
                </c:pt>
                <c:pt idx="2679">
                  <c:v>119.8262300019694</c:v>
                </c:pt>
                <c:pt idx="2680">
                  <c:v>121.3815873310087</c:v>
                </c:pt>
                <c:pt idx="2681">
                  <c:v>122.4459092611686</c:v>
                </c:pt>
                <c:pt idx="2682">
                  <c:v>121.8390271969355</c:v>
                </c:pt>
                <c:pt idx="2683">
                  <c:v>121.3283750960562</c:v>
                </c:pt>
                <c:pt idx="2684">
                  <c:v>121.537903098126</c:v>
                </c:pt>
                <c:pt idx="2685">
                  <c:v>120.5150542741627</c:v>
                </c:pt>
                <c:pt idx="2686">
                  <c:v>119.4330464197588</c:v>
                </c:pt>
                <c:pt idx="2687">
                  <c:v>119.4790761614594</c:v>
                </c:pt>
                <c:pt idx="2688">
                  <c:v>119.1737815826971</c:v>
                </c:pt>
                <c:pt idx="2689">
                  <c:v>118.3677977162761</c:v>
                </c:pt>
                <c:pt idx="2690">
                  <c:v>117.4128350382101</c:v>
                </c:pt>
                <c:pt idx="2691">
                  <c:v>116.9560130211652</c:v>
                </c:pt>
                <c:pt idx="2692">
                  <c:v>117.5423516100756</c:v>
                </c:pt>
                <c:pt idx="2693">
                  <c:v>116.7772230009692</c:v>
                </c:pt>
                <c:pt idx="2694">
                  <c:v>116.2970771886331</c:v>
                </c:pt>
                <c:pt idx="2695">
                  <c:v>116.9102149727953</c:v>
                </c:pt>
                <c:pt idx="2696">
                  <c:v>116.0286218494534</c:v>
                </c:pt>
                <c:pt idx="2697">
                  <c:v>115.2402466761661</c:v>
                </c:pt>
                <c:pt idx="2698">
                  <c:v>114.9061448932859</c:v>
                </c:pt>
                <c:pt idx="2699">
                  <c:v>114.8268285430737</c:v>
                </c:pt>
                <c:pt idx="2700">
                  <c:v>114.0433189297313</c:v>
                </c:pt>
                <c:pt idx="2701">
                  <c:v>113.6913767603866</c:v>
                </c:pt>
                <c:pt idx="2702">
                  <c:v>114.1471947729985</c:v>
                </c:pt>
                <c:pt idx="2703">
                  <c:v>113.3124809335697</c:v>
                </c:pt>
                <c:pt idx="2704">
                  <c:v>112.0706819120878</c:v>
                </c:pt>
                <c:pt idx="2705">
                  <c:v>112.1055131428042</c:v>
                </c:pt>
                <c:pt idx="2706">
                  <c:v>111.6591945567513</c:v>
                </c:pt>
                <c:pt idx="2707">
                  <c:v>110.4567834014898</c:v>
                </c:pt>
                <c:pt idx="2708">
                  <c:v>111.1713256333916</c:v>
                </c:pt>
                <c:pt idx="2709">
                  <c:v>110.9225642273221</c:v>
                </c:pt>
                <c:pt idx="2710">
                  <c:v>110.5162513563714</c:v>
                </c:pt>
                <c:pt idx="2711">
                  <c:v>110.0089974243425</c:v>
                </c:pt>
                <c:pt idx="2712">
                  <c:v>109.3185512988342</c:v>
                </c:pt>
                <c:pt idx="2713">
                  <c:v>109.5405135096519</c:v>
                </c:pt>
                <c:pt idx="2714">
                  <c:v>108.6320439599479</c:v>
                </c:pt>
                <c:pt idx="2715">
                  <c:v>108.4941091970668</c:v>
                </c:pt>
                <c:pt idx="2716">
                  <c:v>108.926140027726</c:v>
                </c:pt>
                <c:pt idx="2717">
                  <c:v>110.2739001324514</c:v>
                </c:pt>
                <c:pt idx="2718">
                  <c:v>110.5448268671586</c:v>
                </c:pt>
                <c:pt idx="2719">
                  <c:v>110.5324698895209</c:v>
                </c:pt>
                <c:pt idx="2720">
                  <c:v>110.7928931932361</c:v>
                </c:pt>
                <c:pt idx="2721">
                  <c:v>110.6458451593471</c:v>
                </c:pt>
                <c:pt idx="2722">
                  <c:v>109.7511227472651</c:v>
                </c:pt>
                <c:pt idx="2723">
                  <c:v>109.8556936705244</c:v>
                </c:pt>
                <c:pt idx="2724">
                  <c:v>109.8482022528315</c:v>
                </c:pt>
                <c:pt idx="2725">
                  <c:v>108.3479879365006</c:v>
                </c:pt>
                <c:pt idx="2726">
                  <c:v>108.1379193166592</c:v>
                </c:pt>
                <c:pt idx="2727">
                  <c:v>108.1269524990057</c:v>
                </c:pt>
                <c:pt idx="2728">
                  <c:v>107.9711001185498</c:v>
                </c:pt>
                <c:pt idx="2729">
                  <c:v>108.7987859269471</c:v>
                </c:pt>
                <c:pt idx="2730">
                  <c:v>108.2846584261072</c:v>
                </c:pt>
                <c:pt idx="2731">
                  <c:v>107.8557940709677</c:v>
                </c:pt>
                <c:pt idx="2732">
                  <c:v>107.0383027691215</c:v>
                </c:pt>
                <c:pt idx="2733">
                  <c:v>106.4786861443527</c:v>
                </c:pt>
                <c:pt idx="2734">
                  <c:v>107.4771299374814</c:v>
                </c:pt>
                <c:pt idx="2735">
                  <c:v>106.3498646524793</c:v>
                </c:pt>
                <c:pt idx="2736">
                  <c:v>105.8467812004032</c:v>
                </c:pt>
                <c:pt idx="2737">
                  <c:v>104.0262894699243</c:v>
                </c:pt>
                <c:pt idx="2738">
                  <c:v>104.5204913443233</c:v>
                </c:pt>
                <c:pt idx="2739">
                  <c:v>104.1376567308843</c:v>
                </c:pt>
                <c:pt idx="2740">
                  <c:v>103.631252341068</c:v>
                </c:pt>
                <c:pt idx="2741">
                  <c:v>102.2076512860911</c:v>
                </c:pt>
                <c:pt idx="2742">
                  <c:v>102.4774195541448</c:v>
                </c:pt>
                <c:pt idx="2743">
                  <c:v>101.2371651548677</c:v>
                </c:pt>
                <c:pt idx="2744">
                  <c:v>101.1522109336083</c:v>
                </c:pt>
                <c:pt idx="2745">
                  <c:v>100.0463386661415</c:v>
                </c:pt>
                <c:pt idx="2746">
                  <c:v>101.6145935905901</c:v>
                </c:pt>
                <c:pt idx="2747">
                  <c:v>101.2198653861749</c:v>
                </c:pt>
                <c:pt idx="2748">
                  <c:v>101.0767561389079</c:v>
                </c:pt>
                <c:pt idx="2749">
                  <c:v>101.6325112081649</c:v>
                </c:pt>
                <c:pt idx="2750" formatCode="0">
                  <c:v>100.0</c:v>
                </c:pt>
              </c:numCache>
            </c:numRef>
          </c:val>
          <c:smooth val="0"/>
        </c:ser>
        <c:ser>
          <c:idx val="2"/>
          <c:order val="2"/>
          <c:cat>
            <c:numRef>
              <c:f>'4f. JALSH vs Oceana Prices'!$B$9:$B$2759</c:f>
              <c:numCache>
                <c:formatCode>m/d/yy</c:formatCode>
                <c:ptCount val="2751"/>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50">
                  <c:v>41397.0</c:v>
                </c:pt>
                <c:pt idx="751">
                  <c:v>41396.0</c:v>
                </c:pt>
                <c:pt idx="752">
                  <c:v>41394.0</c:v>
                </c:pt>
                <c:pt idx="753">
                  <c:v>41393.0</c:v>
                </c:pt>
                <c:pt idx="754">
                  <c:v>41390.0</c:v>
                </c:pt>
                <c:pt idx="755">
                  <c:v>41389.0</c:v>
                </c:pt>
                <c:pt idx="756">
                  <c:v>41388.0</c:v>
                </c:pt>
                <c:pt idx="757">
                  <c:v>41387.0</c:v>
                </c:pt>
                <c:pt idx="758">
                  <c:v>41386.0</c:v>
                </c:pt>
                <c:pt idx="759">
                  <c:v>41383.0</c:v>
                </c:pt>
                <c:pt idx="760">
                  <c:v>41382.0</c:v>
                </c:pt>
                <c:pt idx="761">
                  <c:v>41381.0</c:v>
                </c:pt>
                <c:pt idx="762">
                  <c:v>41380.0</c:v>
                </c:pt>
                <c:pt idx="763">
                  <c:v>41379.0</c:v>
                </c:pt>
                <c:pt idx="764">
                  <c:v>41376.0</c:v>
                </c:pt>
                <c:pt idx="765">
                  <c:v>41375.0</c:v>
                </c:pt>
                <c:pt idx="766">
                  <c:v>41374.0</c:v>
                </c:pt>
                <c:pt idx="767">
                  <c:v>41373.0</c:v>
                </c:pt>
                <c:pt idx="768">
                  <c:v>41372.0</c:v>
                </c:pt>
                <c:pt idx="769">
                  <c:v>41369.0</c:v>
                </c:pt>
                <c:pt idx="770">
                  <c:v>41368.0</c:v>
                </c:pt>
                <c:pt idx="771">
                  <c:v>41367.0</c:v>
                </c:pt>
                <c:pt idx="772">
                  <c:v>41366.0</c:v>
                </c:pt>
                <c:pt idx="773">
                  <c:v>41361.0</c:v>
                </c:pt>
                <c:pt idx="774">
                  <c:v>41360.0</c:v>
                </c:pt>
                <c:pt idx="775">
                  <c:v>41359.0</c:v>
                </c:pt>
                <c:pt idx="776">
                  <c:v>41358.0</c:v>
                </c:pt>
                <c:pt idx="777">
                  <c:v>41355.0</c:v>
                </c:pt>
                <c:pt idx="778">
                  <c:v>41353.0</c:v>
                </c:pt>
                <c:pt idx="779">
                  <c:v>41352.0</c:v>
                </c:pt>
                <c:pt idx="780">
                  <c:v>41351.0</c:v>
                </c:pt>
                <c:pt idx="781">
                  <c:v>41348.0</c:v>
                </c:pt>
                <c:pt idx="782">
                  <c:v>41347.0</c:v>
                </c:pt>
                <c:pt idx="783">
                  <c:v>41346.0</c:v>
                </c:pt>
                <c:pt idx="784">
                  <c:v>41345.0</c:v>
                </c:pt>
                <c:pt idx="785">
                  <c:v>41344.0</c:v>
                </c:pt>
                <c:pt idx="786">
                  <c:v>41341.0</c:v>
                </c:pt>
                <c:pt idx="787">
                  <c:v>41340.0</c:v>
                </c:pt>
                <c:pt idx="788">
                  <c:v>41339.0</c:v>
                </c:pt>
                <c:pt idx="789">
                  <c:v>41338.0</c:v>
                </c:pt>
                <c:pt idx="790">
                  <c:v>41337.0</c:v>
                </c:pt>
                <c:pt idx="791">
                  <c:v>41334.0</c:v>
                </c:pt>
                <c:pt idx="792">
                  <c:v>41333.0</c:v>
                </c:pt>
                <c:pt idx="793">
                  <c:v>41332.0</c:v>
                </c:pt>
                <c:pt idx="794">
                  <c:v>41331.0</c:v>
                </c:pt>
                <c:pt idx="795">
                  <c:v>41330.0</c:v>
                </c:pt>
                <c:pt idx="796">
                  <c:v>41327.0</c:v>
                </c:pt>
                <c:pt idx="797">
                  <c:v>41326.0</c:v>
                </c:pt>
                <c:pt idx="798">
                  <c:v>41325.0</c:v>
                </c:pt>
                <c:pt idx="799">
                  <c:v>41324.0</c:v>
                </c:pt>
                <c:pt idx="800">
                  <c:v>41323.0</c:v>
                </c:pt>
                <c:pt idx="801">
                  <c:v>41320.0</c:v>
                </c:pt>
                <c:pt idx="802">
                  <c:v>41319.0</c:v>
                </c:pt>
                <c:pt idx="803">
                  <c:v>41318.0</c:v>
                </c:pt>
                <c:pt idx="804">
                  <c:v>41317.0</c:v>
                </c:pt>
                <c:pt idx="805">
                  <c:v>41316.0</c:v>
                </c:pt>
                <c:pt idx="806">
                  <c:v>41313.0</c:v>
                </c:pt>
                <c:pt idx="807">
                  <c:v>41312.0</c:v>
                </c:pt>
                <c:pt idx="808">
                  <c:v>41311.0</c:v>
                </c:pt>
                <c:pt idx="809">
                  <c:v>41310.0</c:v>
                </c:pt>
                <c:pt idx="810">
                  <c:v>41309.0</c:v>
                </c:pt>
                <c:pt idx="811">
                  <c:v>41306.0</c:v>
                </c:pt>
                <c:pt idx="812">
                  <c:v>41305.0</c:v>
                </c:pt>
                <c:pt idx="813">
                  <c:v>41304.0</c:v>
                </c:pt>
                <c:pt idx="814">
                  <c:v>41303.0</c:v>
                </c:pt>
                <c:pt idx="815">
                  <c:v>41302.0</c:v>
                </c:pt>
                <c:pt idx="816">
                  <c:v>41299.0</c:v>
                </c:pt>
                <c:pt idx="817">
                  <c:v>41298.0</c:v>
                </c:pt>
                <c:pt idx="818">
                  <c:v>41297.0</c:v>
                </c:pt>
                <c:pt idx="819">
                  <c:v>41296.0</c:v>
                </c:pt>
                <c:pt idx="820">
                  <c:v>41295.0</c:v>
                </c:pt>
                <c:pt idx="821">
                  <c:v>41292.0</c:v>
                </c:pt>
                <c:pt idx="822">
                  <c:v>41291.0</c:v>
                </c:pt>
                <c:pt idx="823">
                  <c:v>41290.0</c:v>
                </c:pt>
                <c:pt idx="824">
                  <c:v>41289.0</c:v>
                </c:pt>
                <c:pt idx="825">
                  <c:v>41288.0</c:v>
                </c:pt>
                <c:pt idx="826">
                  <c:v>41285.0</c:v>
                </c:pt>
                <c:pt idx="827">
                  <c:v>41284.0</c:v>
                </c:pt>
                <c:pt idx="828">
                  <c:v>41283.0</c:v>
                </c:pt>
                <c:pt idx="829">
                  <c:v>41282.0</c:v>
                </c:pt>
                <c:pt idx="830">
                  <c:v>41281.0</c:v>
                </c:pt>
                <c:pt idx="831">
                  <c:v>41278.0</c:v>
                </c:pt>
                <c:pt idx="832">
                  <c:v>41277.0</c:v>
                </c:pt>
                <c:pt idx="833">
                  <c:v>41276.0</c:v>
                </c:pt>
                <c:pt idx="834">
                  <c:v>41274.0</c:v>
                </c:pt>
                <c:pt idx="835">
                  <c:v>41271.0</c:v>
                </c:pt>
                <c:pt idx="836">
                  <c:v>41270.0</c:v>
                </c:pt>
                <c:pt idx="837">
                  <c:v>41267.0</c:v>
                </c:pt>
                <c:pt idx="838">
                  <c:v>41264.0</c:v>
                </c:pt>
                <c:pt idx="839">
                  <c:v>41263.0</c:v>
                </c:pt>
                <c:pt idx="840">
                  <c:v>41262.0</c:v>
                </c:pt>
                <c:pt idx="841">
                  <c:v>41261.0</c:v>
                </c:pt>
                <c:pt idx="842">
                  <c:v>41257.0</c:v>
                </c:pt>
                <c:pt idx="843">
                  <c:v>41256.0</c:v>
                </c:pt>
                <c:pt idx="844">
                  <c:v>41255.0</c:v>
                </c:pt>
                <c:pt idx="845">
                  <c:v>41254.0</c:v>
                </c:pt>
                <c:pt idx="846">
                  <c:v>41253.0</c:v>
                </c:pt>
                <c:pt idx="847">
                  <c:v>41250.0</c:v>
                </c:pt>
                <c:pt idx="848">
                  <c:v>41249.0</c:v>
                </c:pt>
                <c:pt idx="849">
                  <c:v>41248.0</c:v>
                </c:pt>
                <c:pt idx="850">
                  <c:v>41247.0</c:v>
                </c:pt>
                <c:pt idx="851">
                  <c:v>41246.0</c:v>
                </c:pt>
                <c:pt idx="852">
                  <c:v>41243.0</c:v>
                </c:pt>
                <c:pt idx="853">
                  <c:v>41242.0</c:v>
                </c:pt>
                <c:pt idx="854">
                  <c:v>41241.0</c:v>
                </c:pt>
                <c:pt idx="855">
                  <c:v>41240.0</c:v>
                </c:pt>
                <c:pt idx="856">
                  <c:v>41239.0</c:v>
                </c:pt>
                <c:pt idx="857">
                  <c:v>41236.0</c:v>
                </c:pt>
                <c:pt idx="858">
                  <c:v>41235.0</c:v>
                </c:pt>
                <c:pt idx="859">
                  <c:v>41234.0</c:v>
                </c:pt>
                <c:pt idx="860">
                  <c:v>41233.0</c:v>
                </c:pt>
                <c:pt idx="861">
                  <c:v>41232.0</c:v>
                </c:pt>
                <c:pt idx="862">
                  <c:v>41229.0</c:v>
                </c:pt>
                <c:pt idx="863">
                  <c:v>41228.0</c:v>
                </c:pt>
                <c:pt idx="864">
                  <c:v>41227.0</c:v>
                </c:pt>
                <c:pt idx="865">
                  <c:v>41226.0</c:v>
                </c:pt>
                <c:pt idx="866">
                  <c:v>41225.0</c:v>
                </c:pt>
                <c:pt idx="867">
                  <c:v>41222.0</c:v>
                </c:pt>
                <c:pt idx="868">
                  <c:v>41221.0</c:v>
                </c:pt>
                <c:pt idx="869">
                  <c:v>41220.0</c:v>
                </c:pt>
                <c:pt idx="870">
                  <c:v>41219.0</c:v>
                </c:pt>
                <c:pt idx="871">
                  <c:v>41218.0</c:v>
                </c:pt>
                <c:pt idx="872">
                  <c:v>41215.0</c:v>
                </c:pt>
                <c:pt idx="873">
                  <c:v>41214.0</c:v>
                </c:pt>
                <c:pt idx="874">
                  <c:v>41213.0</c:v>
                </c:pt>
                <c:pt idx="875">
                  <c:v>41212.0</c:v>
                </c:pt>
                <c:pt idx="876">
                  <c:v>41211.0</c:v>
                </c:pt>
                <c:pt idx="877">
                  <c:v>41208.0</c:v>
                </c:pt>
                <c:pt idx="878">
                  <c:v>41207.0</c:v>
                </c:pt>
                <c:pt idx="879">
                  <c:v>41206.0</c:v>
                </c:pt>
                <c:pt idx="880">
                  <c:v>41205.0</c:v>
                </c:pt>
                <c:pt idx="881">
                  <c:v>41204.0</c:v>
                </c:pt>
                <c:pt idx="882">
                  <c:v>41201.0</c:v>
                </c:pt>
                <c:pt idx="883">
                  <c:v>41200.0</c:v>
                </c:pt>
                <c:pt idx="884">
                  <c:v>41199.0</c:v>
                </c:pt>
                <c:pt idx="885">
                  <c:v>41198.0</c:v>
                </c:pt>
                <c:pt idx="886">
                  <c:v>41197.0</c:v>
                </c:pt>
                <c:pt idx="887">
                  <c:v>41194.0</c:v>
                </c:pt>
                <c:pt idx="888">
                  <c:v>41193.0</c:v>
                </c:pt>
                <c:pt idx="889">
                  <c:v>41192.0</c:v>
                </c:pt>
                <c:pt idx="890">
                  <c:v>41191.0</c:v>
                </c:pt>
                <c:pt idx="891">
                  <c:v>41190.0</c:v>
                </c:pt>
                <c:pt idx="892">
                  <c:v>41187.0</c:v>
                </c:pt>
                <c:pt idx="893">
                  <c:v>41186.0</c:v>
                </c:pt>
                <c:pt idx="894">
                  <c:v>41185.0</c:v>
                </c:pt>
                <c:pt idx="895">
                  <c:v>41184.0</c:v>
                </c:pt>
                <c:pt idx="896">
                  <c:v>41183.0</c:v>
                </c:pt>
                <c:pt idx="897">
                  <c:v>41180.0</c:v>
                </c:pt>
                <c:pt idx="898">
                  <c:v>41179.0</c:v>
                </c:pt>
                <c:pt idx="899">
                  <c:v>41178.0</c:v>
                </c:pt>
                <c:pt idx="900">
                  <c:v>41177.0</c:v>
                </c:pt>
                <c:pt idx="901">
                  <c:v>41173.0</c:v>
                </c:pt>
                <c:pt idx="902">
                  <c:v>41172.0</c:v>
                </c:pt>
                <c:pt idx="903">
                  <c:v>41171.0</c:v>
                </c:pt>
                <c:pt idx="904">
                  <c:v>41170.0</c:v>
                </c:pt>
                <c:pt idx="905">
                  <c:v>41169.0</c:v>
                </c:pt>
                <c:pt idx="906">
                  <c:v>41166.0</c:v>
                </c:pt>
                <c:pt idx="907">
                  <c:v>41165.0</c:v>
                </c:pt>
                <c:pt idx="908">
                  <c:v>41164.0</c:v>
                </c:pt>
                <c:pt idx="909">
                  <c:v>41163.0</c:v>
                </c:pt>
                <c:pt idx="910">
                  <c:v>41162.0</c:v>
                </c:pt>
                <c:pt idx="911">
                  <c:v>41159.0</c:v>
                </c:pt>
                <c:pt idx="912">
                  <c:v>41158.0</c:v>
                </c:pt>
                <c:pt idx="913">
                  <c:v>41157.0</c:v>
                </c:pt>
                <c:pt idx="914">
                  <c:v>41156.0</c:v>
                </c:pt>
                <c:pt idx="915">
                  <c:v>41155.0</c:v>
                </c:pt>
                <c:pt idx="916">
                  <c:v>41152.0</c:v>
                </c:pt>
                <c:pt idx="917">
                  <c:v>41151.0</c:v>
                </c:pt>
                <c:pt idx="918">
                  <c:v>41150.0</c:v>
                </c:pt>
                <c:pt idx="919">
                  <c:v>41149.0</c:v>
                </c:pt>
                <c:pt idx="920">
                  <c:v>41148.0</c:v>
                </c:pt>
                <c:pt idx="921">
                  <c:v>41145.0</c:v>
                </c:pt>
                <c:pt idx="922">
                  <c:v>41144.0</c:v>
                </c:pt>
                <c:pt idx="923">
                  <c:v>41143.0</c:v>
                </c:pt>
                <c:pt idx="924">
                  <c:v>41142.0</c:v>
                </c:pt>
                <c:pt idx="925">
                  <c:v>41141.0</c:v>
                </c:pt>
                <c:pt idx="926">
                  <c:v>41138.0</c:v>
                </c:pt>
                <c:pt idx="927">
                  <c:v>41137.0</c:v>
                </c:pt>
                <c:pt idx="928">
                  <c:v>41136.0</c:v>
                </c:pt>
                <c:pt idx="929">
                  <c:v>41135.0</c:v>
                </c:pt>
                <c:pt idx="930">
                  <c:v>41134.0</c:v>
                </c:pt>
                <c:pt idx="931">
                  <c:v>41131.0</c:v>
                </c:pt>
                <c:pt idx="932">
                  <c:v>41129.0</c:v>
                </c:pt>
                <c:pt idx="933">
                  <c:v>41128.0</c:v>
                </c:pt>
                <c:pt idx="934">
                  <c:v>41127.0</c:v>
                </c:pt>
                <c:pt idx="935">
                  <c:v>41124.0</c:v>
                </c:pt>
                <c:pt idx="936">
                  <c:v>41123.0</c:v>
                </c:pt>
                <c:pt idx="937">
                  <c:v>41122.0</c:v>
                </c:pt>
                <c:pt idx="938">
                  <c:v>41121.0</c:v>
                </c:pt>
                <c:pt idx="939">
                  <c:v>41120.0</c:v>
                </c:pt>
                <c:pt idx="940">
                  <c:v>41117.0</c:v>
                </c:pt>
                <c:pt idx="941">
                  <c:v>41116.0</c:v>
                </c:pt>
                <c:pt idx="942">
                  <c:v>41115.0</c:v>
                </c:pt>
                <c:pt idx="943">
                  <c:v>41114.0</c:v>
                </c:pt>
                <c:pt idx="944">
                  <c:v>41113.0</c:v>
                </c:pt>
                <c:pt idx="945">
                  <c:v>41110.0</c:v>
                </c:pt>
                <c:pt idx="946">
                  <c:v>41109.0</c:v>
                </c:pt>
                <c:pt idx="947">
                  <c:v>41108.0</c:v>
                </c:pt>
                <c:pt idx="948">
                  <c:v>41107.0</c:v>
                </c:pt>
                <c:pt idx="949">
                  <c:v>41106.0</c:v>
                </c:pt>
                <c:pt idx="950">
                  <c:v>41103.0</c:v>
                </c:pt>
                <c:pt idx="951">
                  <c:v>41102.0</c:v>
                </c:pt>
                <c:pt idx="952">
                  <c:v>41101.0</c:v>
                </c:pt>
                <c:pt idx="953">
                  <c:v>41100.0</c:v>
                </c:pt>
                <c:pt idx="954">
                  <c:v>41099.0</c:v>
                </c:pt>
                <c:pt idx="955">
                  <c:v>41096.0</c:v>
                </c:pt>
                <c:pt idx="956">
                  <c:v>41095.0</c:v>
                </c:pt>
                <c:pt idx="957">
                  <c:v>41094.0</c:v>
                </c:pt>
                <c:pt idx="958">
                  <c:v>41093.0</c:v>
                </c:pt>
                <c:pt idx="959">
                  <c:v>41092.0</c:v>
                </c:pt>
                <c:pt idx="960">
                  <c:v>41089.0</c:v>
                </c:pt>
                <c:pt idx="961">
                  <c:v>41088.0</c:v>
                </c:pt>
                <c:pt idx="962">
                  <c:v>41087.0</c:v>
                </c:pt>
                <c:pt idx="963">
                  <c:v>41086.0</c:v>
                </c:pt>
                <c:pt idx="964">
                  <c:v>41085.0</c:v>
                </c:pt>
                <c:pt idx="965">
                  <c:v>41082.0</c:v>
                </c:pt>
                <c:pt idx="966">
                  <c:v>41081.0</c:v>
                </c:pt>
                <c:pt idx="967">
                  <c:v>41080.0</c:v>
                </c:pt>
                <c:pt idx="968">
                  <c:v>41079.0</c:v>
                </c:pt>
                <c:pt idx="969">
                  <c:v>41078.0</c:v>
                </c:pt>
                <c:pt idx="970">
                  <c:v>41075.0</c:v>
                </c:pt>
                <c:pt idx="971">
                  <c:v>41074.0</c:v>
                </c:pt>
                <c:pt idx="972">
                  <c:v>41073.0</c:v>
                </c:pt>
                <c:pt idx="973">
                  <c:v>41072.0</c:v>
                </c:pt>
                <c:pt idx="974">
                  <c:v>41071.0</c:v>
                </c:pt>
                <c:pt idx="975">
                  <c:v>41068.0</c:v>
                </c:pt>
                <c:pt idx="976">
                  <c:v>41067.0</c:v>
                </c:pt>
                <c:pt idx="977">
                  <c:v>41066.0</c:v>
                </c:pt>
                <c:pt idx="978">
                  <c:v>41065.0</c:v>
                </c:pt>
                <c:pt idx="979">
                  <c:v>41064.0</c:v>
                </c:pt>
                <c:pt idx="980">
                  <c:v>41061.0</c:v>
                </c:pt>
                <c:pt idx="981">
                  <c:v>41060.0</c:v>
                </c:pt>
                <c:pt idx="982">
                  <c:v>41059.0</c:v>
                </c:pt>
                <c:pt idx="983">
                  <c:v>41058.0</c:v>
                </c:pt>
                <c:pt idx="984">
                  <c:v>41057.0</c:v>
                </c:pt>
                <c:pt idx="985">
                  <c:v>41054.0</c:v>
                </c:pt>
                <c:pt idx="986">
                  <c:v>41053.0</c:v>
                </c:pt>
                <c:pt idx="987">
                  <c:v>41052.0</c:v>
                </c:pt>
                <c:pt idx="988">
                  <c:v>41051.0</c:v>
                </c:pt>
                <c:pt idx="989">
                  <c:v>41050.0</c:v>
                </c:pt>
                <c:pt idx="990">
                  <c:v>41047.0</c:v>
                </c:pt>
                <c:pt idx="991">
                  <c:v>41046.0</c:v>
                </c:pt>
                <c:pt idx="992">
                  <c:v>41045.0</c:v>
                </c:pt>
                <c:pt idx="993">
                  <c:v>41044.0</c:v>
                </c:pt>
                <c:pt idx="994">
                  <c:v>41043.0</c:v>
                </c:pt>
                <c:pt idx="995">
                  <c:v>41040.0</c:v>
                </c:pt>
                <c:pt idx="996">
                  <c:v>41039.0</c:v>
                </c:pt>
                <c:pt idx="997">
                  <c:v>41038.0</c:v>
                </c:pt>
                <c:pt idx="998">
                  <c:v>41037.0</c:v>
                </c:pt>
                <c:pt idx="999">
                  <c:v>41036.0</c:v>
                </c:pt>
                <c:pt idx="1000">
                  <c:v>41033.0</c:v>
                </c:pt>
                <c:pt idx="1001">
                  <c:v>41032.0</c:v>
                </c:pt>
                <c:pt idx="1002">
                  <c:v>41031.0</c:v>
                </c:pt>
                <c:pt idx="1003">
                  <c:v>41029.0</c:v>
                </c:pt>
                <c:pt idx="1004">
                  <c:v>41025.0</c:v>
                </c:pt>
                <c:pt idx="1005">
                  <c:v>41024.0</c:v>
                </c:pt>
                <c:pt idx="1006">
                  <c:v>41023.0</c:v>
                </c:pt>
                <c:pt idx="1007">
                  <c:v>41022.0</c:v>
                </c:pt>
                <c:pt idx="1008">
                  <c:v>41019.0</c:v>
                </c:pt>
                <c:pt idx="1009">
                  <c:v>41018.0</c:v>
                </c:pt>
                <c:pt idx="1010">
                  <c:v>41017.0</c:v>
                </c:pt>
                <c:pt idx="1011">
                  <c:v>41016.0</c:v>
                </c:pt>
                <c:pt idx="1012">
                  <c:v>41015.0</c:v>
                </c:pt>
                <c:pt idx="1013">
                  <c:v>41012.0</c:v>
                </c:pt>
                <c:pt idx="1014">
                  <c:v>41011.0</c:v>
                </c:pt>
                <c:pt idx="1015">
                  <c:v>41010.0</c:v>
                </c:pt>
                <c:pt idx="1016">
                  <c:v>41009.0</c:v>
                </c:pt>
                <c:pt idx="1017">
                  <c:v>41004.0</c:v>
                </c:pt>
                <c:pt idx="1018">
                  <c:v>41003.0</c:v>
                </c:pt>
                <c:pt idx="1019">
                  <c:v>41002.0</c:v>
                </c:pt>
                <c:pt idx="1020">
                  <c:v>41001.0</c:v>
                </c:pt>
                <c:pt idx="1021">
                  <c:v>40998.0</c:v>
                </c:pt>
                <c:pt idx="1022">
                  <c:v>40997.0</c:v>
                </c:pt>
                <c:pt idx="1023">
                  <c:v>40996.0</c:v>
                </c:pt>
                <c:pt idx="1024">
                  <c:v>40995.0</c:v>
                </c:pt>
                <c:pt idx="1025">
                  <c:v>40994.0</c:v>
                </c:pt>
                <c:pt idx="1026">
                  <c:v>40991.0</c:v>
                </c:pt>
                <c:pt idx="1027">
                  <c:v>40990.0</c:v>
                </c:pt>
                <c:pt idx="1028">
                  <c:v>40988.0</c:v>
                </c:pt>
                <c:pt idx="1029">
                  <c:v>40987.0</c:v>
                </c:pt>
                <c:pt idx="1030">
                  <c:v>40984.0</c:v>
                </c:pt>
                <c:pt idx="1031">
                  <c:v>40983.0</c:v>
                </c:pt>
                <c:pt idx="1032">
                  <c:v>40982.0</c:v>
                </c:pt>
                <c:pt idx="1033">
                  <c:v>40981.0</c:v>
                </c:pt>
                <c:pt idx="1034">
                  <c:v>40980.0</c:v>
                </c:pt>
                <c:pt idx="1035">
                  <c:v>40977.0</c:v>
                </c:pt>
                <c:pt idx="1036">
                  <c:v>40976.0</c:v>
                </c:pt>
                <c:pt idx="1037">
                  <c:v>40975.0</c:v>
                </c:pt>
                <c:pt idx="1038">
                  <c:v>40974.0</c:v>
                </c:pt>
                <c:pt idx="1039">
                  <c:v>40973.0</c:v>
                </c:pt>
                <c:pt idx="1040">
                  <c:v>40970.0</c:v>
                </c:pt>
                <c:pt idx="1041">
                  <c:v>40969.0</c:v>
                </c:pt>
                <c:pt idx="1042">
                  <c:v>40968.0</c:v>
                </c:pt>
                <c:pt idx="1043">
                  <c:v>40967.0</c:v>
                </c:pt>
                <c:pt idx="1044">
                  <c:v>40966.0</c:v>
                </c:pt>
                <c:pt idx="1045">
                  <c:v>40963.0</c:v>
                </c:pt>
                <c:pt idx="1046">
                  <c:v>40962.0</c:v>
                </c:pt>
                <c:pt idx="1047">
                  <c:v>40961.0</c:v>
                </c:pt>
                <c:pt idx="1048">
                  <c:v>40960.0</c:v>
                </c:pt>
                <c:pt idx="1049">
                  <c:v>40959.0</c:v>
                </c:pt>
                <c:pt idx="1050">
                  <c:v>40956.0</c:v>
                </c:pt>
                <c:pt idx="1051">
                  <c:v>40955.0</c:v>
                </c:pt>
                <c:pt idx="1052">
                  <c:v>40954.0</c:v>
                </c:pt>
                <c:pt idx="1053">
                  <c:v>40953.0</c:v>
                </c:pt>
                <c:pt idx="1054">
                  <c:v>40952.0</c:v>
                </c:pt>
                <c:pt idx="1055">
                  <c:v>40949.0</c:v>
                </c:pt>
                <c:pt idx="1056">
                  <c:v>40948.0</c:v>
                </c:pt>
                <c:pt idx="1057">
                  <c:v>40947.0</c:v>
                </c:pt>
                <c:pt idx="1058">
                  <c:v>40946.0</c:v>
                </c:pt>
                <c:pt idx="1059">
                  <c:v>40945.0</c:v>
                </c:pt>
                <c:pt idx="1060">
                  <c:v>40942.0</c:v>
                </c:pt>
                <c:pt idx="1061">
                  <c:v>40941.0</c:v>
                </c:pt>
                <c:pt idx="1062">
                  <c:v>40940.0</c:v>
                </c:pt>
                <c:pt idx="1063">
                  <c:v>40939.0</c:v>
                </c:pt>
                <c:pt idx="1064">
                  <c:v>40938.0</c:v>
                </c:pt>
                <c:pt idx="1065">
                  <c:v>40935.0</c:v>
                </c:pt>
                <c:pt idx="1066">
                  <c:v>40934.0</c:v>
                </c:pt>
                <c:pt idx="1067">
                  <c:v>40933.0</c:v>
                </c:pt>
                <c:pt idx="1068">
                  <c:v>40932.0</c:v>
                </c:pt>
                <c:pt idx="1069">
                  <c:v>40931.0</c:v>
                </c:pt>
                <c:pt idx="1070">
                  <c:v>40928.0</c:v>
                </c:pt>
                <c:pt idx="1071">
                  <c:v>40927.0</c:v>
                </c:pt>
                <c:pt idx="1072">
                  <c:v>40926.0</c:v>
                </c:pt>
                <c:pt idx="1073">
                  <c:v>40925.0</c:v>
                </c:pt>
                <c:pt idx="1074">
                  <c:v>40924.0</c:v>
                </c:pt>
                <c:pt idx="1075">
                  <c:v>40921.0</c:v>
                </c:pt>
                <c:pt idx="1076">
                  <c:v>40920.0</c:v>
                </c:pt>
                <c:pt idx="1077">
                  <c:v>40919.0</c:v>
                </c:pt>
                <c:pt idx="1078">
                  <c:v>40918.0</c:v>
                </c:pt>
                <c:pt idx="1079">
                  <c:v>40917.0</c:v>
                </c:pt>
                <c:pt idx="1080">
                  <c:v>40914.0</c:v>
                </c:pt>
                <c:pt idx="1081">
                  <c:v>40913.0</c:v>
                </c:pt>
                <c:pt idx="1082">
                  <c:v>40912.0</c:v>
                </c:pt>
                <c:pt idx="1083">
                  <c:v>40911.0</c:v>
                </c:pt>
                <c:pt idx="1084">
                  <c:v>40907.0</c:v>
                </c:pt>
                <c:pt idx="1085">
                  <c:v>40906.0</c:v>
                </c:pt>
                <c:pt idx="1086">
                  <c:v>40905.0</c:v>
                </c:pt>
                <c:pt idx="1087">
                  <c:v>40900.0</c:v>
                </c:pt>
                <c:pt idx="1088">
                  <c:v>40899.0</c:v>
                </c:pt>
                <c:pt idx="1089">
                  <c:v>40898.0</c:v>
                </c:pt>
                <c:pt idx="1090">
                  <c:v>40897.0</c:v>
                </c:pt>
                <c:pt idx="1091">
                  <c:v>40896.0</c:v>
                </c:pt>
                <c:pt idx="1092">
                  <c:v>40892.0</c:v>
                </c:pt>
                <c:pt idx="1093">
                  <c:v>40891.0</c:v>
                </c:pt>
                <c:pt idx="1094">
                  <c:v>40890.0</c:v>
                </c:pt>
                <c:pt idx="1095">
                  <c:v>40889.0</c:v>
                </c:pt>
                <c:pt idx="1096">
                  <c:v>40886.0</c:v>
                </c:pt>
                <c:pt idx="1097">
                  <c:v>40885.0</c:v>
                </c:pt>
                <c:pt idx="1098">
                  <c:v>40884.0</c:v>
                </c:pt>
                <c:pt idx="1099">
                  <c:v>40883.0</c:v>
                </c:pt>
                <c:pt idx="1100">
                  <c:v>40882.0</c:v>
                </c:pt>
                <c:pt idx="1101">
                  <c:v>40879.0</c:v>
                </c:pt>
                <c:pt idx="1102">
                  <c:v>40878.0</c:v>
                </c:pt>
                <c:pt idx="1103">
                  <c:v>40877.0</c:v>
                </c:pt>
                <c:pt idx="1104">
                  <c:v>40876.0</c:v>
                </c:pt>
                <c:pt idx="1105">
                  <c:v>40875.0</c:v>
                </c:pt>
                <c:pt idx="1106">
                  <c:v>40872.0</c:v>
                </c:pt>
                <c:pt idx="1107">
                  <c:v>40871.0</c:v>
                </c:pt>
                <c:pt idx="1108">
                  <c:v>40870.0</c:v>
                </c:pt>
                <c:pt idx="1109">
                  <c:v>40869.0</c:v>
                </c:pt>
                <c:pt idx="1110">
                  <c:v>40868.0</c:v>
                </c:pt>
                <c:pt idx="1111">
                  <c:v>40865.0</c:v>
                </c:pt>
                <c:pt idx="1112">
                  <c:v>40864.0</c:v>
                </c:pt>
                <c:pt idx="1113">
                  <c:v>40863.0</c:v>
                </c:pt>
                <c:pt idx="1114">
                  <c:v>40862.0</c:v>
                </c:pt>
                <c:pt idx="1115">
                  <c:v>40861.0</c:v>
                </c:pt>
                <c:pt idx="1116">
                  <c:v>40858.0</c:v>
                </c:pt>
                <c:pt idx="1117">
                  <c:v>40857.0</c:v>
                </c:pt>
                <c:pt idx="1118">
                  <c:v>40856.0</c:v>
                </c:pt>
                <c:pt idx="1119">
                  <c:v>40855.0</c:v>
                </c:pt>
                <c:pt idx="1120">
                  <c:v>40854.0</c:v>
                </c:pt>
                <c:pt idx="1121">
                  <c:v>40851.0</c:v>
                </c:pt>
                <c:pt idx="1122">
                  <c:v>40850.0</c:v>
                </c:pt>
                <c:pt idx="1123">
                  <c:v>40849.0</c:v>
                </c:pt>
                <c:pt idx="1124">
                  <c:v>40848.0</c:v>
                </c:pt>
                <c:pt idx="1125">
                  <c:v>40847.0</c:v>
                </c:pt>
                <c:pt idx="1126">
                  <c:v>40844.0</c:v>
                </c:pt>
                <c:pt idx="1127">
                  <c:v>40843.0</c:v>
                </c:pt>
                <c:pt idx="1128">
                  <c:v>40842.0</c:v>
                </c:pt>
                <c:pt idx="1129">
                  <c:v>40841.0</c:v>
                </c:pt>
                <c:pt idx="1130">
                  <c:v>40840.0</c:v>
                </c:pt>
                <c:pt idx="1131">
                  <c:v>40837.0</c:v>
                </c:pt>
                <c:pt idx="1132">
                  <c:v>40836.0</c:v>
                </c:pt>
                <c:pt idx="1133">
                  <c:v>40835.0</c:v>
                </c:pt>
                <c:pt idx="1134">
                  <c:v>40834.0</c:v>
                </c:pt>
                <c:pt idx="1135">
                  <c:v>40833.0</c:v>
                </c:pt>
                <c:pt idx="1136">
                  <c:v>40830.0</c:v>
                </c:pt>
                <c:pt idx="1137">
                  <c:v>40829.0</c:v>
                </c:pt>
                <c:pt idx="1138">
                  <c:v>40828.0</c:v>
                </c:pt>
                <c:pt idx="1139">
                  <c:v>40827.0</c:v>
                </c:pt>
                <c:pt idx="1140">
                  <c:v>40826.0</c:v>
                </c:pt>
                <c:pt idx="1141">
                  <c:v>40823.0</c:v>
                </c:pt>
                <c:pt idx="1142">
                  <c:v>40822.0</c:v>
                </c:pt>
                <c:pt idx="1143">
                  <c:v>40821.0</c:v>
                </c:pt>
                <c:pt idx="1144">
                  <c:v>40820.0</c:v>
                </c:pt>
                <c:pt idx="1145">
                  <c:v>40819.0</c:v>
                </c:pt>
                <c:pt idx="1146">
                  <c:v>40816.0</c:v>
                </c:pt>
                <c:pt idx="1147">
                  <c:v>40815.0</c:v>
                </c:pt>
                <c:pt idx="1148">
                  <c:v>40814.0</c:v>
                </c:pt>
                <c:pt idx="1149">
                  <c:v>40813.0</c:v>
                </c:pt>
                <c:pt idx="1150">
                  <c:v>40812.0</c:v>
                </c:pt>
                <c:pt idx="1151">
                  <c:v>40809.0</c:v>
                </c:pt>
                <c:pt idx="1152">
                  <c:v>40808.0</c:v>
                </c:pt>
                <c:pt idx="1153">
                  <c:v>40807.0</c:v>
                </c:pt>
                <c:pt idx="1154">
                  <c:v>40806.0</c:v>
                </c:pt>
                <c:pt idx="1155">
                  <c:v>40805.0</c:v>
                </c:pt>
                <c:pt idx="1156">
                  <c:v>40802.0</c:v>
                </c:pt>
                <c:pt idx="1157">
                  <c:v>40801.0</c:v>
                </c:pt>
                <c:pt idx="1158">
                  <c:v>40800.0</c:v>
                </c:pt>
                <c:pt idx="1159">
                  <c:v>40799.0</c:v>
                </c:pt>
                <c:pt idx="1160">
                  <c:v>40798.0</c:v>
                </c:pt>
                <c:pt idx="1161">
                  <c:v>40795.0</c:v>
                </c:pt>
                <c:pt idx="1162">
                  <c:v>40794.0</c:v>
                </c:pt>
                <c:pt idx="1163">
                  <c:v>40793.0</c:v>
                </c:pt>
                <c:pt idx="1164">
                  <c:v>40792.0</c:v>
                </c:pt>
                <c:pt idx="1165">
                  <c:v>40791.0</c:v>
                </c:pt>
                <c:pt idx="1166">
                  <c:v>40788.0</c:v>
                </c:pt>
                <c:pt idx="1167">
                  <c:v>40787.0</c:v>
                </c:pt>
                <c:pt idx="1168">
                  <c:v>40786.0</c:v>
                </c:pt>
                <c:pt idx="1169">
                  <c:v>40785.0</c:v>
                </c:pt>
                <c:pt idx="1170">
                  <c:v>40784.0</c:v>
                </c:pt>
                <c:pt idx="1171">
                  <c:v>40781.0</c:v>
                </c:pt>
                <c:pt idx="1172">
                  <c:v>40780.0</c:v>
                </c:pt>
                <c:pt idx="1173">
                  <c:v>40779.0</c:v>
                </c:pt>
                <c:pt idx="1174">
                  <c:v>40778.0</c:v>
                </c:pt>
                <c:pt idx="1175">
                  <c:v>40777.0</c:v>
                </c:pt>
                <c:pt idx="1176">
                  <c:v>40774.0</c:v>
                </c:pt>
                <c:pt idx="1177">
                  <c:v>40773.0</c:v>
                </c:pt>
                <c:pt idx="1178">
                  <c:v>40772.0</c:v>
                </c:pt>
                <c:pt idx="1179">
                  <c:v>40771.0</c:v>
                </c:pt>
                <c:pt idx="1180">
                  <c:v>40770.0</c:v>
                </c:pt>
                <c:pt idx="1181">
                  <c:v>40767.0</c:v>
                </c:pt>
                <c:pt idx="1182">
                  <c:v>40766.0</c:v>
                </c:pt>
                <c:pt idx="1183">
                  <c:v>40765.0</c:v>
                </c:pt>
                <c:pt idx="1184">
                  <c:v>40763.0</c:v>
                </c:pt>
                <c:pt idx="1185">
                  <c:v>40760.0</c:v>
                </c:pt>
                <c:pt idx="1186">
                  <c:v>40759.0</c:v>
                </c:pt>
                <c:pt idx="1187">
                  <c:v>40758.0</c:v>
                </c:pt>
                <c:pt idx="1188">
                  <c:v>40757.0</c:v>
                </c:pt>
                <c:pt idx="1189">
                  <c:v>40756.0</c:v>
                </c:pt>
                <c:pt idx="1190">
                  <c:v>40753.0</c:v>
                </c:pt>
                <c:pt idx="1191">
                  <c:v>40752.0</c:v>
                </c:pt>
                <c:pt idx="1192">
                  <c:v>40751.0</c:v>
                </c:pt>
                <c:pt idx="1193">
                  <c:v>40750.0</c:v>
                </c:pt>
                <c:pt idx="1194">
                  <c:v>40749.0</c:v>
                </c:pt>
                <c:pt idx="1195">
                  <c:v>40746.0</c:v>
                </c:pt>
                <c:pt idx="1196">
                  <c:v>40745.0</c:v>
                </c:pt>
                <c:pt idx="1197">
                  <c:v>40744.0</c:v>
                </c:pt>
                <c:pt idx="1198">
                  <c:v>40743.0</c:v>
                </c:pt>
                <c:pt idx="1199">
                  <c:v>40742.0</c:v>
                </c:pt>
                <c:pt idx="1200">
                  <c:v>40739.0</c:v>
                </c:pt>
                <c:pt idx="1201">
                  <c:v>40738.0</c:v>
                </c:pt>
                <c:pt idx="1202">
                  <c:v>40737.0</c:v>
                </c:pt>
                <c:pt idx="1203">
                  <c:v>40736.0</c:v>
                </c:pt>
                <c:pt idx="1204">
                  <c:v>40735.0</c:v>
                </c:pt>
                <c:pt idx="1205">
                  <c:v>40732.0</c:v>
                </c:pt>
                <c:pt idx="1206">
                  <c:v>40731.0</c:v>
                </c:pt>
                <c:pt idx="1207">
                  <c:v>40730.0</c:v>
                </c:pt>
                <c:pt idx="1208">
                  <c:v>40729.0</c:v>
                </c:pt>
                <c:pt idx="1209">
                  <c:v>40728.0</c:v>
                </c:pt>
                <c:pt idx="1210">
                  <c:v>40725.0</c:v>
                </c:pt>
                <c:pt idx="1211">
                  <c:v>40724.0</c:v>
                </c:pt>
                <c:pt idx="1212">
                  <c:v>40723.0</c:v>
                </c:pt>
                <c:pt idx="1213">
                  <c:v>40722.0</c:v>
                </c:pt>
                <c:pt idx="1214">
                  <c:v>40721.0</c:v>
                </c:pt>
                <c:pt idx="1215">
                  <c:v>40718.0</c:v>
                </c:pt>
                <c:pt idx="1216">
                  <c:v>40717.0</c:v>
                </c:pt>
                <c:pt idx="1217">
                  <c:v>40716.0</c:v>
                </c:pt>
                <c:pt idx="1218">
                  <c:v>40715.0</c:v>
                </c:pt>
                <c:pt idx="1219">
                  <c:v>40714.0</c:v>
                </c:pt>
                <c:pt idx="1220">
                  <c:v>40711.0</c:v>
                </c:pt>
                <c:pt idx="1221">
                  <c:v>40709.0</c:v>
                </c:pt>
                <c:pt idx="1222">
                  <c:v>40708.0</c:v>
                </c:pt>
                <c:pt idx="1223">
                  <c:v>40707.0</c:v>
                </c:pt>
                <c:pt idx="1224">
                  <c:v>40704.0</c:v>
                </c:pt>
                <c:pt idx="1225">
                  <c:v>40703.0</c:v>
                </c:pt>
                <c:pt idx="1226">
                  <c:v>40702.0</c:v>
                </c:pt>
                <c:pt idx="1227">
                  <c:v>40701.0</c:v>
                </c:pt>
                <c:pt idx="1228">
                  <c:v>40700.0</c:v>
                </c:pt>
                <c:pt idx="1229">
                  <c:v>40697.0</c:v>
                </c:pt>
                <c:pt idx="1230">
                  <c:v>40696.0</c:v>
                </c:pt>
                <c:pt idx="1231">
                  <c:v>40695.0</c:v>
                </c:pt>
                <c:pt idx="1232">
                  <c:v>40694.0</c:v>
                </c:pt>
                <c:pt idx="1233">
                  <c:v>40693.0</c:v>
                </c:pt>
                <c:pt idx="1234">
                  <c:v>40690.0</c:v>
                </c:pt>
                <c:pt idx="1235">
                  <c:v>40689.0</c:v>
                </c:pt>
                <c:pt idx="1236">
                  <c:v>40688.0</c:v>
                </c:pt>
                <c:pt idx="1237">
                  <c:v>40687.0</c:v>
                </c:pt>
                <c:pt idx="1238">
                  <c:v>40686.0</c:v>
                </c:pt>
                <c:pt idx="1239">
                  <c:v>40683.0</c:v>
                </c:pt>
                <c:pt idx="1240">
                  <c:v>40682.0</c:v>
                </c:pt>
                <c:pt idx="1241">
                  <c:v>40680.0</c:v>
                </c:pt>
                <c:pt idx="1242">
                  <c:v>40679.0</c:v>
                </c:pt>
                <c:pt idx="1243">
                  <c:v>40676.0</c:v>
                </c:pt>
                <c:pt idx="1244">
                  <c:v>40675.0</c:v>
                </c:pt>
                <c:pt idx="1245">
                  <c:v>40674.0</c:v>
                </c:pt>
                <c:pt idx="1246">
                  <c:v>40673.0</c:v>
                </c:pt>
                <c:pt idx="1247">
                  <c:v>40672.0</c:v>
                </c:pt>
                <c:pt idx="1248">
                  <c:v>40669.0</c:v>
                </c:pt>
                <c:pt idx="1249">
                  <c:v>40668.0</c:v>
                </c:pt>
                <c:pt idx="1250">
                  <c:v>40667.0</c:v>
                </c:pt>
                <c:pt idx="1251">
                  <c:v>40666.0</c:v>
                </c:pt>
                <c:pt idx="1252">
                  <c:v>40662.0</c:v>
                </c:pt>
                <c:pt idx="1253">
                  <c:v>40661.0</c:v>
                </c:pt>
                <c:pt idx="1254">
                  <c:v>40659.0</c:v>
                </c:pt>
                <c:pt idx="1255">
                  <c:v>40654.0</c:v>
                </c:pt>
                <c:pt idx="1256">
                  <c:v>40653.0</c:v>
                </c:pt>
                <c:pt idx="1257">
                  <c:v>40652.0</c:v>
                </c:pt>
                <c:pt idx="1258">
                  <c:v>40651.0</c:v>
                </c:pt>
                <c:pt idx="1259">
                  <c:v>40648.0</c:v>
                </c:pt>
                <c:pt idx="1260">
                  <c:v>40647.0</c:v>
                </c:pt>
                <c:pt idx="1261">
                  <c:v>40646.0</c:v>
                </c:pt>
                <c:pt idx="1262">
                  <c:v>40645.0</c:v>
                </c:pt>
                <c:pt idx="1263">
                  <c:v>40644.0</c:v>
                </c:pt>
                <c:pt idx="1264">
                  <c:v>40641.0</c:v>
                </c:pt>
                <c:pt idx="1265">
                  <c:v>40640.0</c:v>
                </c:pt>
                <c:pt idx="1266">
                  <c:v>40639.0</c:v>
                </c:pt>
                <c:pt idx="1267">
                  <c:v>40638.0</c:v>
                </c:pt>
                <c:pt idx="1268">
                  <c:v>40637.0</c:v>
                </c:pt>
                <c:pt idx="1269">
                  <c:v>40634.0</c:v>
                </c:pt>
                <c:pt idx="1270">
                  <c:v>40633.0</c:v>
                </c:pt>
                <c:pt idx="1271">
                  <c:v>40632.0</c:v>
                </c:pt>
                <c:pt idx="1272">
                  <c:v>40631.0</c:v>
                </c:pt>
                <c:pt idx="1273">
                  <c:v>40630.0</c:v>
                </c:pt>
                <c:pt idx="1274">
                  <c:v>40627.0</c:v>
                </c:pt>
                <c:pt idx="1275">
                  <c:v>40626.0</c:v>
                </c:pt>
                <c:pt idx="1276">
                  <c:v>40625.0</c:v>
                </c:pt>
                <c:pt idx="1277">
                  <c:v>40624.0</c:v>
                </c:pt>
                <c:pt idx="1278">
                  <c:v>40620.0</c:v>
                </c:pt>
                <c:pt idx="1279">
                  <c:v>40619.0</c:v>
                </c:pt>
                <c:pt idx="1280">
                  <c:v>40618.0</c:v>
                </c:pt>
                <c:pt idx="1281">
                  <c:v>40617.0</c:v>
                </c:pt>
                <c:pt idx="1282">
                  <c:v>40616.0</c:v>
                </c:pt>
                <c:pt idx="1283">
                  <c:v>40613.0</c:v>
                </c:pt>
                <c:pt idx="1284">
                  <c:v>40612.0</c:v>
                </c:pt>
                <c:pt idx="1285">
                  <c:v>40611.0</c:v>
                </c:pt>
                <c:pt idx="1286">
                  <c:v>40610.0</c:v>
                </c:pt>
                <c:pt idx="1287">
                  <c:v>40609.0</c:v>
                </c:pt>
                <c:pt idx="1288">
                  <c:v>40606.0</c:v>
                </c:pt>
                <c:pt idx="1289">
                  <c:v>40605.0</c:v>
                </c:pt>
                <c:pt idx="1290">
                  <c:v>40604.0</c:v>
                </c:pt>
                <c:pt idx="1291">
                  <c:v>40603.0</c:v>
                </c:pt>
                <c:pt idx="1292">
                  <c:v>40602.0</c:v>
                </c:pt>
                <c:pt idx="1293">
                  <c:v>40599.0</c:v>
                </c:pt>
                <c:pt idx="1294">
                  <c:v>40598.0</c:v>
                </c:pt>
                <c:pt idx="1295">
                  <c:v>40597.0</c:v>
                </c:pt>
                <c:pt idx="1296">
                  <c:v>40596.0</c:v>
                </c:pt>
                <c:pt idx="1297">
                  <c:v>40595.0</c:v>
                </c:pt>
                <c:pt idx="1298">
                  <c:v>40592.0</c:v>
                </c:pt>
                <c:pt idx="1299">
                  <c:v>40591.0</c:v>
                </c:pt>
                <c:pt idx="1300">
                  <c:v>40590.0</c:v>
                </c:pt>
                <c:pt idx="1301">
                  <c:v>40589.0</c:v>
                </c:pt>
                <c:pt idx="1302">
                  <c:v>40588.0</c:v>
                </c:pt>
                <c:pt idx="1303">
                  <c:v>40585.0</c:v>
                </c:pt>
                <c:pt idx="1304">
                  <c:v>40584.0</c:v>
                </c:pt>
                <c:pt idx="1305">
                  <c:v>40583.0</c:v>
                </c:pt>
                <c:pt idx="1306">
                  <c:v>40582.0</c:v>
                </c:pt>
                <c:pt idx="1307">
                  <c:v>40581.0</c:v>
                </c:pt>
                <c:pt idx="1308">
                  <c:v>40578.0</c:v>
                </c:pt>
                <c:pt idx="1309">
                  <c:v>40577.0</c:v>
                </c:pt>
                <c:pt idx="1310">
                  <c:v>40576.0</c:v>
                </c:pt>
                <c:pt idx="1311">
                  <c:v>40575.0</c:v>
                </c:pt>
                <c:pt idx="1312">
                  <c:v>40574.0</c:v>
                </c:pt>
                <c:pt idx="1313">
                  <c:v>40571.0</c:v>
                </c:pt>
                <c:pt idx="1314">
                  <c:v>40570.0</c:v>
                </c:pt>
                <c:pt idx="1315">
                  <c:v>40569.0</c:v>
                </c:pt>
                <c:pt idx="1316">
                  <c:v>40568.0</c:v>
                </c:pt>
                <c:pt idx="1317">
                  <c:v>40567.0</c:v>
                </c:pt>
                <c:pt idx="1318">
                  <c:v>40564.0</c:v>
                </c:pt>
                <c:pt idx="1319">
                  <c:v>40563.0</c:v>
                </c:pt>
                <c:pt idx="1320">
                  <c:v>40562.0</c:v>
                </c:pt>
                <c:pt idx="1321">
                  <c:v>40561.0</c:v>
                </c:pt>
                <c:pt idx="1322">
                  <c:v>40560.0</c:v>
                </c:pt>
                <c:pt idx="1323">
                  <c:v>40557.0</c:v>
                </c:pt>
                <c:pt idx="1324">
                  <c:v>40556.0</c:v>
                </c:pt>
                <c:pt idx="1325">
                  <c:v>40555.0</c:v>
                </c:pt>
                <c:pt idx="1326">
                  <c:v>40554.0</c:v>
                </c:pt>
                <c:pt idx="1327">
                  <c:v>40553.0</c:v>
                </c:pt>
                <c:pt idx="1328">
                  <c:v>40550.0</c:v>
                </c:pt>
                <c:pt idx="1329">
                  <c:v>40549.0</c:v>
                </c:pt>
                <c:pt idx="1330">
                  <c:v>40548.0</c:v>
                </c:pt>
                <c:pt idx="1331">
                  <c:v>40547.0</c:v>
                </c:pt>
                <c:pt idx="1332">
                  <c:v>40546.0</c:v>
                </c:pt>
                <c:pt idx="1333">
                  <c:v>40543.0</c:v>
                </c:pt>
                <c:pt idx="1334">
                  <c:v>40542.0</c:v>
                </c:pt>
                <c:pt idx="1335">
                  <c:v>40541.0</c:v>
                </c:pt>
                <c:pt idx="1336">
                  <c:v>40540.0</c:v>
                </c:pt>
                <c:pt idx="1337">
                  <c:v>40536.0</c:v>
                </c:pt>
                <c:pt idx="1338">
                  <c:v>40535.0</c:v>
                </c:pt>
                <c:pt idx="1339">
                  <c:v>40534.0</c:v>
                </c:pt>
                <c:pt idx="1340">
                  <c:v>40533.0</c:v>
                </c:pt>
                <c:pt idx="1341">
                  <c:v>40532.0</c:v>
                </c:pt>
                <c:pt idx="1342">
                  <c:v>40529.0</c:v>
                </c:pt>
                <c:pt idx="1343">
                  <c:v>40527.0</c:v>
                </c:pt>
                <c:pt idx="1344">
                  <c:v>40526.0</c:v>
                </c:pt>
                <c:pt idx="1345">
                  <c:v>40525.0</c:v>
                </c:pt>
                <c:pt idx="1346">
                  <c:v>40522.0</c:v>
                </c:pt>
                <c:pt idx="1347">
                  <c:v>40521.0</c:v>
                </c:pt>
                <c:pt idx="1348">
                  <c:v>40520.0</c:v>
                </c:pt>
                <c:pt idx="1349">
                  <c:v>40519.0</c:v>
                </c:pt>
                <c:pt idx="1350">
                  <c:v>40518.0</c:v>
                </c:pt>
                <c:pt idx="1351">
                  <c:v>40515.0</c:v>
                </c:pt>
                <c:pt idx="1352">
                  <c:v>40514.0</c:v>
                </c:pt>
                <c:pt idx="1353">
                  <c:v>40513.0</c:v>
                </c:pt>
                <c:pt idx="1354">
                  <c:v>40512.0</c:v>
                </c:pt>
                <c:pt idx="1355">
                  <c:v>40511.0</c:v>
                </c:pt>
                <c:pt idx="1356">
                  <c:v>40508.0</c:v>
                </c:pt>
                <c:pt idx="1357">
                  <c:v>40507.0</c:v>
                </c:pt>
                <c:pt idx="1358">
                  <c:v>40506.0</c:v>
                </c:pt>
                <c:pt idx="1359">
                  <c:v>40505.0</c:v>
                </c:pt>
                <c:pt idx="1360">
                  <c:v>40504.0</c:v>
                </c:pt>
                <c:pt idx="1361">
                  <c:v>40501.0</c:v>
                </c:pt>
                <c:pt idx="1362">
                  <c:v>40500.0</c:v>
                </c:pt>
                <c:pt idx="1363">
                  <c:v>40499.0</c:v>
                </c:pt>
                <c:pt idx="1364">
                  <c:v>40498.0</c:v>
                </c:pt>
                <c:pt idx="1365">
                  <c:v>40497.0</c:v>
                </c:pt>
                <c:pt idx="1366">
                  <c:v>40494.0</c:v>
                </c:pt>
                <c:pt idx="1367">
                  <c:v>40493.0</c:v>
                </c:pt>
                <c:pt idx="1368">
                  <c:v>40492.0</c:v>
                </c:pt>
                <c:pt idx="1369">
                  <c:v>40491.0</c:v>
                </c:pt>
                <c:pt idx="1370">
                  <c:v>40490.0</c:v>
                </c:pt>
                <c:pt idx="1371">
                  <c:v>40487.0</c:v>
                </c:pt>
                <c:pt idx="1372">
                  <c:v>40486.0</c:v>
                </c:pt>
                <c:pt idx="1373">
                  <c:v>40485.0</c:v>
                </c:pt>
                <c:pt idx="1374">
                  <c:v>40484.0</c:v>
                </c:pt>
                <c:pt idx="1375">
                  <c:v>40483.0</c:v>
                </c:pt>
                <c:pt idx="1376">
                  <c:v>40480.0</c:v>
                </c:pt>
                <c:pt idx="1377">
                  <c:v>40479.0</c:v>
                </c:pt>
                <c:pt idx="1378">
                  <c:v>40478.0</c:v>
                </c:pt>
                <c:pt idx="1379">
                  <c:v>40477.0</c:v>
                </c:pt>
                <c:pt idx="1380">
                  <c:v>40476.0</c:v>
                </c:pt>
                <c:pt idx="1381">
                  <c:v>40473.0</c:v>
                </c:pt>
                <c:pt idx="1382">
                  <c:v>40472.0</c:v>
                </c:pt>
                <c:pt idx="1383">
                  <c:v>40471.0</c:v>
                </c:pt>
                <c:pt idx="1384">
                  <c:v>40470.0</c:v>
                </c:pt>
                <c:pt idx="1385">
                  <c:v>40469.0</c:v>
                </c:pt>
                <c:pt idx="1386">
                  <c:v>40466.0</c:v>
                </c:pt>
                <c:pt idx="1387">
                  <c:v>40465.0</c:v>
                </c:pt>
                <c:pt idx="1388">
                  <c:v>40464.0</c:v>
                </c:pt>
                <c:pt idx="1389">
                  <c:v>40463.0</c:v>
                </c:pt>
                <c:pt idx="1390">
                  <c:v>40462.0</c:v>
                </c:pt>
                <c:pt idx="1391">
                  <c:v>40459.0</c:v>
                </c:pt>
                <c:pt idx="1392">
                  <c:v>40458.0</c:v>
                </c:pt>
                <c:pt idx="1393">
                  <c:v>40457.0</c:v>
                </c:pt>
                <c:pt idx="1394">
                  <c:v>40456.0</c:v>
                </c:pt>
                <c:pt idx="1395">
                  <c:v>40455.0</c:v>
                </c:pt>
                <c:pt idx="1396">
                  <c:v>40452.0</c:v>
                </c:pt>
                <c:pt idx="1397">
                  <c:v>40451.0</c:v>
                </c:pt>
                <c:pt idx="1398">
                  <c:v>40450.0</c:v>
                </c:pt>
                <c:pt idx="1399">
                  <c:v>40449.0</c:v>
                </c:pt>
                <c:pt idx="1400">
                  <c:v>40448.0</c:v>
                </c:pt>
                <c:pt idx="1401">
                  <c:v>40444.0</c:v>
                </c:pt>
                <c:pt idx="1402">
                  <c:v>40443.0</c:v>
                </c:pt>
                <c:pt idx="1403">
                  <c:v>40442.0</c:v>
                </c:pt>
                <c:pt idx="1404">
                  <c:v>40441.0</c:v>
                </c:pt>
                <c:pt idx="1405">
                  <c:v>40438.0</c:v>
                </c:pt>
                <c:pt idx="1406">
                  <c:v>40437.0</c:v>
                </c:pt>
                <c:pt idx="1407">
                  <c:v>40436.0</c:v>
                </c:pt>
                <c:pt idx="1408">
                  <c:v>40435.0</c:v>
                </c:pt>
                <c:pt idx="1409">
                  <c:v>40434.0</c:v>
                </c:pt>
                <c:pt idx="1410">
                  <c:v>40431.0</c:v>
                </c:pt>
                <c:pt idx="1411">
                  <c:v>40430.0</c:v>
                </c:pt>
                <c:pt idx="1412">
                  <c:v>40429.0</c:v>
                </c:pt>
                <c:pt idx="1413">
                  <c:v>40428.0</c:v>
                </c:pt>
                <c:pt idx="1414">
                  <c:v>40427.0</c:v>
                </c:pt>
                <c:pt idx="1415">
                  <c:v>40424.0</c:v>
                </c:pt>
                <c:pt idx="1416">
                  <c:v>40423.0</c:v>
                </c:pt>
                <c:pt idx="1417">
                  <c:v>40422.0</c:v>
                </c:pt>
                <c:pt idx="1418">
                  <c:v>40421.0</c:v>
                </c:pt>
                <c:pt idx="1419">
                  <c:v>40420.0</c:v>
                </c:pt>
                <c:pt idx="1420">
                  <c:v>40417.0</c:v>
                </c:pt>
                <c:pt idx="1421">
                  <c:v>40416.0</c:v>
                </c:pt>
                <c:pt idx="1422">
                  <c:v>40415.0</c:v>
                </c:pt>
                <c:pt idx="1423">
                  <c:v>40414.0</c:v>
                </c:pt>
                <c:pt idx="1424">
                  <c:v>40413.0</c:v>
                </c:pt>
                <c:pt idx="1425">
                  <c:v>40410.0</c:v>
                </c:pt>
                <c:pt idx="1426">
                  <c:v>40409.0</c:v>
                </c:pt>
                <c:pt idx="1427">
                  <c:v>40408.0</c:v>
                </c:pt>
                <c:pt idx="1428">
                  <c:v>40407.0</c:v>
                </c:pt>
                <c:pt idx="1429">
                  <c:v>40406.0</c:v>
                </c:pt>
                <c:pt idx="1430">
                  <c:v>40403.0</c:v>
                </c:pt>
                <c:pt idx="1431">
                  <c:v>40402.0</c:v>
                </c:pt>
                <c:pt idx="1432">
                  <c:v>40401.0</c:v>
                </c:pt>
                <c:pt idx="1433">
                  <c:v>40400.0</c:v>
                </c:pt>
                <c:pt idx="1434">
                  <c:v>40396.0</c:v>
                </c:pt>
                <c:pt idx="1435">
                  <c:v>40395.0</c:v>
                </c:pt>
                <c:pt idx="1436">
                  <c:v>40394.0</c:v>
                </c:pt>
                <c:pt idx="1437">
                  <c:v>40393.0</c:v>
                </c:pt>
                <c:pt idx="1438">
                  <c:v>40392.0</c:v>
                </c:pt>
                <c:pt idx="1439">
                  <c:v>40389.0</c:v>
                </c:pt>
                <c:pt idx="1440">
                  <c:v>40388.0</c:v>
                </c:pt>
                <c:pt idx="1441">
                  <c:v>40387.0</c:v>
                </c:pt>
                <c:pt idx="1442">
                  <c:v>40386.0</c:v>
                </c:pt>
                <c:pt idx="1443">
                  <c:v>40385.0</c:v>
                </c:pt>
                <c:pt idx="1444">
                  <c:v>40382.0</c:v>
                </c:pt>
                <c:pt idx="1445">
                  <c:v>40381.0</c:v>
                </c:pt>
                <c:pt idx="1446">
                  <c:v>40380.0</c:v>
                </c:pt>
                <c:pt idx="1447">
                  <c:v>40379.0</c:v>
                </c:pt>
                <c:pt idx="1448">
                  <c:v>40378.0</c:v>
                </c:pt>
                <c:pt idx="1449">
                  <c:v>40375.0</c:v>
                </c:pt>
                <c:pt idx="1450">
                  <c:v>40374.0</c:v>
                </c:pt>
                <c:pt idx="1451">
                  <c:v>40373.0</c:v>
                </c:pt>
                <c:pt idx="1452">
                  <c:v>40372.0</c:v>
                </c:pt>
                <c:pt idx="1453">
                  <c:v>40371.0</c:v>
                </c:pt>
                <c:pt idx="1454">
                  <c:v>40368.0</c:v>
                </c:pt>
                <c:pt idx="1455">
                  <c:v>40367.0</c:v>
                </c:pt>
                <c:pt idx="1456">
                  <c:v>40366.0</c:v>
                </c:pt>
                <c:pt idx="1457">
                  <c:v>40365.0</c:v>
                </c:pt>
                <c:pt idx="1458">
                  <c:v>40364.0</c:v>
                </c:pt>
                <c:pt idx="1459">
                  <c:v>40361.0</c:v>
                </c:pt>
                <c:pt idx="1460">
                  <c:v>40360.0</c:v>
                </c:pt>
                <c:pt idx="1461">
                  <c:v>40359.0</c:v>
                </c:pt>
                <c:pt idx="1462">
                  <c:v>40358.0</c:v>
                </c:pt>
                <c:pt idx="1463">
                  <c:v>40357.0</c:v>
                </c:pt>
                <c:pt idx="1464">
                  <c:v>40354.0</c:v>
                </c:pt>
                <c:pt idx="1465">
                  <c:v>40353.0</c:v>
                </c:pt>
                <c:pt idx="1466">
                  <c:v>40352.0</c:v>
                </c:pt>
                <c:pt idx="1467">
                  <c:v>40351.0</c:v>
                </c:pt>
                <c:pt idx="1468">
                  <c:v>40350.0</c:v>
                </c:pt>
                <c:pt idx="1469">
                  <c:v>40347.0</c:v>
                </c:pt>
                <c:pt idx="1470">
                  <c:v>40346.0</c:v>
                </c:pt>
                <c:pt idx="1471">
                  <c:v>40344.0</c:v>
                </c:pt>
                <c:pt idx="1472">
                  <c:v>40343.0</c:v>
                </c:pt>
                <c:pt idx="1473">
                  <c:v>40340.0</c:v>
                </c:pt>
                <c:pt idx="1474">
                  <c:v>40339.0</c:v>
                </c:pt>
                <c:pt idx="1475">
                  <c:v>40338.0</c:v>
                </c:pt>
                <c:pt idx="1476">
                  <c:v>40337.0</c:v>
                </c:pt>
                <c:pt idx="1477">
                  <c:v>40336.0</c:v>
                </c:pt>
                <c:pt idx="1478">
                  <c:v>40333.0</c:v>
                </c:pt>
                <c:pt idx="1479">
                  <c:v>40332.0</c:v>
                </c:pt>
                <c:pt idx="1480">
                  <c:v>40331.0</c:v>
                </c:pt>
                <c:pt idx="1481">
                  <c:v>40330.0</c:v>
                </c:pt>
                <c:pt idx="1482">
                  <c:v>40329.0</c:v>
                </c:pt>
                <c:pt idx="1483">
                  <c:v>40326.0</c:v>
                </c:pt>
                <c:pt idx="1484">
                  <c:v>40325.0</c:v>
                </c:pt>
                <c:pt idx="1485">
                  <c:v>40324.0</c:v>
                </c:pt>
                <c:pt idx="1486">
                  <c:v>40323.0</c:v>
                </c:pt>
                <c:pt idx="1487">
                  <c:v>40322.0</c:v>
                </c:pt>
                <c:pt idx="1488">
                  <c:v>40319.0</c:v>
                </c:pt>
                <c:pt idx="1489">
                  <c:v>40318.0</c:v>
                </c:pt>
                <c:pt idx="1490">
                  <c:v>40317.0</c:v>
                </c:pt>
                <c:pt idx="1491">
                  <c:v>40316.0</c:v>
                </c:pt>
                <c:pt idx="1492">
                  <c:v>40315.0</c:v>
                </c:pt>
                <c:pt idx="1493">
                  <c:v>40312.0</c:v>
                </c:pt>
                <c:pt idx="1494">
                  <c:v>40311.0</c:v>
                </c:pt>
                <c:pt idx="1495">
                  <c:v>40310.0</c:v>
                </c:pt>
                <c:pt idx="1496">
                  <c:v>40309.0</c:v>
                </c:pt>
                <c:pt idx="1497">
                  <c:v>40308.0</c:v>
                </c:pt>
                <c:pt idx="1498">
                  <c:v>40305.0</c:v>
                </c:pt>
                <c:pt idx="1499">
                  <c:v>40304.0</c:v>
                </c:pt>
                <c:pt idx="1500">
                  <c:v>40303.0</c:v>
                </c:pt>
                <c:pt idx="1501">
                  <c:v>40302.0</c:v>
                </c:pt>
                <c:pt idx="1503">
                  <c:v>40301.0</c:v>
                </c:pt>
                <c:pt idx="1504">
                  <c:v>40298.0</c:v>
                </c:pt>
                <c:pt idx="1505">
                  <c:v>40297.0</c:v>
                </c:pt>
                <c:pt idx="1506">
                  <c:v>40296.0</c:v>
                </c:pt>
                <c:pt idx="1507">
                  <c:v>40294.0</c:v>
                </c:pt>
                <c:pt idx="1508">
                  <c:v>40291.0</c:v>
                </c:pt>
                <c:pt idx="1509">
                  <c:v>40290.0</c:v>
                </c:pt>
                <c:pt idx="1510">
                  <c:v>40289.0</c:v>
                </c:pt>
                <c:pt idx="1511">
                  <c:v>40288.0</c:v>
                </c:pt>
                <c:pt idx="1512">
                  <c:v>40287.0</c:v>
                </c:pt>
                <c:pt idx="1513">
                  <c:v>40284.0</c:v>
                </c:pt>
                <c:pt idx="1514">
                  <c:v>40283.0</c:v>
                </c:pt>
                <c:pt idx="1515">
                  <c:v>40282.0</c:v>
                </c:pt>
                <c:pt idx="1516">
                  <c:v>40281.0</c:v>
                </c:pt>
                <c:pt idx="1517">
                  <c:v>40280.0</c:v>
                </c:pt>
                <c:pt idx="1518">
                  <c:v>40277.0</c:v>
                </c:pt>
                <c:pt idx="1519">
                  <c:v>40276.0</c:v>
                </c:pt>
                <c:pt idx="1520">
                  <c:v>40275.0</c:v>
                </c:pt>
                <c:pt idx="1521">
                  <c:v>40274.0</c:v>
                </c:pt>
                <c:pt idx="1522">
                  <c:v>40269.0</c:v>
                </c:pt>
                <c:pt idx="1523">
                  <c:v>40268.0</c:v>
                </c:pt>
                <c:pt idx="1524">
                  <c:v>40267.0</c:v>
                </c:pt>
                <c:pt idx="1525">
                  <c:v>40266.0</c:v>
                </c:pt>
                <c:pt idx="1526">
                  <c:v>40263.0</c:v>
                </c:pt>
                <c:pt idx="1527">
                  <c:v>40262.0</c:v>
                </c:pt>
                <c:pt idx="1528">
                  <c:v>40261.0</c:v>
                </c:pt>
                <c:pt idx="1529">
                  <c:v>40260.0</c:v>
                </c:pt>
                <c:pt idx="1530">
                  <c:v>40256.0</c:v>
                </c:pt>
                <c:pt idx="1531">
                  <c:v>40255.0</c:v>
                </c:pt>
                <c:pt idx="1532">
                  <c:v>40254.0</c:v>
                </c:pt>
                <c:pt idx="1533">
                  <c:v>40253.0</c:v>
                </c:pt>
                <c:pt idx="1534">
                  <c:v>40252.0</c:v>
                </c:pt>
                <c:pt idx="1535">
                  <c:v>40249.0</c:v>
                </c:pt>
                <c:pt idx="1536">
                  <c:v>40248.0</c:v>
                </c:pt>
                <c:pt idx="1537">
                  <c:v>40247.0</c:v>
                </c:pt>
                <c:pt idx="1538">
                  <c:v>40246.0</c:v>
                </c:pt>
                <c:pt idx="1539">
                  <c:v>40245.0</c:v>
                </c:pt>
                <c:pt idx="1540">
                  <c:v>40242.0</c:v>
                </c:pt>
                <c:pt idx="1541">
                  <c:v>40241.0</c:v>
                </c:pt>
                <c:pt idx="1542">
                  <c:v>40240.0</c:v>
                </c:pt>
                <c:pt idx="1543">
                  <c:v>40239.0</c:v>
                </c:pt>
                <c:pt idx="1544">
                  <c:v>40238.0</c:v>
                </c:pt>
                <c:pt idx="1545">
                  <c:v>40235.0</c:v>
                </c:pt>
                <c:pt idx="1546">
                  <c:v>40234.0</c:v>
                </c:pt>
                <c:pt idx="1547">
                  <c:v>40233.0</c:v>
                </c:pt>
                <c:pt idx="1548">
                  <c:v>40232.0</c:v>
                </c:pt>
                <c:pt idx="1549">
                  <c:v>40231.0</c:v>
                </c:pt>
                <c:pt idx="1550">
                  <c:v>40228.0</c:v>
                </c:pt>
                <c:pt idx="1551">
                  <c:v>40227.0</c:v>
                </c:pt>
                <c:pt idx="1552">
                  <c:v>40226.0</c:v>
                </c:pt>
                <c:pt idx="1553">
                  <c:v>40225.0</c:v>
                </c:pt>
                <c:pt idx="1554">
                  <c:v>40224.0</c:v>
                </c:pt>
                <c:pt idx="1555">
                  <c:v>40221.0</c:v>
                </c:pt>
                <c:pt idx="1556">
                  <c:v>40220.0</c:v>
                </c:pt>
                <c:pt idx="1557">
                  <c:v>40219.0</c:v>
                </c:pt>
                <c:pt idx="1558">
                  <c:v>40218.0</c:v>
                </c:pt>
                <c:pt idx="1559">
                  <c:v>40217.0</c:v>
                </c:pt>
                <c:pt idx="1560">
                  <c:v>40214.0</c:v>
                </c:pt>
                <c:pt idx="1561">
                  <c:v>40213.0</c:v>
                </c:pt>
                <c:pt idx="1562">
                  <c:v>40212.0</c:v>
                </c:pt>
                <c:pt idx="1563">
                  <c:v>40211.0</c:v>
                </c:pt>
                <c:pt idx="1564">
                  <c:v>40210.0</c:v>
                </c:pt>
                <c:pt idx="1565">
                  <c:v>40207.0</c:v>
                </c:pt>
                <c:pt idx="1566">
                  <c:v>40206.0</c:v>
                </c:pt>
                <c:pt idx="1567">
                  <c:v>40205.0</c:v>
                </c:pt>
                <c:pt idx="1568">
                  <c:v>40204.0</c:v>
                </c:pt>
                <c:pt idx="1569">
                  <c:v>40203.0</c:v>
                </c:pt>
                <c:pt idx="1570">
                  <c:v>40200.0</c:v>
                </c:pt>
                <c:pt idx="1571">
                  <c:v>40199.0</c:v>
                </c:pt>
                <c:pt idx="1572">
                  <c:v>40198.0</c:v>
                </c:pt>
                <c:pt idx="1573">
                  <c:v>40197.0</c:v>
                </c:pt>
                <c:pt idx="1574">
                  <c:v>40196.0</c:v>
                </c:pt>
                <c:pt idx="1575">
                  <c:v>40193.0</c:v>
                </c:pt>
                <c:pt idx="1576">
                  <c:v>40192.0</c:v>
                </c:pt>
                <c:pt idx="1577">
                  <c:v>40191.0</c:v>
                </c:pt>
                <c:pt idx="1578">
                  <c:v>40190.0</c:v>
                </c:pt>
                <c:pt idx="1579">
                  <c:v>40189.0</c:v>
                </c:pt>
                <c:pt idx="1580">
                  <c:v>40186.0</c:v>
                </c:pt>
                <c:pt idx="1581">
                  <c:v>40185.0</c:v>
                </c:pt>
                <c:pt idx="1582">
                  <c:v>40184.0</c:v>
                </c:pt>
                <c:pt idx="1583">
                  <c:v>40183.0</c:v>
                </c:pt>
                <c:pt idx="1584">
                  <c:v>40182.0</c:v>
                </c:pt>
                <c:pt idx="1585">
                  <c:v>40178.0</c:v>
                </c:pt>
                <c:pt idx="1586">
                  <c:v>40177.0</c:v>
                </c:pt>
                <c:pt idx="1587">
                  <c:v>40176.0</c:v>
                </c:pt>
                <c:pt idx="1588">
                  <c:v>40175.0</c:v>
                </c:pt>
                <c:pt idx="1589">
                  <c:v>40171.0</c:v>
                </c:pt>
                <c:pt idx="1590">
                  <c:v>40170.0</c:v>
                </c:pt>
                <c:pt idx="1591">
                  <c:v>40169.0</c:v>
                </c:pt>
                <c:pt idx="1592">
                  <c:v>40168.0</c:v>
                </c:pt>
                <c:pt idx="1593">
                  <c:v>40165.0</c:v>
                </c:pt>
                <c:pt idx="1594">
                  <c:v>40164.0</c:v>
                </c:pt>
                <c:pt idx="1595">
                  <c:v>40162.0</c:v>
                </c:pt>
                <c:pt idx="1596">
                  <c:v>40161.0</c:v>
                </c:pt>
                <c:pt idx="1597">
                  <c:v>40158.0</c:v>
                </c:pt>
                <c:pt idx="1598">
                  <c:v>40157.0</c:v>
                </c:pt>
                <c:pt idx="1599">
                  <c:v>40156.0</c:v>
                </c:pt>
                <c:pt idx="1600">
                  <c:v>40155.0</c:v>
                </c:pt>
                <c:pt idx="1601">
                  <c:v>40154.0</c:v>
                </c:pt>
                <c:pt idx="1602">
                  <c:v>40151.0</c:v>
                </c:pt>
                <c:pt idx="1603">
                  <c:v>40150.0</c:v>
                </c:pt>
                <c:pt idx="1604">
                  <c:v>40149.0</c:v>
                </c:pt>
                <c:pt idx="1605">
                  <c:v>40148.0</c:v>
                </c:pt>
                <c:pt idx="1606">
                  <c:v>40147.0</c:v>
                </c:pt>
                <c:pt idx="1607">
                  <c:v>40144.0</c:v>
                </c:pt>
                <c:pt idx="1608">
                  <c:v>40143.0</c:v>
                </c:pt>
                <c:pt idx="1609">
                  <c:v>40142.0</c:v>
                </c:pt>
                <c:pt idx="1610">
                  <c:v>40141.0</c:v>
                </c:pt>
                <c:pt idx="1611">
                  <c:v>40140.0</c:v>
                </c:pt>
                <c:pt idx="1612">
                  <c:v>40137.0</c:v>
                </c:pt>
                <c:pt idx="1613">
                  <c:v>40136.0</c:v>
                </c:pt>
                <c:pt idx="1614">
                  <c:v>40135.0</c:v>
                </c:pt>
                <c:pt idx="1615">
                  <c:v>40134.0</c:v>
                </c:pt>
                <c:pt idx="1616">
                  <c:v>40133.0</c:v>
                </c:pt>
                <c:pt idx="1617">
                  <c:v>40130.0</c:v>
                </c:pt>
                <c:pt idx="1618">
                  <c:v>40129.0</c:v>
                </c:pt>
                <c:pt idx="1619">
                  <c:v>40128.0</c:v>
                </c:pt>
                <c:pt idx="1620">
                  <c:v>40127.0</c:v>
                </c:pt>
                <c:pt idx="1621">
                  <c:v>40126.0</c:v>
                </c:pt>
                <c:pt idx="1622">
                  <c:v>40123.0</c:v>
                </c:pt>
                <c:pt idx="1623">
                  <c:v>40122.0</c:v>
                </c:pt>
                <c:pt idx="1624">
                  <c:v>40121.0</c:v>
                </c:pt>
                <c:pt idx="1625">
                  <c:v>40120.0</c:v>
                </c:pt>
                <c:pt idx="1626">
                  <c:v>40119.0</c:v>
                </c:pt>
                <c:pt idx="1627">
                  <c:v>40116.0</c:v>
                </c:pt>
                <c:pt idx="1628">
                  <c:v>40115.0</c:v>
                </c:pt>
                <c:pt idx="1629">
                  <c:v>40114.0</c:v>
                </c:pt>
                <c:pt idx="1630">
                  <c:v>40113.0</c:v>
                </c:pt>
                <c:pt idx="1631">
                  <c:v>40112.0</c:v>
                </c:pt>
                <c:pt idx="1632">
                  <c:v>40109.0</c:v>
                </c:pt>
                <c:pt idx="1633">
                  <c:v>40108.0</c:v>
                </c:pt>
                <c:pt idx="1634">
                  <c:v>40107.0</c:v>
                </c:pt>
                <c:pt idx="1635">
                  <c:v>40106.0</c:v>
                </c:pt>
                <c:pt idx="1636">
                  <c:v>40105.0</c:v>
                </c:pt>
                <c:pt idx="1637">
                  <c:v>40102.0</c:v>
                </c:pt>
                <c:pt idx="1638">
                  <c:v>40101.0</c:v>
                </c:pt>
                <c:pt idx="1639">
                  <c:v>40100.0</c:v>
                </c:pt>
                <c:pt idx="1640">
                  <c:v>40099.0</c:v>
                </c:pt>
                <c:pt idx="1641">
                  <c:v>40098.0</c:v>
                </c:pt>
                <c:pt idx="1642">
                  <c:v>40095.0</c:v>
                </c:pt>
                <c:pt idx="1643">
                  <c:v>40094.0</c:v>
                </c:pt>
                <c:pt idx="1644">
                  <c:v>40093.0</c:v>
                </c:pt>
                <c:pt idx="1645">
                  <c:v>40092.0</c:v>
                </c:pt>
                <c:pt idx="1646">
                  <c:v>40091.0</c:v>
                </c:pt>
                <c:pt idx="1647">
                  <c:v>40088.0</c:v>
                </c:pt>
                <c:pt idx="1648">
                  <c:v>40087.0</c:v>
                </c:pt>
                <c:pt idx="1649">
                  <c:v>40086.0</c:v>
                </c:pt>
                <c:pt idx="1650">
                  <c:v>40085.0</c:v>
                </c:pt>
                <c:pt idx="1651">
                  <c:v>40084.0</c:v>
                </c:pt>
                <c:pt idx="1652">
                  <c:v>40081.0</c:v>
                </c:pt>
                <c:pt idx="1653">
                  <c:v>40079.0</c:v>
                </c:pt>
                <c:pt idx="1654">
                  <c:v>40078.0</c:v>
                </c:pt>
                <c:pt idx="1655">
                  <c:v>40077.0</c:v>
                </c:pt>
                <c:pt idx="1656">
                  <c:v>40074.0</c:v>
                </c:pt>
                <c:pt idx="1657">
                  <c:v>40073.0</c:v>
                </c:pt>
                <c:pt idx="1658">
                  <c:v>40072.0</c:v>
                </c:pt>
                <c:pt idx="1659">
                  <c:v>40071.0</c:v>
                </c:pt>
                <c:pt idx="1660">
                  <c:v>40070.0</c:v>
                </c:pt>
                <c:pt idx="1661">
                  <c:v>40067.0</c:v>
                </c:pt>
                <c:pt idx="1662">
                  <c:v>40066.0</c:v>
                </c:pt>
                <c:pt idx="1663">
                  <c:v>40065.0</c:v>
                </c:pt>
                <c:pt idx="1664">
                  <c:v>40064.0</c:v>
                </c:pt>
                <c:pt idx="1665">
                  <c:v>40063.0</c:v>
                </c:pt>
                <c:pt idx="1666">
                  <c:v>40060.0</c:v>
                </c:pt>
                <c:pt idx="1667">
                  <c:v>40059.0</c:v>
                </c:pt>
                <c:pt idx="1668">
                  <c:v>40058.0</c:v>
                </c:pt>
                <c:pt idx="1669">
                  <c:v>40057.0</c:v>
                </c:pt>
                <c:pt idx="1670">
                  <c:v>40056.0</c:v>
                </c:pt>
                <c:pt idx="1671">
                  <c:v>40053.0</c:v>
                </c:pt>
                <c:pt idx="1672">
                  <c:v>40052.0</c:v>
                </c:pt>
                <c:pt idx="1673">
                  <c:v>40051.0</c:v>
                </c:pt>
                <c:pt idx="1674">
                  <c:v>40050.0</c:v>
                </c:pt>
                <c:pt idx="1675">
                  <c:v>40049.0</c:v>
                </c:pt>
                <c:pt idx="1676">
                  <c:v>40046.0</c:v>
                </c:pt>
                <c:pt idx="1677">
                  <c:v>40045.0</c:v>
                </c:pt>
                <c:pt idx="1678">
                  <c:v>40044.0</c:v>
                </c:pt>
                <c:pt idx="1679">
                  <c:v>40043.0</c:v>
                </c:pt>
                <c:pt idx="1680">
                  <c:v>40042.0</c:v>
                </c:pt>
                <c:pt idx="1681">
                  <c:v>40039.0</c:v>
                </c:pt>
                <c:pt idx="1682">
                  <c:v>40038.0</c:v>
                </c:pt>
                <c:pt idx="1683">
                  <c:v>40037.0</c:v>
                </c:pt>
                <c:pt idx="1684">
                  <c:v>40036.0</c:v>
                </c:pt>
                <c:pt idx="1685">
                  <c:v>40032.0</c:v>
                </c:pt>
                <c:pt idx="1686">
                  <c:v>40031.0</c:v>
                </c:pt>
                <c:pt idx="1687">
                  <c:v>40030.0</c:v>
                </c:pt>
                <c:pt idx="1688">
                  <c:v>40029.0</c:v>
                </c:pt>
                <c:pt idx="1689">
                  <c:v>40028.0</c:v>
                </c:pt>
                <c:pt idx="1690">
                  <c:v>40025.0</c:v>
                </c:pt>
                <c:pt idx="1691">
                  <c:v>40024.0</c:v>
                </c:pt>
                <c:pt idx="1692">
                  <c:v>40023.0</c:v>
                </c:pt>
                <c:pt idx="1693">
                  <c:v>40022.0</c:v>
                </c:pt>
                <c:pt idx="1694">
                  <c:v>40021.0</c:v>
                </c:pt>
                <c:pt idx="1695">
                  <c:v>40018.0</c:v>
                </c:pt>
                <c:pt idx="1696">
                  <c:v>40017.0</c:v>
                </c:pt>
                <c:pt idx="1697">
                  <c:v>40016.0</c:v>
                </c:pt>
                <c:pt idx="1698">
                  <c:v>40015.0</c:v>
                </c:pt>
                <c:pt idx="1699">
                  <c:v>40014.0</c:v>
                </c:pt>
                <c:pt idx="1700">
                  <c:v>40011.0</c:v>
                </c:pt>
                <c:pt idx="1701">
                  <c:v>40010.0</c:v>
                </c:pt>
                <c:pt idx="1702">
                  <c:v>40009.0</c:v>
                </c:pt>
                <c:pt idx="1703">
                  <c:v>40008.0</c:v>
                </c:pt>
                <c:pt idx="1704">
                  <c:v>40007.0</c:v>
                </c:pt>
                <c:pt idx="1705">
                  <c:v>40004.0</c:v>
                </c:pt>
                <c:pt idx="1706">
                  <c:v>40003.0</c:v>
                </c:pt>
                <c:pt idx="1707">
                  <c:v>40002.0</c:v>
                </c:pt>
                <c:pt idx="1708">
                  <c:v>40001.0</c:v>
                </c:pt>
                <c:pt idx="1709">
                  <c:v>40000.0</c:v>
                </c:pt>
                <c:pt idx="1710">
                  <c:v>39997.0</c:v>
                </c:pt>
                <c:pt idx="1711">
                  <c:v>39996.0</c:v>
                </c:pt>
                <c:pt idx="1712">
                  <c:v>39995.0</c:v>
                </c:pt>
                <c:pt idx="1713">
                  <c:v>39994.0</c:v>
                </c:pt>
                <c:pt idx="1714">
                  <c:v>39993.0</c:v>
                </c:pt>
                <c:pt idx="1715">
                  <c:v>39990.0</c:v>
                </c:pt>
                <c:pt idx="1716">
                  <c:v>39989.0</c:v>
                </c:pt>
                <c:pt idx="1717">
                  <c:v>39988.0</c:v>
                </c:pt>
                <c:pt idx="1718">
                  <c:v>39987.0</c:v>
                </c:pt>
                <c:pt idx="1719">
                  <c:v>39986.0</c:v>
                </c:pt>
                <c:pt idx="1720">
                  <c:v>39983.0</c:v>
                </c:pt>
                <c:pt idx="1721">
                  <c:v>39982.0</c:v>
                </c:pt>
                <c:pt idx="1722">
                  <c:v>39981.0</c:v>
                </c:pt>
                <c:pt idx="1723">
                  <c:v>39979.0</c:v>
                </c:pt>
                <c:pt idx="1724">
                  <c:v>39976.0</c:v>
                </c:pt>
                <c:pt idx="1725">
                  <c:v>39975.0</c:v>
                </c:pt>
                <c:pt idx="1726">
                  <c:v>39974.0</c:v>
                </c:pt>
                <c:pt idx="1727">
                  <c:v>39973.0</c:v>
                </c:pt>
                <c:pt idx="1728">
                  <c:v>39972.0</c:v>
                </c:pt>
                <c:pt idx="1729">
                  <c:v>39969.0</c:v>
                </c:pt>
                <c:pt idx="1730">
                  <c:v>39968.0</c:v>
                </c:pt>
                <c:pt idx="1731">
                  <c:v>39967.0</c:v>
                </c:pt>
                <c:pt idx="1732">
                  <c:v>39966.0</c:v>
                </c:pt>
                <c:pt idx="1733">
                  <c:v>39965.0</c:v>
                </c:pt>
                <c:pt idx="1734">
                  <c:v>39962.0</c:v>
                </c:pt>
                <c:pt idx="1735">
                  <c:v>39961.0</c:v>
                </c:pt>
                <c:pt idx="1736">
                  <c:v>39960.0</c:v>
                </c:pt>
                <c:pt idx="1737">
                  <c:v>39959.0</c:v>
                </c:pt>
                <c:pt idx="1738">
                  <c:v>39958.0</c:v>
                </c:pt>
                <c:pt idx="1739">
                  <c:v>39955.0</c:v>
                </c:pt>
                <c:pt idx="1740">
                  <c:v>39954.0</c:v>
                </c:pt>
                <c:pt idx="1741">
                  <c:v>39953.0</c:v>
                </c:pt>
                <c:pt idx="1742">
                  <c:v>39952.0</c:v>
                </c:pt>
                <c:pt idx="1743">
                  <c:v>39951.0</c:v>
                </c:pt>
                <c:pt idx="1744">
                  <c:v>39948.0</c:v>
                </c:pt>
                <c:pt idx="1745">
                  <c:v>39947.0</c:v>
                </c:pt>
                <c:pt idx="1746">
                  <c:v>39946.0</c:v>
                </c:pt>
                <c:pt idx="1747">
                  <c:v>39945.0</c:v>
                </c:pt>
                <c:pt idx="1748">
                  <c:v>39944.0</c:v>
                </c:pt>
                <c:pt idx="1749">
                  <c:v>39941.0</c:v>
                </c:pt>
                <c:pt idx="1750">
                  <c:v>39940.0</c:v>
                </c:pt>
                <c:pt idx="1751">
                  <c:v>39939.0</c:v>
                </c:pt>
                <c:pt idx="1752">
                  <c:v>39938.0</c:v>
                </c:pt>
                <c:pt idx="1753">
                  <c:v>39937.0</c:v>
                </c:pt>
                <c:pt idx="1754">
                  <c:v>39933.0</c:v>
                </c:pt>
                <c:pt idx="1755">
                  <c:v>39932.0</c:v>
                </c:pt>
                <c:pt idx="1756">
                  <c:v>39931.0</c:v>
                </c:pt>
                <c:pt idx="1757">
                  <c:v>39927.0</c:v>
                </c:pt>
                <c:pt idx="1758">
                  <c:v>39926.0</c:v>
                </c:pt>
                <c:pt idx="1759">
                  <c:v>39924.0</c:v>
                </c:pt>
                <c:pt idx="1760">
                  <c:v>39923.0</c:v>
                </c:pt>
                <c:pt idx="1761">
                  <c:v>39920.0</c:v>
                </c:pt>
                <c:pt idx="1762">
                  <c:v>39919.0</c:v>
                </c:pt>
                <c:pt idx="1763">
                  <c:v>39918.0</c:v>
                </c:pt>
                <c:pt idx="1764">
                  <c:v>39917.0</c:v>
                </c:pt>
                <c:pt idx="1765">
                  <c:v>39912.0</c:v>
                </c:pt>
                <c:pt idx="1766">
                  <c:v>39911.0</c:v>
                </c:pt>
                <c:pt idx="1767">
                  <c:v>39910.0</c:v>
                </c:pt>
                <c:pt idx="1768">
                  <c:v>39909.0</c:v>
                </c:pt>
                <c:pt idx="1769">
                  <c:v>39906.0</c:v>
                </c:pt>
                <c:pt idx="1770">
                  <c:v>39905.0</c:v>
                </c:pt>
                <c:pt idx="1771">
                  <c:v>39904.0</c:v>
                </c:pt>
                <c:pt idx="1772">
                  <c:v>39903.0</c:v>
                </c:pt>
                <c:pt idx="1773">
                  <c:v>39902.0</c:v>
                </c:pt>
                <c:pt idx="1774">
                  <c:v>39899.0</c:v>
                </c:pt>
                <c:pt idx="1775">
                  <c:v>39898.0</c:v>
                </c:pt>
                <c:pt idx="1776">
                  <c:v>39897.0</c:v>
                </c:pt>
                <c:pt idx="1777">
                  <c:v>39896.0</c:v>
                </c:pt>
                <c:pt idx="1778">
                  <c:v>39895.0</c:v>
                </c:pt>
                <c:pt idx="1779">
                  <c:v>39892.0</c:v>
                </c:pt>
                <c:pt idx="1780">
                  <c:v>39891.0</c:v>
                </c:pt>
                <c:pt idx="1781">
                  <c:v>39890.0</c:v>
                </c:pt>
                <c:pt idx="1782">
                  <c:v>39889.0</c:v>
                </c:pt>
                <c:pt idx="1783">
                  <c:v>39888.0</c:v>
                </c:pt>
                <c:pt idx="1784">
                  <c:v>39885.0</c:v>
                </c:pt>
                <c:pt idx="1785">
                  <c:v>39884.0</c:v>
                </c:pt>
                <c:pt idx="1786">
                  <c:v>39883.0</c:v>
                </c:pt>
                <c:pt idx="1787">
                  <c:v>39882.0</c:v>
                </c:pt>
                <c:pt idx="1788">
                  <c:v>39881.0</c:v>
                </c:pt>
                <c:pt idx="1789">
                  <c:v>39878.0</c:v>
                </c:pt>
                <c:pt idx="1790">
                  <c:v>39877.0</c:v>
                </c:pt>
                <c:pt idx="1791">
                  <c:v>39876.0</c:v>
                </c:pt>
                <c:pt idx="1792">
                  <c:v>39875.0</c:v>
                </c:pt>
                <c:pt idx="1793">
                  <c:v>39874.0</c:v>
                </c:pt>
                <c:pt idx="1794">
                  <c:v>39871.0</c:v>
                </c:pt>
                <c:pt idx="1795">
                  <c:v>39870.0</c:v>
                </c:pt>
                <c:pt idx="1796">
                  <c:v>39869.0</c:v>
                </c:pt>
                <c:pt idx="1797">
                  <c:v>39868.0</c:v>
                </c:pt>
                <c:pt idx="1798">
                  <c:v>39867.0</c:v>
                </c:pt>
                <c:pt idx="1799">
                  <c:v>39864.0</c:v>
                </c:pt>
                <c:pt idx="1800">
                  <c:v>39863.0</c:v>
                </c:pt>
                <c:pt idx="1801">
                  <c:v>39862.0</c:v>
                </c:pt>
                <c:pt idx="1802">
                  <c:v>39861.0</c:v>
                </c:pt>
                <c:pt idx="1803">
                  <c:v>39860.0</c:v>
                </c:pt>
                <c:pt idx="1804">
                  <c:v>39857.0</c:v>
                </c:pt>
                <c:pt idx="1805">
                  <c:v>39856.0</c:v>
                </c:pt>
                <c:pt idx="1806">
                  <c:v>39855.0</c:v>
                </c:pt>
                <c:pt idx="1807">
                  <c:v>39854.0</c:v>
                </c:pt>
                <c:pt idx="1808">
                  <c:v>39853.0</c:v>
                </c:pt>
                <c:pt idx="1809">
                  <c:v>39850.0</c:v>
                </c:pt>
                <c:pt idx="1810">
                  <c:v>39849.0</c:v>
                </c:pt>
                <c:pt idx="1811">
                  <c:v>39848.0</c:v>
                </c:pt>
                <c:pt idx="1812">
                  <c:v>39847.0</c:v>
                </c:pt>
                <c:pt idx="1813">
                  <c:v>39846.0</c:v>
                </c:pt>
                <c:pt idx="1814">
                  <c:v>39843.0</c:v>
                </c:pt>
                <c:pt idx="1815">
                  <c:v>39842.0</c:v>
                </c:pt>
                <c:pt idx="1816">
                  <c:v>39841.0</c:v>
                </c:pt>
                <c:pt idx="1817">
                  <c:v>39840.0</c:v>
                </c:pt>
                <c:pt idx="1818">
                  <c:v>39839.0</c:v>
                </c:pt>
                <c:pt idx="1819">
                  <c:v>39836.0</c:v>
                </c:pt>
                <c:pt idx="1820">
                  <c:v>39835.0</c:v>
                </c:pt>
                <c:pt idx="1821">
                  <c:v>39834.0</c:v>
                </c:pt>
                <c:pt idx="1822">
                  <c:v>39833.0</c:v>
                </c:pt>
                <c:pt idx="1823">
                  <c:v>39832.0</c:v>
                </c:pt>
                <c:pt idx="1824">
                  <c:v>39829.0</c:v>
                </c:pt>
                <c:pt idx="1825">
                  <c:v>39828.0</c:v>
                </c:pt>
                <c:pt idx="1826">
                  <c:v>39827.0</c:v>
                </c:pt>
                <c:pt idx="1827">
                  <c:v>39826.0</c:v>
                </c:pt>
                <c:pt idx="1828">
                  <c:v>39825.0</c:v>
                </c:pt>
                <c:pt idx="1829">
                  <c:v>39822.0</c:v>
                </c:pt>
                <c:pt idx="1830">
                  <c:v>39821.0</c:v>
                </c:pt>
                <c:pt idx="1831">
                  <c:v>39820.0</c:v>
                </c:pt>
                <c:pt idx="1832">
                  <c:v>39819.0</c:v>
                </c:pt>
                <c:pt idx="1833">
                  <c:v>39818.0</c:v>
                </c:pt>
                <c:pt idx="1834">
                  <c:v>39815.0</c:v>
                </c:pt>
                <c:pt idx="1835">
                  <c:v>39813.0</c:v>
                </c:pt>
                <c:pt idx="1836">
                  <c:v>39812.0</c:v>
                </c:pt>
                <c:pt idx="1837">
                  <c:v>39811.0</c:v>
                </c:pt>
                <c:pt idx="1838">
                  <c:v>39806.0</c:v>
                </c:pt>
                <c:pt idx="1839">
                  <c:v>39805.0</c:v>
                </c:pt>
                <c:pt idx="1840">
                  <c:v>39804.0</c:v>
                </c:pt>
                <c:pt idx="1841">
                  <c:v>39801.0</c:v>
                </c:pt>
                <c:pt idx="1842">
                  <c:v>39800.0</c:v>
                </c:pt>
                <c:pt idx="1843">
                  <c:v>39799.0</c:v>
                </c:pt>
                <c:pt idx="1844">
                  <c:v>39797.0</c:v>
                </c:pt>
                <c:pt idx="1845">
                  <c:v>39794.0</c:v>
                </c:pt>
                <c:pt idx="1846">
                  <c:v>39793.0</c:v>
                </c:pt>
                <c:pt idx="1847">
                  <c:v>39792.0</c:v>
                </c:pt>
                <c:pt idx="1848">
                  <c:v>39791.0</c:v>
                </c:pt>
                <c:pt idx="1849">
                  <c:v>39790.0</c:v>
                </c:pt>
                <c:pt idx="1850">
                  <c:v>39787.0</c:v>
                </c:pt>
                <c:pt idx="1851">
                  <c:v>39786.0</c:v>
                </c:pt>
                <c:pt idx="1852">
                  <c:v>39785.0</c:v>
                </c:pt>
                <c:pt idx="1853">
                  <c:v>39784.0</c:v>
                </c:pt>
                <c:pt idx="1854">
                  <c:v>39783.0</c:v>
                </c:pt>
                <c:pt idx="1855">
                  <c:v>39780.0</c:v>
                </c:pt>
                <c:pt idx="1856">
                  <c:v>39779.0</c:v>
                </c:pt>
                <c:pt idx="1857">
                  <c:v>39778.0</c:v>
                </c:pt>
                <c:pt idx="1858">
                  <c:v>39777.0</c:v>
                </c:pt>
                <c:pt idx="1859">
                  <c:v>39776.0</c:v>
                </c:pt>
                <c:pt idx="1860">
                  <c:v>39773.0</c:v>
                </c:pt>
                <c:pt idx="1861">
                  <c:v>39772.0</c:v>
                </c:pt>
                <c:pt idx="1862">
                  <c:v>39771.0</c:v>
                </c:pt>
                <c:pt idx="1863">
                  <c:v>39770.0</c:v>
                </c:pt>
                <c:pt idx="1864">
                  <c:v>39769.0</c:v>
                </c:pt>
                <c:pt idx="1865">
                  <c:v>39766.0</c:v>
                </c:pt>
                <c:pt idx="1866">
                  <c:v>39765.0</c:v>
                </c:pt>
                <c:pt idx="1867">
                  <c:v>39764.0</c:v>
                </c:pt>
                <c:pt idx="1868">
                  <c:v>39763.0</c:v>
                </c:pt>
                <c:pt idx="1869">
                  <c:v>39762.0</c:v>
                </c:pt>
                <c:pt idx="1870">
                  <c:v>39759.0</c:v>
                </c:pt>
                <c:pt idx="1871">
                  <c:v>39758.0</c:v>
                </c:pt>
                <c:pt idx="1872">
                  <c:v>39757.0</c:v>
                </c:pt>
                <c:pt idx="1873">
                  <c:v>39756.0</c:v>
                </c:pt>
                <c:pt idx="1874">
                  <c:v>39755.0</c:v>
                </c:pt>
                <c:pt idx="1875">
                  <c:v>39752.0</c:v>
                </c:pt>
                <c:pt idx="1876">
                  <c:v>39751.0</c:v>
                </c:pt>
                <c:pt idx="1877">
                  <c:v>39750.0</c:v>
                </c:pt>
                <c:pt idx="1878">
                  <c:v>39749.0</c:v>
                </c:pt>
                <c:pt idx="1879">
                  <c:v>39748.0</c:v>
                </c:pt>
                <c:pt idx="1880">
                  <c:v>39745.0</c:v>
                </c:pt>
                <c:pt idx="1881">
                  <c:v>39744.0</c:v>
                </c:pt>
                <c:pt idx="1882">
                  <c:v>39743.0</c:v>
                </c:pt>
                <c:pt idx="1883">
                  <c:v>39742.0</c:v>
                </c:pt>
                <c:pt idx="1884">
                  <c:v>39741.0</c:v>
                </c:pt>
                <c:pt idx="1885">
                  <c:v>39738.0</c:v>
                </c:pt>
                <c:pt idx="1886">
                  <c:v>39737.0</c:v>
                </c:pt>
                <c:pt idx="1887">
                  <c:v>39736.0</c:v>
                </c:pt>
                <c:pt idx="1888">
                  <c:v>39735.0</c:v>
                </c:pt>
                <c:pt idx="1889">
                  <c:v>39734.0</c:v>
                </c:pt>
                <c:pt idx="1890">
                  <c:v>39731.0</c:v>
                </c:pt>
                <c:pt idx="1891">
                  <c:v>39730.0</c:v>
                </c:pt>
                <c:pt idx="1892">
                  <c:v>39729.0</c:v>
                </c:pt>
                <c:pt idx="1893">
                  <c:v>39728.0</c:v>
                </c:pt>
                <c:pt idx="1894">
                  <c:v>39727.0</c:v>
                </c:pt>
                <c:pt idx="1895">
                  <c:v>39724.0</c:v>
                </c:pt>
                <c:pt idx="1896">
                  <c:v>39723.0</c:v>
                </c:pt>
                <c:pt idx="1897">
                  <c:v>39722.0</c:v>
                </c:pt>
                <c:pt idx="1898">
                  <c:v>39721.0</c:v>
                </c:pt>
                <c:pt idx="1899">
                  <c:v>39720.0</c:v>
                </c:pt>
                <c:pt idx="1900">
                  <c:v>39717.0</c:v>
                </c:pt>
                <c:pt idx="1901">
                  <c:v>39716.0</c:v>
                </c:pt>
                <c:pt idx="1902">
                  <c:v>39714.0</c:v>
                </c:pt>
                <c:pt idx="1903">
                  <c:v>39713.0</c:v>
                </c:pt>
                <c:pt idx="1904">
                  <c:v>39710.0</c:v>
                </c:pt>
                <c:pt idx="1905">
                  <c:v>39709.0</c:v>
                </c:pt>
                <c:pt idx="1906">
                  <c:v>39708.0</c:v>
                </c:pt>
                <c:pt idx="1907">
                  <c:v>39707.0</c:v>
                </c:pt>
                <c:pt idx="1908">
                  <c:v>39706.0</c:v>
                </c:pt>
                <c:pt idx="1909">
                  <c:v>39703.0</c:v>
                </c:pt>
                <c:pt idx="1910">
                  <c:v>39702.0</c:v>
                </c:pt>
                <c:pt idx="1911">
                  <c:v>39701.0</c:v>
                </c:pt>
                <c:pt idx="1912">
                  <c:v>39700.0</c:v>
                </c:pt>
                <c:pt idx="1913">
                  <c:v>39699.0</c:v>
                </c:pt>
                <c:pt idx="1914">
                  <c:v>39696.0</c:v>
                </c:pt>
                <c:pt idx="1915">
                  <c:v>39695.0</c:v>
                </c:pt>
                <c:pt idx="1916">
                  <c:v>39694.0</c:v>
                </c:pt>
                <c:pt idx="1917">
                  <c:v>39693.0</c:v>
                </c:pt>
                <c:pt idx="1918">
                  <c:v>39692.0</c:v>
                </c:pt>
                <c:pt idx="1919">
                  <c:v>39689.0</c:v>
                </c:pt>
                <c:pt idx="1920">
                  <c:v>39688.0</c:v>
                </c:pt>
                <c:pt idx="1921">
                  <c:v>39687.0</c:v>
                </c:pt>
                <c:pt idx="1922">
                  <c:v>39686.0</c:v>
                </c:pt>
                <c:pt idx="1923">
                  <c:v>39685.0</c:v>
                </c:pt>
                <c:pt idx="1924">
                  <c:v>39682.0</c:v>
                </c:pt>
                <c:pt idx="1925">
                  <c:v>39681.0</c:v>
                </c:pt>
                <c:pt idx="1926">
                  <c:v>39680.0</c:v>
                </c:pt>
                <c:pt idx="1927">
                  <c:v>39679.0</c:v>
                </c:pt>
                <c:pt idx="1928">
                  <c:v>39678.0</c:v>
                </c:pt>
                <c:pt idx="1929">
                  <c:v>39675.0</c:v>
                </c:pt>
                <c:pt idx="1930">
                  <c:v>39674.0</c:v>
                </c:pt>
                <c:pt idx="1931">
                  <c:v>39673.0</c:v>
                </c:pt>
                <c:pt idx="1932">
                  <c:v>39672.0</c:v>
                </c:pt>
                <c:pt idx="1933">
                  <c:v>39671.0</c:v>
                </c:pt>
                <c:pt idx="1934">
                  <c:v>39668.0</c:v>
                </c:pt>
                <c:pt idx="1935">
                  <c:v>39667.0</c:v>
                </c:pt>
                <c:pt idx="1936">
                  <c:v>39666.0</c:v>
                </c:pt>
                <c:pt idx="1937">
                  <c:v>39665.0</c:v>
                </c:pt>
                <c:pt idx="1938">
                  <c:v>39664.0</c:v>
                </c:pt>
                <c:pt idx="1939">
                  <c:v>39661.0</c:v>
                </c:pt>
                <c:pt idx="1940">
                  <c:v>39660.0</c:v>
                </c:pt>
                <c:pt idx="1941">
                  <c:v>39659.0</c:v>
                </c:pt>
                <c:pt idx="1942">
                  <c:v>39658.0</c:v>
                </c:pt>
                <c:pt idx="1943">
                  <c:v>39657.0</c:v>
                </c:pt>
                <c:pt idx="1944">
                  <c:v>39654.0</c:v>
                </c:pt>
                <c:pt idx="1945">
                  <c:v>39653.0</c:v>
                </c:pt>
                <c:pt idx="1946">
                  <c:v>39652.0</c:v>
                </c:pt>
                <c:pt idx="1947">
                  <c:v>39651.0</c:v>
                </c:pt>
                <c:pt idx="1948">
                  <c:v>39650.0</c:v>
                </c:pt>
                <c:pt idx="1949">
                  <c:v>39647.0</c:v>
                </c:pt>
                <c:pt idx="1950">
                  <c:v>39646.0</c:v>
                </c:pt>
                <c:pt idx="1951">
                  <c:v>39645.0</c:v>
                </c:pt>
                <c:pt idx="1952">
                  <c:v>39644.0</c:v>
                </c:pt>
                <c:pt idx="1953">
                  <c:v>39643.0</c:v>
                </c:pt>
                <c:pt idx="1954">
                  <c:v>39640.0</c:v>
                </c:pt>
                <c:pt idx="1955">
                  <c:v>39639.0</c:v>
                </c:pt>
                <c:pt idx="1956">
                  <c:v>39638.0</c:v>
                </c:pt>
                <c:pt idx="1957">
                  <c:v>39637.0</c:v>
                </c:pt>
                <c:pt idx="1958">
                  <c:v>39636.0</c:v>
                </c:pt>
                <c:pt idx="1959">
                  <c:v>39633.0</c:v>
                </c:pt>
                <c:pt idx="1960">
                  <c:v>39632.0</c:v>
                </c:pt>
                <c:pt idx="1961">
                  <c:v>39631.0</c:v>
                </c:pt>
                <c:pt idx="1962">
                  <c:v>39630.0</c:v>
                </c:pt>
                <c:pt idx="1963">
                  <c:v>39629.0</c:v>
                </c:pt>
                <c:pt idx="1964">
                  <c:v>39626.0</c:v>
                </c:pt>
                <c:pt idx="1965">
                  <c:v>39625.0</c:v>
                </c:pt>
                <c:pt idx="1966">
                  <c:v>39624.0</c:v>
                </c:pt>
                <c:pt idx="1967">
                  <c:v>39623.0</c:v>
                </c:pt>
                <c:pt idx="1968">
                  <c:v>39622.0</c:v>
                </c:pt>
                <c:pt idx="1969">
                  <c:v>39619.0</c:v>
                </c:pt>
                <c:pt idx="1970">
                  <c:v>39618.0</c:v>
                </c:pt>
                <c:pt idx="1971">
                  <c:v>39617.0</c:v>
                </c:pt>
                <c:pt idx="1972">
                  <c:v>39616.0</c:v>
                </c:pt>
                <c:pt idx="1973">
                  <c:v>39612.0</c:v>
                </c:pt>
                <c:pt idx="1974">
                  <c:v>39611.0</c:v>
                </c:pt>
                <c:pt idx="1975">
                  <c:v>39610.0</c:v>
                </c:pt>
                <c:pt idx="1976">
                  <c:v>39609.0</c:v>
                </c:pt>
                <c:pt idx="1977">
                  <c:v>39608.0</c:v>
                </c:pt>
                <c:pt idx="1978">
                  <c:v>39605.0</c:v>
                </c:pt>
                <c:pt idx="1979">
                  <c:v>39604.0</c:v>
                </c:pt>
                <c:pt idx="1980">
                  <c:v>39603.0</c:v>
                </c:pt>
                <c:pt idx="1981">
                  <c:v>39602.0</c:v>
                </c:pt>
                <c:pt idx="1982">
                  <c:v>39601.0</c:v>
                </c:pt>
                <c:pt idx="1983">
                  <c:v>39598.0</c:v>
                </c:pt>
                <c:pt idx="1984">
                  <c:v>39597.0</c:v>
                </c:pt>
                <c:pt idx="1985">
                  <c:v>39596.0</c:v>
                </c:pt>
                <c:pt idx="1986">
                  <c:v>39595.0</c:v>
                </c:pt>
                <c:pt idx="1987">
                  <c:v>39594.0</c:v>
                </c:pt>
                <c:pt idx="1988">
                  <c:v>39591.0</c:v>
                </c:pt>
                <c:pt idx="1989">
                  <c:v>39590.0</c:v>
                </c:pt>
                <c:pt idx="1990">
                  <c:v>39589.0</c:v>
                </c:pt>
                <c:pt idx="1991">
                  <c:v>39588.0</c:v>
                </c:pt>
                <c:pt idx="1992">
                  <c:v>39587.0</c:v>
                </c:pt>
                <c:pt idx="1993">
                  <c:v>39584.0</c:v>
                </c:pt>
                <c:pt idx="1994">
                  <c:v>39583.0</c:v>
                </c:pt>
                <c:pt idx="1995">
                  <c:v>39582.0</c:v>
                </c:pt>
                <c:pt idx="1996">
                  <c:v>39581.0</c:v>
                </c:pt>
                <c:pt idx="1997">
                  <c:v>39580.0</c:v>
                </c:pt>
                <c:pt idx="1998">
                  <c:v>39577.0</c:v>
                </c:pt>
                <c:pt idx="1999">
                  <c:v>39576.0</c:v>
                </c:pt>
                <c:pt idx="2000">
                  <c:v>39575.0</c:v>
                </c:pt>
                <c:pt idx="2001">
                  <c:v>39574.0</c:v>
                </c:pt>
                <c:pt idx="2002">
                  <c:v>39573.0</c:v>
                </c:pt>
                <c:pt idx="2003">
                  <c:v>39568.0</c:v>
                </c:pt>
                <c:pt idx="2004">
                  <c:v>39567.0</c:v>
                </c:pt>
                <c:pt idx="2005">
                  <c:v>39563.0</c:v>
                </c:pt>
                <c:pt idx="2006">
                  <c:v>39562.0</c:v>
                </c:pt>
                <c:pt idx="2007">
                  <c:v>39561.0</c:v>
                </c:pt>
                <c:pt idx="2008">
                  <c:v>39560.0</c:v>
                </c:pt>
                <c:pt idx="2009">
                  <c:v>39559.0</c:v>
                </c:pt>
                <c:pt idx="2010">
                  <c:v>39556.0</c:v>
                </c:pt>
                <c:pt idx="2011">
                  <c:v>39555.0</c:v>
                </c:pt>
                <c:pt idx="2012">
                  <c:v>39554.0</c:v>
                </c:pt>
                <c:pt idx="2013">
                  <c:v>39553.0</c:v>
                </c:pt>
                <c:pt idx="2014">
                  <c:v>39552.0</c:v>
                </c:pt>
                <c:pt idx="2015">
                  <c:v>39549.0</c:v>
                </c:pt>
                <c:pt idx="2016">
                  <c:v>39548.0</c:v>
                </c:pt>
                <c:pt idx="2017">
                  <c:v>39547.0</c:v>
                </c:pt>
                <c:pt idx="2018">
                  <c:v>39546.0</c:v>
                </c:pt>
                <c:pt idx="2019">
                  <c:v>39545.0</c:v>
                </c:pt>
                <c:pt idx="2020">
                  <c:v>39542.0</c:v>
                </c:pt>
                <c:pt idx="2021">
                  <c:v>39541.0</c:v>
                </c:pt>
                <c:pt idx="2022">
                  <c:v>39540.0</c:v>
                </c:pt>
                <c:pt idx="2023">
                  <c:v>39539.0</c:v>
                </c:pt>
                <c:pt idx="2024">
                  <c:v>39538.0</c:v>
                </c:pt>
                <c:pt idx="2025">
                  <c:v>39535.0</c:v>
                </c:pt>
                <c:pt idx="2026">
                  <c:v>39534.0</c:v>
                </c:pt>
                <c:pt idx="2027">
                  <c:v>39533.0</c:v>
                </c:pt>
                <c:pt idx="2028">
                  <c:v>39532.0</c:v>
                </c:pt>
                <c:pt idx="2029">
                  <c:v>39527.0</c:v>
                </c:pt>
                <c:pt idx="2030">
                  <c:v>39526.0</c:v>
                </c:pt>
                <c:pt idx="2031">
                  <c:v>39525.0</c:v>
                </c:pt>
                <c:pt idx="2032">
                  <c:v>39524.0</c:v>
                </c:pt>
                <c:pt idx="2033">
                  <c:v>39521.0</c:v>
                </c:pt>
                <c:pt idx="2034">
                  <c:v>39520.0</c:v>
                </c:pt>
                <c:pt idx="2035">
                  <c:v>39519.0</c:v>
                </c:pt>
                <c:pt idx="2036">
                  <c:v>39518.0</c:v>
                </c:pt>
                <c:pt idx="2037">
                  <c:v>39517.0</c:v>
                </c:pt>
                <c:pt idx="2038">
                  <c:v>39514.0</c:v>
                </c:pt>
                <c:pt idx="2039">
                  <c:v>39513.0</c:v>
                </c:pt>
                <c:pt idx="2040">
                  <c:v>39512.0</c:v>
                </c:pt>
                <c:pt idx="2041">
                  <c:v>39511.0</c:v>
                </c:pt>
                <c:pt idx="2042">
                  <c:v>39510.0</c:v>
                </c:pt>
                <c:pt idx="2043">
                  <c:v>39507.0</c:v>
                </c:pt>
                <c:pt idx="2044">
                  <c:v>39506.0</c:v>
                </c:pt>
                <c:pt idx="2045">
                  <c:v>39505.0</c:v>
                </c:pt>
                <c:pt idx="2046">
                  <c:v>39504.0</c:v>
                </c:pt>
                <c:pt idx="2047">
                  <c:v>39503.0</c:v>
                </c:pt>
                <c:pt idx="2048">
                  <c:v>39500.0</c:v>
                </c:pt>
                <c:pt idx="2049">
                  <c:v>39499.0</c:v>
                </c:pt>
                <c:pt idx="2050">
                  <c:v>39498.0</c:v>
                </c:pt>
                <c:pt idx="2051">
                  <c:v>39497.0</c:v>
                </c:pt>
                <c:pt idx="2052">
                  <c:v>39496.0</c:v>
                </c:pt>
                <c:pt idx="2053">
                  <c:v>39493.0</c:v>
                </c:pt>
                <c:pt idx="2054">
                  <c:v>39492.0</c:v>
                </c:pt>
                <c:pt idx="2055">
                  <c:v>39491.0</c:v>
                </c:pt>
                <c:pt idx="2056">
                  <c:v>39490.0</c:v>
                </c:pt>
                <c:pt idx="2057">
                  <c:v>39489.0</c:v>
                </c:pt>
                <c:pt idx="2058">
                  <c:v>39486.0</c:v>
                </c:pt>
                <c:pt idx="2059">
                  <c:v>39485.0</c:v>
                </c:pt>
                <c:pt idx="2060">
                  <c:v>39484.0</c:v>
                </c:pt>
                <c:pt idx="2061">
                  <c:v>39483.0</c:v>
                </c:pt>
                <c:pt idx="2062">
                  <c:v>39482.0</c:v>
                </c:pt>
                <c:pt idx="2063">
                  <c:v>39479.0</c:v>
                </c:pt>
                <c:pt idx="2064">
                  <c:v>39478.0</c:v>
                </c:pt>
                <c:pt idx="2065">
                  <c:v>39477.0</c:v>
                </c:pt>
                <c:pt idx="2066">
                  <c:v>39476.0</c:v>
                </c:pt>
                <c:pt idx="2067">
                  <c:v>39475.0</c:v>
                </c:pt>
                <c:pt idx="2068">
                  <c:v>39472.0</c:v>
                </c:pt>
                <c:pt idx="2069">
                  <c:v>39471.0</c:v>
                </c:pt>
                <c:pt idx="2070">
                  <c:v>39470.0</c:v>
                </c:pt>
                <c:pt idx="2071">
                  <c:v>39469.0</c:v>
                </c:pt>
                <c:pt idx="2072">
                  <c:v>39468.0</c:v>
                </c:pt>
                <c:pt idx="2073">
                  <c:v>39465.0</c:v>
                </c:pt>
                <c:pt idx="2074">
                  <c:v>39464.0</c:v>
                </c:pt>
                <c:pt idx="2075">
                  <c:v>39463.0</c:v>
                </c:pt>
                <c:pt idx="2076">
                  <c:v>39462.0</c:v>
                </c:pt>
                <c:pt idx="2077">
                  <c:v>39461.0</c:v>
                </c:pt>
                <c:pt idx="2078">
                  <c:v>39458.0</c:v>
                </c:pt>
                <c:pt idx="2079">
                  <c:v>39457.0</c:v>
                </c:pt>
                <c:pt idx="2080">
                  <c:v>39456.0</c:v>
                </c:pt>
                <c:pt idx="2081">
                  <c:v>39455.0</c:v>
                </c:pt>
                <c:pt idx="2082">
                  <c:v>39454.0</c:v>
                </c:pt>
                <c:pt idx="2083">
                  <c:v>39451.0</c:v>
                </c:pt>
                <c:pt idx="2084">
                  <c:v>39450.0</c:v>
                </c:pt>
                <c:pt idx="2085">
                  <c:v>39449.0</c:v>
                </c:pt>
                <c:pt idx="2086">
                  <c:v>39447.0</c:v>
                </c:pt>
                <c:pt idx="2087">
                  <c:v>39444.0</c:v>
                </c:pt>
                <c:pt idx="2088">
                  <c:v>39443.0</c:v>
                </c:pt>
                <c:pt idx="2089">
                  <c:v>39440.0</c:v>
                </c:pt>
                <c:pt idx="2090">
                  <c:v>39437.0</c:v>
                </c:pt>
                <c:pt idx="2091">
                  <c:v>39436.0</c:v>
                </c:pt>
                <c:pt idx="2092">
                  <c:v>39435.0</c:v>
                </c:pt>
                <c:pt idx="2093">
                  <c:v>39434.0</c:v>
                </c:pt>
                <c:pt idx="2094">
                  <c:v>39430.0</c:v>
                </c:pt>
                <c:pt idx="2095">
                  <c:v>39429.0</c:v>
                </c:pt>
                <c:pt idx="2096">
                  <c:v>39428.0</c:v>
                </c:pt>
                <c:pt idx="2097">
                  <c:v>39427.0</c:v>
                </c:pt>
                <c:pt idx="2098">
                  <c:v>39426.0</c:v>
                </c:pt>
                <c:pt idx="2099">
                  <c:v>39423.0</c:v>
                </c:pt>
                <c:pt idx="2100">
                  <c:v>39422.0</c:v>
                </c:pt>
                <c:pt idx="2101">
                  <c:v>39421.0</c:v>
                </c:pt>
                <c:pt idx="2102">
                  <c:v>39420.0</c:v>
                </c:pt>
                <c:pt idx="2103">
                  <c:v>39419.0</c:v>
                </c:pt>
                <c:pt idx="2104">
                  <c:v>39416.0</c:v>
                </c:pt>
                <c:pt idx="2105">
                  <c:v>39415.0</c:v>
                </c:pt>
                <c:pt idx="2106">
                  <c:v>39414.0</c:v>
                </c:pt>
                <c:pt idx="2107">
                  <c:v>39413.0</c:v>
                </c:pt>
                <c:pt idx="2108">
                  <c:v>39412.0</c:v>
                </c:pt>
                <c:pt idx="2109">
                  <c:v>39409.0</c:v>
                </c:pt>
                <c:pt idx="2110">
                  <c:v>39408.0</c:v>
                </c:pt>
                <c:pt idx="2111">
                  <c:v>39407.0</c:v>
                </c:pt>
                <c:pt idx="2112">
                  <c:v>39406.0</c:v>
                </c:pt>
                <c:pt idx="2113">
                  <c:v>39405.0</c:v>
                </c:pt>
                <c:pt idx="2114">
                  <c:v>39402.0</c:v>
                </c:pt>
                <c:pt idx="2115">
                  <c:v>39401.0</c:v>
                </c:pt>
                <c:pt idx="2116">
                  <c:v>39400.0</c:v>
                </c:pt>
                <c:pt idx="2117">
                  <c:v>39399.0</c:v>
                </c:pt>
                <c:pt idx="2118">
                  <c:v>39398.0</c:v>
                </c:pt>
                <c:pt idx="2119">
                  <c:v>39395.0</c:v>
                </c:pt>
                <c:pt idx="2120">
                  <c:v>39394.0</c:v>
                </c:pt>
                <c:pt idx="2121">
                  <c:v>39393.0</c:v>
                </c:pt>
                <c:pt idx="2122">
                  <c:v>39392.0</c:v>
                </c:pt>
                <c:pt idx="2123">
                  <c:v>39391.0</c:v>
                </c:pt>
                <c:pt idx="2124">
                  <c:v>39388.0</c:v>
                </c:pt>
                <c:pt idx="2125">
                  <c:v>39387.0</c:v>
                </c:pt>
                <c:pt idx="2126">
                  <c:v>39386.0</c:v>
                </c:pt>
                <c:pt idx="2127">
                  <c:v>39385.0</c:v>
                </c:pt>
                <c:pt idx="2128">
                  <c:v>39384.0</c:v>
                </c:pt>
                <c:pt idx="2129">
                  <c:v>39381.0</c:v>
                </c:pt>
                <c:pt idx="2130">
                  <c:v>39380.0</c:v>
                </c:pt>
                <c:pt idx="2131">
                  <c:v>39379.0</c:v>
                </c:pt>
                <c:pt idx="2132">
                  <c:v>39378.0</c:v>
                </c:pt>
                <c:pt idx="2133">
                  <c:v>39377.0</c:v>
                </c:pt>
                <c:pt idx="2134">
                  <c:v>39374.0</c:v>
                </c:pt>
                <c:pt idx="2135">
                  <c:v>39373.0</c:v>
                </c:pt>
                <c:pt idx="2136">
                  <c:v>39372.0</c:v>
                </c:pt>
                <c:pt idx="2137">
                  <c:v>39371.0</c:v>
                </c:pt>
                <c:pt idx="2138">
                  <c:v>39370.0</c:v>
                </c:pt>
                <c:pt idx="2139">
                  <c:v>39367.0</c:v>
                </c:pt>
                <c:pt idx="2140">
                  <c:v>39366.0</c:v>
                </c:pt>
                <c:pt idx="2141">
                  <c:v>39365.0</c:v>
                </c:pt>
                <c:pt idx="2142">
                  <c:v>39364.0</c:v>
                </c:pt>
                <c:pt idx="2143">
                  <c:v>39363.0</c:v>
                </c:pt>
                <c:pt idx="2144">
                  <c:v>39360.0</c:v>
                </c:pt>
                <c:pt idx="2145">
                  <c:v>39359.0</c:v>
                </c:pt>
                <c:pt idx="2146">
                  <c:v>39358.0</c:v>
                </c:pt>
                <c:pt idx="2147">
                  <c:v>39357.0</c:v>
                </c:pt>
                <c:pt idx="2148">
                  <c:v>39356.0</c:v>
                </c:pt>
                <c:pt idx="2149">
                  <c:v>39353.0</c:v>
                </c:pt>
                <c:pt idx="2150">
                  <c:v>39352.0</c:v>
                </c:pt>
                <c:pt idx="2151">
                  <c:v>39351.0</c:v>
                </c:pt>
                <c:pt idx="2152">
                  <c:v>39350.0</c:v>
                </c:pt>
                <c:pt idx="2153">
                  <c:v>39346.0</c:v>
                </c:pt>
                <c:pt idx="2154">
                  <c:v>39345.0</c:v>
                </c:pt>
                <c:pt idx="2155">
                  <c:v>39344.0</c:v>
                </c:pt>
                <c:pt idx="2156">
                  <c:v>39343.0</c:v>
                </c:pt>
                <c:pt idx="2157">
                  <c:v>39342.0</c:v>
                </c:pt>
                <c:pt idx="2158">
                  <c:v>39339.0</c:v>
                </c:pt>
                <c:pt idx="2159">
                  <c:v>39338.0</c:v>
                </c:pt>
                <c:pt idx="2160">
                  <c:v>39337.0</c:v>
                </c:pt>
                <c:pt idx="2161">
                  <c:v>39336.0</c:v>
                </c:pt>
                <c:pt idx="2162">
                  <c:v>39335.0</c:v>
                </c:pt>
                <c:pt idx="2163">
                  <c:v>39332.0</c:v>
                </c:pt>
                <c:pt idx="2164">
                  <c:v>39331.0</c:v>
                </c:pt>
                <c:pt idx="2165">
                  <c:v>39330.0</c:v>
                </c:pt>
                <c:pt idx="2166">
                  <c:v>39329.0</c:v>
                </c:pt>
                <c:pt idx="2167">
                  <c:v>39328.0</c:v>
                </c:pt>
                <c:pt idx="2168">
                  <c:v>39325.0</c:v>
                </c:pt>
                <c:pt idx="2169">
                  <c:v>39324.0</c:v>
                </c:pt>
                <c:pt idx="2170">
                  <c:v>39323.0</c:v>
                </c:pt>
                <c:pt idx="2171">
                  <c:v>39322.0</c:v>
                </c:pt>
                <c:pt idx="2172">
                  <c:v>39321.0</c:v>
                </c:pt>
                <c:pt idx="2173">
                  <c:v>39318.0</c:v>
                </c:pt>
                <c:pt idx="2174">
                  <c:v>39317.0</c:v>
                </c:pt>
                <c:pt idx="2175">
                  <c:v>39316.0</c:v>
                </c:pt>
                <c:pt idx="2176">
                  <c:v>39315.0</c:v>
                </c:pt>
                <c:pt idx="2177">
                  <c:v>39314.0</c:v>
                </c:pt>
                <c:pt idx="2178">
                  <c:v>39311.0</c:v>
                </c:pt>
                <c:pt idx="2179">
                  <c:v>39310.0</c:v>
                </c:pt>
                <c:pt idx="2180">
                  <c:v>39309.0</c:v>
                </c:pt>
                <c:pt idx="2181">
                  <c:v>39308.0</c:v>
                </c:pt>
                <c:pt idx="2182">
                  <c:v>39307.0</c:v>
                </c:pt>
                <c:pt idx="2183">
                  <c:v>39304.0</c:v>
                </c:pt>
                <c:pt idx="2184">
                  <c:v>39302.0</c:v>
                </c:pt>
                <c:pt idx="2185">
                  <c:v>39301.0</c:v>
                </c:pt>
                <c:pt idx="2186">
                  <c:v>39300.0</c:v>
                </c:pt>
                <c:pt idx="2187">
                  <c:v>39297.0</c:v>
                </c:pt>
                <c:pt idx="2188">
                  <c:v>39296.0</c:v>
                </c:pt>
                <c:pt idx="2189">
                  <c:v>39295.0</c:v>
                </c:pt>
                <c:pt idx="2190">
                  <c:v>39294.0</c:v>
                </c:pt>
                <c:pt idx="2191">
                  <c:v>39293.0</c:v>
                </c:pt>
                <c:pt idx="2192">
                  <c:v>39290.0</c:v>
                </c:pt>
                <c:pt idx="2193">
                  <c:v>39289.0</c:v>
                </c:pt>
                <c:pt idx="2194">
                  <c:v>39288.0</c:v>
                </c:pt>
                <c:pt idx="2195">
                  <c:v>39287.0</c:v>
                </c:pt>
                <c:pt idx="2196">
                  <c:v>39286.0</c:v>
                </c:pt>
                <c:pt idx="2197">
                  <c:v>39283.0</c:v>
                </c:pt>
                <c:pt idx="2198">
                  <c:v>39282.0</c:v>
                </c:pt>
                <c:pt idx="2199">
                  <c:v>39281.0</c:v>
                </c:pt>
                <c:pt idx="2200">
                  <c:v>39280.0</c:v>
                </c:pt>
                <c:pt idx="2201">
                  <c:v>39279.0</c:v>
                </c:pt>
                <c:pt idx="2202">
                  <c:v>39276.0</c:v>
                </c:pt>
                <c:pt idx="2203">
                  <c:v>39275.0</c:v>
                </c:pt>
                <c:pt idx="2204">
                  <c:v>39274.0</c:v>
                </c:pt>
                <c:pt idx="2205">
                  <c:v>39273.0</c:v>
                </c:pt>
                <c:pt idx="2206">
                  <c:v>39272.0</c:v>
                </c:pt>
                <c:pt idx="2207">
                  <c:v>39269.0</c:v>
                </c:pt>
                <c:pt idx="2208">
                  <c:v>39268.0</c:v>
                </c:pt>
                <c:pt idx="2209">
                  <c:v>39267.0</c:v>
                </c:pt>
                <c:pt idx="2210">
                  <c:v>39266.0</c:v>
                </c:pt>
                <c:pt idx="2211">
                  <c:v>39265.0</c:v>
                </c:pt>
                <c:pt idx="2212">
                  <c:v>39262.0</c:v>
                </c:pt>
                <c:pt idx="2213">
                  <c:v>39261.0</c:v>
                </c:pt>
                <c:pt idx="2214">
                  <c:v>39260.0</c:v>
                </c:pt>
                <c:pt idx="2215">
                  <c:v>39259.0</c:v>
                </c:pt>
                <c:pt idx="2216">
                  <c:v>39258.0</c:v>
                </c:pt>
                <c:pt idx="2217">
                  <c:v>39255.0</c:v>
                </c:pt>
                <c:pt idx="2218">
                  <c:v>39254.0</c:v>
                </c:pt>
                <c:pt idx="2219">
                  <c:v>39253.0</c:v>
                </c:pt>
                <c:pt idx="2220">
                  <c:v>39252.0</c:v>
                </c:pt>
                <c:pt idx="2221">
                  <c:v>39251.0</c:v>
                </c:pt>
                <c:pt idx="2222">
                  <c:v>39248.0</c:v>
                </c:pt>
                <c:pt idx="2223">
                  <c:v>39247.0</c:v>
                </c:pt>
                <c:pt idx="2224">
                  <c:v>39246.0</c:v>
                </c:pt>
                <c:pt idx="2225">
                  <c:v>39245.0</c:v>
                </c:pt>
                <c:pt idx="2226">
                  <c:v>39244.0</c:v>
                </c:pt>
                <c:pt idx="2227">
                  <c:v>39241.0</c:v>
                </c:pt>
                <c:pt idx="2228">
                  <c:v>39240.0</c:v>
                </c:pt>
                <c:pt idx="2229">
                  <c:v>39239.0</c:v>
                </c:pt>
                <c:pt idx="2230">
                  <c:v>39238.0</c:v>
                </c:pt>
                <c:pt idx="2231">
                  <c:v>39237.0</c:v>
                </c:pt>
                <c:pt idx="2232">
                  <c:v>39234.0</c:v>
                </c:pt>
                <c:pt idx="2233">
                  <c:v>39233.0</c:v>
                </c:pt>
                <c:pt idx="2234">
                  <c:v>39232.0</c:v>
                </c:pt>
                <c:pt idx="2235">
                  <c:v>39231.0</c:v>
                </c:pt>
                <c:pt idx="2236">
                  <c:v>39230.0</c:v>
                </c:pt>
                <c:pt idx="2237">
                  <c:v>39227.0</c:v>
                </c:pt>
                <c:pt idx="2238">
                  <c:v>39226.0</c:v>
                </c:pt>
                <c:pt idx="2239">
                  <c:v>39225.0</c:v>
                </c:pt>
                <c:pt idx="2240">
                  <c:v>39224.0</c:v>
                </c:pt>
                <c:pt idx="2241">
                  <c:v>39223.0</c:v>
                </c:pt>
                <c:pt idx="2242">
                  <c:v>39220.0</c:v>
                </c:pt>
                <c:pt idx="2243">
                  <c:v>39219.0</c:v>
                </c:pt>
                <c:pt idx="2244">
                  <c:v>39218.0</c:v>
                </c:pt>
                <c:pt idx="2245">
                  <c:v>39217.0</c:v>
                </c:pt>
                <c:pt idx="2246">
                  <c:v>39216.0</c:v>
                </c:pt>
                <c:pt idx="2247">
                  <c:v>39213.0</c:v>
                </c:pt>
                <c:pt idx="2248">
                  <c:v>39212.0</c:v>
                </c:pt>
                <c:pt idx="2249">
                  <c:v>39211.0</c:v>
                </c:pt>
                <c:pt idx="2250">
                  <c:v>39210.0</c:v>
                </c:pt>
                <c:pt idx="2251">
                  <c:v>39209.0</c:v>
                </c:pt>
                <c:pt idx="2252">
                  <c:v>39206.0</c:v>
                </c:pt>
                <c:pt idx="2253">
                  <c:v>39205.0</c:v>
                </c:pt>
                <c:pt idx="2254">
                  <c:v>39204.0</c:v>
                </c:pt>
                <c:pt idx="2255">
                  <c:v>39202.0</c:v>
                </c:pt>
                <c:pt idx="2256">
                  <c:v>39198.0</c:v>
                </c:pt>
                <c:pt idx="2257">
                  <c:v>39197.0</c:v>
                </c:pt>
                <c:pt idx="2258">
                  <c:v>39196.0</c:v>
                </c:pt>
                <c:pt idx="2259">
                  <c:v>39195.0</c:v>
                </c:pt>
                <c:pt idx="2260">
                  <c:v>39192.0</c:v>
                </c:pt>
                <c:pt idx="2261">
                  <c:v>39191.0</c:v>
                </c:pt>
                <c:pt idx="2262">
                  <c:v>39190.0</c:v>
                </c:pt>
                <c:pt idx="2263">
                  <c:v>39189.0</c:v>
                </c:pt>
                <c:pt idx="2264">
                  <c:v>39188.0</c:v>
                </c:pt>
                <c:pt idx="2265">
                  <c:v>39185.0</c:v>
                </c:pt>
                <c:pt idx="2266">
                  <c:v>39184.0</c:v>
                </c:pt>
                <c:pt idx="2267">
                  <c:v>39183.0</c:v>
                </c:pt>
                <c:pt idx="2268">
                  <c:v>39182.0</c:v>
                </c:pt>
                <c:pt idx="2269">
                  <c:v>39177.0</c:v>
                </c:pt>
                <c:pt idx="2270">
                  <c:v>39176.0</c:v>
                </c:pt>
                <c:pt idx="2271">
                  <c:v>39175.0</c:v>
                </c:pt>
                <c:pt idx="2272">
                  <c:v>39174.0</c:v>
                </c:pt>
                <c:pt idx="2273">
                  <c:v>39171.0</c:v>
                </c:pt>
                <c:pt idx="2274">
                  <c:v>39170.0</c:v>
                </c:pt>
                <c:pt idx="2275">
                  <c:v>39169.0</c:v>
                </c:pt>
                <c:pt idx="2276">
                  <c:v>39168.0</c:v>
                </c:pt>
                <c:pt idx="2277">
                  <c:v>39167.0</c:v>
                </c:pt>
                <c:pt idx="2278">
                  <c:v>39164.0</c:v>
                </c:pt>
                <c:pt idx="2279">
                  <c:v>39163.0</c:v>
                </c:pt>
                <c:pt idx="2280">
                  <c:v>39161.0</c:v>
                </c:pt>
                <c:pt idx="2281">
                  <c:v>39160.0</c:v>
                </c:pt>
                <c:pt idx="2282">
                  <c:v>39157.0</c:v>
                </c:pt>
                <c:pt idx="2283">
                  <c:v>39156.0</c:v>
                </c:pt>
                <c:pt idx="2284">
                  <c:v>39155.0</c:v>
                </c:pt>
                <c:pt idx="2285">
                  <c:v>39154.0</c:v>
                </c:pt>
                <c:pt idx="2286">
                  <c:v>39153.0</c:v>
                </c:pt>
                <c:pt idx="2287">
                  <c:v>39150.0</c:v>
                </c:pt>
                <c:pt idx="2288">
                  <c:v>39149.0</c:v>
                </c:pt>
                <c:pt idx="2289">
                  <c:v>39148.0</c:v>
                </c:pt>
                <c:pt idx="2290">
                  <c:v>39147.0</c:v>
                </c:pt>
                <c:pt idx="2291">
                  <c:v>39146.0</c:v>
                </c:pt>
                <c:pt idx="2292">
                  <c:v>39143.0</c:v>
                </c:pt>
                <c:pt idx="2293">
                  <c:v>39142.0</c:v>
                </c:pt>
                <c:pt idx="2294">
                  <c:v>39141.0</c:v>
                </c:pt>
                <c:pt idx="2295">
                  <c:v>39140.0</c:v>
                </c:pt>
                <c:pt idx="2296">
                  <c:v>39139.0</c:v>
                </c:pt>
                <c:pt idx="2297">
                  <c:v>39136.0</c:v>
                </c:pt>
                <c:pt idx="2298">
                  <c:v>39135.0</c:v>
                </c:pt>
                <c:pt idx="2299">
                  <c:v>39134.0</c:v>
                </c:pt>
                <c:pt idx="2300">
                  <c:v>39133.0</c:v>
                </c:pt>
                <c:pt idx="2301">
                  <c:v>39132.0</c:v>
                </c:pt>
                <c:pt idx="2302">
                  <c:v>39129.0</c:v>
                </c:pt>
                <c:pt idx="2303">
                  <c:v>39128.0</c:v>
                </c:pt>
                <c:pt idx="2304">
                  <c:v>39127.0</c:v>
                </c:pt>
                <c:pt idx="2305">
                  <c:v>39126.0</c:v>
                </c:pt>
                <c:pt idx="2306">
                  <c:v>39125.0</c:v>
                </c:pt>
                <c:pt idx="2307">
                  <c:v>39122.0</c:v>
                </c:pt>
                <c:pt idx="2308">
                  <c:v>39121.0</c:v>
                </c:pt>
                <c:pt idx="2309">
                  <c:v>39120.0</c:v>
                </c:pt>
                <c:pt idx="2310">
                  <c:v>39119.0</c:v>
                </c:pt>
                <c:pt idx="2311">
                  <c:v>39118.0</c:v>
                </c:pt>
                <c:pt idx="2312">
                  <c:v>39115.0</c:v>
                </c:pt>
                <c:pt idx="2313">
                  <c:v>39114.0</c:v>
                </c:pt>
                <c:pt idx="2314">
                  <c:v>39113.0</c:v>
                </c:pt>
                <c:pt idx="2315">
                  <c:v>39112.0</c:v>
                </c:pt>
                <c:pt idx="2316">
                  <c:v>39111.0</c:v>
                </c:pt>
                <c:pt idx="2317">
                  <c:v>39108.0</c:v>
                </c:pt>
                <c:pt idx="2318">
                  <c:v>39107.0</c:v>
                </c:pt>
                <c:pt idx="2319">
                  <c:v>39106.0</c:v>
                </c:pt>
                <c:pt idx="2320">
                  <c:v>39105.0</c:v>
                </c:pt>
                <c:pt idx="2321">
                  <c:v>39104.0</c:v>
                </c:pt>
                <c:pt idx="2322">
                  <c:v>39101.0</c:v>
                </c:pt>
                <c:pt idx="2323">
                  <c:v>39100.0</c:v>
                </c:pt>
                <c:pt idx="2324">
                  <c:v>39099.0</c:v>
                </c:pt>
                <c:pt idx="2325">
                  <c:v>39098.0</c:v>
                </c:pt>
                <c:pt idx="2326">
                  <c:v>39097.0</c:v>
                </c:pt>
                <c:pt idx="2327">
                  <c:v>39094.0</c:v>
                </c:pt>
                <c:pt idx="2328">
                  <c:v>39093.0</c:v>
                </c:pt>
                <c:pt idx="2329">
                  <c:v>39092.0</c:v>
                </c:pt>
                <c:pt idx="2330">
                  <c:v>39091.0</c:v>
                </c:pt>
                <c:pt idx="2331">
                  <c:v>39090.0</c:v>
                </c:pt>
                <c:pt idx="2332">
                  <c:v>39087.0</c:v>
                </c:pt>
                <c:pt idx="2333">
                  <c:v>39086.0</c:v>
                </c:pt>
                <c:pt idx="2334">
                  <c:v>39085.0</c:v>
                </c:pt>
                <c:pt idx="2335">
                  <c:v>39084.0</c:v>
                </c:pt>
                <c:pt idx="2336">
                  <c:v>39080.0</c:v>
                </c:pt>
                <c:pt idx="2337">
                  <c:v>39079.0</c:v>
                </c:pt>
                <c:pt idx="2338">
                  <c:v>39078.0</c:v>
                </c:pt>
                <c:pt idx="2339">
                  <c:v>39073.0</c:v>
                </c:pt>
                <c:pt idx="2340">
                  <c:v>39072.0</c:v>
                </c:pt>
                <c:pt idx="2341">
                  <c:v>39071.0</c:v>
                </c:pt>
                <c:pt idx="2342">
                  <c:v>39070.0</c:v>
                </c:pt>
                <c:pt idx="2343">
                  <c:v>39069.0</c:v>
                </c:pt>
                <c:pt idx="2344">
                  <c:v>39066.0</c:v>
                </c:pt>
                <c:pt idx="2345">
                  <c:v>39065.0</c:v>
                </c:pt>
                <c:pt idx="2346">
                  <c:v>39064.0</c:v>
                </c:pt>
                <c:pt idx="2347">
                  <c:v>39063.0</c:v>
                </c:pt>
                <c:pt idx="2348">
                  <c:v>39062.0</c:v>
                </c:pt>
                <c:pt idx="2349">
                  <c:v>39059.0</c:v>
                </c:pt>
                <c:pt idx="2350">
                  <c:v>39058.0</c:v>
                </c:pt>
                <c:pt idx="2351">
                  <c:v>39057.0</c:v>
                </c:pt>
                <c:pt idx="2352">
                  <c:v>39056.0</c:v>
                </c:pt>
                <c:pt idx="2353">
                  <c:v>39055.0</c:v>
                </c:pt>
                <c:pt idx="2354">
                  <c:v>39052.0</c:v>
                </c:pt>
                <c:pt idx="2355">
                  <c:v>39051.0</c:v>
                </c:pt>
                <c:pt idx="2356">
                  <c:v>39050.0</c:v>
                </c:pt>
                <c:pt idx="2357">
                  <c:v>39049.0</c:v>
                </c:pt>
                <c:pt idx="2358">
                  <c:v>39048.0</c:v>
                </c:pt>
                <c:pt idx="2359">
                  <c:v>39045.0</c:v>
                </c:pt>
                <c:pt idx="2360">
                  <c:v>39044.0</c:v>
                </c:pt>
                <c:pt idx="2361">
                  <c:v>39043.0</c:v>
                </c:pt>
                <c:pt idx="2362">
                  <c:v>39042.0</c:v>
                </c:pt>
                <c:pt idx="2363">
                  <c:v>39041.0</c:v>
                </c:pt>
                <c:pt idx="2364">
                  <c:v>39038.0</c:v>
                </c:pt>
                <c:pt idx="2365">
                  <c:v>39037.0</c:v>
                </c:pt>
                <c:pt idx="2366">
                  <c:v>39036.0</c:v>
                </c:pt>
                <c:pt idx="2367">
                  <c:v>39035.0</c:v>
                </c:pt>
                <c:pt idx="2368">
                  <c:v>39034.0</c:v>
                </c:pt>
                <c:pt idx="2369">
                  <c:v>39031.0</c:v>
                </c:pt>
                <c:pt idx="2370">
                  <c:v>39030.0</c:v>
                </c:pt>
                <c:pt idx="2371">
                  <c:v>39029.0</c:v>
                </c:pt>
                <c:pt idx="2372">
                  <c:v>39028.0</c:v>
                </c:pt>
                <c:pt idx="2373">
                  <c:v>39027.0</c:v>
                </c:pt>
                <c:pt idx="2374">
                  <c:v>39024.0</c:v>
                </c:pt>
                <c:pt idx="2375">
                  <c:v>39023.0</c:v>
                </c:pt>
                <c:pt idx="2376">
                  <c:v>39022.0</c:v>
                </c:pt>
                <c:pt idx="2377">
                  <c:v>39021.0</c:v>
                </c:pt>
                <c:pt idx="2378">
                  <c:v>39020.0</c:v>
                </c:pt>
                <c:pt idx="2379">
                  <c:v>39017.0</c:v>
                </c:pt>
                <c:pt idx="2380">
                  <c:v>39016.0</c:v>
                </c:pt>
                <c:pt idx="2381">
                  <c:v>39015.0</c:v>
                </c:pt>
                <c:pt idx="2382">
                  <c:v>39014.0</c:v>
                </c:pt>
                <c:pt idx="2383">
                  <c:v>39013.0</c:v>
                </c:pt>
                <c:pt idx="2384">
                  <c:v>39010.0</c:v>
                </c:pt>
                <c:pt idx="2385">
                  <c:v>39009.0</c:v>
                </c:pt>
                <c:pt idx="2386">
                  <c:v>39008.0</c:v>
                </c:pt>
                <c:pt idx="2387">
                  <c:v>39007.0</c:v>
                </c:pt>
                <c:pt idx="2388">
                  <c:v>39006.0</c:v>
                </c:pt>
                <c:pt idx="2389">
                  <c:v>39003.0</c:v>
                </c:pt>
                <c:pt idx="2390">
                  <c:v>39002.0</c:v>
                </c:pt>
                <c:pt idx="2391">
                  <c:v>39001.0</c:v>
                </c:pt>
                <c:pt idx="2392">
                  <c:v>39000.0</c:v>
                </c:pt>
                <c:pt idx="2393">
                  <c:v>38999.0</c:v>
                </c:pt>
                <c:pt idx="2394">
                  <c:v>38996.0</c:v>
                </c:pt>
                <c:pt idx="2395">
                  <c:v>38995.0</c:v>
                </c:pt>
                <c:pt idx="2396">
                  <c:v>38994.0</c:v>
                </c:pt>
                <c:pt idx="2397">
                  <c:v>38993.0</c:v>
                </c:pt>
                <c:pt idx="2398">
                  <c:v>38992.0</c:v>
                </c:pt>
                <c:pt idx="2399">
                  <c:v>38989.0</c:v>
                </c:pt>
                <c:pt idx="2400">
                  <c:v>38988.0</c:v>
                </c:pt>
                <c:pt idx="2401">
                  <c:v>38987.0</c:v>
                </c:pt>
                <c:pt idx="2402">
                  <c:v>38986.0</c:v>
                </c:pt>
                <c:pt idx="2403">
                  <c:v>38982.0</c:v>
                </c:pt>
                <c:pt idx="2404">
                  <c:v>38981.0</c:v>
                </c:pt>
                <c:pt idx="2405">
                  <c:v>38980.0</c:v>
                </c:pt>
                <c:pt idx="2406">
                  <c:v>38979.0</c:v>
                </c:pt>
                <c:pt idx="2407">
                  <c:v>38978.0</c:v>
                </c:pt>
                <c:pt idx="2408">
                  <c:v>38975.0</c:v>
                </c:pt>
                <c:pt idx="2409">
                  <c:v>38974.0</c:v>
                </c:pt>
                <c:pt idx="2410">
                  <c:v>38973.0</c:v>
                </c:pt>
                <c:pt idx="2411">
                  <c:v>38972.0</c:v>
                </c:pt>
                <c:pt idx="2412">
                  <c:v>38971.0</c:v>
                </c:pt>
                <c:pt idx="2413">
                  <c:v>38968.0</c:v>
                </c:pt>
                <c:pt idx="2414">
                  <c:v>38967.0</c:v>
                </c:pt>
                <c:pt idx="2415">
                  <c:v>38966.0</c:v>
                </c:pt>
                <c:pt idx="2416">
                  <c:v>38965.0</c:v>
                </c:pt>
                <c:pt idx="2417">
                  <c:v>38964.0</c:v>
                </c:pt>
                <c:pt idx="2418">
                  <c:v>38961.0</c:v>
                </c:pt>
                <c:pt idx="2419">
                  <c:v>38960.0</c:v>
                </c:pt>
                <c:pt idx="2420">
                  <c:v>38959.0</c:v>
                </c:pt>
                <c:pt idx="2421">
                  <c:v>38958.0</c:v>
                </c:pt>
                <c:pt idx="2422">
                  <c:v>38957.0</c:v>
                </c:pt>
                <c:pt idx="2423">
                  <c:v>38954.0</c:v>
                </c:pt>
                <c:pt idx="2424">
                  <c:v>38953.0</c:v>
                </c:pt>
                <c:pt idx="2425">
                  <c:v>38952.0</c:v>
                </c:pt>
                <c:pt idx="2426">
                  <c:v>38951.0</c:v>
                </c:pt>
                <c:pt idx="2427">
                  <c:v>38950.0</c:v>
                </c:pt>
                <c:pt idx="2428">
                  <c:v>38947.0</c:v>
                </c:pt>
                <c:pt idx="2429">
                  <c:v>38946.0</c:v>
                </c:pt>
                <c:pt idx="2430">
                  <c:v>38945.0</c:v>
                </c:pt>
                <c:pt idx="2431">
                  <c:v>38944.0</c:v>
                </c:pt>
                <c:pt idx="2432">
                  <c:v>38943.0</c:v>
                </c:pt>
                <c:pt idx="2433">
                  <c:v>38940.0</c:v>
                </c:pt>
                <c:pt idx="2434">
                  <c:v>38939.0</c:v>
                </c:pt>
                <c:pt idx="2435">
                  <c:v>38937.0</c:v>
                </c:pt>
                <c:pt idx="2436">
                  <c:v>38936.0</c:v>
                </c:pt>
                <c:pt idx="2437">
                  <c:v>38933.0</c:v>
                </c:pt>
                <c:pt idx="2438">
                  <c:v>38932.0</c:v>
                </c:pt>
                <c:pt idx="2439">
                  <c:v>38931.0</c:v>
                </c:pt>
                <c:pt idx="2440">
                  <c:v>38930.0</c:v>
                </c:pt>
                <c:pt idx="2441">
                  <c:v>38929.0</c:v>
                </c:pt>
                <c:pt idx="2442">
                  <c:v>38926.0</c:v>
                </c:pt>
                <c:pt idx="2443">
                  <c:v>38925.0</c:v>
                </c:pt>
                <c:pt idx="2444">
                  <c:v>38924.0</c:v>
                </c:pt>
                <c:pt idx="2445">
                  <c:v>38923.0</c:v>
                </c:pt>
                <c:pt idx="2446">
                  <c:v>38922.0</c:v>
                </c:pt>
                <c:pt idx="2447">
                  <c:v>38919.0</c:v>
                </c:pt>
                <c:pt idx="2448">
                  <c:v>38918.0</c:v>
                </c:pt>
                <c:pt idx="2449">
                  <c:v>38917.0</c:v>
                </c:pt>
                <c:pt idx="2450">
                  <c:v>38916.0</c:v>
                </c:pt>
                <c:pt idx="2451">
                  <c:v>38915.0</c:v>
                </c:pt>
                <c:pt idx="2452">
                  <c:v>38912.0</c:v>
                </c:pt>
                <c:pt idx="2453">
                  <c:v>38911.0</c:v>
                </c:pt>
                <c:pt idx="2454">
                  <c:v>38910.0</c:v>
                </c:pt>
                <c:pt idx="2455">
                  <c:v>38909.0</c:v>
                </c:pt>
                <c:pt idx="2456">
                  <c:v>38908.0</c:v>
                </c:pt>
                <c:pt idx="2457">
                  <c:v>38905.0</c:v>
                </c:pt>
                <c:pt idx="2458">
                  <c:v>38904.0</c:v>
                </c:pt>
                <c:pt idx="2459">
                  <c:v>38903.0</c:v>
                </c:pt>
                <c:pt idx="2460">
                  <c:v>38902.0</c:v>
                </c:pt>
                <c:pt idx="2461">
                  <c:v>38901.0</c:v>
                </c:pt>
                <c:pt idx="2462">
                  <c:v>38898.0</c:v>
                </c:pt>
                <c:pt idx="2463">
                  <c:v>38897.0</c:v>
                </c:pt>
                <c:pt idx="2464">
                  <c:v>38896.0</c:v>
                </c:pt>
                <c:pt idx="2465">
                  <c:v>38895.0</c:v>
                </c:pt>
                <c:pt idx="2466">
                  <c:v>38894.0</c:v>
                </c:pt>
                <c:pt idx="2467">
                  <c:v>38891.0</c:v>
                </c:pt>
                <c:pt idx="2468">
                  <c:v>38890.0</c:v>
                </c:pt>
                <c:pt idx="2469">
                  <c:v>38889.0</c:v>
                </c:pt>
                <c:pt idx="2470">
                  <c:v>38888.0</c:v>
                </c:pt>
                <c:pt idx="2471">
                  <c:v>38887.0</c:v>
                </c:pt>
                <c:pt idx="2472">
                  <c:v>38883.0</c:v>
                </c:pt>
                <c:pt idx="2473">
                  <c:v>38882.0</c:v>
                </c:pt>
                <c:pt idx="2474">
                  <c:v>38881.0</c:v>
                </c:pt>
                <c:pt idx="2475">
                  <c:v>38880.0</c:v>
                </c:pt>
                <c:pt idx="2476">
                  <c:v>38877.0</c:v>
                </c:pt>
                <c:pt idx="2477">
                  <c:v>38876.0</c:v>
                </c:pt>
                <c:pt idx="2478">
                  <c:v>38875.0</c:v>
                </c:pt>
                <c:pt idx="2479">
                  <c:v>38874.0</c:v>
                </c:pt>
                <c:pt idx="2480">
                  <c:v>38873.0</c:v>
                </c:pt>
                <c:pt idx="2481">
                  <c:v>38870.0</c:v>
                </c:pt>
                <c:pt idx="2482">
                  <c:v>38869.0</c:v>
                </c:pt>
                <c:pt idx="2483">
                  <c:v>38868.0</c:v>
                </c:pt>
                <c:pt idx="2484">
                  <c:v>38867.0</c:v>
                </c:pt>
                <c:pt idx="2485">
                  <c:v>38866.0</c:v>
                </c:pt>
                <c:pt idx="2486">
                  <c:v>38863.0</c:v>
                </c:pt>
                <c:pt idx="2487">
                  <c:v>38862.0</c:v>
                </c:pt>
                <c:pt idx="2488">
                  <c:v>38861.0</c:v>
                </c:pt>
                <c:pt idx="2489">
                  <c:v>38860.0</c:v>
                </c:pt>
                <c:pt idx="2490">
                  <c:v>38859.0</c:v>
                </c:pt>
                <c:pt idx="2491">
                  <c:v>38856.0</c:v>
                </c:pt>
                <c:pt idx="2492">
                  <c:v>38855.0</c:v>
                </c:pt>
                <c:pt idx="2493">
                  <c:v>38854.0</c:v>
                </c:pt>
                <c:pt idx="2494">
                  <c:v>38853.0</c:v>
                </c:pt>
                <c:pt idx="2495">
                  <c:v>38852.0</c:v>
                </c:pt>
                <c:pt idx="2496">
                  <c:v>38849.0</c:v>
                </c:pt>
                <c:pt idx="2497">
                  <c:v>38848.0</c:v>
                </c:pt>
                <c:pt idx="2498">
                  <c:v>38847.0</c:v>
                </c:pt>
                <c:pt idx="2499">
                  <c:v>38846.0</c:v>
                </c:pt>
                <c:pt idx="2500">
                  <c:v>38845.0</c:v>
                </c:pt>
                <c:pt idx="2501">
                  <c:v>38842.0</c:v>
                </c:pt>
                <c:pt idx="2502">
                  <c:v>38841.0</c:v>
                </c:pt>
                <c:pt idx="2503">
                  <c:v>38840.0</c:v>
                </c:pt>
                <c:pt idx="2504">
                  <c:v>38839.0</c:v>
                </c:pt>
                <c:pt idx="2505">
                  <c:v>38835.0</c:v>
                </c:pt>
                <c:pt idx="2506">
                  <c:v>38833.0</c:v>
                </c:pt>
                <c:pt idx="2507">
                  <c:v>38832.0</c:v>
                </c:pt>
                <c:pt idx="2508">
                  <c:v>38831.0</c:v>
                </c:pt>
                <c:pt idx="2509">
                  <c:v>38828.0</c:v>
                </c:pt>
                <c:pt idx="2510">
                  <c:v>38827.0</c:v>
                </c:pt>
                <c:pt idx="2511">
                  <c:v>38826.0</c:v>
                </c:pt>
                <c:pt idx="2512">
                  <c:v>38825.0</c:v>
                </c:pt>
                <c:pt idx="2513">
                  <c:v>38820.0</c:v>
                </c:pt>
                <c:pt idx="2514">
                  <c:v>38819.0</c:v>
                </c:pt>
                <c:pt idx="2515">
                  <c:v>38818.0</c:v>
                </c:pt>
                <c:pt idx="2516">
                  <c:v>38817.0</c:v>
                </c:pt>
                <c:pt idx="2517">
                  <c:v>38814.0</c:v>
                </c:pt>
                <c:pt idx="2518">
                  <c:v>38813.0</c:v>
                </c:pt>
                <c:pt idx="2519">
                  <c:v>38812.0</c:v>
                </c:pt>
                <c:pt idx="2520">
                  <c:v>38811.0</c:v>
                </c:pt>
                <c:pt idx="2521">
                  <c:v>38810.0</c:v>
                </c:pt>
                <c:pt idx="2522">
                  <c:v>38807.0</c:v>
                </c:pt>
                <c:pt idx="2523">
                  <c:v>38806.0</c:v>
                </c:pt>
                <c:pt idx="2524">
                  <c:v>38805.0</c:v>
                </c:pt>
                <c:pt idx="2525">
                  <c:v>38804.0</c:v>
                </c:pt>
                <c:pt idx="2526">
                  <c:v>38803.0</c:v>
                </c:pt>
                <c:pt idx="2527">
                  <c:v>38800.0</c:v>
                </c:pt>
                <c:pt idx="2528">
                  <c:v>38799.0</c:v>
                </c:pt>
                <c:pt idx="2529">
                  <c:v>38798.0</c:v>
                </c:pt>
                <c:pt idx="2530">
                  <c:v>38796.0</c:v>
                </c:pt>
                <c:pt idx="2531">
                  <c:v>38793.0</c:v>
                </c:pt>
                <c:pt idx="2532">
                  <c:v>38792.0</c:v>
                </c:pt>
                <c:pt idx="2533">
                  <c:v>38791.0</c:v>
                </c:pt>
                <c:pt idx="2534">
                  <c:v>38790.0</c:v>
                </c:pt>
                <c:pt idx="2535">
                  <c:v>38789.0</c:v>
                </c:pt>
                <c:pt idx="2536">
                  <c:v>38786.0</c:v>
                </c:pt>
                <c:pt idx="2537">
                  <c:v>38785.0</c:v>
                </c:pt>
                <c:pt idx="2538">
                  <c:v>38784.0</c:v>
                </c:pt>
                <c:pt idx="2539">
                  <c:v>38783.0</c:v>
                </c:pt>
                <c:pt idx="2540">
                  <c:v>38782.0</c:v>
                </c:pt>
                <c:pt idx="2541">
                  <c:v>38779.0</c:v>
                </c:pt>
                <c:pt idx="2542">
                  <c:v>38778.0</c:v>
                </c:pt>
                <c:pt idx="2543">
                  <c:v>38776.0</c:v>
                </c:pt>
                <c:pt idx="2544">
                  <c:v>38775.0</c:v>
                </c:pt>
                <c:pt idx="2545">
                  <c:v>38772.0</c:v>
                </c:pt>
                <c:pt idx="2546">
                  <c:v>38771.0</c:v>
                </c:pt>
                <c:pt idx="2547">
                  <c:v>38770.0</c:v>
                </c:pt>
                <c:pt idx="2548">
                  <c:v>38769.0</c:v>
                </c:pt>
                <c:pt idx="2549">
                  <c:v>38768.0</c:v>
                </c:pt>
                <c:pt idx="2550">
                  <c:v>38765.0</c:v>
                </c:pt>
                <c:pt idx="2551">
                  <c:v>38764.0</c:v>
                </c:pt>
                <c:pt idx="2552">
                  <c:v>38763.0</c:v>
                </c:pt>
                <c:pt idx="2553">
                  <c:v>38762.0</c:v>
                </c:pt>
                <c:pt idx="2554">
                  <c:v>38761.0</c:v>
                </c:pt>
                <c:pt idx="2555">
                  <c:v>38758.0</c:v>
                </c:pt>
                <c:pt idx="2556">
                  <c:v>38757.0</c:v>
                </c:pt>
                <c:pt idx="2557">
                  <c:v>38756.0</c:v>
                </c:pt>
                <c:pt idx="2558">
                  <c:v>38755.0</c:v>
                </c:pt>
                <c:pt idx="2559">
                  <c:v>38754.0</c:v>
                </c:pt>
                <c:pt idx="2560">
                  <c:v>38751.0</c:v>
                </c:pt>
                <c:pt idx="2561">
                  <c:v>38750.0</c:v>
                </c:pt>
                <c:pt idx="2562">
                  <c:v>38749.0</c:v>
                </c:pt>
                <c:pt idx="2563">
                  <c:v>38748.0</c:v>
                </c:pt>
                <c:pt idx="2564">
                  <c:v>38747.0</c:v>
                </c:pt>
                <c:pt idx="2565">
                  <c:v>38744.0</c:v>
                </c:pt>
                <c:pt idx="2566">
                  <c:v>38743.0</c:v>
                </c:pt>
                <c:pt idx="2567">
                  <c:v>38742.0</c:v>
                </c:pt>
                <c:pt idx="2568">
                  <c:v>38741.0</c:v>
                </c:pt>
                <c:pt idx="2569">
                  <c:v>38740.0</c:v>
                </c:pt>
                <c:pt idx="2570">
                  <c:v>38737.0</c:v>
                </c:pt>
                <c:pt idx="2571">
                  <c:v>38736.0</c:v>
                </c:pt>
                <c:pt idx="2572">
                  <c:v>38735.0</c:v>
                </c:pt>
                <c:pt idx="2573">
                  <c:v>38734.0</c:v>
                </c:pt>
                <c:pt idx="2574">
                  <c:v>38733.0</c:v>
                </c:pt>
                <c:pt idx="2575">
                  <c:v>38730.0</c:v>
                </c:pt>
                <c:pt idx="2576">
                  <c:v>38729.0</c:v>
                </c:pt>
                <c:pt idx="2577">
                  <c:v>38728.0</c:v>
                </c:pt>
                <c:pt idx="2578">
                  <c:v>38727.0</c:v>
                </c:pt>
                <c:pt idx="2579">
                  <c:v>38726.0</c:v>
                </c:pt>
                <c:pt idx="2580">
                  <c:v>38723.0</c:v>
                </c:pt>
                <c:pt idx="2581">
                  <c:v>38722.0</c:v>
                </c:pt>
                <c:pt idx="2582">
                  <c:v>38721.0</c:v>
                </c:pt>
                <c:pt idx="2583">
                  <c:v>38720.0</c:v>
                </c:pt>
                <c:pt idx="2584">
                  <c:v>38716.0</c:v>
                </c:pt>
                <c:pt idx="2585">
                  <c:v>38715.0</c:v>
                </c:pt>
                <c:pt idx="2586">
                  <c:v>38714.0</c:v>
                </c:pt>
                <c:pt idx="2587">
                  <c:v>38713.0</c:v>
                </c:pt>
                <c:pt idx="2588">
                  <c:v>38709.0</c:v>
                </c:pt>
                <c:pt idx="2589">
                  <c:v>38708.0</c:v>
                </c:pt>
                <c:pt idx="2590">
                  <c:v>38707.0</c:v>
                </c:pt>
                <c:pt idx="2591">
                  <c:v>38706.0</c:v>
                </c:pt>
                <c:pt idx="2592">
                  <c:v>38705.0</c:v>
                </c:pt>
                <c:pt idx="2593">
                  <c:v>38701.0</c:v>
                </c:pt>
                <c:pt idx="2594">
                  <c:v>38700.0</c:v>
                </c:pt>
                <c:pt idx="2595">
                  <c:v>38699.0</c:v>
                </c:pt>
                <c:pt idx="2596">
                  <c:v>38698.0</c:v>
                </c:pt>
                <c:pt idx="2597">
                  <c:v>38695.0</c:v>
                </c:pt>
                <c:pt idx="2598">
                  <c:v>38694.0</c:v>
                </c:pt>
                <c:pt idx="2599">
                  <c:v>38693.0</c:v>
                </c:pt>
                <c:pt idx="2600">
                  <c:v>38692.0</c:v>
                </c:pt>
                <c:pt idx="2601">
                  <c:v>38691.0</c:v>
                </c:pt>
                <c:pt idx="2602">
                  <c:v>38688.0</c:v>
                </c:pt>
                <c:pt idx="2603">
                  <c:v>38687.0</c:v>
                </c:pt>
                <c:pt idx="2604">
                  <c:v>38686.0</c:v>
                </c:pt>
                <c:pt idx="2605">
                  <c:v>38685.0</c:v>
                </c:pt>
                <c:pt idx="2606">
                  <c:v>38684.0</c:v>
                </c:pt>
                <c:pt idx="2607">
                  <c:v>38681.0</c:v>
                </c:pt>
                <c:pt idx="2608">
                  <c:v>38680.0</c:v>
                </c:pt>
                <c:pt idx="2609">
                  <c:v>38679.0</c:v>
                </c:pt>
                <c:pt idx="2610">
                  <c:v>38678.0</c:v>
                </c:pt>
                <c:pt idx="2611">
                  <c:v>38677.0</c:v>
                </c:pt>
                <c:pt idx="2612">
                  <c:v>38674.0</c:v>
                </c:pt>
                <c:pt idx="2613">
                  <c:v>38673.0</c:v>
                </c:pt>
                <c:pt idx="2614">
                  <c:v>38672.0</c:v>
                </c:pt>
                <c:pt idx="2615">
                  <c:v>38671.0</c:v>
                </c:pt>
                <c:pt idx="2616">
                  <c:v>38670.0</c:v>
                </c:pt>
                <c:pt idx="2617">
                  <c:v>38667.0</c:v>
                </c:pt>
                <c:pt idx="2618">
                  <c:v>38666.0</c:v>
                </c:pt>
                <c:pt idx="2619">
                  <c:v>38665.0</c:v>
                </c:pt>
                <c:pt idx="2620">
                  <c:v>38664.0</c:v>
                </c:pt>
                <c:pt idx="2621">
                  <c:v>38663.0</c:v>
                </c:pt>
                <c:pt idx="2622">
                  <c:v>38660.0</c:v>
                </c:pt>
                <c:pt idx="2623">
                  <c:v>38659.0</c:v>
                </c:pt>
                <c:pt idx="2624">
                  <c:v>38658.0</c:v>
                </c:pt>
                <c:pt idx="2625">
                  <c:v>38657.0</c:v>
                </c:pt>
                <c:pt idx="2626">
                  <c:v>38656.0</c:v>
                </c:pt>
                <c:pt idx="2627">
                  <c:v>38653.0</c:v>
                </c:pt>
                <c:pt idx="2628">
                  <c:v>38652.0</c:v>
                </c:pt>
                <c:pt idx="2629">
                  <c:v>38651.0</c:v>
                </c:pt>
                <c:pt idx="2630">
                  <c:v>38650.0</c:v>
                </c:pt>
                <c:pt idx="2631">
                  <c:v>38649.0</c:v>
                </c:pt>
                <c:pt idx="2632">
                  <c:v>38646.0</c:v>
                </c:pt>
                <c:pt idx="2633">
                  <c:v>38645.0</c:v>
                </c:pt>
                <c:pt idx="2634">
                  <c:v>38644.0</c:v>
                </c:pt>
                <c:pt idx="2635">
                  <c:v>38643.0</c:v>
                </c:pt>
                <c:pt idx="2636">
                  <c:v>38642.0</c:v>
                </c:pt>
                <c:pt idx="2637">
                  <c:v>38639.0</c:v>
                </c:pt>
                <c:pt idx="2638">
                  <c:v>38638.0</c:v>
                </c:pt>
                <c:pt idx="2639">
                  <c:v>38637.0</c:v>
                </c:pt>
                <c:pt idx="2640">
                  <c:v>38636.0</c:v>
                </c:pt>
                <c:pt idx="2641">
                  <c:v>38635.0</c:v>
                </c:pt>
                <c:pt idx="2642">
                  <c:v>38632.0</c:v>
                </c:pt>
                <c:pt idx="2643">
                  <c:v>38631.0</c:v>
                </c:pt>
                <c:pt idx="2644">
                  <c:v>38630.0</c:v>
                </c:pt>
                <c:pt idx="2645">
                  <c:v>38629.0</c:v>
                </c:pt>
                <c:pt idx="2646">
                  <c:v>38628.0</c:v>
                </c:pt>
                <c:pt idx="2647">
                  <c:v>38625.0</c:v>
                </c:pt>
                <c:pt idx="2648">
                  <c:v>38624.0</c:v>
                </c:pt>
                <c:pt idx="2649">
                  <c:v>38623.0</c:v>
                </c:pt>
                <c:pt idx="2650">
                  <c:v>38622.0</c:v>
                </c:pt>
                <c:pt idx="2651">
                  <c:v>38621.0</c:v>
                </c:pt>
                <c:pt idx="2652">
                  <c:v>38618.0</c:v>
                </c:pt>
                <c:pt idx="2653">
                  <c:v>38617.0</c:v>
                </c:pt>
                <c:pt idx="2654">
                  <c:v>38616.0</c:v>
                </c:pt>
                <c:pt idx="2655">
                  <c:v>38615.0</c:v>
                </c:pt>
                <c:pt idx="2656">
                  <c:v>38614.0</c:v>
                </c:pt>
                <c:pt idx="2657">
                  <c:v>38611.0</c:v>
                </c:pt>
                <c:pt idx="2658">
                  <c:v>38610.0</c:v>
                </c:pt>
                <c:pt idx="2659">
                  <c:v>38609.0</c:v>
                </c:pt>
                <c:pt idx="2660">
                  <c:v>38608.0</c:v>
                </c:pt>
                <c:pt idx="2661">
                  <c:v>38607.0</c:v>
                </c:pt>
                <c:pt idx="2662">
                  <c:v>38604.0</c:v>
                </c:pt>
                <c:pt idx="2663">
                  <c:v>38603.0</c:v>
                </c:pt>
                <c:pt idx="2664">
                  <c:v>38602.0</c:v>
                </c:pt>
                <c:pt idx="2665">
                  <c:v>38601.0</c:v>
                </c:pt>
                <c:pt idx="2666">
                  <c:v>38600.0</c:v>
                </c:pt>
                <c:pt idx="2667">
                  <c:v>38597.0</c:v>
                </c:pt>
                <c:pt idx="2668">
                  <c:v>38596.0</c:v>
                </c:pt>
                <c:pt idx="2669">
                  <c:v>38595.0</c:v>
                </c:pt>
                <c:pt idx="2670">
                  <c:v>38594.0</c:v>
                </c:pt>
                <c:pt idx="2671">
                  <c:v>38593.0</c:v>
                </c:pt>
                <c:pt idx="2672">
                  <c:v>38590.0</c:v>
                </c:pt>
                <c:pt idx="2673">
                  <c:v>38589.0</c:v>
                </c:pt>
                <c:pt idx="2674">
                  <c:v>38588.0</c:v>
                </c:pt>
                <c:pt idx="2675">
                  <c:v>38587.0</c:v>
                </c:pt>
                <c:pt idx="2676">
                  <c:v>38586.0</c:v>
                </c:pt>
                <c:pt idx="2677">
                  <c:v>38583.0</c:v>
                </c:pt>
                <c:pt idx="2678">
                  <c:v>38582.0</c:v>
                </c:pt>
                <c:pt idx="2679">
                  <c:v>38581.0</c:v>
                </c:pt>
                <c:pt idx="2680">
                  <c:v>38580.0</c:v>
                </c:pt>
                <c:pt idx="2681">
                  <c:v>38579.0</c:v>
                </c:pt>
                <c:pt idx="2682">
                  <c:v>38576.0</c:v>
                </c:pt>
                <c:pt idx="2683">
                  <c:v>38575.0</c:v>
                </c:pt>
                <c:pt idx="2684">
                  <c:v>38574.0</c:v>
                </c:pt>
                <c:pt idx="2685">
                  <c:v>38572.0</c:v>
                </c:pt>
                <c:pt idx="2686">
                  <c:v>38569.0</c:v>
                </c:pt>
                <c:pt idx="2687">
                  <c:v>38568.0</c:v>
                </c:pt>
                <c:pt idx="2688">
                  <c:v>38567.0</c:v>
                </c:pt>
                <c:pt idx="2689">
                  <c:v>38566.0</c:v>
                </c:pt>
                <c:pt idx="2690">
                  <c:v>38565.0</c:v>
                </c:pt>
                <c:pt idx="2691">
                  <c:v>38562.0</c:v>
                </c:pt>
                <c:pt idx="2692">
                  <c:v>38561.0</c:v>
                </c:pt>
                <c:pt idx="2693">
                  <c:v>38560.0</c:v>
                </c:pt>
                <c:pt idx="2694">
                  <c:v>38559.0</c:v>
                </c:pt>
                <c:pt idx="2695">
                  <c:v>38558.0</c:v>
                </c:pt>
                <c:pt idx="2696">
                  <c:v>38555.0</c:v>
                </c:pt>
                <c:pt idx="2697">
                  <c:v>38554.0</c:v>
                </c:pt>
                <c:pt idx="2698">
                  <c:v>38553.0</c:v>
                </c:pt>
                <c:pt idx="2699">
                  <c:v>38552.0</c:v>
                </c:pt>
                <c:pt idx="2700">
                  <c:v>38551.0</c:v>
                </c:pt>
                <c:pt idx="2701">
                  <c:v>38548.0</c:v>
                </c:pt>
                <c:pt idx="2702">
                  <c:v>38547.0</c:v>
                </c:pt>
                <c:pt idx="2703">
                  <c:v>38546.0</c:v>
                </c:pt>
                <c:pt idx="2704">
                  <c:v>38545.0</c:v>
                </c:pt>
                <c:pt idx="2705">
                  <c:v>38544.0</c:v>
                </c:pt>
                <c:pt idx="2706">
                  <c:v>38541.0</c:v>
                </c:pt>
                <c:pt idx="2707">
                  <c:v>38540.0</c:v>
                </c:pt>
                <c:pt idx="2708">
                  <c:v>38539.0</c:v>
                </c:pt>
                <c:pt idx="2709">
                  <c:v>38538.0</c:v>
                </c:pt>
                <c:pt idx="2710">
                  <c:v>38537.0</c:v>
                </c:pt>
                <c:pt idx="2711">
                  <c:v>38534.0</c:v>
                </c:pt>
                <c:pt idx="2712">
                  <c:v>38533.0</c:v>
                </c:pt>
                <c:pt idx="2713">
                  <c:v>38532.0</c:v>
                </c:pt>
                <c:pt idx="2714">
                  <c:v>38531.0</c:v>
                </c:pt>
                <c:pt idx="2715">
                  <c:v>38530.0</c:v>
                </c:pt>
                <c:pt idx="2716">
                  <c:v>38527.0</c:v>
                </c:pt>
                <c:pt idx="2717">
                  <c:v>38526.0</c:v>
                </c:pt>
                <c:pt idx="2718">
                  <c:v>38525.0</c:v>
                </c:pt>
                <c:pt idx="2719">
                  <c:v>38524.0</c:v>
                </c:pt>
                <c:pt idx="2720">
                  <c:v>38523.0</c:v>
                </c:pt>
                <c:pt idx="2721">
                  <c:v>38520.0</c:v>
                </c:pt>
                <c:pt idx="2722">
                  <c:v>38518.0</c:v>
                </c:pt>
                <c:pt idx="2723">
                  <c:v>38517.0</c:v>
                </c:pt>
                <c:pt idx="2724">
                  <c:v>38516.0</c:v>
                </c:pt>
                <c:pt idx="2725">
                  <c:v>38513.0</c:v>
                </c:pt>
                <c:pt idx="2726">
                  <c:v>38512.0</c:v>
                </c:pt>
                <c:pt idx="2727">
                  <c:v>38511.0</c:v>
                </c:pt>
                <c:pt idx="2728">
                  <c:v>38510.0</c:v>
                </c:pt>
                <c:pt idx="2729">
                  <c:v>38509.0</c:v>
                </c:pt>
                <c:pt idx="2730">
                  <c:v>38506.0</c:v>
                </c:pt>
                <c:pt idx="2731">
                  <c:v>38505.0</c:v>
                </c:pt>
                <c:pt idx="2732">
                  <c:v>38504.0</c:v>
                </c:pt>
                <c:pt idx="2733">
                  <c:v>38503.0</c:v>
                </c:pt>
                <c:pt idx="2734">
                  <c:v>38502.0</c:v>
                </c:pt>
                <c:pt idx="2735">
                  <c:v>38499.0</c:v>
                </c:pt>
                <c:pt idx="2736">
                  <c:v>38498.0</c:v>
                </c:pt>
                <c:pt idx="2737">
                  <c:v>38497.0</c:v>
                </c:pt>
                <c:pt idx="2738">
                  <c:v>38496.0</c:v>
                </c:pt>
                <c:pt idx="2739">
                  <c:v>38495.0</c:v>
                </c:pt>
                <c:pt idx="2740">
                  <c:v>38492.0</c:v>
                </c:pt>
                <c:pt idx="2741">
                  <c:v>38491.0</c:v>
                </c:pt>
                <c:pt idx="2742">
                  <c:v>38490.0</c:v>
                </c:pt>
                <c:pt idx="2743">
                  <c:v>38489.0</c:v>
                </c:pt>
                <c:pt idx="2744">
                  <c:v>38488.0</c:v>
                </c:pt>
                <c:pt idx="2745">
                  <c:v>38485.0</c:v>
                </c:pt>
                <c:pt idx="2746">
                  <c:v>38484.0</c:v>
                </c:pt>
                <c:pt idx="2747">
                  <c:v>38483.0</c:v>
                </c:pt>
                <c:pt idx="2748">
                  <c:v>38482.0</c:v>
                </c:pt>
                <c:pt idx="2749">
                  <c:v>38481.0</c:v>
                </c:pt>
                <c:pt idx="2750">
                  <c:v>38478.0</c:v>
                </c:pt>
              </c:numCache>
            </c:numRef>
          </c:cat>
          <c:val>
            <c:numRef>
              <c:f>'4f. JALSH vs Oceana Prices'!$E$9:$E$2759</c:f>
              <c:numCache>
                <c:formatCode>0</c:formatCode>
                <c:ptCount val="2751"/>
                <c:pt idx="0">
                  <c:v>12109.0</c:v>
                </c:pt>
                <c:pt idx="1">
                  <c:v>12580.0</c:v>
                </c:pt>
                <c:pt idx="2">
                  <c:v>12035.0</c:v>
                </c:pt>
                <c:pt idx="3">
                  <c:v>12300.0</c:v>
                </c:pt>
                <c:pt idx="4">
                  <c:v>11600.0</c:v>
                </c:pt>
                <c:pt idx="5">
                  <c:v>12111.0</c:v>
                </c:pt>
                <c:pt idx="6">
                  <c:v>11900.0</c:v>
                </c:pt>
                <c:pt idx="7">
                  <c:v>12200.0</c:v>
                </c:pt>
                <c:pt idx="8">
                  <c:v>11500.0</c:v>
                </c:pt>
                <c:pt idx="9">
                  <c:v>11519.0</c:v>
                </c:pt>
                <c:pt idx="10">
                  <c:v>11574.0</c:v>
                </c:pt>
                <c:pt idx="11">
                  <c:v>11400.0</c:v>
                </c:pt>
                <c:pt idx="12">
                  <c:v>11467.0</c:v>
                </c:pt>
                <c:pt idx="13">
                  <c:v>11554.0</c:v>
                </c:pt>
                <c:pt idx="14">
                  <c:v>11500.0</c:v>
                </c:pt>
                <c:pt idx="15">
                  <c:v>11655.0</c:v>
                </c:pt>
                <c:pt idx="16">
                  <c:v>12060.0</c:v>
                </c:pt>
                <c:pt idx="17">
                  <c:v>12150.0</c:v>
                </c:pt>
                <c:pt idx="18">
                  <c:v>12040.0</c:v>
                </c:pt>
                <c:pt idx="19">
                  <c:v>12040.0</c:v>
                </c:pt>
                <c:pt idx="20">
                  <c:v>12399.0</c:v>
                </c:pt>
                <c:pt idx="21">
                  <c:v>12135.0</c:v>
                </c:pt>
                <c:pt idx="22">
                  <c:v>12500.0</c:v>
                </c:pt>
                <c:pt idx="23">
                  <c:v>12581.0</c:v>
                </c:pt>
                <c:pt idx="24">
                  <c:v>12426.0</c:v>
                </c:pt>
                <c:pt idx="25">
                  <c:v>12400.0</c:v>
                </c:pt>
                <c:pt idx="26">
                  <c:v>11950.0</c:v>
                </c:pt>
                <c:pt idx="27">
                  <c:v>12850.0</c:v>
                </c:pt>
                <c:pt idx="28">
                  <c:v>12890.0</c:v>
                </c:pt>
                <c:pt idx="29">
                  <c:v>11900.0</c:v>
                </c:pt>
                <c:pt idx="30">
                  <c:v>11523.0</c:v>
                </c:pt>
                <c:pt idx="31">
                  <c:v>11221.0</c:v>
                </c:pt>
                <c:pt idx="32">
                  <c:v>11155.0</c:v>
                </c:pt>
                <c:pt idx="33">
                  <c:v>11150.0</c:v>
                </c:pt>
                <c:pt idx="34">
                  <c:v>11700.0</c:v>
                </c:pt>
                <c:pt idx="35">
                  <c:v>11800.0</c:v>
                </c:pt>
                <c:pt idx="36">
                  <c:v>12000.0</c:v>
                </c:pt>
                <c:pt idx="37">
                  <c:v>12214.0</c:v>
                </c:pt>
                <c:pt idx="38">
                  <c:v>12249.0</c:v>
                </c:pt>
                <c:pt idx="39">
                  <c:v>11950.0</c:v>
                </c:pt>
                <c:pt idx="40">
                  <c:v>12500.0</c:v>
                </c:pt>
                <c:pt idx="41">
                  <c:v>11554.0</c:v>
                </c:pt>
                <c:pt idx="42">
                  <c:v>11500.0</c:v>
                </c:pt>
                <c:pt idx="43">
                  <c:v>11422.0</c:v>
                </c:pt>
                <c:pt idx="44">
                  <c:v>11500.0</c:v>
                </c:pt>
                <c:pt idx="45">
                  <c:v>11500.0</c:v>
                </c:pt>
                <c:pt idx="46">
                  <c:v>11524.0</c:v>
                </c:pt>
                <c:pt idx="47">
                  <c:v>11510.0</c:v>
                </c:pt>
                <c:pt idx="48">
                  <c:v>11500.0</c:v>
                </c:pt>
                <c:pt idx="49">
                  <c:v>11500.0</c:v>
                </c:pt>
                <c:pt idx="50">
                  <c:v>11400.0</c:v>
                </c:pt>
                <c:pt idx="51">
                  <c:v>11199.0</c:v>
                </c:pt>
                <c:pt idx="52">
                  <c:v>11402.0</c:v>
                </c:pt>
                <c:pt idx="53">
                  <c:v>11200.0</c:v>
                </c:pt>
                <c:pt idx="54">
                  <c:v>10825.0</c:v>
                </c:pt>
                <c:pt idx="55">
                  <c:v>11000.0</c:v>
                </c:pt>
                <c:pt idx="56">
                  <c:v>11054.0</c:v>
                </c:pt>
                <c:pt idx="57">
                  <c:v>11184.0</c:v>
                </c:pt>
                <c:pt idx="58">
                  <c:v>11415.0</c:v>
                </c:pt>
                <c:pt idx="59">
                  <c:v>11661.0</c:v>
                </c:pt>
                <c:pt idx="60">
                  <c:v>11800.0</c:v>
                </c:pt>
                <c:pt idx="61">
                  <c:v>11001.0</c:v>
                </c:pt>
                <c:pt idx="62">
                  <c:v>11100.0</c:v>
                </c:pt>
                <c:pt idx="63">
                  <c:v>11186.0</c:v>
                </c:pt>
                <c:pt idx="64">
                  <c:v>11398.0</c:v>
                </c:pt>
                <c:pt idx="65">
                  <c:v>11509.0</c:v>
                </c:pt>
                <c:pt idx="66">
                  <c:v>11482.0</c:v>
                </c:pt>
                <c:pt idx="67">
                  <c:v>11343.0</c:v>
                </c:pt>
                <c:pt idx="68">
                  <c:v>11300.0</c:v>
                </c:pt>
                <c:pt idx="69">
                  <c:v>11099.0</c:v>
                </c:pt>
                <c:pt idx="70">
                  <c:v>11000.0</c:v>
                </c:pt>
                <c:pt idx="71">
                  <c:v>11100.0</c:v>
                </c:pt>
                <c:pt idx="72">
                  <c:v>11064.0</c:v>
                </c:pt>
                <c:pt idx="73">
                  <c:v>11000.0</c:v>
                </c:pt>
                <c:pt idx="74">
                  <c:v>11000.0</c:v>
                </c:pt>
                <c:pt idx="75">
                  <c:v>11000.0</c:v>
                </c:pt>
                <c:pt idx="76">
                  <c:v>10800.0</c:v>
                </c:pt>
                <c:pt idx="77">
                  <c:v>10641.0</c:v>
                </c:pt>
                <c:pt idx="78">
                  <c:v>10741.0</c:v>
                </c:pt>
                <c:pt idx="79">
                  <c:v>10741.0</c:v>
                </c:pt>
                <c:pt idx="80">
                  <c:v>10643.36</c:v>
                </c:pt>
                <c:pt idx="81">
                  <c:v>10741.0</c:v>
                </c:pt>
                <c:pt idx="82">
                  <c:v>11058.35</c:v>
                </c:pt>
                <c:pt idx="83">
                  <c:v>11424.52</c:v>
                </c:pt>
                <c:pt idx="84">
                  <c:v>11182.36</c:v>
                </c:pt>
                <c:pt idx="85">
                  <c:v>10985.11</c:v>
                </c:pt>
                <c:pt idx="86">
                  <c:v>10848.41</c:v>
                </c:pt>
                <c:pt idx="87">
                  <c:v>10863.06</c:v>
                </c:pt>
                <c:pt idx="88">
                  <c:v>10863.06</c:v>
                </c:pt>
                <c:pt idx="89">
                  <c:v>10855.25</c:v>
                </c:pt>
                <c:pt idx="90">
                  <c:v>10969.49</c:v>
                </c:pt>
                <c:pt idx="91">
                  <c:v>11079.83</c:v>
                </c:pt>
                <c:pt idx="92">
                  <c:v>11033.94</c:v>
                </c:pt>
                <c:pt idx="93">
                  <c:v>11139.39</c:v>
                </c:pt>
                <c:pt idx="94">
                  <c:v>10936.29</c:v>
                </c:pt>
                <c:pt idx="95">
                  <c:v>10936.29</c:v>
                </c:pt>
                <c:pt idx="96">
                  <c:v>11699.88</c:v>
                </c:pt>
                <c:pt idx="97">
                  <c:v>11453.81</c:v>
                </c:pt>
                <c:pt idx="98">
                  <c:v>11570.99</c:v>
                </c:pt>
                <c:pt idx="99">
                  <c:v>10960.7</c:v>
                </c:pt>
                <c:pt idx="100">
                  <c:v>10852.32</c:v>
                </c:pt>
                <c:pt idx="101">
                  <c:v>11082.76</c:v>
                </c:pt>
                <c:pt idx="102">
                  <c:v>11033.94</c:v>
                </c:pt>
                <c:pt idx="103">
                  <c:v>11065.18</c:v>
                </c:pt>
                <c:pt idx="104">
                  <c:v>11033.94</c:v>
                </c:pt>
                <c:pt idx="105">
                  <c:v>11033.94</c:v>
                </c:pt>
                <c:pt idx="106">
                  <c:v>11174.55</c:v>
                </c:pt>
                <c:pt idx="107">
                  <c:v>10990.97</c:v>
                </c:pt>
                <c:pt idx="108">
                  <c:v>11033.94</c:v>
                </c:pt>
                <c:pt idx="109">
                  <c:v>11228.25</c:v>
                </c:pt>
                <c:pt idx="110">
                  <c:v>11229.23</c:v>
                </c:pt>
                <c:pt idx="111">
                  <c:v>11229.23</c:v>
                </c:pt>
                <c:pt idx="112">
                  <c:v>11223.37</c:v>
                </c:pt>
                <c:pt idx="113">
                  <c:v>11195.05</c:v>
                </c:pt>
                <c:pt idx="114">
                  <c:v>11229.23</c:v>
                </c:pt>
                <c:pt idx="115">
                  <c:v>11082.76</c:v>
                </c:pt>
                <c:pt idx="116">
                  <c:v>10936.29</c:v>
                </c:pt>
                <c:pt idx="117">
                  <c:v>10506.65</c:v>
                </c:pt>
                <c:pt idx="118">
                  <c:v>10594.53</c:v>
                </c:pt>
                <c:pt idx="119">
                  <c:v>10448.06</c:v>
                </c:pt>
                <c:pt idx="120">
                  <c:v>10203.95</c:v>
                </c:pt>
                <c:pt idx="121">
                  <c:v>10448.06</c:v>
                </c:pt>
                <c:pt idx="122">
                  <c:v>10318.2</c:v>
                </c:pt>
                <c:pt idx="123">
                  <c:v>10240.08</c:v>
                </c:pt>
                <c:pt idx="124">
                  <c:v>9945.19</c:v>
                </c:pt>
                <c:pt idx="125">
                  <c:v>10071.15</c:v>
                </c:pt>
                <c:pt idx="126">
                  <c:v>10057.48</c:v>
                </c:pt>
                <c:pt idx="127">
                  <c:v>10252.77</c:v>
                </c:pt>
                <c:pt idx="128">
                  <c:v>10252.77</c:v>
                </c:pt>
                <c:pt idx="129">
                  <c:v>10252.77</c:v>
                </c:pt>
                <c:pt idx="130">
                  <c:v>10057.48</c:v>
                </c:pt>
                <c:pt idx="131">
                  <c:v>10122.9</c:v>
                </c:pt>
                <c:pt idx="132">
                  <c:v>10252.77</c:v>
                </c:pt>
                <c:pt idx="133">
                  <c:v>10447.09</c:v>
                </c:pt>
                <c:pt idx="134">
                  <c:v>10454.9</c:v>
                </c:pt>
                <c:pt idx="135">
                  <c:v>10370.92</c:v>
                </c:pt>
                <c:pt idx="136">
                  <c:v>10692.18</c:v>
                </c:pt>
                <c:pt idx="137">
                  <c:v>10643.36</c:v>
                </c:pt>
                <c:pt idx="138">
                  <c:v>10545.71</c:v>
                </c:pt>
                <c:pt idx="139">
                  <c:v>10741.0</c:v>
                </c:pt>
                <c:pt idx="140">
                  <c:v>10301.6</c:v>
                </c:pt>
                <c:pt idx="141">
                  <c:v>10203.95</c:v>
                </c:pt>
                <c:pt idx="142">
                  <c:v>10243.01</c:v>
                </c:pt>
                <c:pt idx="143">
                  <c:v>9977.41</c:v>
                </c:pt>
                <c:pt idx="144">
                  <c:v>9793.84</c:v>
                </c:pt>
                <c:pt idx="145">
                  <c:v>9538.01</c:v>
                </c:pt>
                <c:pt idx="146">
                  <c:v>9325.139999999999</c:v>
                </c:pt>
                <c:pt idx="147">
                  <c:v>9413.02</c:v>
                </c:pt>
                <c:pt idx="148">
                  <c:v>9466.73</c:v>
                </c:pt>
                <c:pt idx="149">
                  <c:v>9325.139999999999</c:v>
                </c:pt>
                <c:pt idx="150">
                  <c:v>9276.32</c:v>
                </c:pt>
                <c:pt idx="151">
                  <c:v>9320.26</c:v>
                </c:pt>
                <c:pt idx="152">
                  <c:v>9062.48</c:v>
                </c:pt>
                <c:pt idx="153">
                  <c:v>9129.85</c:v>
                </c:pt>
                <c:pt idx="154">
                  <c:v>9202.11</c:v>
                </c:pt>
                <c:pt idx="155">
                  <c:v>9032.209999999999</c:v>
                </c:pt>
                <c:pt idx="156">
                  <c:v>8870.11</c:v>
                </c:pt>
                <c:pt idx="157">
                  <c:v>8968.74</c:v>
                </c:pt>
                <c:pt idx="158">
                  <c:v>9144.5</c:v>
                </c:pt>
                <c:pt idx="159">
                  <c:v>9276.32</c:v>
                </c:pt>
                <c:pt idx="160">
                  <c:v>9085.91</c:v>
                </c:pt>
                <c:pt idx="161">
                  <c:v>9763.57</c:v>
                </c:pt>
                <c:pt idx="162">
                  <c:v>9294.870000000001</c:v>
                </c:pt>
                <c:pt idx="163">
                  <c:v>9124.969999999999</c:v>
                </c:pt>
                <c:pt idx="164">
                  <c:v>9013.65</c:v>
                </c:pt>
                <c:pt idx="165">
                  <c:v>9040.02</c:v>
                </c:pt>
                <c:pt idx="166">
                  <c:v>9474.54</c:v>
                </c:pt>
                <c:pt idx="167">
                  <c:v>9129.85</c:v>
                </c:pt>
                <c:pt idx="168">
                  <c:v>9452.08</c:v>
                </c:pt>
                <c:pt idx="169">
                  <c:v>9641.51</c:v>
                </c:pt>
                <c:pt idx="170">
                  <c:v>9300.73</c:v>
                </c:pt>
                <c:pt idx="171">
                  <c:v>9381.78</c:v>
                </c:pt>
                <c:pt idx="172">
                  <c:v>9289.99</c:v>
                </c:pt>
                <c:pt idx="173">
                  <c:v>9081.03</c:v>
                </c:pt>
                <c:pt idx="174">
                  <c:v>9396.59</c:v>
                </c:pt>
                <c:pt idx="175">
                  <c:v>9557.62</c:v>
                </c:pt>
                <c:pt idx="176">
                  <c:v>9330.29</c:v>
                </c:pt>
                <c:pt idx="177">
                  <c:v>9311.34</c:v>
                </c:pt>
                <c:pt idx="178">
                  <c:v>9207.139999999999</c:v>
                </c:pt>
                <c:pt idx="179">
                  <c:v>9591.719999999999</c:v>
                </c:pt>
                <c:pt idx="180">
                  <c:v>9477.11</c:v>
                </c:pt>
                <c:pt idx="181">
                  <c:v>9549.1</c:v>
                </c:pt>
                <c:pt idx="182">
                  <c:v>9472.370000000001</c:v>
                </c:pt>
                <c:pt idx="183">
                  <c:v>9472.370000000001</c:v>
                </c:pt>
                <c:pt idx="184">
                  <c:v>9564.25</c:v>
                </c:pt>
                <c:pt idx="185">
                  <c:v>9552.889999999999</c:v>
                </c:pt>
                <c:pt idx="186">
                  <c:v>9654.24</c:v>
                </c:pt>
                <c:pt idx="187">
                  <c:v>9472.370000000001</c:v>
                </c:pt>
                <c:pt idx="188">
                  <c:v>9443.950000000001</c:v>
                </c:pt>
                <c:pt idx="189">
                  <c:v>9377.65</c:v>
                </c:pt>
                <c:pt idx="190">
                  <c:v>9462.9</c:v>
                </c:pt>
                <c:pt idx="191">
                  <c:v>9192.94</c:v>
                </c:pt>
                <c:pt idx="192">
                  <c:v>9387.12</c:v>
                </c:pt>
                <c:pt idx="193">
                  <c:v>9377.65</c:v>
                </c:pt>
                <c:pt idx="194">
                  <c:v>9415.54</c:v>
                </c:pt>
                <c:pt idx="195">
                  <c:v>9472.370000000001</c:v>
                </c:pt>
                <c:pt idx="196">
                  <c:v>9444.9</c:v>
                </c:pt>
                <c:pt idx="197">
                  <c:v>9434.48</c:v>
                </c:pt>
                <c:pt idx="198">
                  <c:v>9472.370000000001</c:v>
                </c:pt>
                <c:pt idx="199">
                  <c:v>9425.01</c:v>
                </c:pt>
                <c:pt idx="200">
                  <c:v>9472.370000000001</c:v>
                </c:pt>
                <c:pt idx="201">
                  <c:v>9472.370000000001</c:v>
                </c:pt>
                <c:pt idx="202">
                  <c:v>9349.23</c:v>
                </c:pt>
                <c:pt idx="203">
                  <c:v>9432.59</c:v>
                </c:pt>
                <c:pt idx="204">
                  <c:v>9472.370000000001</c:v>
                </c:pt>
                <c:pt idx="205">
                  <c:v>9335.969999999999</c:v>
                </c:pt>
                <c:pt idx="206">
                  <c:v>9377.65</c:v>
                </c:pt>
                <c:pt idx="207">
                  <c:v>9254.51</c:v>
                </c:pt>
                <c:pt idx="208">
                  <c:v>9235.559999999999</c:v>
                </c:pt>
                <c:pt idx="209">
                  <c:v>9235.559999999999</c:v>
                </c:pt>
                <c:pt idx="210">
                  <c:v>9182.52</c:v>
                </c:pt>
                <c:pt idx="211">
                  <c:v>9188.2</c:v>
                </c:pt>
                <c:pt idx="212">
                  <c:v>8879.4</c:v>
                </c:pt>
                <c:pt idx="213">
                  <c:v>8888.870000000001</c:v>
                </c:pt>
                <c:pt idx="214">
                  <c:v>8710.91</c:v>
                </c:pt>
                <c:pt idx="215">
                  <c:v>8710.91</c:v>
                </c:pt>
                <c:pt idx="216">
                  <c:v>8664.08</c:v>
                </c:pt>
                <c:pt idx="217">
                  <c:v>8546.99</c:v>
                </c:pt>
                <c:pt idx="218">
                  <c:v>8336.25</c:v>
                </c:pt>
                <c:pt idx="219">
                  <c:v>8242.58</c:v>
                </c:pt>
                <c:pt idx="220">
                  <c:v>8183.57</c:v>
                </c:pt>
                <c:pt idx="221">
                  <c:v>8167.65</c:v>
                </c:pt>
                <c:pt idx="222">
                  <c:v>8242.58</c:v>
                </c:pt>
                <c:pt idx="223">
                  <c:v>8242.58</c:v>
                </c:pt>
                <c:pt idx="224">
                  <c:v>8242.58</c:v>
                </c:pt>
                <c:pt idx="225">
                  <c:v>8392.44</c:v>
                </c:pt>
                <c:pt idx="226">
                  <c:v>8383.08</c:v>
                </c:pt>
                <c:pt idx="227">
                  <c:v>8710.91</c:v>
                </c:pt>
                <c:pt idx="228">
                  <c:v>8547.93</c:v>
                </c:pt>
                <c:pt idx="229">
                  <c:v>8687.49</c:v>
                </c:pt>
                <c:pt idx="230">
                  <c:v>8710.91</c:v>
                </c:pt>
                <c:pt idx="231">
                  <c:v>8664.08</c:v>
                </c:pt>
                <c:pt idx="232">
                  <c:v>8830.799999999999</c:v>
                </c:pt>
                <c:pt idx="233">
                  <c:v>8710.91</c:v>
                </c:pt>
                <c:pt idx="234">
                  <c:v>8523.58</c:v>
                </c:pt>
                <c:pt idx="235">
                  <c:v>8898.24</c:v>
                </c:pt>
                <c:pt idx="236">
                  <c:v>8992.84</c:v>
                </c:pt>
                <c:pt idx="237">
                  <c:v>9256.04</c:v>
                </c:pt>
                <c:pt idx="238">
                  <c:v>9179.24</c:v>
                </c:pt>
                <c:pt idx="239">
                  <c:v>9330.04</c:v>
                </c:pt>
                <c:pt idx="240">
                  <c:v>9633.51</c:v>
                </c:pt>
                <c:pt idx="241">
                  <c:v>9360.950000000001</c:v>
                </c:pt>
                <c:pt idx="242">
                  <c:v>9015.32</c:v>
                </c:pt>
                <c:pt idx="243">
                  <c:v>10532.71</c:v>
                </c:pt>
                <c:pt idx="244">
                  <c:v>10593.59</c:v>
                </c:pt>
                <c:pt idx="245">
                  <c:v>10537.39</c:v>
                </c:pt>
                <c:pt idx="246">
                  <c:v>9787.129999999999</c:v>
                </c:pt>
                <c:pt idx="247">
                  <c:v>9963.219999999999</c:v>
                </c:pt>
                <c:pt idx="248">
                  <c:v>9742.17</c:v>
                </c:pt>
                <c:pt idx="249">
                  <c:v>10022.23</c:v>
                </c:pt>
                <c:pt idx="250">
                  <c:v>10677.89</c:v>
                </c:pt>
                <c:pt idx="251">
                  <c:v>10162.73</c:v>
                </c:pt>
                <c:pt idx="252">
                  <c:v>9958.53</c:v>
                </c:pt>
                <c:pt idx="253">
                  <c:v>9296.32</c:v>
                </c:pt>
                <c:pt idx="254">
                  <c:v>9515.5</c:v>
                </c:pt>
                <c:pt idx="255">
                  <c:v>9447.12</c:v>
                </c:pt>
                <c:pt idx="256">
                  <c:v>9460.23</c:v>
                </c:pt>
                <c:pt idx="257">
                  <c:v>9381.549999999999</c:v>
                </c:pt>
                <c:pt idx="258">
                  <c:v>9450.870000000001</c:v>
                </c:pt>
                <c:pt idx="259">
                  <c:v>9403.1</c:v>
                </c:pt>
                <c:pt idx="260">
                  <c:v>9366.57</c:v>
                </c:pt>
                <c:pt idx="261">
                  <c:v>9348.77</c:v>
                </c:pt>
                <c:pt idx="262">
                  <c:v>9380.62</c:v>
                </c:pt>
                <c:pt idx="263">
                  <c:v>9413.4</c:v>
                </c:pt>
                <c:pt idx="264">
                  <c:v>9443.370000000001</c:v>
                </c:pt>
                <c:pt idx="265">
                  <c:v>9310.370000000001</c:v>
                </c:pt>
                <c:pt idx="266">
                  <c:v>9604.48</c:v>
                </c:pt>
                <c:pt idx="267">
                  <c:v>9583.870000000001</c:v>
                </c:pt>
                <c:pt idx="268">
                  <c:v>9681.28</c:v>
                </c:pt>
                <c:pt idx="269">
                  <c:v>9741.23</c:v>
                </c:pt>
                <c:pt idx="270">
                  <c:v>9689.709999999999</c:v>
                </c:pt>
                <c:pt idx="271">
                  <c:v>9422.77</c:v>
                </c:pt>
                <c:pt idx="272">
                  <c:v>9469.6</c:v>
                </c:pt>
                <c:pt idx="273">
                  <c:v>9230.75</c:v>
                </c:pt>
                <c:pt idx="274">
                  <c:v>9277.59</c:v>
                </c:pt>
                <c:pt idx="275">
                  <c:v>9493.950000000001</c:v>
                </c:pt>
                <c:pt idx="276">
                  <c:v>9383.43</c:v>
                </c:pt>
                <c:pt idx="277">
                  <c:v>8991.91</c:v>
                </c:pt>
                <c:pt idx="278">
                  <c:v>8804.57</c:v>
                </c:pt>
                <c:pt idx="279">
                  <c:v>9141.77</c:v>
                </c:pt>
                <c:pt idx="280">
                  <c:v>9582.94</c:v>
                </c:pt>
                <c:pt idx="281">
                  <c:v>9789.94</c:v>
                </c:pt>
                <c:pt idx="282">
                  <c:v>9881.73</c:v>
                </c:pt>
                <c:pt idx="283">
                  <c:v>9509.879999999999</c:v>
                </c:pt>
                <c:pt idx="284">
                  <c:v>9741.23</c:v>
                </c:pt>
                <c:pt idx="285">
                  <c:v>9870.49</c:v>
                </c:pt>
                <c:pt idx="286">
                  <c:v>10251.71</c:v>
                </c:pt>
                <c:pt idx="287">
                  <c:v>9834.9</c:v>
                </c:pt>
                <c:pt idx="288">
                  <c:v>10197.38</c:v>
                </c:pt>
                <c:pt idx="289">
                  <c:v>10247.03</c:v>
                </c:pt>
                <c:pt idx="290">
                  <c:v>10115.89</c:v>
                </c:pt>
                <c:pt idx="291">
                  <c:v>10114.02</c:v>
                </c:pt>
                <c:pt idx="292">
                  <c:v>10209.56</c:v>
                </c:pt>
                <c:pt idx="293">
                  <c:v>10303.22</c:v>
                </c:pt>
                <c:pt idx="294">
                  <c:v>10396.89</c:v>
                </c:pt>
                <c:pt idx="295">
                  <c:v>10458.71</c:v>
                </c:pt>
                <c:pt idx="296">
                  <c:v>10489.62</c:v>
                </c:pt>
                <c:pt idx="297">
                  <c:v>10677.89</c:v>
                </c:pt>
                <c:pt idx="298">
                  <c:v>10771.55</c:v>
                </c:pt>
                <c:pt idx="299">
                  <c:v>10677.89</c:v>
                </c:pt>
                <c:pt idx="300">
                  <c:v>10628.24</c:v>
                </c:pt>
                <c:pt idx="301">
                  <c:v>10654.47</c:v>
                </c:pt>
                <c:pt idx="302">
                  <c:v>10162.73</c:v>
                </c:pt>
                <c:pt idx="303">
                  <c:v>10256.39</c:v>
                </c:pt>
                <c:pt idx="304">
                  <c:v>10429.67</c:v>
                </c:pt>
                <c:pt idx="305">
                  <c:v>10261.07</c:v>
                </c:pt>
                <c:pt idx="306">
                  <c:v>10441.85</c:v>
                </c:pt>
                <c:pt idx="307">
                  <c:v>10462.46</c:v>
                </c:pt>
                <c:pt idx="308">
                  <c:v>10359.42</c:v>
                </c:pt>
                <c:pt idx="309">
                  <c:v>10560.81</c:v>
                </c:pt>
                <c:pt idx="310">
                  <c:v>10560.81</c:v>
                </c:pt>
                <c:pt idx="311">
                  <c:v>10537.39</c:v>
                </c:pt>
                <c:pt idx="312">
                  <c:v>10326.64</c:v>
                </c:pt>
                <c:pt idx="313">
                  <c:v>10115.89</c:v>
                </c:pt>
                <c:pt idx="314">
                  <c:v>10209.56</c:v>
                </c:pt>
                <c:pt idx="315">
                  <c:v>10209.56</c:v>
                </c:pt>
                <c:pt idx="316">
                  <c:v>10209.56</c:v>
                </c:pt>
                <c:pt idx="317">
                  <c:v>10209.56</c:v>
                </c:pt>
                <c:pt idx="318">
                  <c:v>10256.39</c:v>
                </c:pt>
                <c:pt idx="319">
                  <c:v>10022.23</c:v>
                </c:pt>
                <c:pt idx="320">
                  <c:v>10301.35</c:v>
                </c:pt>
                <c:pt idx="321">
                  <c:v>10115.89</c:v>
                </c:pt>
                <c:pt idx="322">
                  <c:v>10209.56</c:v>
                </c:pt>
                <c:pt idx="323">
                  <c:v>10209.56</c:v>
                </c:pt>
                <c:pt idx="324">
                  <c:v>10110.27</c:v>
                </c:pt>
                <c:pt idx="325">
                  <c:v>10106.53</c:v>
                </c:pt>
                <c:pt idx="326">
                  <c:v>9923.879999999999</c:v>
                </c:pt>
                <c:pt idx="327">
                  <c:v>9872.360000000001</c:v>
                </c:pt>
                <c:pt idx="328">
                  <c:v>10049.39</c:v>
                </c:pt>
                <c:pt idx="329">
                  <c:v>10003.71</c:v>
                </c:pt>
                <c:pt idx="330">
                  <c:v>9967.17</c:v>
                </c:pt>
                <c:pt idx="331">
                  <c:v>10003.71</c:v>
                </c:pt>
                <c:pt idx="332">
                  <c:v>9912.35</c:v>
                </c:pt>
                <c:pt idx="333">
                  <c:v>9651.98</c:v>
                </c:pt>
                <c:pt idx="334">
                  <c:v>9579.809999999999</c:v>
                </c:pt>
                <c:pt idx="335">
                  <c:v>9501.24</c:v>
                </c:pt>
                <c:pt idx="336">
                  <c:v>9767.09</c:v>
                </c:pt>
                <c:pt idx="337">
                  <c:v>9831.04</c:v>
                </c:pt>
                <c:pt idx="338">
                  <c:v>9658.379999999999</c:v>
                </c:pt>
                <c:pt idx="339">
                  <c:v>9661.12</c:v>
                </c:pt>
                <c:pt idx="340">
                  <c:v>9640.11</c:v>
                </c:pt>
                <c:pt idx="341">
                  <c:v>9665.69</c:v>
                </c:pt>
                <c:pt idx="342">
                  <c:v>9318.53</c:v>
                </c:pt>
                <c:pt idx="343">
                  <c:v>9135.809999999999</c:v>
                </c:pt>
                <c:pt idx="344">
                  <c:v>9135.809999999999</c:v>
                </c:pt>
                <c:pt idx="345">
                  <c:v>9184.23</c:v>
                </c:pt>
                <c:pt idx="346">
                  <c:v>9227.17</c:v>
                </c:pt>
                <c:pt idx="347">
                  <c:v>9456.48</c:v>
                </c:pt>
                <c:pt idx="348">
                  <c:v>9593.51</c:v>
                </c:pt>
                <c:pt idx="349">
                  <c:v>9423.59</c:v>
                </c:pt>
                <c:pt idx="350">
                  <c:v>9134.9</c:v>
                </c:pt>
                <c:pt idx="351">
                  <c:v>9067.29</c:v>
                </c:pt>
                <c:pt idx="352">
                  <c:v>8998.77</c:v>
                </c:pt>
                <c:pt idx="353">
                  <c:v>9135.809999999999</c:v>
                </c:pt>
                <c:pt idx="354">
                  <c:v>9537.78</c:v>
                </c:pt>
                <c:pt idx="355">
                  <c:v>9592.6</c:v>
                </c:pt>
                <c:pt idx="356">
                  <c:v>9227.17</c:v>
                </c:pt>
                <c:pt idx="357">
                  <c:v>9227.17</c:v>
                </c:pt>
                <c:pt idx="358">
                  <c:v>9044.450000000001</c:v>
                </c:pt>
                <c:pt idx="359">
                  <c:v>8998.77</c:v>
                </c:pt>
                <c:pt idx="360">
                  <c:v>8588.57</c:v>
                </c:pt>
                <c:pt idx="361">
                  <c:v>8541.98</c:v>
                </c:pt>
                <c:pt idx="362">
                  <c:v>8222.23</c:v>
                </c:pt>
                <c:pt idx="363">
                  <c:v>7901.56</c:v>
                </c:pt>
                <c:pt idx="364">
                  <c:v>8039.51</c:v>
                </c:pt>
                <c:pt idx="365">
                  <c:v>8064.18</c:v>
                </c:pt>
                <c:pt idx="366">
                  <c:v>7912.52</c:v>
                </c:pt>
                <c:pt idx="367">
                  <c:v>7813.86</c:v>
                </c:pt>
                <c:pt idx="368">
                  <c:v>7809.29</c:v>
                </c:pt>
                <c:pt idx="369">
                  <c:v>7857.71</c:v>
                </c:pt>
                <c:pt idx="370">
                  <c:v>7540.7</c:v>
                </c:pt>
                <c:pt idx="371">
                  <c:v>7139.63</c:v>
                </c:pt>
                <c:pt idx="372">
                  <c:v>7125.02</c:v>
                </c:pt>
                <c:pt idx="373">
                  <c:v>6915.81</c:v>
                </c:pt>
                <c:pt idx="374">
                  <c:v>6924.94</c:v>
                </c:pt>
                <c:pt idx="375">
                  <c:v>6840.89</c:v>
                </c:pt>
                <c:pt idx="376">
                  <c:v>6829.02</c:v>
                </c:pt>
                <c:pt idx="377">
                  <c:v>6851.86</c:v>
                </c:pt>
                <c:pt idx="378">
                  <c:v>6897.54</c:v>
                </c:pt>
                <c:pt idx="379">
                  <c:v>6896.62</c:v>
                </c:pt>
                <c:pt idx="380">
                  <c:v>6866.47</c:v>
                </c:pt>
                <c:pt idx="381">
                  <c:v>6892.97</c:v>
                </c:pt>
                <c:pt idx="382">
                  <c:v>6835.41</c:v>
                </c:pt>
                <c:pt idx="383">
                  <c:v>6824.45</c:v>
                </c:pt>
                <c:pt idx="384">
                  <c:v>6755.93</c:v>
                </c:pt>
                <c:pt idx="385">
                  <c:v>6422.47</c:v>
                </c:pt>
                <c:pt idx="386">
                  <c:v>6395.07</c:v>
                </c:pt>
                <c:pt idx="387">
                  <c:v>6440.75</c:v>
                </c:pt>
                <c:pt idx="388">
                  <c:v>6548.55</c:v>
                </c:pt>
                <c:pt idx="389">
                  <c:v>6541.24</c:v>
                </c:pt>
                <c:pt idx="390">
                  <c:v>6669.14</c:v>
                </c:pt>
                <c:pt idx="391">
                  <c:v>6870.13</c:v>
                </c:pt>
                <c:pt idx="392">
                  <c:v>7052.84</c:v>
                </c:pt>
                <c:pt idx="393">
                  <c:v>7080.25</c:v>
                </c:pt>
                <c:pt idx="394">
                  <c:v>7016.3</c:v>
                </c:pt>
                <c:pt idx="395">
                  <c:v>6764.15</c:v>
                </c:pt>
                <c:pt idx="396">
                  <c:v>6774.2</c:v>
                </c:pt>
                <c:pt idx="397">
                  <c:v>6760.5</c:v>
                </c:pt>
                <c:pt idx="398">
                  <c:v>6720.3</c:v>
                </c:pt>
                <c:pt idx="399">
                  <c:v>6669.14</c:v>
                </c:pt>
                <c:pt idx="400">
                  <c:v>6578.7</c:v>
                </c:pt>
                <c:pt idx="401">
                  <c:v>6762.33</c:v>
                </c:pt>
                <c:pt idx="402">
                  <c:v>6829.02</c:v>
                </c:pt>
                <c:pt idx="403">
                  <c:v>6760.5</c:v>
                </c:pt>
                <c:pt idx="404">
                  <c:v>6550.38</c:v>
                </c:pt>
                <c:pt idx="405">
                  <c:v>6440.75</c:v>
                </c:pt>
                <c:pt idx="406">
                  <c:v>6571.39</c:v>
                </c:pt>
                <c:pt idx="407">
                  <c:v>6644.47</c:v>
                </c:pt>
                <c:pt idx="408">
                  <c:v>6577.78</c:v>
                </c:pt>
                <c:pt idx="409">
                  <c:v>6577.78</c:v>
                </c:pt>
                <c:pt idx="410">
                  <c:v>6486.42</c:v>
                </c:pt>
                <c:pt idx="411">
                  <c:v>6526.62</c:v>
                </c:pt>
                <c:pt idx="412">
                  <c:v>6564.08</c:v>
                </c:pt>
                <c:pt idx="413">
                  <c:v>6468.15</c:v>
                </c:pt>
                <c:pt idx="414">
                  <c:v>6851.86</c:v>
                </c:pt>
                <c:pt idx="415">
                  <c:v>7116.8</c:v>
                </c:pt>
                <c:pt idx="416">
                  <c:v>7127.76</c:v>
                </c:pt>
                <c:pt idx="417">
                  <c:v>7164.3</c:v>
                </c:pt>
                <c:pt idx="418">
                  <c:v>7156.08</c:v>
                </c:pt>
                <c:pt idx="419">
                  <c:v>7225.51</c:v>
                </c:pt>
                <c:pt idx="420">
                  <c:v>7236.47</c:v>
                </c:pt>
                <c:pt idx="421">
                  <c:v>7355.24</c:v>
                </c:pt>
                <c:pt idx="422">
                  <c:v>7427.41</c:v>
                </c:pt>
                <c:pt idx="423">
                  <c:v>7501.41</c:v>
                </c:pt>
                <c:pt idx="424">
                  <c:v>7431.07</c:v>
                </c:pt>
                <c:pt idx="425">
                  <c:v>7551.66</c:v>
                </c:pt>
                <c:pt idx="426">
                  <c:v>7442.94</c:v>
                </c:pt>
                <c:pt idx="427">
                  <c:v>7491.36</c:v>
                </c:pt>
                <c:pt idx="428">
                  <c:v>7354.33</c:v>
                </c:pt>
                <c:pt idx="429">
                  <c:v>7445.68</c:v>
                </c:pt>
                <c:pt idx="430">
                  <c:v>7491.36</c:v>
                </c:pt>
                <c:pt idx="431">
                  <c:v>7628.4</c:v>
                </c:pt>
                <c:pt idx="432">
                  <c:v>7856.8</c:v>
                </c:pt>
                <c:pt idx="433">
                  <c:v>7765.44</c:v>
                </c:pt>
                <c:pt idx="434">
                  <c:v>7674.99</c:v>
                </c:pt>
                <c:pt idx="435">
                  <c:v>7674.08</c:v>
                </c:pt>
                <c:pt idx="436">
                  <c:v>7560.8</c:v>
                </c:pt>
                <c:pt idx="437">
                  <c:v>7537.04</c:v>
                </c:pt>
                <c:pt idx="438">
                  <c:v>7322.35</c:v>
                </c:pt>
                <c:pt idx="439">
                  <c:v>7584.55</c:v>
                </c:pt>
                <c:pt idx="440">
                  <c:v>7856.8</c:v>
                </c:pt>
                <c:pt idx="441">
                  <c:v>7948.15</c:v>
                </c:pt>
                <c:pt idx="442">
                  <c:v>7765.44</c:v>
                </c:pt>
                <c:pt idx="443">
                  <c:v>7935.36</c:v>
                </c:pt>
                <c:pt idx="444">
                  <c:v>7948.15</c:v>
                </c:pt>
                <c:pt idx="445">
                  <c:v>7948.15</c:v>
                </c:pt>
                <c:pt idx="446">
                  <c:v>7993.83</c:v>
                </c:pt>
                <c:pt idx="447">
                  <c:v>7878.72</c:v>
                </c:pt>
                <c:pt idx="448">
                  <c:v>7902.47</c:v>
                </c:pt>
                <c:pt idx="449">
                  <c:v>7947.24</c:v>
                </c:pt>
                <c:pt idx="450">
                  <c:v>7948.15</c:v>
                </c:pt>
                <c:pt idx="451">
                  <c:v>7948.15</c:v>
                </c:pt>
                <c:pt idx="452">
                  <c:v>7921.66</c:v>
                </c:pt>
                <c:pt idx="453">
                  <c:v>8006.62</c:v>
                </c:pt>
                <c:pt idx="454">
                  <c:v>8039.51</c:v>
                </c:pt>
                <c:pt idx="455">
                  <c:v>8130.87</c:v>
                </c:pt>
                <c:pt idx="456">
                  <c:v>7948.15</c:v>
                </c:pt>
                <c:pt idx="457">
                  <c:v>8039.51</c:v>
                </c:pt>
                <c:pt idx="458">
                  <c:v>8039.51</c:v>
                </c:pt>
                <c:pt idx="459">
                  <c:v>7884.2</c:v>
                </c:pt>
                <c:pt idx="460">
                  <c:v>7856.8</c:v>
                </c:pt>
                <c:pt idx="461">
                  <c:v>7765.44</c:v>
                </c:pt>
                <c:pt idx="462">
                  <c:v>7948.15</c:v>
                </c:pt>
                <c:pt idx="463">
                  <c:v>7879.64</c:v>
                </c:pt>
                <c:pt idx="464">
                  <c:v>7648.5</c:v>
                </c:pt>
                <c:pt idx="465">
                  <c:v>7674.08</c:v>
                </c:pt>
                <c:pt idx="466">
                  <c:v>7657.64</c:v>
                </c:pt>
                <c:pt idx="467">
                  <c:v>7445.68</c:v>
                </c:pt>
                <c:pt idx="468">
                  <c:v>7303.17</c:v>
                </c:pt>
                <c:pt idx="469">
                  <c:v>7213.91</c:v>
                </c:pt>
                <c:pt idx="470">
                  <c:v>7483.49</c:v>
                </c:pt>
                <c:pt idx="471">
                  <c:v>7551.11</c:v>
                </c:pt>
                <c:pt idx="472">
                  <c:v>7618.73</c:v>
                </c:pt>
                <c:pt idx="473">
                  <c:v>7911.76</c:v>
                </c:pt>
                <c:pt idx="474">
                  <c:v>7844.14</c:v>
                </c:pt>
                <c:pt idx="475">
                  <c:v>7844.14</c:v>
                </c:pt>
                <c:pt idx="476">
                  <c:v>7889.22</c:v>
                </c:pt>
                <c:pt idx="477">
                  <c:v>7828.81</c:v>
                </c:pt>
                <c:pt idx="478">
                  <c:v>7844.14</c:v>
                </c:pt>
                <c:pt idx="479">
                  <c:v>8163.32</c:v>
                </c:pt>
                <c:pt idx="480">
                  <c:v>7934.3</c:v>
                </c:pt>
                <c:pt idx="481">
                  <c:v>7934.3</c:v>
                </c:pt>
                <c:pt idx="482">
                  <c:v>8123.65</c:v>
                </c:pt>
                <c:pt idx="483">
                  <c:v>7663.82</c:v>
                </c:pt>
                <c:pt idx="484">
                  <c:v>7642.18</c:v>
                </c:pt>
                <c:pt idx="485">
                  <c:v>7596.19</c:v>
                </c:pt>
                <c:pt idx="486">
                  <c:v>7636.77</c:v>
                </c:pt>
                <c:pt idx="487">
                  <c:v>7663.82</c:v>
                </c:pt>
                <c:pt idx="488">
                  <c:v>7663.82</c:v>
                </c:pt>
                <c:pt idx="489">
                  <c:v>7684.55</c:v>
                </c:pt>
                <c:pt idx="490">
                  <c:v>7490.7</c:v>
                </c:pt>
                <c:pt idx="491">
                  <c:v>7655.7</c:v>
                </c:pt>
                <c:pt idx="492">
                  <c:v>7371.69</c:v>
                </c:pt>
                <c:pt idx="493">
                  <c:v>7636.77</c:v>
                </c:pt>
                <c:pt idx="494">
                  <c:v>7618.73</c:v>
                </c:pt>
                <c:pt idx="495">
                  <c:v>7708.0</c:v>
                </c:pt>
                <c:pt idx="496">
                  <c:v>7510.54</c:v>
                </c:pt>
                <c:pt idx="497">
                  <c:v>7723.32</c:v>
                </c:pt>
                <c:pt idx="498">
                  <c:v>8114.63</c:v>
                </c:pt>
                <c:pt idx="499">
                  <c:v>8114.63</c:v>
                </c:pt>
                <c:pt idx="500">
                  <c:v>8069.55</c:v>
                </c:pt>
                <c:pt idx="501">
                  <c:v>8114.63</c:v>
                </c:pt>
                <c:pt idx="502">
                  <c:v>8114.63</c:v>
                </c:pt>
                <c:pt idx="503">
                  <c:v>7979.39</c:v>
                </c:pt>
                <c:pt idx="504">
                  <c:v>7862.17</c:v>
                </c:pt>
                <c:pt idx="505">
                  <c:v>7821.6</c:v>
                </c:pt>
                <c:pt idx="506">
                  <c:v>7767.5</c:v>
                </c:pt>
                <c:pt idx="507">
                  <c:v>7764.8</c:v>
                </c:pt>
                <c:pt idx="508">
                  <c:v>7889.22</c:v>
                </c:pt>
                <c:pt idx="509">
                  <c:v>7889.22</c:v>
                </c:pt>
                <c:pt idx="510">
                  <c:v>7966.76</c:v>
                </c:pt>
                <c:pt idx="511">
                  <c:v>7889.22</c:v>
                </c:pt>
                <c:pt idx="512">
                  <c:v>7966.76</c:v>
                </c:pt>
                <c:pt idx="513">
                  <c:v>7906.35</c:v>
                </c:pt>
                <c:pt idx="514">
                  <c:v>7882.01</c:v>
                </c:pt>
                <c:pt idx="515">
                  <c:v>8087.58</c:v>
                </c:pt>
                <c:pt idx="516">
                  <c:v>8137.17</c:v>
                </c:pt>
                <c:pt idx="517">
                  <c:v>8272.41</c:v>
                </c:pt>
                <c:pt idx="518">
                  <c:v>8193.07</c:v>
                </c:pt>
                <c:pt idx="519">
                  <c:v>8294.950000000001</c:v>
                </c:pt>
                <c:pt idx="520">
                  <c:v>8294.950000000001</c:v>
                </c:pt>
                <c:pt idx="521">
                  <c:v>8164.22</c:v>
                </c:pt>
                <c:pt idx="522">
                  <c:v>7911.76</c:v>
                </c:pt>
                <c:pt idx="523">
                  <c:v>7753.98</c:v>
                </c:pt>
                <c:pt idx="524">
                  <c:v>7753.98</c:v>
                </c:pt>
                <c:pt idx="525">
                  <c:v>7818.9</c:v>
                </c:pt>
                <c:pt idx="526">
                  <c:v>7934.3</c:v>
                </c:pt>
                <c:pt idx="527">
                  <c:v>8113.73</c:v>
                </c:pt>
                <c:pt idx="528">
                  <c:v>7753.98</c:v>
                </c:pt>
                <c:pt idx="529">
                  <c:v>7438.41</c:v>
                </c:pt>
                <c:pt idx="530">
                  <c:v>7393.33</c:v>
                </c:pt>
                <c:pt idx="531">
                  <c:v>7413.16</c:v>
                </c:pt>
                <c:pt idx="532">
                  <c:v>7386.12</c:v>
                </c:pt>
                <c:pt idx="533">
                  <c:v>7303.17</c:v>
                </c:pt>
                <c:pt idx="534">
                  <c:v>7406.85</c:v>
                </c:pt>
                <c:pt idx="535">
                  <c:v>7212.1</c:v>
                </c:pt>
                <c:pt idx="536">
                  <c:v>7213.0</c:v>
                </c:pt>
                <c:pt idx="537">
                  <c:v>7276.12</c:v>
                </c:pt>
                <c:pt idx="538">
                  <c:v>7242.76</c:v>
                </c:pt>
                <c:pt idx="539">
                  <c:v>7285.13</c:v>
                </c:pt>
                <c:pt idx="540">
                  <c:v>7403.25</c:v>
                </c:pt>
                <c:pt idx="541">
                  <c:v>7483.49</c:v>
                </c:pt>
                <c:pt idx="542">
                  <c:v>7462.75</c:v>
                </c:pt>
                <c:pt idx="543">
                  <c:v>7357.26</c:v>
                </c:pt>
                <c:pt idx="544">
                  <c:v>7573.65</c:v>
                </c:pt>
                <c:pt idx="545">
                  <c:v>7546.6</c:v>
                </c:pt>
                <c:pt idx="546">
                  <c:v>7560.13</c:v>
                </c:pt>
                <c:pt idx="547">
                  <c:v>7521.36</c:v>
                </c:pt>
                <c:pt idx="548">
                  <c:v>7582.67</c:v>
                </c:pt>
                <c:pt idx="549">
                  <c:v>7616.93</c:v>
                </c:pt>
                <c:pt idx="550">
                  <c:v>7507.83</c:v>
                </c:pt>
                <c:pt idx="551">
                  <c:v>7492.51</c:v>
                </c:pt>
                <c:pt idx="552">
                  <c:v>7555.62</c:v>
                </c:pt>
                <c:pt idx="553">
                  <c:v>7616.93</c:v>
                </c:pt>
                <c:pt idx="554">
                  <c:v>7606.11</c:v>
                </c:pt>
                <c:pt idx="555">
                  <c:v>7508.74</c:v>
                </c:pt>
                <c:pt idx="556">
                  <c:v>7551.11</c:v>
                </c:pt>
                <c:pt idx="557">
                  <c:v>7483.49</c:v>
                </c:pt>
                <c:pt idx="558">
                  <c:v>7506.93</c:v>
                </c:pt>
                <c:pt idx="559">
                  <c:v>7483.49</c:v>
                </c:pt>
                <c:pt idx="560">
                  <c:v>7618.73</c:v>
                </c:pt>
                <c:pt idx="561">
                  <c:v>7537.59</c:v>
                </c:pt>
                <c:pt idx="562">
                  <c:v>7488.0</c:v>
                </c:pt>
                <c:pt idx="563">
                  <c:v>7663.82</c:v>
                </c:pt>
                <c:pt idx="564">
                  <c:v>7630.46</c:v>
                </c:pt>
                <c:pt idx="565">
                  <c:v>7429.39</c:v>
                </c:pt>
                <c:pt idx="566">
                  <c:v>7548.23</c:v>
                </c:pt>
                <c:pt idx="567">
                  <c:v>7596.19</c:v>
                </c:pt>
                <c:pt idx="568">
                  <c:v>7663.82</c:v>
                </c:pt>
                <c:pt idx="569">
                  <c:v>7483.49</c:v>
                </c:pt>
                <c:pt idx="570">
                  <c:v>7454.72</c:v>
                </c:pt>
                <c:pt idx="571">
                  <c:v>7483.49</c:v>
                </c:pt>
                <c:pt idx="572">
                  <c:v>7460.05</c:v>
                </c:pt>
                <c:pt idx="573">
                  <c:v>7528.57</c:v>
                </c:pt>
                <c:pt idx="574">
                  <c:v>7486.2</c:v>
                </c:pt>
                <c:pt idx="575">
                  <c:v>7565.54</c:v>
                </c:pt>
                <c:pt idx="576">
                  <c:v>7341.03</c:v>
                </c:pt>
                <c:pt idx="577">
                  <c:v>7191.36</c:v>
                </c:pt>
                <c:pt idx="578">
                  <c:v>7213.0</c:v>
                </c:pt>
                <c:pt idx="579">
                  <c:v>7202.18</c:v>
                </c:pt>
                <c:pt idx="580">
                  <c:v>7181.45</c:v>
                </c:pt>
                <c:pt idx="581">
                  <c:v>7193.17</c:v>
                </c:pt>
                <c:pt idx="582">
                  <c:v>7204.57</c:v>
                </c:pt>
                <c:pt idx="583">
                  <c:v>7193.17</c:v>
                </c:pt>
                <c:pt idx="584">
                  <c:v>7224.75</c:v>
                </c:pt>
                <c:pt idx="585">
                  <c:v>7224.75</c:v>
                </c:pt>
                <c:pt idx="586">
                  <c:v>7162.47</c:v>
                </c:pt>
                <c:pt idx="587">
                  <c:v>7175.62</c:v>
                </c:pt>
                <c:pt idx="588">
                  <c:v>7017.73</c:v>
                </c:pt>
                <c:pt idx="589">
                  <c:v>6913.34</c:v>
                </c:pt>
                <c:pt idx="590">
                  <c:v>6754.56</c:v>
                </c:pt>
                <c:pt idx="591">
                  <c:v>6737.02</c:v>
                </c:pt>
                <c:pt idx="592">
                  <c:v>6842.28</c:v>
                </c:pt>
                <c:pt idx="593">
                  <c:v>6861.58</c:v>
                </c:pt>
                <c:pt idx="594">
                  <c:v>7193.17</c:v>
                </c:pt>
                <c:pt idx="595">
                  <c:v>7080.88</c:v>
                </c:pt>
                <c:pt idx="596">
                  <c:v>7008.08</c:v>
                </c:pt>
                <c:pt idx="597">
                  <c:v>6874.74</c:v>
                </c:pt>
                <c:pt idx="598">
                  <c:v>6965.09</c:v>
                </c:pt>
                <c:pt idx="599">
                  <c:v>7022.11</c:v>
                </c:pt>
                <c:pt idx="600">
                  <c:v>7279.14</c:v>
                </c:pt>
                <c:pt idx="601">
                  <c:v>7506.33</c:v>
                </c:pt>
                <c:pt idx="602">
                  <c:v>7632.65</c:v>
                </c:pt>
                <c:pt idx="603">
                  <c:v>7675.64</c:v>
                </c:pt>
                <c:pt idx="604">
                  <c:v>7719.5</c:v>
                </c:pt>
                <c:pt idx="605">
                  <c:v>7715.11</c:v>
                </c:pt>
                <c:pt idx="606">
                  <c:v>7719.5</c:v>
                </c:pt>
                <c:pt idx="607">
                  <c:v>7719.5</c:v>
                </c:pt>
                <c:pt idx="608">
                  <c:v>7763.36</c:v>
                </c:pt>
                <c:pt idx="609">
                  <c:v>7719.5</c:v>
                </c:pt>
                <c:pt idx="610">
                  <c:v>7632.65</c:v>
                </c:pt>
                <c:pt idx="611">
                  <c:v>7631.78</c:v>
                </c:pt>
                <c:pt idx="612">
                  <c:v>7517.74</c:v>
                </c:pt>
                <c:pt idx="613">
                  <c:v>7368.61</c:v>
                </c:pt>
                <c:pt idx="614">
                  <c:v>7324.75</c:v>
                </c:pt>
                <c:pt idx="615">
                  <c:v>7412.47</c:v>
                </c:pt>
                <c:pt idx="616">
                  <c:v>7425.63</c:v>
                </c:pt>
                <c:pt idx="617">
                  <c:v>7280.89</c:v>
                </c:pt>
                <c:pt idx="618">
                  <c:v>7587.92</c:v>
                </c:pt>
                <c:pt idx="619">
                  <c:v>7451.95</c:v>
                </c:pt>
                <c:pt idx="620">
                  <c:v>7427.38</c:v>
                </c:pt>
                <c:pt idx="621">
                  <c:v>7368.61</c:v>
                </c:pt>
                <c:pt idx="622">
                  <c:v>7518.62</c:v>
                </c:pt>
                <c:pt idx="623">
                  <c:v>7368.61</c:v>
                </c:pt>
                <c:pt idx="624">
                  <c:v>7570.37</c:v>
                </c:pt>
                <c:pt idx="625">
                  <c:v>7587.92</c:v>
                </c:pt>
                <c:pt idx="626">
                  <c:v>7587.92</c:v>
                </c:pt>
                <c:pt idx="627">
                  <c:v>7522.12</c:v>
                </c:pt>
                <c:pt idx="628">
                  <c:v>7592.3</c:v>
                </c:pt>
                <c:pt idx="629">
                  <c:v>7544.05</c:v>
                </c:pt>
                <c:pt idx="630">
                  <c:v>7544.05</c:v>
                </c:pt>
                <c:pt idx="631">
                  <c:v>7605.46</c:v>
                </c:pt>
                <c:pt idx="632">
                  <c:v>7571.25</c:v>
                </c:pt>
                <c:pt idx="633">
                  <c:v>7483.53</c:v>
                </c:pt>
                <c:pt idx="634">
                  <c:v>7631.78</c:v>
                </c:pt>
                <c:pt idx="635">
                  <c:v>7631.78</c:v>
                </c:pt>
                <c:pt idx="636">
                  <c:v>7631.78</c:v>
                </c:pt>
                <c:pt idx="637">
                  <c:v>7456.33</c:v>
                </c:pt>
                <c:pt idx="638">
                  <c:v>7537.91</c:v>
                </c:pt>
                <c:pt idx="639">
                  <c:v>7547.86</c:v>
                </c:pt>
                <c:pt idx="640">
                  <c:v>7737.04</c:v>
                </c:pt>
                <c:pt idx="641">
                  <c:v>7763.36</c:v>
                </c:pt>
                <c:pt idx="642">
                  <c:v>7608.97</c:v>
                </c:pt>
                <c:pt idx="643">
                  <c:v>7526.51</c:v>
                </c:pt>
                <c:pt idx="644">
                  <c:v>7500.19</c:v>
                </c:pt>
                <c:pt idx="645">
                  <c:v>7434.4</c:v>
                </c:pt>
                <c:pt idx="646">
                  <c:v>7389.66</c:v>
                </c:pt>
                <c:pt idx="647">
                  <c:v>7386.16</c:v>
                </c:pt>
                <c:pt idx="648">
                  <c:v>7346.68</c:v>
                </c:pt>
                <c:pt idx="649">
                  <c:v>7324.75</c:v>
                </c:pt>
                <c:pt idx="650">
                  <c:v>7106.32</c:v>
                </c:pt>
                <c:pt idx="651">
                  <c:v>6930.0</c:v>
                </c:pt>
                <c:pt idx="652">
                  <c:v>7105.45</c:v>
                </c:pt>
                <c:pt idx="653">
                  <c:v>7193.17</c:v>
                </c:pt>
                <c:pt idx="654">
                  <c:v>7306.33</c:v>
                </c:pt>
                <c:pt idx="655">
                  <c:v>7386.16</c:v>
                </c:pt>
                <c:pt idx="656">
                  <c:v>7560.72</c:v>
                </c:pt>
                <c:pt idx="657">
                  <c:v>7622.13</c:v>
                </c:pt>
                <c:pt idx="658">
                  <c:v>7684.41</c:v>
                </c:pt>
                <c:pt idx="659">
                  <c:v>7796.69</c:v>
                </c:pt>
                <c:pt idx="660">
                  <c:v>7761.6</c:v>
                </c:pt>
                <c:pt idx="661">
                  <c:v>7684.41</c:v>
                </c:pt>
                <c:pt idx="662">
                  <c:v>7544.93</c:v>
                </c:pt>
                <c:pt idx="663">
                  <c:v>7689.67</c:v>
                </c:pt>
                <c:pt idx="664">
                  <c:v>7719.5</c:v>
                </c:pt>
                <c:pt idx="665">
                  <c:v>7684.41</c:v>
                </c:pt>
                <c:pt idx="666">
                  <c:v>7719.5</c:v>
                </c:pt>
                <c:pt idx="667">
                  <c:v>7696.69</c:v>
                </c:pt>
                <c:pt idx="668">
                  <c:v>7701.95</c:v>
                </c:pt>
                <c:pt idx="669">
                  <c:v>7786.17</c:v>
                </c:pt>
                <c:pt idx="670">
                  <c:v>7800.2</c:v>
                </c:pt>
                <c:pt idx="671">
                  <c:v>7817.75</c:v>
                </c:pt>
                <c:pt idx="672">
                  <c:v>7763.36</c:v>
                </c:pt>
                <c:pt idx="673">
                  <c:v>7672.13</c:v>
                </c:pt>
                <c:pt idx="674">
                  <c:v>7552.83</c:v>
                </c:pt>
                <c:pt idx="675">
                  <c:v>7720.37</c:v>
                </c:pt>
                <c:pt idx="676">
                  <c:v>7694.94</c:v>
                </c:pt>
                <c:pt idx="677">
                  <c:v>7806.34</c:v>
                </c:pt>
                <c:pt idx="678">
                  <c:v>7824.76</c:v>
                </c:pt>
                <c:pt idx="679">
                  <c:v>7890.55</c:v>
                </c:pt>
                <c:pt idx="680">
                  <c:v>7894.94</c:v>
                </c:pt>
                <c:pt idx="681">
                  <c:v>8114.24</c:v>
                </c:pt>
                <c:pt idx="682">
                  <c:v>8216.879999999999</c:v>
                </c:pt>
                <c:pt idx="683">
                  <c:v>8044.07</c:v>
                </c:pt>
                <c:pt idx="684">
                  <c:v>8443.2</c:v>
                </c:pt>
                <c:pt idx="685">
                  <c:v>8508.99</c:v>
                </c:pt>
                <c:pt idx="686">
                  <c:v>8421.27</c:v>
                </c:pt>
                <c:pt idx="687">
                  <c:v>8482.68</c:v>
                </c:pt>
                <c:pt idx="688">
                  <c:v>8201.969999999999</c:v>
                </c:pt>
                <c:pt idx="689">
                  <c:v>8144.95</c:v>
                </c:pt>
                <c:pt idx="690">
                  <c:v>8140.56</c:v>
                </c:pt>
                <c:pt idx="691">
                  <c:v>8194.07</c:v>
                </c:pt>
                <c:pt idx="692">
                  <c:v>8123.02</c:v>
                </c:pt>
                <c:pt idx="693">
                  <c:v>8114.24</c:v>
                </c:pt>
                <c:pt idx="694">
                  <c:v>8099.33</c:v>
                </c:pt>
                <c:pt idx="695">
                  <c:v>8091.44</c:v>
                </c:pt>
                <c:pt idx="696">
                  <c:v>8026.52</c:v>
                </c:pt>
                <c:pt idx="697">
                  <c:v>8008.98</c:v>
                </c:pt>
                <c:pt idx="698">
                  <c:v>7982.66</c:v>
                </c:pt>
                <c:pt idx="699">
                  <c:v>8070.38</c:v>
                </c:pt>
                <c:pt idx="700">
                  <c:v>8070.38</c:v>
                </c:pt>
                <c:pt idx="701">
                  <c:v>8038.8</c:v>
                </c:pt>
                <c:pt idx="702">
                  <c:v>8038.8</c:v>
                </c:pt>
                <c:pt idx="703">
                  <c:v>8100.21</c:v>
                </c:pt>
                <c:pt idx="704">
                  <c:v>8092.31</c:v>
                </c:pt>
                <c:pt idx="705">
                  <c:v>8061.61</c:v>
                </c:pt>
                <c:pt idx="706">
                  <c:v>7981.79</c:v>
                </c:pt>
                <c:pt idx="707">
                  <c:v>7952.84</c:v>
                </c:pt>
                <c:pt idx="708">
                  <c:v>8070.38</c:v>
                </c:pt>
                <c:pt idx="709">
                  <c:v>7890.55</c:v>
                </c:pt>
                <c:pt idx="710">
                  <c:v>7386.16</c:v>
                </c:pt>
                <c:pt idx="711">
                  <c:v>7194.05</c:v>
                </c:pt>
                <c:pt idx="712">
                  <c:v>7017.73</c:v>
                </c:pt>
                <c:pt idx="713">
                  <c:v>6973.86</c:v>
                </c:pt>
                <c:pt idx="714">
                  <c:v>6979.13</c:v>
                </c:pt>
                <c:pt idx="715">
                  <c:v>7259.84</c:v>
                </c:pt>
                <c:pt idx="716">
                  <c:v>7453.12</c:v>
                </c:pt>
                <c:pt idx="717">
                  <c:v>7280.64</c:v>
                </c:pt>
                <c:pt idx="718">
                  <c:v>7349.98</c:v>
                </c:pt>
                <c:pt idx="719">
                  <c:v>7453.12</c:v>
                </c:pt>
                <c:pt idx="720">
                  <c:v>7627.34</c:v>
                </c:pt>
                <c:pt idx="721">
                  <c:v>7760.81</c:v>
                </c:pt>
                <c:pt idx="722">
                  <c:v>7792.02</c:v>
                </c:pt>
                <c:pt idx="723">
                  <c:v>7974.03</c:v>
                </c:pt>
                <c:pt idx="724">
                  <c:v>7864.82</c:v>
                </c:pt>
                <c:pt idx="725">
                  <c:v>7913.36</c:v>
                </c:pt>
                <c:pt idx="726">
                  <c:v>7887.36</c:v>
                </c:pt>
                <c:pt idx="727">
                  <c:v>7714.01</c:v>
                </c:pt>
                <c:pt idx="728">
                  <c:v>7453.99</c:v>
                </c:pt>
                <c:pt idx="729">
                  <c:v>7453.99</c:v>
                </c:pt>
                <c:pt idx="730">
                  <c:v>7453.99</c:v>
                </c:pt>
                <c:pt idx="731">
                  <c:v>7471.32</c:v>
                </c:pt>
                <c:pt idx="732">
                  <c:v>7453.12</c:v>
                </c:pt>
                <c:pt idx="733">
                  <c:v>7445.32</c:v>
                </c:pt>
                <c:pt idx="734">
                  <c:v>7471.32</c:v>
                </c:pt>
                <c:pt idx="735">
                  <c:v>7453.99</c:v>
                </c:pt>
                <c:pt idx="736">
                  <c:v>7453.99</c:v>
                </c:pt>
                <c:pt idx="737">
                  <c:v>7254.64</c:v>
                </c:pt>
                <c:pt idx="738">
                  <c:v>7258.97</c:v>
                </c:pt>
                <c:pt idx="739">
                  <c:v>7193.96</c:v>
                </c:pt>
                <c:pt idx="740">
                  <c:v>7193.96</c:v>
                </c:pt>
                <c:pt idx="741">
                  <c:v>7150.63</c:v>
                </c:pt>
                <c:pt idx="742">
                  <c:v>7150.63</c:v>
                </c:pt>
                <c:pt idx="743">
                  <c:v>7160.16</c:v>
                </c:pt>
                <c:pt idx="744">
                  <c:v>7149.76</c:v>
                </c:pt>
                <c:pt idx="745">
                  <c:v>7128.96</c:v>
                </c:pt>
                <c:pt idx="746">
                  <c:v>7107.29</c:v>
                </c:pt>
                <c:pt idx="747">
                  <c:v>7020.62</c:v>
                </c:pt>
                <c:pt idx="748">
                  <c:v>7020.62</c:v>
                </c:pt>
                <c:pt idx="750">
                  <c:v>7107.29</c:v>
                </c:pt>
                <c:pt idx="751">
                  <c:v>7020.62</c:v>
                </c:pt>
                <c:pt idx="752">
                  <c:v>6947.81</c:v>
                </c:pt>
                <c:pt idx="753">
                  <c:v>6951.28</c:v>
                </c:pt>
                <c:pt idx="754">
                  <c:v>7005.88</c:v>
                </c:pt>
                <c:pt idx="755">
                  <c:v>6959.94</c:v>
                </c:pt>
                <c:pt idx="756">
                  <c:v>7020.62</c:v>
                </c:pt>
                <c:pt idx="757">
                  <c:v>6990.28</c:v>
                </c:pt>
                <c:pt idx="758">
                  <c:v>6965.14</c:v>
                </c:pt>
                <c:pt idx="759">
                  <c:v>6933.94</c:v>
                </c:pt>
                <c:pt idx="760">
                  <c:v>6891.47</c:v>
                </c:pt>
                <c:pt idx="761">
                  <c:v>6933.94</c:v>
                </c:pt>
                <c:pt idx="762">
                  <c:v>6899.27</c:v>
                </c:pt>
                <c:pt idx="763">
                  <c:v>6933.94</c:v>
                </c:pt>
                <c:pt idx="764">
                  <c:v>6864.6</c:v>
                </c:pt>
                <c:pt idx="765">
                  <c:v>6717.26</c:v>
                </c:pt>
                <c:pt idx="766">
                  <c:v>6717.26</c:v>
                </c:pt>
                <c:pt idx="767">
                  <c:v>6738.92</c:v>
                </c:pt>
                <c:pt idx="768">
                  <c:v>6770.13</c:v>
                </c:pt>
                <c:pt idx="769">
                  <c:v>6803.93</c:v>
                </c:pt>
                <c:pt idx="770">
                  <c:v>6847.27</c:v>
                </c:pt>
                <c:pt idx="771">
                  <c:v>6808.26</c:v>
                </c:pt>
                <c:pt idx="772">
                  <c:v>6757.99</c:v>
                </c:pt>
                <c:pt idx="773">
                  <c:v>6757.13</c:v>
                </c:pt>
                <c:pt idx="774">
                  <c:v>6782.26</c:v>
                </c:pt>
                <c:pt idx="775">
                  <c:v>6977.28</c:v>
                </c:pt>
                <c:pt idx="776">
                  <c:v>6920.07</c:v>
                </c:pt>
                <c:pt idx="777">
                  <c:v>6977.28</c:v>
                </c:pt>
                <c:pt idx="778">
                  <c:v>7020.62</c:v>
                </c:pt>
                <c:pt idx="779">
                  <c:v>7020.62</c:v>
                </c:pt>
                <c:pt idx="780">
                  <c:v>7020.62</c:v>
                </c:pt>
                <c:pt idx="781">
                  <c:v>7107.29</c:v>
                </c:pt>
                <c:pt idx="782">
                  <c:v>7107.29</c:v>
                </c:pt>
                <c:pt idx="783">
                  <c:v>6673.92</c:v>
                </c:pt>
                <c:pt idx="784">
                  <c:v>6673.92</c:v>
                </c:pt>
                <c:pt idx="785">
                  <c:v>6500.57</c:v>
                </c:pt>
                <c:pt idx="786">
                  <c:v>6457.23</c:v>
                </c:pt>
                <c:pt idx="787">
                  <c:v>6500.57</c:v>
                </c:pt>
                <c:pt idx="788">
                  <c:v>6586.38</c:v>
                </c:pt>
                <c:pt idx="789">
                  <c:v>6409.56</c:v>
                </c:pt>
                <c:pt idx="790">
                  <c:v>6097.53</c:v>
                </c:pt>
                <c:pt idx="791">
                  <c:v>5945.85</c:v>
                </c:pt>
                <c:pt idx="792">
                  <c:v>5980.52</c:v>
                </c:pt>
                <c:pt idx="793">
                  <c:v>5978.79</c:v>
                </c:pt>
                <c:pt idx="794">
                  <c:v>5893.85</c:v>
                </c:pt>
                <c:pt idx="795">
                  <c:v>5937.19</c:v>
                </c:pt>
                <c:pt idx="796">
                  <c:v>5980.52</c:v>
                </c:pt>
                <c:pt idx="797">
                  <c:v>5976.19</c:v>
                </c:pt>
                <c:pt idx="798">
                  <c:v>5893.85</c:v>
                </c:pt>
                <c:pt idx="799">
                  <c:v>5947.59</c:v>
                </c:pt>
                <c:pt idx="800">
                  <c:v>5947.59</c:v>
                </c:pt>
                <c:pt idx="801">
                  <c:v>5962.32</c:v>
                </c:pt>
                <c:pt idx="802">
                  <c:v>5939.79</c:v>
                </c:pt>
                <c:pt idx="803">
                  <c:v>5960.59</c:v>
                </c:pt>
                <c:pt idx="804">
                  <c:v>5963.19</c:v>
                </c:pt>
                <c:pt idx="805">
                  <c:v>5965.79</c:v>
                </c:pt>
                <c:pt idx="806">
                  <c:v>5915.52</c:v>
                </c:pt>
                <c:pt idx="807">
                  <c:v>5980.52</c:v>
                </c:pt>
                <c:pt idx="808">
                  <c:v>5931.12</c:v>
                </c:pt>
                <c:pt idx="809">
                  <c:v>5925.92</c:v>
                </c:pt>
                <c:pt idx="810">
                  <c:v>5901.65</c:v>
                </c:pt>
                <c:pt idx="811">
                  <c:v>5954.52</c:v>
                </c:pt>
                <c:pt idx="812">
                  <c:v>5937.19</c:v>
                </c:pt>
                <c:pt idx="813">
                  <c:v>5980.52</c:v>
                </c:pt>
                <c:pt idx="814">
                  <c:v>5915.52</c:v>
                </c:pt>
                <c:pt idx="815">
                  <c:v>5893.85</c:v>
                </c:pt>
                <c:pt idx="816">
                  <c:v>5892.98</c:v>
                </c:pt>
                <c:pt idx="817">
                  <c:v>5893.85</c:v>
                </c:pt>
                <c:pt idx="818">
                  <c:v>5850.51</c:v>
                </c:pt>
                <c:pt idx="819">
                  <c:v>5771.64</c:v>
                </c:pt>
                <c:pt idx="820">
                  <c:v>5742.17</c:v>
                </c:pt>
                <c:pt idx="821">
                  <c:v>5730.04</c:v>
                </c:pt>
                <c:pt idx="822">
                  <c:v>5759.5</c:v>
                </c:pt>
                <c:pt idx="823">
                  <c:v>5728.3</c:v>
                </c:pt>
                <c:pt idx="824">
                  <c:v>5807.18</c:v>
                </c:pt>
                <c:pt idx="825">
                  <c:v>5807.18</c:v>
                </c:pt>
                <c:pt idx="826">
                  <c:v>5807.18</c:v>
                </c:pt>
                <c:pt idx="827">
                  <c:v>5720.5</c:v>
                </c:pt>
                <c:pt idx="828">
                  <c:v>5720.5</c:v>
                </c:pt>
                <c:pt idx="829">
                  <c:v>5720.5</c:v>
                </c:pt>
                <c:pt idx="830">
                  <c:v>5772.51</c:v>
                </c:pt>
                <c:pt idx="831">
                  <c:v>5757.77</c:v>
                </c:pt>
                <c:pt idx="832">
                  <c:v>5758.61</c:v>
                </c:pt>
                <c:pt idx="833">
                  <c:v>5825.37</c:v>
                </c:pt>
                <c:pt idx="834">
                  <c:v>5827.04</c:v>
                </c:pt>
                <c:pt idx="835">
                  <c:v>5924.69</c:v>
                </c:pt>
                <c:pt idx="836">
                  <c:v>5925.52</c:v>
                </c:pt>
                <c:pt idx="837">
                  <c:v>5924.69</c:v>
                </c:pt>
                <c:pt idx="838">
                  <c:v>5842.9</c:v>
                </c:pt>
                <c:pt idx="839">
                  <c:v>5925.52</c:v>
                </c:pt>
                <c:pt idx="840">
                  <c:v>5826.21</c:v>
                </c:pt>
                <c:pt idx="841">
                  <c:v>5825.37</c:v>
                </c:pt>
                <c:pt idx="842">
                  <c:v>5842.06</c:v>
                </c:pt>
                <c:pt idx="843">
                  <c:v>5800.34</c:v>
                </c:pt>
                <c:pt idx="844">
                  <c:v>5902.15</c:v>
                </c:pt>
                <c:pt idx="845">
                  <c:v>5925.52</c:v>
                </c:pt>
                <c:pt idx="846">
                  <c:v>5925.52</c:v>
                </c:pt>
                <c:pt idx="847">
                  <c:v>5800.34</c:v>
                </c:pt>
                <c:pt idx="848">
                  <c:v>5758.61</c:v>
                </c:pt>
                <c:pt idx="849">
                  <c:v>5883.79</c:v>
                </c:pt>
                <c:pt idx="850">
                  <c:v>5872.11</c:v>
                </c:pt>
                <c:pt idx="851">
                  <c:v>5926.36</c:v>
                </c:pt>
                <c:pt idx="852">
                  <c:v>5708.53</c:v>
                </c:pt>
                <c:pt idx="853">
                  <c:v>5722.72</c:v>
                </c:pt>
                <c:pt idx="854">
                  <c:v>5716.88</c:v>
                </c:pt>
                <c:pt idx="855">
                  <c:v>5704.36</c:v>
                </c:pt>
                <c:pt idx="856">
                  <c:v>5675.15</c:v>
                </c:pt>
                <c:pt idx="857">
                  <c:v>5569.99</c:v>
                </c:pt>
                <c:pt idx="858">
                  <c:v>5512.4</c:v>
                </c:pt>
                <c:pt idx="859">
                  <c:v>5549.13</c:v>
                </c:pt>
                <c:pt idx="860">
                  <c:v>5549.96</c:v>
                </c:pt>
                <c:pt idx="861">
                  <c:v>5440.63</c:v>
                </c:pt>
                <c:pt idx="862">
                  <c:v>5508.23</c:v>
                </c:pt>
                <c:pt idx="863">
                  <c:v>5424.77</c:v>
                </c:pt>
                <c:pt idx="864">
                  <c:v>5341.32</c:v>
                </c:pt>
                <c:pt idx="865">
                  <c:v>5332.97</c:v>
                </c:pt>
                <c:pt idx="866">
                  <c:v>5090.11</c:v>
                </c:pt>
                <c:pt idx="867">
                  <c:v>5074.25</c:v>
                </c:pt>
                <c:pt idx="868">
                  <c:v>5090.94</c:v>
                </c:pt>
                <c:pt idx="869">
                  <c:v>5007.48</c:v>
                </c:pt>
                <c:pt idx="870">
                  <c:v>5090.94</c:v>
                </c:pt>
                <c:pt idx="871">
                  <c:v>5090.94</c:v>
                </c:pt>
                <c:pt idx="872">
                  <c:v>5090.94</c:v>
                </c:pt>
                <c:pt idx="873">
                  <c:v>4840.57</c:v>
                </c:pt>
                <c:pt idx="874">
                  <c:v>5007.48</c:v>
                </c:pt>
                <c:pt idx="875">
                  <c:v>4840.57</c:v>
                </c:pt>
                <c:pt idx="876">
                  <c:v>4840.57</c:v>
                </c:pt>
                <c:pt idx="877">
                  <c:v>4840.57</c:v>
                </c:pt>
                <c:pt idx="878">
                  <c:v>4757.11</c:v>
                </c:pt>
                <c:pt idx="879">
                  <c:v>4736.24</c:v>
                </c:pt>
                <c:pt idx="880">
                  <c:v>4840.57</c:v>
                </c:pt>
                <c:pt idx="881">
                  <c:v>4757.11</c:v>
                </c:pt>
                <c:pt idx="882">
                  <c:v>4700.36</c:v>
                </c:pt>
                <c:pt idx="883">
                  <c:v>4840.57</c:v>
                </c:pt>
                <c:pt idx="884">
                  <c:v>4757.11</c:v>
                </c:pt>
                <c:pt idx="885">
                  <c:v>4840.57</c:v>
                </c:pt>
                <c:pt idx="886">
                  <c:v>4698.69</c:v>
                </c:pt>
                <c:pt idx="887">
                  <c:v>4590.19</c:v>
                </c:pt>
                <c:pt idx="888">
                  <c:v>4723.73</c:v>
                </c:pt>
                <c:pt idx="889">
                  <c:v>4552.64</c:v>
                </c:pt>
                <c:pt idx="890">
                  <c:v>4548.46</c:v>
                </c:pt>
                <c:pt idx="891">
                  <c:v>4506.74</c:v>
                </c:pt>
                <c:pt idx="892">
                  <c:v>4506.74</c:v>
                </c:pt>
                <c:pt idx="893">
                  <c:v>4590.19</c:v>
                </c:pt>
                <c:pt idx="894">
                  <c:v>4569.33</c:v>
                </c:pt>
                <c:pt idx="895">
                  <c:v>4581.85</c:v>
                </c:pt>
                <c:pt idx="896">
                  <c:v>4590.19</c:v>
                </c:pt>
                <c:pt idx="897">
                  <c:v>4506.74</c:v>
                </c:pt>
                <c:pt idx="898">
                  <c:v>4506.74</c:v>
                </c:pt>
                <c:pt idx="899">
                  <c:v>4506.74</c:v>
                </c:pt>
                <c:pt idx="900">
                  <c:v>4506.74</c:v>
                </c:pt>
                <c:pt idx="901">
                  <c:v>4506.74</c:v>
                </c:pt>
                <c:pt idx="902">
                  <c:v>4506.74</c:v>
                </c:pt>
                <c:pt idx="903">
                  <c:v>4506.74</c:v>
                </c:pt>
                <c:pt idx="904">
                  <c:v>4590.19</c:v>
                </c:pt>
                <c:pt idx="905">
                  <c:v>4590.19</c:v>
                </c:pt>
                <c:pt idx="906">
                  <c:v>4381.55</c:v>
                </c:pt>
                <c:pt idx="907">
                  <c:v>4381.55</c:v>
                </c:pt>
                <c:pt idx="908">
                  <c:v>4465.01</c:v>
                </c:pt>
                <c:pt idx="909">
                  <c:v>4423.28</c:v>
                </c:pt>
                <c:pt idx="910">
                  <c:v>4381.55</c:v>
                </c:pt>
                <c:pt idx="911">
                  <c:v>4423.28</c:v>
                </c:pt>
                <c:pt idx="912">
                  <c:v>4422.44</c:v>
                </c:pt>
                <c:pt idx="913">
                  <c:v>4429.95</c:v>
                </c:pt>
                <c:pt idx="914">
                  <c:v>4505.9</c:v>
                </c:pt>
                <c:pt idx="915">
                  <c:v>4506.74</c:v>
                </c:pt>
                <c:pt idx="916">
                  <c:v>4352.34</c:v>
                </c:pt>
                <c:pt idx="917">
                  <c:v>4298.92</c:v>
                </c:pt>
                <c:pt idx="918">
                  <c:v>4438.3</c:v>
                </c:pt>
                <c:pt idx="919">
                  <c:v>4406.59</c:v>
                </c:pt>
                <c:pt idx="920">
                  <c:v>4456.66</c:v>
                </c:pt>
                <c:pt idx="921">
                  <c:v>4506.74</c:v>
                </c:pt>
                <c:pt idx="922">
                  <c:v>4544.29</c:v>
                </c:pt>
                <c:pt idx="923">
                  <c:v>4548.46</c:v>
                </c:pt>
                <c:pt idx="924">
                  <c:v>4666.14</c:v>
                </c:pt>
                <c:pt idx="925">
                  <c:v>4505.9</c:v>
                </c:pt>
                <c:pt idx="926">
                  <c:v>4405.75</c:v>
                </c:pt>
                <c:pt idx="927">
                  <c:v>4348.16</c:v>
                </c:pt>
                <c:pt idx="928">
                  <c:v>4548.46</c:v>
                </c:pt>
                <c:pt idx="929">
                  <c:v>4298.09</c:v>
                </c:pt>
                <c:pt idx="930">
                  <c:v>4339.82</c:v>
                </c:pt>
                <c:pt idx="931">
                  <c:v>4331.47</c:v>
                </c:pt>
                <c:pt idx="932">
                  <c:v>4338.98</c:v>
                </c:pt>
                <c:pt idx="933">
                  <c:v>4097.79</c:v>
                </c:pt>
                <c:pt idx="934">
                  <c:v>4047.72</c:v>
                </c:pt>
                <c:pt idx="935">
                  <c:v>4089.44</c:v>
                </c:pt>
                <c:pt idx="936">
                  <c:v>4089.44</c:v>
                </c:pt>
                <c:pt idx="937">
                  <c:v>4089.44</c:v>
                </c:pt>
                <c:pt idx="938">
                  <c:v>4047.72</c:v>
                </c:pt>
                <c:pt idx="939">
                  <c:v>4089.44</c:v>
                </c:pt>
                <c:pt idx="940">
                  <c:v>4081.1</c:v>
                </c:pt>
                <c:pt idx="941">
                  <c:v>4047.72</c:v>
                </c:pt>
                <c:pt idx="942">
                  <c:v>4010.16</c:v>
                </c:pt>
                <c:pt idx="943">
                  <c:v>4110.31</c:v>
                </c:pt>
                <c:pt idx="944">
                  <c:v>4131.17</c:v>
                </c:pt>
                <c:pt idx="945">
                  <c:v>4156.21</c:v>
                </c:pt>
                <c:pt idx="946">
                  <c:v>4168.73</c:v>
                </c:pt>
                <c:pt idx="947">
                  <c:v>4172.9</c:v>
                </c:pt>
                <c:pt idx="948">
                  <c:v>4339.82</c:v>
                </c:pt>
                <c:pt idx="949">
                  <c:v>4340.65</c:v>
                </c:pt>
                <c:pt idx="950">
                  <c:v>4256.36</c:v>
                </c:pt>
                <c:pt idx="951">
                  <c:v>4022.68</c:v>
                </c:pt>
                <c:pt idx="952">
                  <c:v>4005.99</c:v>
                </c:pt>
                <c:pt idx="953">
                  <c:v>3924.2</c:v>
                </c:pt>
                <c:pt idx="954">
                  <c:v>3989.3</c:v>
                </c:pt>
                <c:pt idx="955">
                  <c:v>4005.99</c:v>
                </c:pt>
                <c:pt idx="956">
                  <c:v>4089.44</c:v>
                </c:pt>
                <c:pt idx="957">
                  <c:v>4089.44</c:v>
                </c:pt>
                <c:pt idx="958">
                  <c:v>4089.44</c:v>
                </c:pt>
                <c:pt idx="959">
                  <c:v>4089.44</c:v>
                </c:pt>
                <c:pt idx="960">
                  <c:v>4089.44</c:v>
                </c:pt>
                <c:pt idx="961">
                  <c:v>4005.99</c:v>
                </c:pt>
                <c:pt idx="962">
                  <c:v>4022.68</c:v>
                </c:pt>
                <c:pt idx="963">
                  <c:v>4047.72</c:v>
                </c:pt>
                <c:pt idx="964">
                  <c:v>4047.72</c:v>
                </c:pt>
                <c:pt idx="965">
                  <c:v>4135.35</c:v>
                </c:pt>
                <c:pt idx="966">
                  <c:v>4135.35</c:v>
                </c:pt>
                <c:pt idx="967">
                  <c:v>4052.64</c:v>
                </c:pt>
                <c:pt idx="968">
                  <c:v>4135.35</c:v>
                </c:pt>
                <c:pt idx="969">
                  <c:v>4052.64</c:v>
                </c:pt>
                <c:pt idx="970">
                  <c:v>4135.35</c:v>
                </c:pt>
                <c:pt idx="971">
                  <c:v>4052.64</c:v>
                </c:pt>
                <c:pt idx="972">
                  <c:v>4052.64</c:v>
                </c:pt>
                <c:pt idx="973">
                  <c:v>4052.64</c:v>
                </c:pt>
                <c:pt idx="974">
                  <c:v>3854.14</c:v>
                </c:pt>
                <c:pt idx="975">
                  <c:v>4093.99</c:v>
                </c:pt>
                <c:pt idx="976">
                  <c:v>4000.53</c:v>
                </c:pt>
                <c:pt idx="977">
                  <c:v>4053.47</c:v>
                </c:pt>
                <c:pt idx="978">
                  <c:v>3891.36</c:v>
                </c:pt>
                <c:pt idx="979">
                  <c:v>4102.26</c:v>
                </c:pt>
                <c:pt idx="980">
                  <c:v>3808.65</c:v>
                </c:pt>
                <c:pt idx="981">
                  <c:v>3804.52</c:v>
                </c:pt>
                <c:pt idx="982">
                  <c:v>3804.52</c:v>
                </c:pt>
                <c:pt idx="983">
                  <c:v>3804.52</c:v>
                </c:pt>
                <c:pt idx="984">
                  <c:v>3805.35</c:v>
                </c:pt>
                <c:pt idx="985">
                  <c:v>4135.35</c:v>
                </c:pt>
                <c:pt idx="986">
                  <c:v>3804.52</c:v>
                </c:pt>
                <c:pt idx="987">
                  <c:v>3804.52</c:v>
                </c:pt>
                <c:pt idx="988">
                  <c:v>3804.52</c:v>
                </c:pt>
                <c:pt idx="989">
                  <c:v>3804.52</c:v>
                </c:pt>
                <c:pt idx="990">
                  <c:v>3804.52</c:v>
                </c:pt>
                <c:pt idx="991">
                  <c:v>3816.93</c:v>
                </c:pt>
                <c:pt idx="992">
                  <c:v>3803.69</c:v>
                </c:pt>
                <c:pt idx="993">
                  <c:v>3802.04</c:v>
                </c:pt>
                <c:pt idx="994">
                  <c:v>3680.46</c:v>
                </c:pt>
                <c:pt idx="995">
                  <c:v>3680.46</c:v>
                </c:pt>
                <c:pt idx="996">
                  <c:v>3680.46</c:v>
                </c:pt>
                <c:pt idx="997">
                  <c:v>3713.54</c:v>
                </c:pt>
                <c:pt idx="998">
                  <c:v>3597.75</c:v>
                </c:pt>
                <c:pt idx="999">
                  <c:v>3639.11</c:v>
                </c:pt>
                <c:pt idx="1000">
                  <c:v>3639.11</c:v>
                </c:pt>
                <c:pt idx="1001">
                  <c:v>3680.46</c:v>
                </c:pt>
                <c:pt idx="1002">
                  <c:v>3721.81</c:v>
                </c:pt>
                <c:pt idx="1003">
                  <c:v>3721.81</c:v>
                </c:pt>
                <c:pt idx="1004">
                  <c:v>3721.81</c:v>
                </c:pt>
                <c:pt idx="1005">
                  <c:v>3721.81</c:v>
                </c:pt>
                <c:pt idx="1006">
                  <c:v>3721.81</c:v>
                </c:pt>
                <c:pt idx="1007">
                  <c:v>3721.81</c:v>
                </c:pt>
                <c:pt idx="1008">
                  <c:v>3730.08</c:v>
                </c:pt>
                <c:pt idx="1009">
                  <c:v>3800.38</c:v>
                </c:pt>
                <c:pt idx="1010">
                  <c:v>3787.98</c:v>
                </c:pt>
                <c:pt idx="1011">
                  <c:v>3803.69</c:v>
                </c:pt>
                <c:pt idx="1012">
                  <c:v>3802.86</c:v>
                </c:pt>
                <c:pt idx="1013">
                  <c:v>3804.52</c:v>
                </c:pt>
                <c:pt idx="1014">
                  <c:v>3735.87</c:v>
                </c:pt>
                <c:pt idx="1015">
                  <c:v>3886.4</c:v>
                </c:pt>
                <c:pt idx="1016">
                  <c:v>3886.4</c:v>
                </c:pt>
                <c:pt idx="1017">
                  <c:v>3887.23</c:v>
                </c:pt>
                <c:pt idx="1018">
                  <c:v>3887.23</c:v>
                </c:pt>
                <c:pt idx="1019">
                  <c:v>4051.81</c:v>
                </c:pt>
                <c:pt idx="1020">
                  <c:v>3969.93</c:v>
                </c:pt>
                <c:pt idx="1021">
                  <c:v>3888.88</c:v>
                </c:pt>
                <c:pt idx="1022">
                  <c:v>3887.23</c:v>
                </c:pt>
                <c:pt idx="1023">
                  <c:v>3887.23</c:v>
                </c:pt>
                <c:pt idx="1024">
                  <c:v>3887.23</c:v>
                </c:pt>
                <c:pt idx="1025">
                  <c:v>3887.23</c:v>
                </c:pt>
                <c:pt idx="1026">
                  <c:v>3887.23</c:v>
                </c:pt>
                <c:pt idx="1027">
                  <c:v>3887.23</c:v>
                </c:pt>
                <c:pt idx="1028">
                  <c:v>3852.49</c:v>
                </c:pt>
                <c:pt idx="1029">
                  <c:v>3830.16</c:v>
                </c:pt>
                <c:pt idx="1030">
                  <c:v>3826.02</c:v>
                </c:pt>
                <c:pt idx="1031">
                  <c:v>3734.22</c:v>
                </c:pt>
                <c:pt idx="1032">
                  <c:v>3812.79</c:v>
                </c:pt>
                <c:pt idx="1033">
                  <c:v>3804.52</c:v>
                </c:pt>
                <c:pt idx="1034">
                  <c:v>3811.96</c:v>
                </c:pt>
                <c:pt idx="1035">
                  <c:v>3812.79</c:v>
                </c:pt>
                <c:pt idx="1036">
                  <c:v>3680.46</c:v>
                </c:pt>
                <c:pt idx="1037">
                  <c:v>3730.08</c:v>
                </c:pt>
                <c:pt idx="1038">
                  <c:v>3723.47</c:v>
                </c:pt>
                <c:pt idx="1039">
                  <c:v>3721.81</c:v>
                </c:pt>
                <c:pt idx="1040">
                  <c:v>3721.81</c:v>
                </c:pt>
                <c:pt idx="1041">
                  <c:v>3680.46</c:v>
                </c:pt>
                <c:pt idx="1042">
                  <c:v>3818.58</c:v>
                </c:pt>
                <c:pt idx="1043">
                  <c:v>3721.81</c:v>
                </c:pt>
                <c:pt idx="1044">
                  <c:v>3639.11</c:v>
                </c:pt>
                <c:pt idx="1045">
                  <c:v>3680.46</c:v>
                </c:pt>
                <c:pt idx="1046">
                  <c:v>3680.46</c:v>
                </c:pt>
                <c:pt idx="1047">
                  <c:v>3680.46</c:v>
                </c:pt>
                <c:pt idx="1048">
                  <c:v>3680.46</c:v>
                </c:pt>
                <c:pt idx="1049">
                  <c:v>3680.46</c:v>
                </c:pt>
                <c:pt idx="1050">
                  <c:v>3746.62</c:v>
                </c:pt>
                <c:pt idx="1051">
                  <c:v>3746.62</c:v>
                </c:pt>
                <c:pt idx="1052">
                  <c:v>3746.62</c:v>
                </c:pt>
                <c:pt idx="1053">
                  <c:v>3722.64</c:v>
                </c:pt>
                <c:pt idx="1054">
                  <c:v>3736.7</c:v>
                </c:pt>
                <c:pt idx="1055">
                  <c:v>3730.91</c:v>
                </c:pt>
                <c:pt idx="1056">
                  <c:v>3818.58</c:v>
                </c:pt>
                <c:pt idx="1057">
                  <c:v>3812.79</c:v>
                </c:pt>
                <c:pt idx="1058">
                  <c:v>3816.93</c:v>
                </c:pt>
                <c:pt idx="1059">
                  <c:v>3804.52</c:v>
                </c:pt>
                <c:pt idx="1060">
                  <c:v>3719.33</c:v>
                </c:pt>
                <c:pt idx="1061">
                  <c:v>3721.81</c:v>
                </c:pt>
                <c:pt idx="1062">
                  <c:v>3589.48</c:v>
                </c:pt>
                <c:pt idx="1063">
                  <c:v>3818.58</c:v>
                </c:pt>
                <c:pt idx="1064">
                  <c:v>3804.52</c:v>
                </c:pt>
                <c:pt idx="1065">
                  <c:v>3804.52</c:v>
                </c:pt>
                <c:pt idx="1066">
                  <c:v>3721.81</c:v>
                </c:pt>
                <c:pt idx="1067">
                  <c:v>3720.16</c:v>
                </c:pt>
                <c:pt idx="1068">
                  <c:v>3721.81</c:v>
                </c:pt>
                <c:pt idx="1069">
                  <c:v>3672.19</c:v>
                </c:pt>
                <c:pt idx="1070">
                  <c:v>3639.11</c:v>
                </c:pt>
                <c:pt idx="1071">
                  <c:v>3675.5</c:v>
                </c:pt>
                <c:pt idx="1072">
                  <c:v>3721.81</c:v>
                </c:pt>
                <c:pt idx="1073">
                  <c:v>3763.17</c:v>
                </c:pt>
                <c:pt idx="1074">
                  <c:v>3779.71</c:v>
                </c:pt>
                <c:pt idx="1075">
                  <c:v>3783.84</c:v>
                </c:pt>
                <c:pt idx="1076">
                  <c:v>3739.18</c:v>
                </c:pt>
                <c:pt idx="1077">
                  <c:v>3804.52</c:v>
                </c:pt>
                <c:pt idx="1078">
                  <c:v>3804.52</c:v>
                </c:pt>
                <c:pt idx="1079">
                  <c:v>3841.74</c:v>
                </c:pt>
                <c:pt idx="1080">
                  <c:v>3694.52</c:v>
                </c:pt>
                <c:pt idx="1081">
                  <c:v>3734.24</c:v>
                </c:pt>
                <c:pt idx="1082">
                  <c:v>3734.24</c:v>
                </c:pt>
                <c:pt idx="1083">
                  <c:v>3813.7</c:v>
                </c:pt>
                <c:pt idx="1084">
                  <c:v>3813.7</c:v>
                </c:pt>
                <c:pt idx="1085">
                  <c:v>3773.18</c:v>
                </c:pt>
                <c:pt idx="1086">
                  <c:v>3892.35</c:v>
                </c:pt>
                <c:pt idx="1087">
                  <c:v>3773.97</c:v>
                </c:pt>
                <c:pt idx="1088">
                  <c:v>3734.24</c:v>
                </c:pt>
                <c:pt idx="1089">
                  <c:v>3654.79</c:v>
                </c:pt>
                <c:pt idx="1090">
                  <c:v>3654.79</c:v>
                </c:pt>
                <c:pt idx="1091">
                  <c:v>3575.34</c:v>
                </c:pt>
                <c:pt idx="1092">
                  <c:v>3575.34</c:v>
                </c:pt>
                <c:pt idx="1093">
                  <c:v>3686.57</c:v>
                </c:pt>
                <c:pt idx="1094">
                  <c:v>3607.12</c:v>
                </c:pt>
                <c:pt idx="1095">
                  <c:v>3607.12</c:v>
                </c:pt>
                <c:pt idx="1096">
                  <c:v>3587.26</c:v>
                </c:pt>
                <c:pt idx="1097">
                  <c:v>3595.2</c:v>
                </c:pt>
                <c:pt idx="1098">
                  <c:v>3694.52</c:v>
                </c:pt>
                <c:pt idx="1099">
                  <c:v>3417.23</c:v>
                </c:pt>
                <c:pt idx="1100">
                  <c:v>3417.23</c:v>
                </c:pt>
                <c:pt idx="1101">
                  <c:v>3376.71</c:v>
                </c:pt>
                <c:pt idx="1102">
                  <c:v>3336.98</c:v>
                </c:pt>
                <c:pt idx="1103">
                  <c:v>3336.98</c:v>
                </c:pt>
                <c:pt idx="1104">
                  <c:v>3336.98</c:v>
                </c:pt>
                <c:pt idx="1105">
                  <c:v>3335.4</c:v>
                </c:pt>
                <c:pt idx="1106">
                  <c:v>3336.98</c:v>
                </c:pt>
                <c:pt idx="1107">
                  <c:v>3313.15</c:v>
                </c:pt>
                <c:pt idx="1108">
                  <c:v>3313.15</c:v>
                </c:pt>
                <c:pt idx="1109">
                  <c:v>3313.15</c:v>
                </c:pt>
                <c:pt idx="1110">
                  <c:v>3358.44</c:v>
                </c:pt>
                <c:pt idx="1111">
                  <c:v>3404.52</c:v>
                </c:pt>
                <c:pt idx="1112">
                  <c:v>3416.44</c:v>
                </c:pt>
                <c:pt idx="1113">
                  <c:v>3416.44</c:v>
                </c:pt>
                <c:pt idx="1114">
                  <c:v>3416.44</c:v>
                </c:pt>
                <c:pt idx="1115">
                  <c:v>3376.71</c:v>
                </c:pt>
                <c:pt idx="1116">
                  <c:v>3338.57</c:v>
                </c:pt>
                <c:pt idx="1117">
                  <c:v>3338.57</c:v>
                </c:pt>
                <c:pt idx="1118">
                  <c:v>3377.51</c:v>
                </c:pt>
                <c:pt idx="1119">
                  <c:v>3436.3</c:v>
                </c:pt>
                <c:pt idx="1120">
                  <c:v>3467.29</c:v>
                </c:pt>
                <c:pt idx="1121">
                  <c:v>3495.89</c:v>
                </c:pt>
                <c:pt idx="1122">
                  <c:v>3575.34</c:v>
                </c:pt>
                <c:pt idx="1123">
                  <c:v>3444.24</c:v>
                </c:pt>
                <c:pt idx="1124">
                  <c:v>3456.16</c:v>
                </c:pt>
                <c:pt idx="1125">
                  <c:v>3384.66</c:v>
                </c:pt>
                <c:pt idx="1126">
                  <c:v>3416.44</c:v>
                </c:pt>
                <c:pt idx="1127">
                  <c:v>3358.44</c:v>
                </c:pt>
                <c:pt idx="1128">
                  <c:v>3337.78</c:v>
                </c:pt>
                <c:pt idx="1129">
                  <c:v>3336.98</c:v>
                </c:pt>
                <c:pt idx="1130">
                  <c:v>3336.98</c:v>
                </c:pt>
                <c:pt idx="1131">
                  <c:v>3336.98</c:v>
                </c:pt>
                <c:pt idx="1132">
                  <c:v>3178.08</c:v>
                </c:pt>
                <c:pt idx="1133">
                  <c:v>3138.35</c:v>
                </c:pt>
                <c:pt idx="1134">
                  <c:v>3138.35</c:v>
                </c:pt>
                <c:pt idx="1135">
                  <c:v>3139.94</c:v>
                </c:pt>
                <c:pt idx="1136">
                  <c:v>3027.12</c:v>
                </c:pt>
                <c:pt idx="1137">
                  <c:v>3019.18</c:v>
                </c:pt>
                <c:pt idx="1138">
                  <c:v>3027.12</c:v>
                </c:pt>
                <c:pt idx="1139">
                  <c:v>3019.18</c:v>
                </c:pt>
                <c:pt idx="1140">
                  <c:v>3018.38</c:v>
                </c:pt>
                <c:pt idx="1141">
                  <c:v>2947.67</c:v>
                </c:pt>
                <c:pt idx="1142">
                  <c:v>2963.56</c:v>
                </c:pt>
                <c:pt idx="1143">
                  <c:v>2963.56</c:v>
                </c:pt>
                <c:pt idx="1144">
                  <c:v>2939.72</c:v>
                </c:pt>
                <c:pt idx="1145">
                  <c:v>2975.48</c:v>
                </c:pt>
                <c:pt idx="1146">
                  <c:v>2975.48</c:v>
                </c:pt>
                <c:pt idx="1147">
                  <c:v>2959.59</c:v>
                </c:pt>
                <c:pt idx="1148">
                  <c:v>2959.59</c:v>
                </c:pt>
                <c:pt idx="1149">
                  <c:v>2963.56</c:v>
                </c:pt>
                <c:pt idx="1150">
                  <c:v>2971.51</c:v>
                </c:pt>
                <c:pt idx="1151">
                  <c:v>2971.51</c:v>
                </c:pt>
                <c:pt idx="1152">
                  <c:v>2979.45</c:v>
                </c:pt>
                <c:pt idx="1153">
                  <c:v>2979.45</c:v>
                </c:pt>
                <c:pt idx="1154">
                  <c:v>3031.09</c:v>
                </c:pt>
                <c:pt idx="1155">
                  <c:v>2995.34</c:v>
                </c:pt>
                <c:pt idx="1156">
                  <c:v>2939.72</c:v>
                </c:pt>
                <c:pt idx="1157">
                  <c:v>2860.27</c:v>
                </c:pt>
                <c:pt idx="1158">
                  <c:v>3000.9</c:v>
                </c:pt>
                <c:pt idx="1159">
                  <c:v>2980.25</c:v>
                </c:pt>
                <c:pt idx="1160">
                  <c:v>2939.72</c:v>
                </c:pt>
                <c:pt idx="1161">
                  <c:v>2943.7</c:v>
                </c:pt>
                <c:pt idx="1162">
                  <c:v>3019.18</c:v>
                </c:pt>
                <c:pt idx="1163">
                  <c:v>3011.23</c:v>
                </c:pt>
                <c:pt idx="1164">
                  <c:v>3008.85</c:v>
                </c:pt>
                <c:pt idx="1165">
                  <c:v>3008.85</c:v>
                </c:pt>
                <c:pt idx="1166">
                  <c:v>2861.07</c:v>
                </c:pt>
                <c:pt idx="1167">
                  <c:v>3019.18</c:v>
                </c:pt>
                <c:pt idx="1168">
                  <c:v>3019.18</c:v>
                </c:pt>
                <c:pt idx="1169">
                  <c:v>3011.23</c:v>
                </c:pt>
                <c:pt idx="1170">
                  <c:v>3018.38</c:v>
                </c:pt>
                <c:pt idx="1171">
                  <c:v>2979.45</c:v>
                </c:pt>
                <c:pt idx="1172">
                  <c:v>2979.45</c:v>
                </c:pt>
                <c:pt idx="1173">
                  <c:v>2919.86</c:v>
                </c:pt>
                <c:pt idx="1174">
                  <c:v>2979.45</c:v>
                </c:pt>
                <c:pt idx="1175">
                  <c:v>2979.45</c:v>
                </c:pt>
                <c:pt idx="1176">
                  <c:v>2979.45</c:v>
                </c:pt>
                <c:pt idx="1177">
                  <c:v>2979.45</c:v>
                </c:pt>
                <c:pt idx="1178">
                  <c:v>2979.45</c:v>
                </c:pt>
                <c:pt idx="1179">
                  <c:v>2919.86</c:v>
                </c:pt>
                <c:pt idx="1180">
                  <c:v>2919.86</c:v>
                </c:pt>
                <c:pt idx="1181">
                  <c:v>2939.72</c:v>
                </c:pt>
                <c:pt idx="1182">
                  <c:v>2947.67</c:v>
                </c:pt>
                <c:pt idx="1183">
                  <c:v>2941.31</c:v>
                </c:pt>
                <c:pt idx="1184">
                  <c:v>2979.45</c:v>
                </c:pt>
                <c:pt idx="1185">
                  <c:v>2979.45</c:v>
                </c:pt>
                <c:pt idx="1186">
                  <c:v>2860.27</c:v>
                </c:pt>
                <c:pt idx="1187">
                  <c:v>2979.45</c:v>
                </c:pt>
                <c:pt idx="1188">
                  <c:v>2979.45</c:v>
                </c:pt>
                <c:pt idx="1189">
                  <c:v>3011.23</c:v>
                </c:pt>
                <c:pt idx="1190">
                  <c:v>3011.23</c:v>
                </c:pt>
                <c:pt idx="1191">
                  <c:v>3011.23</c:v>
                </c:pt>
                <c:pt idx="1192">
                  <c:v>3011.23</c:v>
                </c:pt>
                <c:pt idx="1193">
                  <c:v>3010.44</c:v>
                </c:pt>
                <c:pt idx="1194">
                  <c:v>3011.23</c:v>
                </c:pt>
                <c:pt idx="1195">
                  <c:v>3007.26</c:v>
                </c:pt>
                <c:pt idx="1196">
                  <c:v>3011.23</c:v>
                </c:pt>
                <c:pt idx="1197">
                  <c:v>3019.18</c:v>
                </c:pt>
                <c:pt idx="1198">
                  <c:v>2939.72</c:v>
                </c:pt>
                <c:pt idx="1199">
                  <c:v>2939.72</c:v>
                </c:pt>
                <c:pt idx="1200">
                  <c:v>2939.72</c:v>
                </c:pt>
                <c:pt idx="1201">
                  <c:v>2939.72</c:v>
                </c:pt>
                <c:pt idx="1202">
                  <c:v>2939.72</c:v>
                </c:pt>
                <c:pt idx="1203">
                  <c:v>2939.72</c:v>
                </c:pt>
                <c:pt idx="1204">
                  <c:v>2939.72</c:v>
                </c:pt>
                <c:pt idx="1205">
                  <c:v>2939.72</c:v>
                </c:pt>
                <c:pt idx="1206">
                  <c:v>2880.14</c:v>
                </c:pt>
                <c:pt idx="1207">
                  <c:v>2879.34</c:v>
                </c:pt>
                <c:pt idx="1208">
                  <c:v>2879.34</c:v>
                </c:pt>
                <c:pt idx="1209">
                  <c:v>2821.34</c:v>
                </c:pt>
                <c:pt idx="1210">
                  <c:v>2880.14</c:v>
                </c:pt>
                <c:pt idx="1211">
                  <c:v>2876.96</c:v>
                </c:pt>
                <c:pt idx="1212">
                  <c:v>2923.83</c:v>
                </c:pt>
                <c:pt idx="1213">
                  <c:v>2931.78</c:v>
                </c:pt>
                <c:pt idx="1214">
                  <c:v>2938.93</c:v>
                </c:pt>
                <c:pt idx="1215">
                  <c:v>2910.33</c:v>
                </c:pt>
                <c:pt idx="1216">
                  <c:v>2988.98</c:v>
                </c:pt>
                <c:pt idx="1217">
                  <c:v>2910.33</c:v>
                </c:pt>
                <c:pt idx="1218">
                  <c:v>2980.33</c:v>
                </c:pt>
                <c:pt idx="1219">
                  <c:v>2988.98</c:v>
                </c:pt>
                <c:pt idx="1220">
                  <c:v>2988.98</c:v>
                </c:pt>
                <c:pt idx="1221">
                  <c:v>2988.98</c:v>
                </c:pt>
                <c:pt idx="1222">
                  <c:v>2933.92</c:v>
                </c:pt>
                <c:pt idx="1223">
                  <c:v>2949.66</c:v>
                </c:pt>
                <c:pt idx="1224">
                  <c:v>2988.98</c:v>
                </c:pt>
                <c:pt idx="1225">
                  <c:v>2929.99</c:v>
                </c:pt>
                <c:pt idx="1226">
                  <c:v>2941.79</c:v>
                </c:pt>
                <c:pt idx="1227">
                  <c:v>2949.66</c:v>
                </c:pt>
                <c:pt idx="1228">
                  <c:v>2949.66</c:v>
                </c:pt>
                <c:pt idx="1229">
                  <c:v>2949.66</c:v>
                </c:pt>
                <c:pt idx="1230">
                  <c:v>2949.66</c:v>
                </c:pt>
                <c:pt idx="1231">
                  <c:v>2949.66</c:v>
                </c:pt>
                <c:pt idx="1232">
                  <c:v>2949.66</c:v>
                </c:pt>
                <c:pt idx="1233">
                  <c:v>2886.73</c:v>
                </c:pt>
                <c:pt idx="1234">
                  <c:v>2910.33</c:v>
                </c:pt>
                <c:pt idx="1235">
                  <c:v>2900.1</c:v>
                </c:pt>
                <c:pt idx="1236">
                  <c:v>2910.33</c:v>
                </c:pt>
                <c:pt idx="1237">
                  <c:v>2879.65</c:v>
                </c:pt>
                <c:pt idx="1238">
                  <c:v>2879.65</c:v>
                </c:pt>
                <c:pt idx="1239">
                  <c:v>2910.33</c:v>
                </c:pt>
                <c:pt idx="1240">
                  <c:v>2949.66</c:v>
                </c:pt>
                <c:pt idx="1241">
                  <c:v>3012.58</c:v>
                </c:pt>
                <c:pt idx="1242">
                  <c:v>3028.31</c:v>
                </c:pt>
                <c:pt idx="1243">
                  <c:v>3044.05</c:v>
                </c:pt>
                <c:pt idx="1244">
                  <c:v>3067.64</c:v>
                </c:pt>
                <c:pt idx="1245">
                  <c:v>3087.31</c:v>
                </c:pt>
                <c:pt idx="1246">
                  <c:v>3087.31</c:v>
                </c:pt>
                <c:pt idx="1247">
                  <c:v>3146.3</c:v>
                </c:pt>
                <c:pt idx="1248">
                  <c:v>3146.3</c:v>
                </c:pt>
                <c:pt idx="1249">
                  <c:v>3138.43</c:v>
                </c:pt>
                <c:pt idx="1250">
                  <c:v>3165.96</c:v>
                </c:pt>
                <c:pt idx="1251">
                  <c:v>3146.3</c:v>
                </c:pt>
                <c:pt idx="1252">
                  <c:v>3067.64</c:v>
                </c:pt>
                <c:pt idx="1253">
                  <c:v>3067.64</c:v>
                </c:pt>
                <c:pt idx="1254">
                  <c:v>3067.64</c:v>
                </c:pt>
                <c:pt idx="1255">
                  <c:v>2996.85</c:v>
                </c:pt>
                <c:pt idx="1256">
                  <c:v>3028.31</c:v>
                </c:pt>
                <c:pt idx="1257">
                  <c:v>2988.98</c:v>
                </c:pt>
                <c:pt idx="1258">
                  <c:v>2988.98</c:v>
                </c:pt>
                <c:pt idx="1259">
                  <c:v>3008.65</c:v>
                </c:pt>
                <c:pt idx="1260">
                  <c:v>3028.31</c:v>
                </c:pt>
                <c:pt idx="1261">
                  <c:v>3028.31</c:v>
                </c:pt>
                <c:pt idx="1262">
                  <c:v>3028.31</c:v>
                </c:pt>
                <c:pt idx="1263">
                  <c:v>3028.31</c:v>
                </c:pt>
                <c:pt idx="1264">
                  <c:v>3020.45</c:v>
                </c:pt>
                <c:pt idx="1265">
                  <c:v>3028.31</c:v>
                </c:pt>
                <c:pt idx="1266">
                  <c:v>3059.78</c:v>
                </c:pt>
                <c:pt idx="1267">
                  <c:v>3059.78</c:v>
                </c:pt>
                <c:pt idx="1268">
                  <c:v>3067.64</c:v>
                </c:pt>
                <c:pt idx="1269">
                  <c:v>3067.64</c:v>
                </c:pt>
                <c:pt idx="1270">
                  <c:v>3067.64</c:v>
                </c:pt>
                <c:pt idx="1271">
                  <c:v>3067.64</c:v>
                </c:pt>
                <c:pt idx="1272">
                  <c:v>3036.18</c:v>
                </c:pt>
                <c:pt idx="1273">
                  <c:v>3042.47</c:v>
                </c:pt>
                <c:pt idx="1274">
                  <c:v>2988.98</c:v>
                </c:pt>
                <c:pt idx="1275">
                  <c:v>2988.98</c:v>
                </c:pt>
                <c:pt idx="1276">
                  <c:v>2988.98</c:v>
                </c:pt>
                <c:pt idx="1277">
                  <c:v>2988.98</c:v>
                </c:pt>
                <c:pt idx="1278">
                  <c:v>2949.66</c:v>
                </c:pt>
                <c:pt idx="1279">
                  <c:v>2988.98</c:v>
                </c:pt>
                <c:pt idx="1280">
                  <c:v>3044.05</c:v>
                </c:pt>
                <c:pt idx="1281">
                  <c:v>3044.05</c:v>
                </c:pt>
                <c:pt idx="1282">
                  <c:v>2949.66</c:v>
                </c:pt>
                <c:pt idx="1283">
                  <c:v>2985.05</c:v>
                </c:pt>
                <c:pt idx="1284">
                  <c:v>2949.66</c:v>
                </c:pt>
                <c:pt idx="1285">
                  <c:v>2988.98</c:v>
                </c:pt>
                <c:pt idx="1286">
                  <c:v>2988.98</c:v>
                </c:pt>
                <c:pt idx="1287">
                  <c:v>2914.26</c:v>
                </c:pt>
                <c:pt idx="1288">
                  <c:v>2988.98</c:v>
                </c:pt>
                <c:pt idx="1289">
                  <c:v>2911.11</c:v>
                </c:pt>
                <c:pt idx="1290">
                  <c:v>2911.11</c:v>
                </c:pt>
                <c:pt idx="1291">
                  <c:v>2949.66</c:v>
                </c:pt>
                <c:pt idx="1292">
                  <c:v>2988.2</c:v>
                </c:pt>
                <c:pt idx="1293">
                  <c:v>2949.66</c:v>
                </c:pt>
                <c:pt idx="1294">
                  <c:v>2910.33</c:v>
                </c:pt>
                <c:pt idx="1295">
                  <c:v>2958.31</c:v>
                </c:pt>
                <c:pt idx="1296">
                  <c:v>2974.04</c:v>
                </c:pt>
                <c:pt idx="1297">
                  <c:v>3036.18</c:v>
                </c:pt>
                <c:pt idx="1298">
                  <c:v>2988.98</c:v>
                </c:pt>
                <c:pt idx="1299">
                  <c:v>2987.41</c:v>
                </c:pt>
                <c:pt idx="1300">
                  <c:v>2831.67</c:v>
                </c:pt>
                <c:pt idx="1301">
                  <c:v>2800.21</c:v>
                </c:pt>
                <c:pt idx="1302">
                  <c:v>2833.24</c:v>
                </c:pt>
                <c:pt idx="1303">
                  <c:v>2871.0</c:v>
                </c:pt>
                <c:pt idx="1304">
                  <c:v>2910.33</c:v>
                </c:pt>
                <c:pt idx="1305">
                  <c:v>2910.33</c:v>
                </c:pt>
                <c:pt idx="1306">
                  <c:v>2910.33</c:v>
                </c:pt>
                <c:pt idx="1307">
                  <c:v>2910.33</c:v>
                </c:pt>
                <c:pt idx="1308">
                  <c:v>2918.19</c:v>
                </c:pt>
                <c:pt idx="1309">
                  <c:v>2910.33</c:v>
                </c:pt>
                <c:pt idx="1310">
                  <c:v>2890.66</c:v>
                </c:pt>
                <c:pt idx="1311">
                  <c:v>2800.21</c:v>
                </c:pt>
                <c:pt idx="1312">
                  <c:v>2878.08</c:v>
                </c:pt>
                <c:pt idx="1313">
                  <c:v>2886.73</c:v>
                </c:pt>
                <c:pt idx="1314">
                  <c:v>2910.33</c:v>
                </c:pt>
                <c:pt idx="1315">
                  <c:v>2902.46</c:v>
                </c:pt>
                <c:pt idx="1316">
                  <c:v>2949.66</c:v>
                </c:pt>
                <c:pt idx="1317">
                  <c:v>2949.66</c:v>
                </c:pt>
                <c:pt idx="1318">
                  <c:v>2910.33</c:v>
                </c:pt>
                <c:pt idx="1319">
                  <c:v>2910.33</c:v>
                </c:pt>
                <c:pt idx="1320">
                  <c:v>2910.33</c:v>
                </c:pt>
                <c:pt idx="1321">
                  <c:v>2949.66</c:v>
                </c:pt>
                <c:pt idx="1322">
                  <c:v>2949.66</c:v>
                </c:pt>
                <c:pt idx="1323">
                  <c:v>2949.66</c:v>
                </c:pt>
                <c:pt idx="1324">
                  <c:v>2930.78</c:v>
                </c:pt>
                <c:pt idx="1325">
                  <c:v>2915.05</c:v>
                </c:pt>
                <c:pt idx="1326">
                  <c:v>2988.98</c:v>
                </c:pt>
                <c:pt idx="1327">
                  <c:v>2988.98</c:v>
                </c:pt>
                <c:pt idx="1328">
                  <c:v>2933.92</c:v>
                </c:pt>
                <c:pt idx="1329">
                  <c:v>3005.3</c:v>
                </c:pt>
                <c:pt idx="1330">
                  <c:v>3005.3</c:v>
                </c:pt>
                <c:pt idx="1331">
                  <c:v>3005.3</c:v>
                </c:pt>
                <c:pt idx="1332">
                  <c:v>3005.3</c:v>
                </c:pt>
                <c:pt idx="1333">
                  <c:v>2892.6</c:v>
                </c:pt>
                <c:pt idx="1334">
                  <c:v>2892.6</c:v>
                </c:pt>
                <c:pt idx="1335">
                  <c:v>2888.85</c:v>
                </c:pt>
                <c:pt idx="1336">
                  <c:v>2892.6</c:v>
                </c:pt>
                <c:pt idx="1337">
                  <c:v>2817.47</c:v>
                </c:pt>
                <c:pt idx="1338">
                  <c:v>2817.47</c:v>
                </c:pt>
                <c:pt idx="1339">
                  <c:v>2818.22</c:v>
                </c:pt>
                <c:pt idx="1340">
                  <c:v>2817.47</c:v>
                </c:pt>
                <c:pt idx="1341">
                  <c:v>2779.9</c:v>
                </c:pt>
                <c:pt idx="1342">
                  <c:v>2705.52</c:v>
                </c:pt>
                <c:pt idx="1343">
                  <c:v>2877.58</c:v>
                </c:pt>
                <c:pt idx="1344">
                  <c:v>2846.77</c:v>
                </c:pt>
                <c:pt idx="1345">
                  <c:v>2794.93</c:v>
                </c:pt>
                <c:pt idx="1346">
                  <c:v>2779.9</c:v>
                </c:pt>
                <c:pt idx="1347">
                  <c:v>2708.53</c:v>
                </c:pt>
                <c:pt idx="1348">
                  <c:v>2706.27</c:v>
                </c:pt>
                <c:pt idx="1349">
                  <c:v>2704.77</c:v>
                </c:pt>
                <c:pt idx="1350">
                  <c:v>2779.9</c:v>
                </c:pt>
                <c:pt idx="1351">
                  <c:v>2784.41</c:v>
                </c:pt>
                <c:pt idx="1352">
                  <c:v>2817.47</c:v>
                </c:pt>
                <c:pt idx="1353">
                  <c:v>2817.47</c:v>
                </c:pt>
                <c:pt idx="1354">
                  <c:v>2817.47</c:v>
                </c:pt>
                <c:pt idx="1355">
                  <c:v>2779.9</c:v>
                </c:pt>
                <c:pt idx="1356">
                  <c:v>2704.77</c:v>
                </c:pt>
                <c:pt idx="1357">
                  <c:v>2704.77</c:v>
                </c:pt>
                <c:pt idx="1358">
                  <c:v>2704.77</c:v>
                </c:pt>
                <c:pt idx="1359">
                  <c:v>2704.77</c:v>
                </c:pt>
                <c:pt idx="1360">
                  <c:v>2704.77</c:v>
                </c:pt>
                <c:pt idx="1361">
                  <c:v>2779.9</c:v>
                </c:pt>
                <c:pt idx="1362">
                  <c:v>2704.77</c:v>
                </c:pt>
                <c:pt idx="1363">
                  <c:v>2667.2</c:v>
                </c:pt>
                <c:pt idx="1364">
                  <c:v>2742.34</c:v>
                </c:pt>
                <c:pt idx="1365">
                  <c:v>2794.93</c:v>
                </c:pt>
                <c:pt idx="1366">
                  <c:v>2704.02</c:v>
                </c:pt>
                <c:pt idx="1367">
                  <c:v>2710.03</c:v>
                </c:pt>
                <c:pt idx="1368">
                  <c:v>2629.64</c:v>
                </c:pt>
                <c:pt idx="1369">
                  <c:v>2704.77</c:v>
                </c:pt>
                <c:pt idx="1370">
                  <c:v>2523.7</c:v>
                </c:pt>
                <c:pt idx="1371">
                  <c:v>2441.81</c:v>
                </c:pt>
                <c:pt idx="1372">
                  <c:v>2498.16</c:v>
                </c:pt>
                <c:pt idx="1373">
                  <c:v>2498.16</c:v>
                </c:pt>
                <c:pt idx="1374">
                  <c:v>2498.16</c:v>
                </c:pt>
                <c:pt idx="1375">
                  <c:v>2479.37</c:v>
                </c:pt>
                <c:pt idx="1376">
                  <c:v>2479.37</c:v>
                </c:pt>
                <c:pt idx="1377">
                  <c:v>2479.37</c:v>
                </c:pt>
                <c:pt idx="1378">
                  <c:v>2479.37</c:v>
                </c:pt>
                <c:pt idx="1379">
                  <c:v>2479.37</c:v>
                </c:pt>
                <c:pt idx="1380">
                  <c:v>2479.37</c:v>
                </c:pt>
                <c:pt idx="1381">
                  <c:v>2478.62</c:v>
                </c:pt>
                <c:pt idx="1382">
                  <c:v>2464.35</c:v>
                </c:pt>
                <c:pt idx="1383">
                  <c:v>2471.11</c:v>
                </c:pt>
                <c:pt idx="1384">
                  <c:v>2478.62</c:v>
                </c:pt>
                <c:pt idx="1385">
                  <c:v>2478.62</c:v>
                </c:pt>
                <c:pt idx="1386">
                  <c:v>2479.37</c:v>
                </c:pt>
                <c:pt idx="1387">
                  <c:v>2479.37</c:v>
                </c:pt>
                <c:pt idx="1388">
                  <c:v>2479.37</c:v>
                </c:pt>
                <c:pt idx="1389">
                  <c:v>2516.94</c:v>
                </c:pt>
                <c:pt idx="1390">
                  <c:v>2550.75</c:v>
                </c:pt>
                <c:pt idx="1391">
                  <c:v>2592.07</c:v>
                </c:pt>
                <c:pt idx="1392">
                  <c:v>2592.07</c:v>
                </c:pt>
                <c:pt idx="1393">
                  <c:v>2629.64</c:v>
                </c:pt>
                <c:pt idx="1394">
                  <c:v>2492.9</c:v>
                </c:pt>
                <c:pt idx="1395">
                  <c:v>2479.37</c:v>
                </c:pt>
                <c:pt idx="1396">
                  <c:v>2415.51</c:v>
                </c:pt>
                <c:pt idx="1397">
                  <c:v>2404.24</c:v>
                </c:pt>
                <c:pt idx="1398">
                  <c:v>2404.24</c:v>
                </c:pt>
                <c:pt idx="1399">
                  <c:v>2329.11</c:v>
                </c:pt>
                <c:pt idx="1400">
                  <c:v>2366.67</c:v>
                </c:pt>
                <c:pt idx="1401">
                  <c:v>2366.67</c:v>
                </c:pt>
                <c:pt idx="1402">
                  <c:v>2366.67</c:v>
                </c:pt>
                <c:pt idx="1403">
                  <c:v>2329.11</c:v>
                </c:pt>
                <c:pt idx="1404">
                  <c:v>2329.11</c:v>
                </c:pt>
                <c:pt idx="1405">
                  <c:v>2329.11</c:v>
                </c:pt>
                <c:pt idx="1406">
                  <c:v>2329.11</c:v>
                </c:pt>
                <c:pt idx="1407">
                  <c:v>2329.11</c:v>
                </c:pt>
                <c:pt idx="1408">
                  <c:v>2329.11</c:v>
                </c:pt>
                <c:pt idx="1409">
                  <c:v>2328.36</c:v>
                </c:pt>
                <c:pt idx="1410">
                  <c:v>2329.11</c:v>
                </c:pt>
                <c:pt idx="1411">
                  <c:v>2329.11</c:v>
                </c:pt>
                <c:pt idx="1412">
                  <c:v>2329.11</c:v>
                </c:pt>
                <c:pt idx="1413">
                  <c:v>2404.24</c:v>
                </c:pt>
                <c:pt idx="1414">
                  <c:v>2404.24</c:v>
                </c:pt>
                <c:pt idx="1415">
                  <c:v>2329.11</c:v>
                </c:pt>
                <c:pt idx="1416">
                  <c:v>2329.11</c:v>
                </c:pt>
                <c:pt idx="1417">
                  <c:v>2327.61</c:v>
                </c:pt>
                <c:pt idx="1418">
                  <c:v>2329.11</c:v>
                </c:pt>
                <c:pt idx="1419">
                  <c:v>2321.59</c:v>
                </c:pt>
                <c:pt idx="1420">
                  <c:v>2321.59</c:v>
                </c:pt>
                <c:pt idx="1421">
                  <c:v>2328.36</c:v>
                </c:pt>
                <c:pt idx="1422">
                  <c:v>2329.11</c:v>
                </c:pt>
                <c:pt idx="1423">
                  <c:v>2329.11</c:v>
                </c:pt>
                <c:pt idx="1424">
                  <c:v>2367.43</c:v>
                </c:pt>
                <c:pt idx="1425">
                  <c:v>2329.11</c:v>
                </c:pt>
                <c:pt idx="1426">
                  <c:v>2269.0</c:v>
                </c:pt>
                <c:pt idx="1427">
                  <c:v>2253.98</c:v>
                </c:pt>
                <c:pt idx="1428">
                  <c:v>2253.98</c:v>
                </c:pt>
                <c:pt idx="1429">
                  <c:v>2253.98</c:v>
                </c:pt>
                <c:pt idx="1430">
                  <c:v>2253.98</c:v>
                </c:pt>
                <c:pt idx="1431">
                  <c:v>2253.98</c:v>
                </c:pt>
                <c:pt idx="1432">
                  <c:v>2160.06</c:v>
                </c:pt>
                <c:pt idx="1433">
                  <c:v>2160.06</c:v>
                </c:pt>
                <c:pt idx="1434">
                  <c:v>2216.41</c:v>
                </c:pt>
                <c:pt idx="1435">
                  <c:v>2216.41</c:v>
                </c:pt>
                <c:pt idx="1436">
                  <c:v>2182.6</c:v>
                </c:pt>
                <c:pt idx="1437">
                  <c:v>2205.14</c:v>
                </c:pt>
                <c:pt idx="1438">
                  <c:v>2205.14</c:v>
                </c:pt>
                <c:pt idx="1439">
                  <c:v>2193.87</c:v>
                </c:pt>
                <c:pt idx="1440">
                  <c:v>2141.28</c:v>
                </c:pt>
                <c:pt idx="1441">
                  <c:v>2141.28</c:v>
                </c:pt>
                <c:pt idx="1442">
                  <c:v>2178.84</c:v>
                </c:pt>
                <c:pt idx="1443">
                  <c:v>2178.84</c:v>
                </c:pt>
                <c:pt idx="1444">
                  <c:v>2193.87</c:v>
                </c:pt>
                <c:pt idx="1445">
                  <c:v>2193.87</c:v>
                </c:pt>
                <c:pt idx="1446">
                  <c:v>2193.12</c:v>
                </c:pt>
                <c:pt idx="1447">
                  <c:v>2193.12</c:v>
                </c:pt>
                <c:pt idx="1448">
                  <c:v>2207.39</c:v>
                </c:pt>
                <c:pt idx="1449">
                  <c:v>2253.22</c:v>
                </c:pt>
                <c:pt idx="1450">
                  <c:v>2253.22</c:v>
                </c:pt>
                <c:pt idx="1451">
                  <c:v>2280.27</c:v>
                </c:pt>
                <c:pt idx="1452">
                  <c:v>2280.27</c:v>
                </c:pt>
                <c:pt idx="1453">
                  <c:v>2269.0</c:v>
                </c:pt>
                <c:pt idx="1454">
                  <c:v>2329.11</c:v>
                </c:pt>
                <c:pt idx="1455">
                  <c:v>2253.98</c:v>
                </c:pt>
                <c:pt idx="1456">
                  <c:v>2178.84</c:v>
                </c:pt>
                <c:pt idx="1457">
                  <c:v>2178.84</c:v>
                </c:pt>
                <c:pt idx="1458">
                  <c:v>2178.84</c:v>
                </c:pt>
                <c:pt idx="1459">
                  <c:v>2178.84</c:v>
                </c:pt>
                <c:pt idx="1460">
                  <c:v>2175.09</c:v>
                </c:pt>
                <c:pt idx="1461">
                  <c:v>2175.09</c:v>
                </c:pt>
                <c:pt idx="1462">
                  <c:v>2156.3</c:v>
                </c:pt>
                <c:pt idx="1463">
                  <c:v>2160.06</c:v>
                </c:pt>
                <c:pt idx="1464">
                  <c:v>2153.3</c:v>
                </c:pt>
                <c:pt idx="1465">
                  <c:v>2078.28</c:v>
                </c:pt>
                <c:pt idx="1466">
                  <c:v>2078.28</c:v>
                </c:pt>
                <c:pt idx="1467">
                  <c:v>2079.76</c:v>
                </c:pt>
                <c:pt idx="1468">
                  <c:v>2116.9</c:v>
                </c:pt>
                <c:pt idx="1469">
                  <c:v>2042.62</c:v>
                </c:pt>
                <c:pt idx="1470">
                  <c:v>2190.44</c:v>
                </c:pt>
                <c:pt idx="1471">
                  <c:v>2228.32</c:v>
                </c:pt>
                <c:pt idx="1472">
                  <c:v>2259.51</c:v>
                </c:pt>
                <c:pt idx="1473">
                  <c:v>2259.51</c:v>
                </c:pt>
                <c:pt idx="1474">
                  <c:v>2265.46</c:v>
                </c:pt>
                <c:pt idx="1475">
                  <c:v>2209.75</c:v>
                </c:pt>
                <c:pt idx="1476">
                  <c:v>2209.75</c:v>
                </c:pt>
                <c:pt idx="1477">
                  <c:v>2338.99</c:v>
                </c:pt>
                <c:pt idx="1478">
                  <c:v>2338.99</c:v>
                </c:pt>
                <c:pt idx="1479">
                  <c:v>2338.99</c:v>
                </c:pt>
                <c:pt idx="1480">
                  <c:v>2228.32</c:v>
                </c:pt>
                <c:pt idx="1481">
                  <c:v>2205.29</c:v>
                </c:pt>
                <c:pt idx="1482">
                  <c:v>2217.18</c:v>
                </c:pt>
                <c:pt idx="1483">
                  <c:v>2217.18</c:v>
                </c:pt>
                <c:pt idx="1484">
                  <c:v>2228.32</c:v>
                </c:pt>
                <c:pt idx="1485">
                  <c:v>2220.89</c:v>
                </c:pt>
                <c:pt idx="1486">
                  <c:v>2124.33</c:v>
                </c:pt>
                <c:pt idx="1487">
                  <c:v>2124.33</c:v>
                </c:pt>
                <c:pt idx="1488">
                  <c:v>2154.04</c:v>
                </c:pt>
                <c:pt idx="1489">
                  <c:v>2154.04</c:v>
                </c:pt>
                <c:pt idx="1490">
                  <c:v>2157.75</c:v>
                </c:pt>
                <c:pt idx="1491">
                  <c:v>2332.31</c:v>
                </c:pt>
                <c:pt idx="1492">
                  <c:v>2336.02</c:v>
                </c:pt>
                <c:pt idx="1493">
                  <c:v>2229.06</c:v>
                </c:pt>
                <c:pt idx="1494">
                  <c:v>2339.73</c:v>
                </c:pt>
                <c:pt idx="1495">
                  <c:v>2339.73</c:v>
                </c:pt>
                <c:pt idx="1496">
                  <c:v>2339.73</c:v>
                </c:pt>
                <c:pt idx="1497">
                  <c:v>2339.73</c:v>
                </c:pt>
                <c:pt idx="1498">
                  <c:v>2339.73</c:v>
                </c:pt>
                <c:pt idx="1499">
                  <c:v>2339.73</c:v>
                </c:pt>
                <c:pt idx="1500">
                  <c:v>2339.73</c:v>
                </c:pt>
                <c:pt idx="1501">
                  <c:v>2376.87</c:v>
                </c:pt>
                <c:pt idx="1503">
                  <c:v>2339.73</c:v>
                </c:pt>
                <c:pt idx="1504">
                  <c:v>2376.13</c:v>
                </c:pt>
                <c:pt idx="1505">
                  <c:v>2302.6</c:v>
                </c:pt>
                <c:pt idx="1506">
                  <c:v>2347.16</c:v>
                </c:pt>
                <c:pt idx="1507">
                  <c:v>2376.87</c:v>
                </c:pt>
                <c:pt idx="1508">
                  <c:v>2376.87</c:v>
                </c:pt>
                <c:pt idx="1509">
                  <c:v>2339.73</c:v>
                </c:pt>
                <c:pt idx="1510">
                  <c:v>2339.73</c:v>
                </c:pt>
                <c:pt idx="1511">
                  <c:v>2339.73</c:v>
                </c:pt>
                <c:pt idx="1512">
                  <c:v>2368.7</c:v>
                </c:pt>
                <c:pt idx="1513">
                  <c:v>2369.44</c:v>
                </c:pt>
                <c:pt idx="1514">
                  <c:v>2369.44</c:v>
                </c:pt>
                <c:pt idx="1515">
                  <c:v>2362.02</c:v>
                </c:pt>
                <c:pt idx="1516">
                  <c:v>2265.46</c:v>
                </c:pt>
                <c:pt idx="1517">
                  <c:v>2228.32</c:v>
                </c:pt>
                <c:pt idx="1518">
                  <c:v>2228.32</c:v>
                </c:pt>
                <c:pt idx="1519">
                  <c:v>2228.32</c:v>
                </c:pt>
                <c:pt idx="1520">
                  <c:v>2228.32</c:v>
                </c:pt>
                <c:pt idx="1521">
                  <c:v>2213.46</c:v>
                </c:pt>
                <c:pt idx="1522">
                  <c:v>2210.49</c:v>
                </c:pt>
                <c:pt idx="1523">
                  <c:v>2228.32</c:v>
                </c:pt>
                <c:pt idx="1524">
                  <c:v>2217.18</c:v>
                </c:pt>
                <c:pt idx="1525">
                  <c:v>2228.32</c:v>
                </c:pt>
                <c:pt idx="1526">
                  <c:v>2228.32</c:v>
                </c:pt>
                <c:pt idx="1527">
                  <c:v>2228.32</c:v>
                </c:pt>
                <c:pt idx="1528">
                  <c:v>2249.86</c:v>
                </c:pt>
                <c:pt idx="1529">
                  <c:v>2250.6</c:v>
                </c:pt>
                <c:pt idx="1530">
                  <c:v>2250.6</c:v>
                </c:pt>
                <c:pt idx="1531">
                  <c:v>2291.45</c:v>
                </c:pt>
                <c:pt idx="1532">
                  <c:v>2302.6</c:v>
                </c:pt>
                <c:pt idx="1533">
                  <c:v>2302.6</c:v>
                </c:pt>
                <c:pt idx="1534">
                  <c:v>2346.42</c:v>
                </c:pt>
                <c:pt idx="1535">
                  <c:v>2346.42</c:v>
                </c:pt>
                <c:pt idx="1536">
                  <c:v>2362.02</c:v>
                </c:pt>
                <c:pt idx="1537">
                  <c:v>2362.02</c:v>
                </c:pt>
                <c:pt idx="1538">
                  <c:v>2374.64</c:v>
                </c:pt>
                <c:pt idx="1539">
                  <c:v>2374.64</c:v>
                </c:pt>
                <c:pt idx="1540">
                  <c:v>2376.87</c:v>
                </c:pt>
                <c:pt idx="1541">
                  <c:v>2376.87</c:v>
                </c:pt>
                <c:pt idx="1542">
                  <c:v>2376.87</c:v>
                </c:pt>
                <c:pt idx="1543">
                  <c:v>2376.87</c:v>
                </c:pt>
                <c:pt idx="1544">
                  <c:v>2228.32</c:v>
                </c:pt>
                <c:pt idx="1545">
                  <c:v>2376.87</c:v>
                </c:pt>
                <c:pt idx="1546">
                  <c:v>2376.87</c:v>
                </c:pt>
                <c:pt idx="1547">
                  <c:v>2376.87</c:v>
                </c:pt>
                <c:pt idx="1548">
                  <c:v>2376.87</c:v>
                </c:pt>
                <c:pt idx="1549">
                  <c:v>2376.87</c:v>
                </c:pt>
                <c:pt idx="1550">
                  <c:v>2317.45</c:v>
                </c:pt>
                <c:pt idx="1551">
                  <c:v>2302.6</c:v>
                </c:pt>
                <c:pt idx="1552">
                  <c:v>2443.72</c:v>
                </c:pt>
                <c:pt idx="1553">
                  <c:v>2306.31</c:v>
                </c:pt>
                <c:pt idx="1554">
                  <c:v>2405.84</c:v>
                </c:pt>
                <c:pt idx="1555">
                  <c:v>2228.32</c:v>
                </c:pt>
                <c:pt idx="1556">
                  <c:v>2284.03</c:v>
                </c:pt>
                <c:pt idx="1557">
                  <c:v>2228.32</c:v>
                </c:pt>
                <c:pt idx="1558">
                  <c:v>2206.03</c:v>
                </c:pt>
                <c:pt idx="1559">
                  <c:v>2198.61</c:v>
                </c:pt>
                <c:pt idx="1560">
                  <c:v>2302.6</c:v>
                </c:pt>
                <c:pt idx="1561">
                  <c:v>2183.75</c:v>
                </c:pt>
                <c:pt idx="1562">
                  <c:v>2191.18</c:v>
                </c:pt>
                <c:pt idx="1563">
                  <c:v>2154.04</c:v>
                </c:pt>
                <c:pt idx="1564">
                  <c:v>2154.04</c:v>
                </c:pt>
                <c:pt idx="1565">
                  <c:v>2191.18</c:v>
                </c:pt>
                <c:pt idx="1566">
                  <c:v>2154.04</c:v>
                </c:pt>
                <c:pt idx="1567">
                  <c:v>2154.04</c:v>
                </c:pt>
                <c:pt idx="1568">
                  <c:v>2154.04</c:v>
                </c:pt>
                <c:pt idx="1569">
                  <c:v>2190.44</c:v>
                </c:pt>
                <c:pt idx="1570">
                  <c:v>2154.04</c:v>
                </c:pt>
                <c:pt idx="1571">
                  <c:v>2191.18</c:v>
                </c:pt>
                <c:pt idx="1572">
                  <c:v>2191.18</c:v>
                </c:pt>
                <c:pt idx="1573">
                  <c:v>2161.47</c:v>
                </c:pt>
                <c:pt idx="1574">
                  <c:v>2168.9</c:v>
                </c:pt>
                <c:pt idx="1575">
                  <c:v>2168.9</c:v>
                </c:pt>
                <c:pt idx="1576">
                  <c:v>2168.9</c:v>
                </c:pt>
                <c:pt idx="1577">
                  <c:v>2168.9</c:v>
                </c:pt>
                <c:pt idx="1578">
                  <c:v>2191.18</c:v>
                </c:pt>
                <c:pt idx="1579">
                  <c:v>2191.18</c:v>
                </c:pt>
                <c:pt idx="1580">
                  <c:v>2215.69</c:v>
                </c:pt>
                <c:pt idx="1581">
                  <c:v>2215.69</c:v>
                </c:pt>
                <c:pt idx="1582">
                  <c:v>2228.32</c:v>
                </c:pt>
                <c:pt idx="1583">
                  <c:v>2228.32</c:v>
                </c:pt>
                <c:pt idx="1584">
                  <c:v>2228.32</c:v>
                </c:pt>
                <c:pt idx="1585">
                  <c:v>2188.95</c:v>
                </c:pt>
                <c:pt idx="1586">
                  <c:v>2187.54</c:v>
                </c:pt>
                <c:pt idx="1587">
                  <c:v>2160.71</c:v>
                </c:pt>
                <c:pt idx="1588">
                  <c:v>2259.56</c:v>
                </c:pt>
                <c:pt idx="1589">
                  <c:v>2259.56</c:v>
                </c:pt>
                <c:pt idx="1590">
                  <c:v>2259.56</c:v>
                </c:pt>
                <c:pt idx="1591">
                  <c:v>2259.56</c:v>
                </c:pt>
                <c:pt idx="1592">
                  <c:v>2259.56</c:v>
                </c:pt>
                <c:pt idx="1593">
                  <c:v>2330.17</c:v>
                </c:pt>
                <c:pt idx="1594">
                  <c:v>2012.42</c:v>
                </c:pt>
                <c:pt idx="1595">
                  <c:v>2012.42</c:v>
                </c:pt>
                <c:pt idx="1596">
                  <c:v>2047.73</c:v>
                </c:pt>
                <c:pt idx="1597">
                  <c:v>1977.12</c:v>
                </c:pt>
                <c:pt idx="1598">
                  <c:v>1998.3</c:v>
                </c:pt>
                <c:pt idx="1599">
                  <c:v>1977.12</c:v>
                </c:pt>
                <c:pt idx="1600">
                  <c:v>1977.12</c:v>
                </c:pt>
                <c:pt idx="1601">
                  <c:v>1977.82</c:v>
                </c:pt>
                <c:pt idx="1602">
                  <c:v>1977.12</c:v>
                </c:pt>
                <c:pt idx="1603">
                  <c:v>2047.73</c:v>
                </c:pt>
                <c:pt idx="1604">
                  <c:v>2061.85</c:v>
                </c:pt>
                <c:pt idx="1605">
                  <c:v>2100.69</c:v>
                </c:pt>
                <c:pt idx="1606">
                  <c:v>2107.75</c:v>
                </c:pt>
                <c:pt idx="1607">
                  <c:v>2118.34</c:v>
                </c:pt>
                <c:pt idx="1608">
                  <c:v>2075.97</c:v>
                </c:pt>
                <c:pt idx="1609">
                  <c:v>2090.1</c:v>
                </c:pt>
                <c:pt idx="1610">
                  <c:v>2100.69</c:v>
                </c:pt>
                <c:pt idx="1611">
                  <c:v>2118.34</c:v>
                </c:pt>
                <c:pt idx="1612">
                  <c:v>2090.1</c:v>
                </c:pt>
                <c:pt idx="1613">
                  <c:v>2111.28</c:v>
                </c:pt>
                <c:pt idx="1614">
                  <c:v>2111.28</c:v>
                </c:pt>
                <c:pt idx="1615">
                  <c:v>2083.03</c:v>
                </c:pt>
                <c:pt idx="1616">
                  <c:v>2083.03</c:v>
                </c:pt>
                <c:pt idx="1617">
                  <c:v>1991.24</c:v>
                </c:pt>
                <c:pt idx="1618">
                  <c:v>1906.51</c:v>
                </c:pt>
                <c:pt idx="1619">
                  <c:v>1924.86</c:v>
                </c:pt>
                <c:pt idx="1620">
                  <c:v>1977.12</c:v>
                </c:pt>
                <c:pt idx="1621">
                  <c:v>1977.12</c:v>
                </c:pt>
                <c:pt idx="1622">
                  <c:v>1977.12</c:v>
                </c:pt>
                <c:pt idx="1623">
                  <c:v>1976.41</c:v>
                </c:pt>
                <c:pt idx="1624">
                  <c:v>2011.72</c:v>
                </c:pt>
                <c:pt idx="1625">
                  <c:v>2104.22</c:v>
                </c:pt>
                <c:pt idx="1626">
                  <c:v>2013.13</c:v>
                </c:pt>
                <c:pt idx="1627">
                  <c:v>2104.22</c:v>
                </c:pt>
                <c:pt idx="1628">
                  <c:v>2104.22</c:v>
                </c:pt>
                <c:pt idx="1629">
                  <c:v>2104.22</c:v>
                </c:pt>
                <c:pt idx="1630">
                  <c:v>2104.22</c:v>
                </c:pt>
                <c:pt idx="1631">
                  <c:v>2104.22</c:v>
                </c:pt>
                <c:pt idx="1632">
                  <c:v>2104.22</c:v>
                </c:pt>
                <c:pt idx="1633">
                  <c:v>2104.22</c:v>
                </c:pt>
                <c:pt idx="1634">
                  <c:v>2083.03</c:v>
                </c:pt>
                <c:pt idx="1635">
                  <c:v>2111.28</c:v>
                </c:pt>
                <c:pt idx="1636">
                  <c:v>2111.28</c:v>
                </c:pt>
                <c:pt idx="1637">
                  <c:v>2111.28</c:v>
                </c:pt>
                <c:pt idx="1638">
                  <c:v>2118.34</c:v>
                </c:pt>
                <c:pt idx="1639">
                  <c:v>2061.14</c:v>
                </c:pt>
                <c:pt idx="1640">
                  <c:v>1977.12</c:v>
                </c:pt>
                <c:pt idx="1641">
                  <c:v>1906.51</c:v>
                </c:pt>
                <c:pt idx="1642">
                  <c:v>1906.51</c:v>
                </c:pt>
                <c:pt idx="1643">
                  <c:v>1853.55</c:v>
                </c:pt>
                <c:pt idx="1644">
                  <c:v>1853.55</c:v>
                </c:pt>
                <c:pt idx="1645">
                  <c:v>1853.55</c:v>
                </c:pt>
                <c:pt idx="1646">
                  <c:v>1853.55</c:v>
                </c:pt>
                <c:pt idx="1647">
                  <c:v>1853.55</c:v>
                </c:pt>
                <c:pt idx="1648">
                  <c:v>1853.55</c:v>
                </c:pt>
                <c:pt idx="1649">
                  <c:v>1853.55</c:v>
                </c:pt>
                <c:pt idx="1650">
                  <c:v>1853.55</c:v>
                </c:pt>
                <c:pt idx="1651">
                  <c:v>1871.2</c:v>
                </c:pt>
                <c:pt idx="1652">
                  <c:v>1871.2</c:v>
                </c:pt>
                <c:pt idx="1653">
                  <c:v>1832.36</c:v>
                </c:pt>
                <c:pt idx="1654">
                  <c:v>1832.36</c:v>
                </c:pt>
                <c:pt idx="1655">
                  <c:v>1828.83</c:v>
                </c:pt>
                <c:pt idx="1656">
                  <c:v>1832.36</c:v>
                </c:pt>
                <c:pt idx="1657">
                  <c:v>1832.36</c:v>
                </c:pt>
                <c:pt idx="1658">
                  <c:v>1870.49</c:v>
                </c:pt>
                <c:pt idx="1659">
                  <c:v>1870.49</c:v>
                </c:pt>
                <c:pt idx="1660">
                  <c:v>1870.49</c:v>
                </c:pt>
                <c:pt idx="1661">
                  <c:v>1839.42</c:v>
                </c:pt>
                <c:pt idx="1662">
                  <c:v>1853.55</c:v>
                </c:pt>
                <c:pt idx="1663">
                  <c:v>1853.55</c:v>
                </c:pt>
                <c:pt idx="1664">
                  <c:v>1835.89</c:v>
                </c:pt>
                <c:pt idx="1665">
                  <c:v>1835.89</c:v>
                </c:pt>
                <c:pt idx="1666">
                  <c:v>1835.89</c:v>
                </c:pt>
                <c:pt idx="1667">
                  <c:v>1765.28</c:v>
                </c:pt>
                <c:pt idx="1668">
                  <c:v>1729.98</c:v>
                </c:pt>
                <c:pt idx="1669">
                  <c:v>1695.38</c:v>
                </c:pt>
                <c:pt idx="1670">
                  <c:v>1729.98</c:v>
                </c:pt>
                <c:pt idx="1671">
                  <c:v>1729.98</c:v>
                </c:pt>
                <c:pt idx="1672">
                  <c:v>1729.98</c:v>
                </c:pt>
                <c:pt idx="1673">
                  <c:v>1729.98</c:v>
                </c:pt>
                <c:pt idx="1674">
                  <c:v>1729.98</c:v>
                </c:pt>
                <c:pt idx="1675">
                  <c:v>1729.98</c:v>
                </c:pt>
                <c:pt idx="1676">
                  <c:v>1729.98</c:v>
                </c:pt>
                <c:pt idx="1677">
                  <c:v>1729.98</c:v>
                </c:pt>
                <c:pt idx="1678">
                  <c:v>1722.92</c:v>
                </c:pt>
                <c:pt idx="1679">
                  <c:v>1744.1</c:v>
                </c:pt>
                <c:pt idx="1680">
                  <c:v>1799.88</c:v>
                </c:pt>
                <c:pt idx="1681">
                  <c:v>1799.88</c:v>
                </c:pt>
                <c:pt idx="1682">
                  <c:v>1799.88</c:v>
                </c:pt>
                <c:pt idx="1683">
                  <c:v>1800.59</c:v>
                </c:pt>
                <c:pt idx="1684">
                  <c:v>1800.59</c:v>
                </c:pt>
                <c:pt idx="1685">
                  <c:v>1765.28</c:v>
                </c:pt>
                <c:pt idx="1686">
                  <c:v>1729.98</c:v>
                </c:pt>
                <c:pt idx="1687">
                  <c:v>1729.98</c:v>
                </c:pt>
                <c:pt idx="1688">
                  <c:v>1765.28</c:v>
                </c:pt>
                <c:pt idx="1689">
                  <c:v>1782.94</c:v>
                </c:pt>
                <c:pt idx="1690">
                  <c:v>1764.58</c:v>
                </c:pt>
                <c:pt idx="1691">
                  <c:v>1765.28</c:v>
                </c:pt>
                <c:pt idx="1692">
                  <c:v>1765.28</c:v>
                </c:pt>
                <c:pt idx="1693">
                  <c:v>1765.28</c:v>
                </c:pt>
                <c:pt idx="1694">
                  <c:v>1765.28</c:v>
                </c:pt>
                <c:pt idx="1695">
                  <c:v>1765.28</c:v>
                </c:pt>
                <c:pt idx="1696">
                  <c:v>1729.98</c:v>
                </c:pt>
                <c:pt idx="1697">
                  <c:v>1694.67</c:v>
                </c:pt>
                <c:pt idx="1698">
                  <c:v>1694.67</c:v>
                </c:pt>
                <c:pt idx="1699">
                  <c:v>1693.97</c:v>
                </c:pt>
                <c:pt idx="1700">
                  <c:v>1693.97</c:v>
                </c:pt>
                <c:pt idx="1701">
                  <c:v>1684.08</c:v>
                </c:pt>
                <c:pt idx="1702">
                  <c:v>1684.08</c:v>
                </c:pt>
                <c:pt idx="1703">
                  <c:v>1684.08</c:v>
                </c:pt>
                <c:pt idx="1704">
                  <c:v>1677.02</c:v>
                </c:pt>
                <c:pt idx="1705">
                  <c:v>1673.49</c:v>
                </c:pt>
                <c:pt idx="1706">
                  <c:v>1659.37</c:v>
                </c:pt>
                <c:pt idx="1707">
                  <c:v>1659.37</c:v>
                </c:pt>
                <c:pt idx="1708">
                  <c:v>1659.37</c:v>
                </c:pt>
                <c:pt idx="1709">
                  <c:v>1659.37</c:v>
                </c:pt>
                <c:pt idx="1710">
                  <c:v>1659.37</c:v>
                </c:pt>
                <c:pt idx="1711">
                  <c:v>1659.37</c:v>
                </c:pt>
                <c:pt idx="1712">
                  <c:v>1659.37</c:v>
                </c:pt>
                <c:pt idx="1713">
                  <c:v>1659.37</c:v>
                </c:pt>
                <c:pt idx="1714">
                  <c:v>1684.08</c:v>
                </c:pt>
                <c:pt idx="1715">
                  <c:v>1669.25</c:v>
                </c:pt>
                <c:pt idx="1716">
                  <c:v>1669.25</c:v>
                </c:pt>
                <c:pt idx="1717">
                  <c:v>1637.89</c:v>
                </c:pt>
                <c:pt idx="1718">
                  <c:v>1637.89</c:v>
                </c:pt>
                <c:pt idx="1719">
                  <c:v>1637.89</c:v>
                </c:pt>
                <c:pt idx="1720">
                  <c:v>1637.89</c:v>
                </c:pt>
                <c:pt idx="1721">
                  <c:v>1637.89</c:v>
                </c:pt>
                <c:pt idx="1722">
                  <c:v>1637.89</c:v>
                </c:pt>
                <c:pt idx="1723">
                  <c:v>1637.89</c:v>
                </c:pt>
                <c:pt idx="1724">
                  <c:v>1637.89</c:v>
                </c:pt>
                <c:pt idx="1725">
                  <c:v>1603.74</c:v>
                </c:pt>
                <c:pt idx="1726">
                  <c:v>1676.22</c:v>
                </c:pt>
                <c:pt idx="1727">
                  <c:v>1700.62</c:v>
                </c:pt>
                <c:pt idx="1728">
                  <c:v>1714.55</c:v>
                </c:pt>
                <c:pt idx="1729">
                  <c:v>1735.46</c:v>
                </c:pt>
                <c:pt idx="1730">
                  <c:v>1742.43</c:v>
                </c:pt>
                <c:pt idx="1731">
                  <c:v>1742.43</c:v>
                </c:pt>
                <c:pt idx="1732">
                  <c:v>1742.43</c:v>
                </c:pt>
                <c:pt idx="1733">
                  <c:v>1881.83</c:v>
                </c:pt>
                <c:pt idx="1734">
                  <c:v>1881.83</c:v>
                </c:pt>
                <c:pt idx="1735">
                  <c:v>1895.77</c:v>
                </c:pt>
                <c:pt idx="1736">
                  <c:v>1895.77</c:v>
                </c:pt>
                <c:pt idx="1737">
                  <c:v>1895.77</c:v>
                </c:pt>
                <c:pt idx="1738">
                  <c:v>1881.83</c:v>
                </c:pt>
                <c:pt idx="1739">
                  <c:v>1881.83</c:v>
                </c:pt>
                <c:pt idx="1740">
                  <c:v>1934.1</c:v>
                </c:pt>
                <c:pt idx="1741">
                  <c:v>1934.1</c:v>
                </c:pt>
                <c:pt idx="1742">
                  <c:v>1916.68</c:v>
                </c:pt>
                <c:pt idx="1743">
                  <c:v>1944.56</c:v>
                </c:pt>
                <c:pt idx="1744">
                  <c:v>1944.56</c:v>
                </c:pt>
                <c:pt idx="1745">
                  <c:v>1944.56</c:v>
                </c:pt>
                <c:pt idx="1746">
                  <c:v>1944.56</c:v>
                </c:pt>
                <c:pt idx="1747">
                  <c:v>1944.56</c:v>
                </c:pt>
                <c:pt idx="1748">
                  <c:v>1846.98</c:v>
                </c:pt>
                <c:pt idx="1749">
                  <c:v>1846.98</c:v>
                </c:pt>
                <c:pt idx="1750">
                  <c:v>1747.31</c:v>
                </c:pt>
                <c:pt idx="1751">
                  <c:v>1735.46</c:v>
                </c:pt>
                <c:pt idx="1752">
                  <c:v>1735.46</c:v>
                </c:pt>
                <c:pt idx="1753">
                  <c:v>1711.07</c:v>
                </c:pt>
                <c:pt idx="1754">
                  <c:v>1700.62</c:v>
                </c:pt>
                <c:pt idx="1755">
                  <c:v>1711.07</c:v>
                </c:pt>
                <c:pt idx="1756">
                  <c:v>1690.16</c:v>
                </c:pt>
                <c:pt idx="1757">
                  <c:v>1690.16</c:v>
                </c:pt>
                <c:pt idx="1758">
                  <c:v>1690.16</c:v>
                </c:pt>
                <c:pt idx="1759">
                  <c:v>1672.74</c:v>
                </c:pt>
                <c:pt idx="1760">
                  <c:v>1672.74</c:v>
                </c:pt>
                <c:pt idx="1761">
                  <c:v>1672.74</c:v>
                </c:pt>
                <c:pt idx="1762">
                  <c:v>1706.89</c:v>
                </c:pt>
                <c:pt idx="1763">
                  <c:v>1706.89</c:v>
                </c:pt>
                <c:pt idx="1764">
                  <c:v>1706.89</c:v>
                </c:pt>
                <c:pt idx="1765">
                  <c:v>1706.89</c:v>
                </c:pt>
                <c:pt idx="1766">
                  <c:v>1706.89</c:v>
                </c:pt>
                <c:pt idx="1767">
                  <c:v>1706.89</c:v>
                </c:pt>
                <c:pt idx="1768">
                  <c:v>1707.59</c:v>
                </c:pt>
                <c:pt idx="1769">
                  <c:v>1707.59</c:v>
                </c:pt>
                <c:pt idx="1770">
                  <c:v>1707.59</c:v>
                </c:pt>
                <c:pt idx="1771">
                  <c:v>1672.74</c:v>
                </c:pt>
                <c:pt idx="1772">
                  <c:v>1572.37</c:v>
                </c:pt>
                <c:pt idx="1773">
                  <c:v>1533.34</c:v>
                </c:pt>
                <c:pt idx="1774">
                  <c:v>1533.34</c:v>
                </c:pt>
                <c:pt idx="1775">
                  <c:v>1533.34</c:v>
                </c:pt>
                <c:pt idx="1776">
                  <c:v>1721.52</c:v>
                </c:pt>
                <c:pt idx="1777">
                  <c:v>1721.52</c:v>
                </c:pt>
                <c:pt idx="1778">
                  <c:v>1721.52</c:v>
                </c:pt>
                <c:pt idx="1779">
                  <c:v>1721.52</c:v>
                </c:pt>
                <c:pt idx="1780">
                  <c:v>1707.59</c:v>
                </c:pt>
                <c:pt idx="1781">
                  <c:v>1707.59</c:v>
                </c:pt>
                <c:pt idx="1782">
                  <c:v>1707.59</c:v>
                </c:pt>
                <c:pt idx="1783">
                  <c:v>1707.59</c:v>
                </c:pt>
                <c:pt idx="1784">
                  <c:v>1707.59</c:v>
                </c:pt>
                <c:pt idx="1785">
                  <c:v>1714.55</c:v>
                </c:pt>
                <c:pt idx="1786">
                  <c:v>1742.43</c:v>
                </c:pt>
                <c:pt idx="1787">
                  <c:v>1734.77</c:v>
                </c:pt>
                <c:pt idx="1788">
                  <c:v>1759.86</c:v>
                </c:pt>
                <c:pt idx="1789">
                  <c:v>1759.86</c:v>
                </c:pt>
                <c:pt idx="1790">
                  <c:v>1759.86</c:v>
                </c:pt>
                <c:pt idx="1791">
                  <c:v>1777.28</c:v>
                </c:pt>
                <c:pt idx="1792">
                  <c:v>1777.28</c:v>
                </c:pt>
                <c:pt idx="1793">
                  <c:v>1784.25</c:v>
                </c:pt>
                <c:pt idx="1794">
                  <c:v>1846.98</c:v>
                </c:pt>
                <c:pt idx="1795">
                  <c:v>1846.98</c:v>
                </c:pt>
                <c:pt idx="1796">
                  <c:v>1812.13</c:v>
                </c:pt>
                <c:pt idx="1797">
                  <c:v>1812.13</c:v>
                </c:pt>
                <c:pt idx="1798">
                  <c:v>1812.13</c:v>
                </c:pt>
                <c:pt idx="1799">
                  <c:v>1742.43</c:v>
                </c:pt>
                <c:pt idx="1800">
                  <c:v>1742.43</c:v>
                </c:pt>
                <c:pt idx="1801">
                  <c:v>1683.19</c:v>
                </c:pt>
                <c:pt idx="1802">
                  <c:v>1690.16</c:v>
                </c:pt>
                <c:pt idx="1803">
                  <c:v>1690.16</c:v>
                </c:pt>
                <c:pt idx="1804">
                  <c:v>1672.74</c:v>
                </c:pt>
                <c:pt idx="1805">
                  <c:v>1662.28</c:v>
                </c:pt>
                <c:pt idx="1806">
                  <c:v>1651.83</c:v>
                </c:pt>
                <c:pt idx="1807">
                  <c:v>1672.74</c:v>
                </c:pt>
                <c:pt idx="1808">
                  <c:v>1690.16</c:v>
                </c:pt>
                <c:pt idx="1809">
                  <c:v>1690.16</c:v>
                </c:pt>
                <c:pt idx="1810">
                  <c:v>1690.16</c:v>
                </c:pt>
                <c:pt idx="1811">
                  <c:v>1690.16</c:v>
                </c:pt>
                <c:pt idx="1812">
                  <c:v>1637.89</c:v>
                </c:pt>
                <c:pt idx="1813">
                  <c:v>1603.04</c:v>
                </c:pt>
                <c:pt idx="1814">
                  <c:v>1603.04</c:v>
                </c:pt>
                <c:pt idx="1815">
                  <c:v>1603.04</c:v>
                </c:pt>
                <c:pt idx="1816">
                  <c:v>1602.34</c:v>
                </c:pt>
                <c:pt idx="1817">
                  <c:v>1602.34</c:v>
                </c:pt>
                <c:pt idx="1818">
                  <c:v>1602.34</c:v>
                </c:pt>
                <c:pt idx="1819">
                  <c:v>1602.34</c:v>
                </c:pt>
                <c:pt idx="1820">
                  <c:v>1603.04</c:v>
                </c:pt>
                <c:pt idx="1821">
                  <c:v>1603.04</c:v>
                </c:pt>
                <c:pt idx="1822">
                  <c:v>1533.34</c:v>
                </c:pt>
                <c:pt idx="1823">
                  <c:v>1533.34</c:v>
                </c:pt>
                <c:pt idx="1824">
                  <c:v>1533.34</c:v>
                </c:pt>
                <c:pt idx="1825">
                  <c:v>1533.34</c:v>
                </c:pt>
                <c:pt idx="1826">
                  <c:v>1533.34</c:v>
                </c:pt>
                <c:pt idx="1827">
                  <c:v>1533.34</c:v>
                </c:pt>
                <c:pt idx="1828">
                  <c:v>1568.19</c:v>
                </c:pt>
                <c:pt idx="1829">
                  <c:v>1568.19</c:v>
                </c:pt>
                <c:pt idx="1830">
                  <c:v>1568.19</c:v>
                </c:pt>
                <c:pt idx="1831">
                  <c:v>1568.19</c:v>
                </c:pt>
                <c:pt idx="1832">
                  <c:v>1568.19</c:v>
                </c:pt>
                <c:pt idx="1833">
                  <c:v>1568.19</c:v>
                </c:pt>
                <c:pt idx="1834">
                  <c:v>1481.07</c:v>
                </c:pt>
                <c:pt idx="1835">
                  <c:v>1481.07</c:v>
                </c:pt>
                <c:pt idx="1836">
                  <c:v>1481.07</c:v>
                </c:pt>
                <c:pt idx="1837">
                  <c:v>1481.07</c:v>
                </c:pt>
                <c:pt idx="1838">
                  <c:v>1481.07</c:v>
                </c:pt>
                <c:pt idx="1839">
                  <c:v>1481.07</c:v>
                </c:pt>
                <c:pt idx="1840">
                  <c:v>1477.78</c:v>
                </c:pt>
                <c:pt idx="1841">
                  <c:v>1477.78</c:v>
                </c:pt>
                <c:pt idx="1842">
                  <c:v>1477.78</c:v>
                </c:pt>
                <c:pt idx="1843">
                  <c:v>1477.78</c:v>
                </c:pt>
                <c:pt idx="1844">
                  <c:v>1477.78</c:v>
                </c:pt>
                <c:pt idx="1845">
                  <c:v>1477.78</c:v>
                </c:pt>
                <c:pt idx="1846">
                  <c:v>1510.62</c:v>
                </c:pt>
                <c:pt idx="1847">
                  <c:v>1477.78</c:v>
                </c:pt>
                <c:pt idx="1848">
                  <c:v>1477.78</c:v>
                </c:pt>
                <c:pt idx="1849">
                  <c:v>1477.78</c:v>
                </c:pt>
                <c:pt idx="1850">
                  <c:v>1484.35</c:v>
                </c:pt>
                <c:pt idx="1851">
                  <c:v>1477.78</c:v>
                </c:pt>
                <c:pt idx="1852">
                  <c:v>1448.23</c:v>
                </c:pt>
                <c:pt idx="1853">
                  <c:v>1507.34</c:v>
                </c:pt>
                <c:pt idx="1854">
                  <c:v>1507.34</c:v>
                </c:pt>
                <c:pt idx="1855">
                  <c:v>1494.2</c:v>
                </c:pt>
                <c:pt idx="1856">
                  <c:v>1477.78</c:v>
                </c:pt>
                <c:pt idx="1857">
                  <c:v>1477.78</c:v>
                </c:pt>
                <c:pt idx="1858">
                  <c:v>1445.6</c:v>
                </c:pt>
                <c:pt idx="1859">
                  <c:v>1445.6</c:v>
                </c:pt>
                <c:pt idx="1860">
                  <c:v>1444.95</c:v>
                </c:pt>
                <c:pt idx="1861">
                  <c:v>1444.95</c:v>
                </c:pt>
                <c:pt idx="1862">
                  <c:v>1444.95</c:v>
                </c:pt>
                <c:pt idx="1863">
                  <c:v>1379.27</c:v>
                </c:pt>
                <c:pt idx="1864">
                  <c:v>1380.58</c:v>
                </c:pt>
                <c:pt idx="1865">
                  <c:v>1379.27</c:v>
                </c:pt>
                <c:pt idx="1866">
                  <c:v>1297.17</c:v>
                </c:pt>
                <c:pt idx="1867">
                  <c:v>1297.17</c:v>
                </c:pt>
                <c:pt idx="1868">
                  <c:v>1297.17</c:v>
                </c:pt>
                <c:pt idx="1869">
                  <c:v>1297.17</c:v>
                </c:pt>
                <c:pt idx="1870">
                  <c:v>1437.72</c:v>
                </c:pt>
                <c:pt idx="1871">
                  <c:v>1458.08</c:v>
                </c:pt>
                <c:pt idx="1872">
                  <c:v>1458.08</c:v>
                </c:pt>
                <c:pt idx="1873">
                  <c:v>1444.95</c:v>
                </c:pt>
                <c:pt idx="1874">
                  <c:v>1444.95</c:v>
                </c:pt>
                <c:pt idx="1875">
                  <c:v>1441.66</c:v>
                </c:pt>
                <c:pt idx="1876">
                  <c:v>1441.66</c:v>
                </c:pt>
                <c:pt idx="1877">
                  <c:v>1438.38</c:v>
                </c:pt>
                <c:pt idx="1878">
                  <c:v>1346.43</c:v>
                </c:pt>
                <c:pt idx="1879">
                  <c:v>1366.13</c:v>
                </c:pt>
                <c:pt idx="1880">
                  <c:v>1451.51</c:v>
                </c:pt>
                <c:pt idx="1881">
                  <c:v>1379.27</c:v>
                </c:pt>
                <c:pt idx="1882">
                  <c:v>1379.27</c:v>
                </c:pt>
                <c:pt idx="1883">
                  <c:v>1510.62</c:v>
                </c:pt>
                <c:pt idx="1884">
                  <c:v>1510.62</c:v>
                </c:pt>
                <c:pt idx="1885">
                  <c:v>1379.27</c:v>
                </c:pt>
                <c:pt idx="1886">
                  <c:v>1313.59</c:v>
                </c:pt>
                <c:pt idx="1887">
                  <c:v>1346.43</c:v>
                </c:pt>
                <c:pt idx="1888">
                  <c:v>1346.43</c:v>
                </c:pt>
                <c:pt idx="1889">
                  <c:v>1346.43</c:v>
                </c:pt>
                <c:pt idx="1890">
                  <c:v>1346.43</c:v>
                </c:pt>
                <c:pt idx="1891">
                  <c:v>1346.43</c:v>
                </c:pt>
                <c:pt idx="1892">
                  <c:v>1379.27</c:v>
                </c:pt>
                <c:pt idx="1893">
                  <c:v>1379.27</c:v>
                </c:pt>
                <c:pt idx="1894">
                  <c:v>1379.27</c:v>
                </c:pt>
                <c:pt idx="1895">
                  <c:v>1379.27</c:v>
                </c:pt>
                <c:pt idx="1896">
                  <c:v>1379.92</c:v>
                </c:pt>
                <c:pt idx="1897">
                  <c:v>1382.55</c:v>
                </c:pt>
                <c:pt idx="1898">
                  <c:v>1389.12</c:v>
                </c:pt>
                <c:pt idx="1899">
                  <c:v>1438.38</c:v>
                </c:pt>
                <c:pt idx="1900">
                  <c:v>1425.24</c:v>
                </c:pt>
                <c:pt idx="1901">
                  <c:v>1425.24</c:v>
                </c:pt>
                <c:pt idx="1902">
                  <c:v>1379.27</c:v>
                </c:pt>
                <c:pt idx="1903">
                  <c:v>1379.27</c:v>
                </c:pt>
                <c:pt idx="1904">
                  <c:v>1362.85</c:v>
                </c:pt>
                <c:pt idx="1905">
                  <c:v>1379.27</c:v>
                </c:pt>
                <c:pt idx="1906">
                  <c:v>1379.27</c:v>
                </c:pt>
                <c:pt idx="1907">
                  <c:v>1379.27</c:v>
                </c:pt>
                <c:pt idx="1908">
                  <c:v>1379.27</c:v>
                </c:pt>
                <c:pt idx="1909">
                  <c:v>1379.27</c:v>
                </c:pt>
                <c:pt idx="1910">
                  <c:v>1379.27</c:v>
                </c:pt>
                <c:pt idx="1911">
                  <c:v>1379.27</c:v>
                </c:pt>
                <c:pt idx="1912">
                  <c:v>1293.88</c:v>
                </c:pt>
                <c:pt idx="1913">
                  <c:v>1293.88</c:v>
                </c:pt>
                <c:pt idx="1914">
                  <c:v>1267.61</c:v>
                </c:pt>
                <c:pt idx="1915">
                  <c:v>1293.88</c:v>
                </c:pt>
                <c:pt idx="1916">
                  <c:v>1280.75</c:v>
                </c:pt>
                <c:pt idx="1917">
                  <c:v>1231.49</c:v>
                </c:pt>
                <c:pt idx="1918">
                  <c:v>1234.77</c:v>
                </c:pt>
                <c:pt idx="1919">
                  <c:v>1230.17</c:v>
                </c:pt>
                <c:pt idx="1920">
                  <c:v>1215.07</c:v>
                </c:pt>
                <c:pt idx="1921">
                  <c:v>1227.55</c:v>
                </c:pt>
                <c:pt idx="1922">
                  <c:v>1195.36</c:v>
                </c:pt>
                <c:pt idx="1923">
                  <c:v>1195.36</c:v>
                </c:pt>
                <c:pt idx="1924">
                  <c:v>1228.2</c:v>
                </c:pt>
                <c:pt idx="1925">
                  <c:v>1228.2</c:v>
                </c:pt>
                <c:pt idx="1926">
                  <c:v>1228.2</c:v>
                </c:pt>
                <c:pt idx="1927">
                  <c:v>1228.2</c:v>
                </c:pt>
                <c:pt idx="1928">
                  <c:v>1228.2</c:v>
                </c:pt>
                <c:pt idx="1929">
                  <c:v>1230.17</c:v>
                </c:pt>
                <c:pt idx="1930">
                  <c:v>1230.83</c:v>
                </c:pt>
                <c:pt idx="1931">
                  <c:v>1230.83</c:v>
                </c:pt>
                <c:pt idx="1932">
                  <c:v>1231.49</c:v>
                </c:pt>
                <c:pt idx="1933">
                  <c:v>1231.49</c:v>
                </c:pt>
                <c:pt idx="1934">
                  <c:v>1231.49</c:v>
                </c:pt>
                <c:pt idx="1935">
                  <c:v>1211.78</c:v>
                </c:pt>
                <c:pt idx="1936">
                  <c:v>1234.77</c:v>
                </c:pt>
                <c:pt idx="1937">
                  <c:v>1234.77</c:v>
                </c:pt>
                <c:pt idx="1938">
                  <c:v>1247.91</c:v>
                </c:pt>
                <c:pt idx="1939">
                  <c:v>1247.91</c:v>
                </c:pt>
                <c:pt idx="1940">
                  <c:v>1247.91</c:v>
                </c:pt>
                <c:pt idx="1941">
                  <c:v>1247.91</c:v>
                </c:pt>
                <c:pt idx="1942">
                  <c:v>1247.91</c:v>
                </c:pt>
                <c:pt idx="1943">
                  <c:v>1247.91</c:v>
                </c:pt>
                <c:pt idx="1944">
                  <c:v>1247.91</c:v>
                </c:pt>
                <c:pt idx="1945">
                  <c:v>1247.91</c:v>
                </c:pt>
                <c:pt idx="1946">
                  <c:v>1247.91</c:v>
                </c:pt>
                <c:pt idx="1947">
                  <c:v>1247.91</c:v>
                </c:pt>
                <c:pt idx="1948">
                  <c:v>1247.91</c:v>
                </c:pt>
                <c:pt idx="1949">
                  <c:v>1185.51</c:v>
                </c:pt>
                <c:pt idx="1950">
                  <c:v>1169.09</c:v>
                </c:pt>
                <c:pt idx="1951">
                  <c:v>1159.24</c:v>
                </c:pt>
                <c:pt idx="1952">
                  <c:v>1169.09</c:v>
                </c:pt>
                <c:pt idx="1953">
                  <c:v>1162.52</c:v>
                </c:pt>
                <c:pt idx="1954">
                  <c:v>1175.66</c:v>
                </c:pt>
                <c:pt idx="1955">
                  <c:v>1175.66</c:v>
                </c:pt>
                <c:pt idx="1956">
                  <c:v>1208.5</c:v>
                </c:pt>
                <c:pt idx="1957">
                  <c:v>1247.91</c:v>
                </c:pt>
                <c:pt idx="1958">
                  <c:v>1247.91</c:v>
                </c:pt>
                <c:pt idx="1959">
                  <c:v>1270.89</c:v>
                </c:pt>
                <c:pt idx="1960">
                  <c:v>1280.75</c:v>
                </c:pt>
                <c:pt idx="1961">
                  <c:v>1293.88</c:v>
                </c:pt>
                <c:pt idx="1962">
                  <c:v>1313.59</c:v>
                </c:pt>
                <c:pt idx="1963">
                  <c:v>1303.08</c:v>
                </c:pt>
                <c:pt idx="1964">
                  <c:v>1361.42</c:v>
                </c:pt>
                <c:pt idx="1965">
                  <c:v>1393.84</c:v>
                </c:pt>
                <c:pt idx="1966">
                  <c:v>1393.84</c:v>
                </c:pt>
                <c:pt idx="1967">
                  <c:v>1393.84</c:v>
                </c:pt>
                <c:pt idx="1968">
                  <c:v>1393.84</c:v>
                </c:pt>
                <c:pt idx="1969">
                  <c:v>1393.84</c:v>
                </c:pt>
                <c:pt idx="1970">
                  <c:v>1426.25</c:v>
                </c:pt>
                <c:pt idx="1971">
                  <c:v>1400.32</c:v>
                </c:pt>
                <c:pt idx="1972">
                  <c:v>1400.32</c:v>
                </c:pt>
                <c:pt idx="1973">
                  <c:v>1400.32</c:v>
                </c:pt>
                <c:pt idx="1974">
                  <c:v>1393.84</c:v>
                </c:pt>
                <c:pt idx="1975">
                  <c:v>1393.84</c:v>
                </c:pt>
                <c:pt idx="1976">
                  <c:v>1393.84</c:v>
                </c:pt>
                <c:pt idx="1977">
                  <c:v>1361.42</c:v>
                </c:pt>
                <c:pt idx="1978">
                  <c:v>1361.42</c:v>
                </c:pt>
                <c:pt idx="1979">
                  <c:v>1361.42</c:v>
                </c:pt>
                <c:pt idx="1980">
                  <c:v>1361.42</c:v>
                </c:pt>
                <c:pt idx="1981">
                  <c:v>1393.84</c:v>
                </c:pt>
                <c:pt idx="1982">
                  <c:v>1393.84</c:v>
                </c:pt>
                <c:pt idx="1983">
                  <c:v>1393.84</c:v>
                </c:pt>
                <c:pt idx="1984">
                  <c:v>1393.84</c:v>
                </c:pt>
                <c:pt idx="1985">
                  <c:v>1377.63</c:v>
                </c:pt>
                <c:pt idx="1986">
                  <c:v>1361.42</c:v>
                </c:pt>
                <c:pt idx="1987">
                  <c:v>1361.42</c:v>
                </c:pt>
                <c:pt idx="1988">
                  <c:v>1361.42</c:v>
                </c:pt>
                <c:pt idx="1989">
                  <c:v>1383.47</c:v>
                </c:pt>
                <c:pt idx="1990">
                  <c:v>1383.47</c:v>
                </c:pt>
                <c:pt idx="1991">
                  <c:v>1384.11</c:v>
                </c:pt>
                <c:pt idx="1992">
                  <c:v>1377.63</c:v>
                </c:pt>
                <c:pt idx="1993">
                  <c:v>1377.63</c:v>
                </c:pt>
                <c:pt idx="1994">
                  <c:v>1329.01</c:v>
                </c:pt>
                <c:pt idx="1995">
                  <c:v>1303.08</c:v>
                </c:pt>
                <c:pt idx="1996">
                  <c:v>1296.59</c:v>
                </c:pt>
                <c:pt idx="1997">
                  <c:v>1299.84</c:v>
                </c:pt>
                <c:pt idx="1998">
                  <c:v>1264.18</c:v>
                </c:pt>
                <c:pt idx="1999">
                  <c:v>1296.59</c:v>
                </c:pt>
                <c:pt idx="2000">
                  <c:v>1296.59</c:v>
                </c:pt>
                <c:pt idx="2001">
                  <c:v>1296.59</c:v>
                </c:pt>
                <c:pt idx="2002">
                  <c:v>1296.59</c:v>
                </c:pt>
                <c:pt idx="2003">
                  <c:v>1283.63</c:v>
                </c:pt>
                <c:pt idx="2004">
                  <c:v>1264.18</c:v>
                </c:pt>
                <c:pt idx="2005">
                  <c:v>1257.7</c:v>
                </c:pt>
                <c:pt idx="2006">
                  <c:v>1296.59</c:v>
                </c:pt>
                <c:pt idx="2007">
                  <c:v>1296.59</c:v>
                </c:pt>
                <c:pt idx="2008">
                  <c:v>1375.69</c:v>
                </c:pt>
                <c:pt idx="2009">
                  <c:v>1426.25</c:v>
                </c:pt>
                <c:pt idx="2010">
                  <c:v>1458.67</c:v>
                </c:pt>
                <c:pt idx="2011">
                  <c:v>1458.67</c:v>
                </c:pt>
                <c:pt idx="2012">
                  <c:v>1458.67</c:v>
                </c:pt>
                <c:pt idx="2013">
                  <c:v>1458.67</c:v>
                </c:pt>
                <c:pt idx="2014">
                  <c:v>1458.67</c:v>
                </c:pt>
                <c:pt idx="2015">
                  <c:v>1452.19</c:v>
                </c:pt>
                <c:pt idx="2016">
                  <c:v>1426.25</c:v>
                </c:pt>
                <c:pt idx="2017">
                  <c:v>1393.84</c:v>
                </c:pt>
                <c:pt idx="2018">
                  <c:v>1361.42</c:v>
                </c:pt>
                <c:pt idx="2019">
                  <c:v>1368.56</c:v>
                </c:pt>
                <c:pt idx="2020">
                  <c:v>1361.42</c:v>
                </c:pt>
                <c:pt idx="2021">
                  <c:v>1361.42</c:v>
                </c:pt>
                <c:pt idx="2022">
                  <c:v>1235.01</c:v>
                </c:pt>
                <c:pt idx="2023">
                  <c:v>1235.01</c:v>
                </c:pt>
                <c:pt idx="2024">
                  <c:v>1245.38</c:v>
                </c:pt>
                <c:pt idx="2025">
                  <c:v>1235.01</c:v>
                </c:pt>
                <c:pt idx="2026">
                  <c:v>1231.77</c:v>
                </c:pt>
                <c:pt idx="2027">
                  <c:v>1231.77</c:v>
                </c:pt>
                <c:pt idx="2028">
                  <c:v>1231.77</c:v>
                </c:pt>
                <c:pt idx="2029">
                  <c:v>1231.77</c:v>
                </c:pt>
                <c:pt idx="2030">
                  <c:v>1218.8</c:v>
                </c:pt>
                <c:pt idx="2031">
                  <c:v>1183.14</c:v>
                </c:pt>
                <c:pt idx="2032">
                  <c:v>1183.14</c:v>
                </c:pt>
                <c:pt idx="2033">
                  <c:v>1199.35</c:v>
                </c:pt>
                <c:pt idx="2034">
                  <c:v>1199.35</c:v>
                </c:pt>
                <c:pt idx="2035">
                  <c:v>1199.35</c:v>
                </c:pt>
                <c:pt idx="2036">
                  <c:v>1218.8</c:v>
                </c:pt>
                <c:pt idx="2037">
                  <c:v>1166.94</c:v>
                </c:pt>
                <c:pt idx="2038">
                  <c:v>1102.75</c:v>
                </c:pt>
                <c:pt idx="2039">
                  <c:v>1102.75</c:v>
                </c:pt>
                <c:pt idx="2040">
                  <c:v>1205.83</c:v>
                </c:pt>
                <c:pt idx="2041">
                  <c:v>1205.83</c:v>
                </c:pt>
                <c:pt idx="2042">
                  <c:v>1102.11</c:v>
                </c:pt>
                <c:pt idx="2043">
                  <c:v>1037.92</c:v>
                </c:pt>
                <c:pt idx="2044">
                  <c:v>1037.92</c:v>
                </c:pt>
                <c:pt idx="2045">
                  <c:v>1037.92</c:v>
                </c:pt>
                <c:pt idx="2046">
                  <c:v>1037.92</c:v>
                </c:pt>
                <c:pt idx="2047">
                  <c:v>1069.69</c:v>
                </c:pt>
                <c:pt idx="2048">
                  <c:v>1073.58</c:v>
                </c:pt>
                <c:pt idx="2049">
                  <c:v>1076.17</c:v>
                </c:pt>
                <c:pt idx="2050">
                  <c:v>1102.11</c:v>
                </c:pt>
                <c:pt idx="2051">
                  <c:v>1133.22</c:v>
                </c:pt>
                <c:pt idx="2052">
                  <c:v>1134.52</c:v>
                </c:pt>
                <c:pt idx="2053">
                  <c:v>1150.73</c:v>
                </c:pt>
                <c:pt idx="2054">
                  <c:v>1173.42</c:v>
                </c:pt>
                <c:pt idx="2055">
                  <c:v>1179.9</c:v>
                </c:pt>
                <c:pt idx="2056">
                  <c:v>1186.38</c:v>
                </c:pt>
                <c:pt idx="2057">
                  <c:v>1170.18</c:v>
                </c:pt>
                <c:pt idx="2058">
                  <c:v>1170.18</c:v>
                </c:pt>
                <c:pt idx="2059">
                  <c:v>1228.52</c:v>
                </c:pt>
                <c:pt idx="2060">
                  <c:v>1228.52</c:v>
                </c:pt>
                <c:pt idx="2061">
                  <c:v>1228.52</c:v>
                </c:pt>
                <c:pt idx="2062">
                  <c:v>1231.77</c:v>
                </c:pt>
                <c:pt idx="2063">
                  <c:v>1202.59</c:v>
                </c:pt>
                <c:pt idx="2064">
                  <c:v>1199.35</c:v>
                </c:pt>
                <c:pt idx="2065">
                  <c:v>1166.94</c:v>
                </c:pt>
                <c:pt idx="2066">
                  <c:v>1166.94</c:v>
                </c:pt>
                <c:pt idx="2067">
                  <c:v>1199.35</c:v>
                </c:pt>
                <c:pt idx="2068">
                  <c:v>1176.66</c:v>
                </c:pt>
                <c:pt idx="2069">
                  <c:v>1183.14</c:v>
                </c:pt>
                <c:pt idx="2070">
                  <c:v>1231.77</c:v>
                </c:pt>
                <c:pt idx="2071">
                  <c:v>1231.77</c:v>
                </c:pt>
                <c:pt idx="2072">
                  <c:v>1260.94</c:v>
                </c:pt>
                <c:pt idx="2073">
                  <c:v>1260.94</c:v>
                </c:pt>
                <c:pt idx="2074">
                  <c:v>1260.94</c:v>
                </c:pt>
                <c:pt idx="2075">
                  <c:v>1277.15</c:v>
                </c:pt>
                <c:pt idx="2076">
                  <c:v>1277.15</c:v>
                </c:pt>
                <c:pt idx="2077">
                  <c:v>1277.15</c:v>
                </c:pt>
                <c:pt idx="2078">
                  <c:v>1264.18</c:v>
                </c:pt>
                <c:pt idx="2079">
                  <c:v>1264.18</c:v>
                </c:pt>
                <c:pt idx="2080">
                  <c:v>1277.15</c:v>
                </c:pt>
                <c:pt idx="2081">
                  <c:v>1264.18</c:v>
                </c:pt>
                <c:pt idx="2082">
                  <c:v>1240.19</c:v>
                </c:pt>
                <c:pt idx="2083">
                  <c:v>1240.19</c:v>
                </c:pt>
                <c:pt idx="2084">
                  <c:v>1240.19</c:v>
                </c:pt>
                <c:pt idx="2085">
                  <c:v>1240.19</c:v>
                </c:pt>
                <c:pt idx="2086">
                  <c:v>1252.59</c:v>
                </c:pt>
                <c:pt idx="2087">
                  <c:v>1240.19</c:v>
                </c:pt>
                <c:pt idx="2088">
                  <c:v>1240.19</c:v>
                </c:pt>
                <c:pt idx="2089">
                  <c:v>1209.19</c:v>
                </c:pt>
                <c:pt idx="2090">
                  <c:v>1240.19</c:v>
                </c:pt>
                <c:pt idx="2091">
                  <c:v>1261.9</c:v>
                </c:pt>
                <c:pt idx="2092">
                  <c:v>1277.4</c:v>
                </c:pt>
                <c:pt idx="2093">
                  <c:v>1277.4</c:v>
                </c:pt>
                <c:pt idx="2094">
                  <c:v>1240.19</c:v>
                </c:pt>
                <c:pt idx="2095">
                  <c:v>1299.1</c:v>
                </c:pt>
                <c:pt idx="2096">
                  <c:v>1302.2</c:v>
                </c:pt>
                <c:pt idx="2097">
                  <c:v>1302.2</c:v>
                </c:pt>
                <c:pt idx="2098">
                  <c:v>1302.2</c:v>
                </c:pt>
                <c:pt idx="2099">
                  <c:v>1333.21</c:v>
                </c:pt>
                <c:pt idx="2100">
                  <c:v>1364.21</c:v>
                </c:pt>
                <c:pt idx="2101">
                  <c:v>1426.22</c:v>
                </c:pt>
                <c:pt idx="2102">
                  <c:v>1475.83</c:v>
                </c:pt>
                <c:pt idx="2103">
                  <c:v>1475.83</c:v>
                </c:pt>
                <c:pt idx="2104">
                  <c:v>1463.43</c:v>
                </c:pt>
                <c:pt idx="2105">
                  <c:v>1438.62</c:v>
                </c:pt>
                <c:pt idx="2106">
                  <c:v>1438.62</c:v>
                </c:pt>
                <c:pt idx="2107">
                  <c:v>1488.23</c:v>
                </c:pt>
                <c:pt idx="2108">
                  <c:v>1488.23</c:v>
                </c:pt>
                <c:pt idx="2109">
                  <c:v>1519.24</c:v>
                </c:pt>
                <c:pt idx="2110">
                  <c:v>1519.24</c:v>
                </c:pt>
                <c:pt idx="2111">
                  <c:v>1550.24</c:v>
                </c:pt>
                <c:pt idx="2112">
                  <c:v>1535.36</c:v>
                </c:pt>
                <c:pt idx="2113">
                  <c:v>1550.24</c:v>
                </c:pt>
                <c:pt idx="2114">
                  <c:v>1590.55</c:v>
                </c:pt>
                <c:pt idx="2115">
                  <c:v>1612.25</c:v>
                </c:pt>
                <c:pt idx="2116">
                  <c:v>1595.51</c:v>
                </c:pt>
                <c:pt idx="2117">
                  <c:v>1540.94</c:v>
                </c:pt>
                <c:pt idx="2118">
                  <c:v>1504.97</c:v>
                </c:pt>
                <c:pt idx="2119">
                  <c:v>1498.77</c:v>
                </c:pt>
                <c:pt idx="2120">
                  <c:v>1498.77</c:v>
                </c:pt>
                <c:pt idx="2121">
                  <c:v>1491.33</c:v>
                </c:pt>
                <c:pt idx="2122">
                  <c:v>1488.23</c:v>
                </c:pt>
                <c:pt idx="2123">
                  <c:v>1488.23</c:v>
                </c:pt>
                <c:pt idx="2124">
                  <c:v>1519.24</c:v>
                </c:pt>
                <c:pt idx="2125">
                  <c:v>1550.24</c:v>
                </c:pt>
                <c:pt idx="2126">
                  <c:v>1488.23</c:v>
                </c:pt>
                <c:pt idx="2127">
                  <c:v>1488.85</c:v>
                </c:pt>
                <c:pt idx="2128">
                  <c:v>1488.23</c:v>
                </c:pt>
                <c:pt idx="2129">
                  <c:v>1488.23</c:v>
                </c:pt>
                <c:pt idx="2130">
                  <c:v>1488.23</c:v>
                </c:pt>
                <c:pt idx="2131">
                  <c:v>1488.23</c:v>
                </c:pt>
                <c:pt idx="2132">
                  <c:v>1488.23</c:v>
                </c:pt>
                <c:pt idx="2133">
                  <c:v>1519.24</c:v>
                </c:pt>
                <c:pt idx="2134">
                  <c:v>1519.24</c:v>
                </c:pt>
                <c:pt idx="2135">
                  <c:v>1534.74</c:v>
                </c:pt>
                <c:pt idx="2136">
                  <c:v>1519.24</c:v>
                </c:pt>
                <c:pt idx="2137">
                  <c:v>1519.24</c:v>
                </c:pt>
                <c:pt idx="2138">
                  <c:v>1519.24</c:v>
                </c:pt>
                <c:pt idx="2139">
                  <c:v>1519.24</c:v>
                </c:pt>
                <c:pt idx="2140">
                  <c:v>1488.23</c:v>
                </c:pt>
                <c:pt idx="2141">
                  <c:v>1488.23</c:v>
                </c:pt>
                <c:pt idx="2142">
                  <c:v>1491.33</c:v>
                </c:pt>
                <c:pt idx="2143">
                  <c:v>1488.23</c:v>
                </c:pt>
                <c:pt idx="2144">
                  <c:v>1488.23</c:v>
                </c:pt>
                <c:pt idx="2145">
                  <c:v>1457.23</c:v>
                </c:pt>
                <c:pt idx="2146">
                  <c:v>1429.32</c:v>
                </c:pt>
                <c:pt idx="2147">
                  <c:v>1404.52</c:v>
                </c:pt>
                <c:pt idx="2148">
                  <c:v>1401.42</c:v>
                </c:pt>
                <c:pt idx="2149">
                  <c:v>1395.22</c:v>
                </c:pt>
                <c:pt idx="2150">
                  <c:v>1395.22</c:v>
                </c:pt>
                <c:pt idx="2151">
                  <c:v>1395.22</c:v>
                </c:pt>
                <c:pt idx="2152">
                  <c:v>1395.22</c:v>
                </c:pt>
                <c:pt idx="2153">
                  <c:v>1364.21</c:v>
                </c:pt>
                <c:pt idx="2154">
                  <c:v>1364.21</c:v>
                </c:pt>
                <c:pt idx="2155">
                  <c:v>1241.43</c:v>
                </c:pt>
                <c:pt idx="2156">
                  <c:v>1234.61</c:v>
                </c:pt>
                <c:pt idx="2157">
                  <c:v>1199.89</c:v>
                </c:pt>
                <c:pt idx="2158">
                  <c:v>1199.89</c:v>
                </c:pt>
                <c:pt idx="2159">
                  <c:v>1199.89</c:v>
                </c:pt>
                <c:pt idx="2160">
                  <c:v>1178.18</c:v>
                </c:pt>
                <c:pt idx="2161">
                  <c:v>1178.18</c:v>
                </c:pt>
                <c:pt idx="2162">
                  <c:v>1199.89</c:v>
                </c:pt>
                <c:pt idx="2163">
                  <c:v>1199.89</c:v>
                </c:pt>
                <c:pt idx="2164">
                  <c:v>1199.89</c:v>
                </c:pt>
                <c:pt idx="2165">
                  <c:v>1178.18</c:v>
                </c:pt>
                <c:pt idx="2166">
                  <c:v>1209.19</c:v>
                </c:pt>
                <c:pt idx="2167">
                  <c:v>1116.17</c:v>
                </c:pt>
                <c:pt idx="2168">
                  <c:v>1116.17</c:v>
                </c:pt>
                <c:pt idx="2169">
                  <c:v>1116.17</c:v>
                </c:pt>
                <c:pt idx="2170">
                  <c:v>1060.36</c:v>
                </c:pt>
                <c:pt idx="2171">
                  <c:v>1057.88</c:v>
                </c:pt>
                <c:pt idx="2172">
                  <c:v>1054.16</c:v>
                </c:pt>
                <c:pt idx="2173">
                  <c:v>1054.16</c:v>
                </c:pt>
                <c:pt idx="2174">
                  <c:v>1054.16</c:v>
                </c:pt>
                <c:pt idx="2175">
                  <c:v>1054.16</c:v>
                </c:pt>
                <c:pt idx="2176">
                  <c:v>1054.16</c:v>
                </c:pt>
                <c:pt idx="2177">
                  <c:v>1054.16</c:v>
                </c:pt>
                <c:pt idx="2178">
                  <c:v>1057.88</c:v>
                </c:pt>
                <c:pt idx="2179">
                  <c:v>1057.88</c:v>
                </c:pt>
                <c:pt idx="2180">
                  <c:v>1063.47</c:v>
                </c:pt>
                <c:pt idx="2181">
                  <c:v>1063.47</c:v>
                </c:pt>
                <c:pt idx="2182">
                  <c:v>1054.16</c:v>
                </c:pt>
                <c:pt idx="2183">
                  <c:v>1063.47</c:v>
                </c:pt>
                <c:pt idx="2184">
                  <c:v>1054.16</c:v>
                </c:pt>
                <c:pt idx="2185">
                  <c:v>1054.16</c:v>
                </c:pt>
                <c:pt idx="2186">
                  <c:v>1116.17</c:v>
                </c:pt>
                <c:pt idx="2187">
                  <c:v>1153.38</c:v>
                </c:pt>
                <c:pt idx="2188">
                  <c:v>1119.27</c:v>
                </c:pt>
                <c:pt idx="2189">
                  <c:v>1178.18</c:v>
                </c:pt>
                <c:pt idx="2190">
                  <c:v>1178.18</c:v>
                </c:pt>
                <c:pt idx="2191">
                  <c:v>1209.19</c:v>
                </c:pt>
                <c:pt idx="2192">
                  <c:v>1209.19</c:v>
                </c:pt>
                <c:pt idx="2193">
                  <c:v>1227.79</c:v>
                </c:pt>
                <c:pt idx="2194">
                  <c:v>1227.79</c:v>
                </c:pt>
                <c:pt idx="2195">
                  <c:v>1219.73</c:v>
                </c:pt>
                <c:pt idx="2196">
                  <c:v>1227.79</c:v>
                </c:pt>
                <c:pt idx="2197">
                  <c:v>1227.79</c:v>
                </c:pt>
                <c:pt idx="2198">
                  <c:v>1227.79</c:v>
                </c:pt>
                <c:pt idx="2199">
                  <c:v>1221.59</c:v>
                </c:pt>
                <c:pt idx="2200">
                  <c:v>1221.59</c:v>
                </c:pt>
                <c:pt idx="2201">
                  <c:v>1221.59</c:v>
                </c:pt>
                <c:pt idx="2202">
                  <c:v>1221.59</c:v>
                </c:pt>
                <c:pt idx="2203">
                  <c:v>1221.59</c:v>
                </c:pt>
                <c:pt idx="2204">
                  <c:v>1221.59</c:v>
                </c:pt>
                <c:pt idx="2205">
                  <c:v>1240.19</c:v>
                </c:pt>
                <c:pt idx="2206">
                  <c:v>1209.19</c:v>
                </c:pt>
                <c:pt idx="2207">
                  <c:v>1240.19</c:v>
                </c:pt>
                <c:pt idx="2208">
                  <c:v>1240.19</c:v>
                </c:pt>
                <c:pt idx="2209">
                  <c:v>1178.18</c:v>
                </c:pt>
                <c:pt idx="2210">
                  <c:v>1178.18</c:v>
                </c:pt>
                <c:pt idx="2211">
                  <c:v>1178.18</c:v>
                </c:pt>
                <c:pt idx="2212">
                  <c:v>1215.39</c:v>
                </c:pt>
                <c:pt idx="2213">
                  <c:v>1181.28</c:v>
                </c:pt>
                <c:pt idx="2214">
                  <c:v>1178.18</c:v>
                </c:pt>
                <c:pt idx="2215">
                  <c:v>1162.68</c:v>
                </c:pt>
                <c:pt idx="2216">
                  <c:v>1135.4</c:v>
                </c:pt>
                <c:pt idx="2217">
                  <c:v>1135.4</c:v>
                </c:pt>
                <c:pt idx="2218">
                  <c:v>1135.4</c:v>
                </c:pt>
                <c:pt idx="2219">
                  <c:v>1145.83</c:v>
                </c:pt>
                <c:pt idx="2220">
                  <c:v>1150.74</c:v>
                </c:pt>
                <c:pt idx="2221">
                  <c:v>1138.47</c:v>
                </c:pt>
                <c:pt idx="2222">
                  <c:v>1166.08</c:v>
                </c:pt>
                <c:pt idx="2223">
                  <c:v>1166.08</c:v>
                </c:pt>
                <c:pt idx="2224">
                  <c:v>1196.77</c:v>
                </c:pt>
                <c:pt idx="2225">
                  <c:v>1227.46</c:v>
                </c:pt>
                <c:pt idx="2226">
                  <c:v>1227.46</c:v>
                </c:pt>
                <c:pt idx="2227">
                  <c:v>1288.83</c:v>
                </c:pt>
                <c:pt idx="2228">
                  <c:v>1288.83</c:v>
                </c:pt>
                <c:pt idx="2229">
                  <c:v>1316.45</c:v>
                </c:pt>
                <c:pt idx="2230">
                  <c:v>1318.29</c:v>
                </c:pt>
                <c:pt idx="2231">
                  <c:v>1319.51</c:v>
                </c:pt>
                <c:pt idx="2232">
                  <c:v>1331.79</c:v>
                </c:pt>
                <c:pt idx="2233">
                  <c:v>1349.59</c:v>
                </c:pt>
                <c:pt idx="2234">
                  <c:v>1350.2</c:v>
                </c:pt>
                <c:pt idx="2235">
                  <c:v>1350.2</c:v>
                </c:pt>
                <c:pt idx="2236">
                  <c:v>1362.48</c:v>
                </c:pt>
                <c:pt idx="2237">
                  <c:v>1334.86</c:v>
                </c:pt>
                <c:pt idx="2238">
                  <c:v>1334.86</c:v>
                </c:pt>
                <c:pt idx="2239">
                  <c:v>1319.51</c:v>
                </c:pt>
                <c:pt idx="2240">
                  <c:v>1258.14</c:v>
                </c:pt>
                <c:pt idx="2241">
                  <c:v>1227.46</c:v>
                </c:pt>
                <c:pt idx="2242">
                  <c:v>1227.46</c:v>
                </c:pt>
                <c:pt idx="2243">
                  <c:v>1227.46</c:v>
                </c:pt>
                <c:pt idx="2244">
                  <c:v>1189.4</c:v>
                </c:pt>
                <c:pt idx="2245">
                  <c:v>1185.11</c:v>
                </c:pt>
                <c:pt idx="2246">
                  <c:v>1150.74</c:v>
                </c:pt>
                <c:pt idx="2247">
                  <c:v>1147.67</c:v>
                </c:pt>
                <c:pt idx="2248">
                  <c:v>1138.47</c:v>
                </c:pt>
                <c:pt idx="2249">
                  <c:v>1138.47</c:v>
                </c:pt>
                <c:pt idx="2250">
                  <c:v>1136.01</c:v>
                </c:pt>
                <c:pt idx="2251">
                  <c:v>1136.01</c:v>
                </c:pt>
                <c:pt idx="2252">
                  <c:v>1104.71</c:v>
                </c:pt>
                <c:pt idx="2253">
                  <c:v>1104.71</c:v>
                </c:pt>
                <c:pt idx="2254">
                  <c:v>1104.71</c:v>
                </c:pt>
                <c:pt idx="2255">
                  <c:v>1104.71</c:v>
                </c:pt>
                <c:pt idx="2256">
                  <c:v>1105.32</c:v>
                </c:pt>
                <c:pt idx="2257">
                  <c:v>1104.71</c:v>
                </c:pt>
                <c:pt idx="2258">
                  <c:v>1105.32</c:v>
                </c:pt>
                <c:pt idx="2259">
                  <c:v>1104.71</c:v>
                </c:pt>
                <c:pt idx="2260">
                  <c:v>1101.64</c:v>
                </c:pt>
                <c:pt idx="2261">
                  <c:v>1101.64</c:v>
                </c:pt>
                <c:pt idx="2262">
                  <c:v>1046.41</c:v>
                </c:pt>
                <c:pt idx="2263">
                  <c:v>1046.41</c:v>
                </c:pt>
                <c:pt idx="2264">
                  <c:v>1046.41</c:v>
                </c:pt>
                <c:pt idx="2265">
                  <c:v>1043.95</c:v>
                </c:pt>
                <c:pt idx="2266">
                  <c:v>1012.65</c:v>
                </c:pt>
                <c:pt idx="2267">
                  <c:v>1012.65</c:v>
                </c:pt>
                <c:pt idx="2268">
                  <c:v>1012.65</c:v>
                </c:pt>
                <c:pt idx="2269">
                  <c:v>1024.93</c:v>
                </c:pt>
                <c:pt idx="2270">
                  <c:v>1027.99</c:v>
                </c:pt>
                <c:pt idx="2271">
                  <c:v>1018.79</c:v>
                </c:pt>
                <c:pt idx="2272">
                  <c:v>1027.99</c:v>
                </c:pt>
                <c:pt idx="2273">
                  <c:v>1013.26</c:v>
                </c:pt>
                <c:pt idx="2274">
                  <c:v>1013.26</c:v>
                </c:pt>
                <c:pt idx="2275">
                  <c:v>1012.65</c:v>
                </c:pt>
                <c:pt idx="2276">
                  <c:v>1012.65</c:v>
                </c:pt>
                <c:pt idx="2277">
                  <c:v>1012.65</c:v>
                </c:pt>
                <c:pt idx="2278">
                  <c:v>1012.65</c:v>
                </c:pt>
                <c:pt idx="2279">
                  <c:v>1012.65</c:v>
                </c:pt>
                <c:pt idx="2280">
                  <c:v>1012.65</c:v>
                </c:pt>
                <c:pt idx="2281">
                  <c:v>1012.65</c:v>
                </c:pt>
                <c:pt idx="2282">
                  <c:v>1012.65</c:v>
                </c:pt>
                <c:pt idx="2283">
                  <c:v>1012.65</c:v>
                </c:pt>
                <c:pt idx="2284">
                  <c:v>1012.65</c:v>
                </c:pt>
                <c:pt idx="2285">
                  <c:v>1012.65</c:v>
                </c:pt>
                <c:pt idx="2286">
                  <c:v>981.96</c:v>
                </c:pt>
                <c:pt idx="2287">
                  <c:v>985.03</c:v>
                </c:pt>
                <c:pt idx="2288">
                  <c:v>981.96</c:v>
                </c:pt>
                <c:pt idx="2289">
                  <c:v>981.96</c:v>
                </c:pt>
                <c:pt idx="2290">
                  <c:v>957.42</c:v>
                </c:pt>
                <c:pt idx="2291">
                  <c:v>957.42</c:v>
                </c:pt>
                <c:pt idx="2292">
                  <c:v>957.42</c:v>
                </c:pt>
                <c:pt idx="2293">
                  <c:v>969.69</c:v>
                </c:pt>
                <c:pt idx="2294">
                  <c:v>988.1</c:v>
                </c:pt>
                <c:pt idx="2295">
                  <c:v>981.96</c:v>
                </c:pt>
                <c:pt idx="2296">
                  <c:v>988.1</c:v>
                </c:pt>
                <c:pt idx="2297">
                  <c:v>994.24</c:v>
                </c:pt>
                <c:pt idx="2298">
                  <c:v>997.3099999999999</c:v>
                </c:pt>
                <c:pt idx="2299">
                  <c:v>1012.65</c:v>
                </c:pt>
                <c:pt idx="2300">
                  <c:v>1012.65</c:v>
                </c:pt>
                <c:pt idx="2301">
                  <c:v>1012.65</c:v>
                </c:pt>
                <c:pt idx="2302">
                  <c:v>1012.65</c:v>
                </c:pt>
                <c:pt idx="2303">
                  <c:v>1043.34</c:v>
                </c:pt>
                <c:pt idx="2304">
                  <c:v>1012.65</c:v>
                </c:pt>
                <c:pt idx="2305">
                  <c:v>1043.34</c:v>
                </c:pt>
                <c:pt idx="2306">
                  <c:v>1070.96</c:v>
                </c:pt>
                <c:pt idx="2307">
                  <c:v>1074.02</c:v>
                </c:pt>
                <c:pt idx="2308">
                  <c:v>1092.44</c:v>
                </c:pt>
                <c:pt idx="2309">
                  <c:v>1092.44</c:v>
                </c:pt>
                <c:pt idx="2310">
                  <c:v>1074.02</c:v>
                </c:pt>
                <c:pt idx="2311">
                  <c:v>1077.09</c:v>
                </c:pt>
                <c:pt idx="2312">
                  <c:v>1086.3</c:v>
                </c:pt>
                <c:pt idx="2313">
                  <c:v>1074.02</c:v>
                </c:pt>
                <c:pt idx="2314">
                  <c:v>1074.02</c:v>
                </c:pt>
                <c:pt idx="2315">
                  <c:v>1043.34</c:v>
                </c:pt>
                <c:pt idx="2316">
                  <c:v>1043.34</c:v>
                </c:pt>
                <c:pt idx="2317">
                  <c:v>1012.65</c:v>
                </c:pt>
                <c:pt idx="2318">
                  <c:v>1012.65</c:v>
                </c:pt>
                <c:pt idx="2319">
                  <c:v>1012.65</c:v>
                </c:pt>
                <c:pt idx="2320">
                  <c:v>1018.79</c:v>
                </c:pt>
                <c:pt idx="2321">
                  <c:v>1012.65</c:v>
                </c:pt>
                <c:pt idx="2322">
                  <c:v>1012.65</c:v>
                </c:pt>
                <c:pt idx="2323">
                  <c:v>1012.65</c:v>
                </c:pt>
                <c:pt idx="2324">
                  <c:v>994.24</c:v>
                </c:pt>
                <c:pt idx="2325">
                  <c:v>985.03</c:v>
                </c:pt>
                <c:pt idx="2326">
                  <c:v>981.96</c:v>
                </c:pt>
                <c:pt idx="2327">
                  <c:v>981.96</c:v>
                </c:pt>
                <c:pt idx="2328">
                  <c:v>981.96</c:v>
                </c:pt>
                <c:pt idx="2329">
                  <c:v>981.96</c:v>
                </c:pt>
                <c:pt idx="2330">
                  <c:v>1013.26</c:v>
                </c:pt>
                <c:pt idx="2331">
                  <c:v>977.05</c:v>
                </c:pt>
                <c:pt idx="2332">
                  <c:v>977.05</c:v>
                </c:pt>
                <c:pt idx="2333">
                  <c:v>976.46</c:v>
                </c:pt>
                <c:pt idx="2334">
                  <c:v>976.46</c:v>
                </c:pt>
                <c:pt idx="2335">
                  <c:v>976.46</c:v>
                </c:pt>
                <c:pt idx="2336">
                  <c:v>994.22</c:v>
                </c:pt>
                <c:pt idx="2337">
                  <c:v>994.22</c:v>
                </c:pt>
                <c:pt idx="2338">
                  <c:v>994.22</c:v>
                </c:pt>
                <c:pt idx="2339">
                  <c:v>976.46</c:v>
                </c:pt>
                <c:pt idx="2340">
                  <c:v>976.46</c:v>
                </c:pt>
                <c:pt idx="2341">
                  <c:v>976.46</c:v>
                </c:pt>
                <c:pt idx="2342">
                  <c:v>976.46</c:v>
                </c:pt>
                <c:pt idx="2343">
                  <c:v>978.83</c:v>
                </c:pt>
                <c:pt idx="2344">
                  <c:v>976.46</c:v>
                </c:pt>
                <c:pt idx="2345">
                  <c:v>976.46</c:v>
                </c:pt>
                <c:pt idx="2346">
                  <c:v>976.46</c:v>
                </c:pt>
                <c:pt idx="2347">
                  <c:v>976.46</c:v>
                </c:pt>
                <c:pt idx="2348">
                  <c:v>976.46</c:v>
                </c:pt>
                <c:pt idx="2349">
                  <c:v>976.46</c:v>
                </c:pt>
                <c:pt idx="2350">
                  <c:v>976.46</c:v>
                </c:pt>
                <c:pt idx="2351">
                  <c:v>979.42</c:v>
                </c:pt>
                <c:pt idx="2352">
                  <c:v>976.46</c:v>
                </c:pt>
                <c:pt idx="2353">
                  <c:v>994.22</c:v>
                </c:pt>
                <c:pt idx="2354">
                  <c:v>976.46</c:v>
                </c:pt>
                <c:pt idx="2355">
                  <c:v>976.46</c:v>
                </c:pt>
                <c:pt idx="2356">
                  <c:v>1006.05</c:v>
                </c:pt>
                <c:pt idx="2357">
                  <c:v>1026.77</c:v>
                </c:pt>
                <c:pt idx="2358">
                  <c:v>1026.77</c:v>
                </c:pt>
                <c:pt idx="2359">
                  <c:v>1023.81</c:v>
                </c:pt>
                <c:pt idx="2360">
                  <c:v>1035.64</c:v>
                </c:pt>
                <c:pt idx="2361">
                  <c:v>1035.64</c:v>
                </c:pt>
                <c:pt idx="2362">
                  <c:v>1035.64</c:v>
                </c:pt>
                <c:pt idx="2363">
                  <c:v>1035.64</c:v>
                </c:pt>
                <c:pt idx="2364">
                  <c:v>1052.8</c:v>
                </c:pt>
                <c:pt idx="2365">
                  <c:v>1035.64</c:v>
                </c:pt>
                <c:pt idx="2366">
                  <c:v>1035.64</c:v>
                </c:pt>
                <c:pt idx="2367">
                  <c:v>1017.89</c:v>
                </c:pt>
                <c:pt idx="2368">
                  <c:v>1017.89</c:v>
                </c:pt>
                <c:pt idx="2369">
                  <c:v>1029.72</c:v>
                </c:pt>
                <c:pt idx="2370">
                  <c:v>1029.72</c:v>
                </c:pt>
                <c:pt idx="2371">
                  <c:v>1029.72</c:v>
                </c:pt>
                <c:pt idx="2372">
                  <c:v>1006.05</c:v>
                </c:pt>
                <c:pt idx="2373">
                  <c:v>1035.64</c:v>
                </c:pt>
                <c:pt idx="2374">
                  <c:v>1065.23</c:v>
                </c:pt>
                <c:pt idx="2375">
                  <c:v>1050.44</c:v>
                </c:pt>
                <c:pt idx="2376">
                  <c:v>1020.85</c:v>
                </c:pt>
                <c:pt idx="2377">
                  <c:v>1006.05</c:v>
                </c:pt>
                <c:pt idx="2378">
                  <c:v>1009.01</c:v>
                </c:pt>
                <c:pt idx="2379">
                  <c:v>1006.05</c:v>
                </c:pt>
                <c:pt idx="2380">
                  <c:v>1006.05</c:v>
                </c:pt>
                <c:pt idx="2381">
                  <c:v>1006.05</c:v>
                </c:pt>
                <c:pt idx="2382">
                  <c:v>1006.05</c:v>
                </c:pt>
                <c:pt idx="2383">
                  <c:v>976.46</c:v>
                </c:pt>
                <c:pt idx="2384">
                  <c:v>1006.05</c:v>
                </c:pt>
                <c:pt idx="2385">
                  <c:v>991.26</c:v>
                </c:pt>
                <c:pt idx="2386">
                  <c:v>1003.09</c:v>
                </c:pt>
                <c:pt idx="2387">
                  <c:v>1006.05</c:v>
                </c:pt>
                <c:pt idx="2388">
                  <c:v>991.26</c:v>
                </c:pt>
                <c:pt idx="2389">
                  <c:v>991.26</c:v>
                </c:pt>
                <c:pt idx="2390">
                  <c:v>991.26</c:v>
                </c:pt>
                <c:pt idx="2391">
                  <c:v>991.26</c:v>
                </c:pt>
                <c:pt idx="2392">
                  <c:v>991.26</c:v>
                </c:pt>
                <c:pt idx="2393">
                  <c:v>982.38</c:v>
                </c:pt>
                <c:pt idx="2394">
                  <c:v>982.38</c:v>
                </c:pt>
                <c:pt idx="2395">
                  <c:v>982.38</c:v>
                </c:pt>
                <c:pt idx="2396">
                  <c:v>964.63</c:v>
                </c:pt>
                <c:pt idx="2397">
                  <c:v>935.04</c:v>
                </c:pt>
                <c:pt idx="2398">
                  <c:v>935.04</c:v>
                </c:pt>
                <c:pt idx="2399">
                  <c:v>929.12</c:v>
                </c:pt>
                <c:pt idx="2400">
                  <c:v>929.12</c:v>
                </c:pt>
                <c:pt idx="2401">
                  <c:v>929.12</c:v>
                </c:pt>
                <c:pt idx="2402">
                  <c:v>923.2</c:v>
                </c:pt>
                <c:pt idx="2403">
                  <c:v>923.2</c:v>
                </c:pt>
                <c:pt idx="2404">
                  <c:v>923.2</c:v>
                </c:pt>
                <c:pt idx="2405">
                  <c:v>923.2</c:v>
                </c:pt>
                <c:pt idx="2406">
                  <c:v>929.12</c:v>
                </c:pt>
                <c:pt idx="2407">
                  <c:v>935.04</c:v>
                </c:pt>
                <c:pt idx="2408">
                  <c:v>935.04</c:v>
                </c:pt>
                <c:pt idx="2409">
                  <c:v>935.04</c:v>
                </c:pt>
                <c:pt idx="2410">
                  <c:v>952.79</c:v>
                </c:pt>
                <c:pt idx="2411">
                  <c:v>964.04</c:v>
                </c:pt>
                <c:pt idx="2412">
                  <c:v>965.8099999999999</c:v>
                </c:pt>
                <c:pt idx="2413">
                  <c:v>946.87</c:v>
                </c:pt>
                <c:pt idx="2414">
                  <c:v>952.79</c:v>
                </c:pt>
                <c:pt idx="2415">
                  <c:v>952.79</c:v>
                </c:pt>
                <c:pt idx="2416">
                  <c:v>952.79</c:v>
                </c:pt>
                <c:pt idx="2417">
                  <c:v>952.79</c:v>
                </c:pt>
                <c:pt idx="2418">
                  <c:v>923.2</c:v>
                </c:pt>
                <c:pt idx="2419">
                  <c:v>923.2</c:v>
                </c:pt>
                <c:pt idx="2420">
                  <c:v>920.83</c:v>
                </c:pt>
                <c:pt idx="2421">
                  <c:v>920.83</c:v>
                </c:pt>
                <c:pt idx="2422">
                  <c:v>917.88</c:v>
                </c:pt>
                <c:pt idx="2423">
                  <c:v>917.88</c:v>
                </c:pt>
                <c:pt idx="2424">
                  <c:v>917.28</c:v>
                </c:pt>
                <c:pt idx="2425">
                  <c:v>917.28</c:v>
                </c:pt>
                <c:pt idx="2426">
                  <c:v>946.87</c:v>
                </c:pt>
                <c:pt idx="2427">
                  <c:v>946.87</c:v>
                </c:pt>
                <c:pt idx="2428">
                  <c:v>967.59</c:v>
                </c:pt>
                <c:pt idx="2429">
                  <c:v>967.59</c:v>
                </c:pt>
                <c:pt idx="2430">
                  <c:v>976.46</c:v>
                </c:pt>
                <c:pt idx="2431">
                  <c:v>976.46</c:v>
                </c:pt>
                <c:pt idx="2432">
                  <c:v>976.46</c:v>
                </c:pt>
                <c:pt idx="2433">
                  <c:v>976.46</c:v>
                </c:pt>
                <c:pt idx="2434">
                  <c:v>982.97</c:v>
                </c:pt>
                <c:pt idx="2435">
                  <c:v>982.97</c:v>
                </c:pt>
                <c:pt idx="2436">
                  <c:v>982.97</c:v>
                </c:pt>
                <c:pt idx="2437">
                  <c:v>982.38</c:v>
                </c:pt>
                <c:pt idx="2438">
                  <c:v>994.8099999999999</c:v>
                </c:pt>
                <c:pt idx="2439">
                  <c:v>994.8099999999999</c:v>
                </c:pt>
                <c:pt idx="2440">
                  <c:v>1006.05</c:v>
                </c:pt>
                <c:pt idx="2441">
                  <c:v>1006.05</c:v>
                </c:pt>
                <c:pt idx="2442">
                  <c:v>994.22</c:v>
                </c:pt>
                <c:pt idx="2443">
                  <c:v>994.22</c:v>
                </c:pt>
                <c:pt idx="2444">
                  <c:v>994.22</c:v>
                </c:pt>
                <c:pt idx="2445">
                  <c:v>975.87</c:v>
                </c:pt>
                <c:pt idx="2446">
                  <c:v>961.67</c:v>
                </c:pt>
                <c:pt idx="2447">
                  <c:v>994.22</c:v>
                </c:pt>
                <c:pt idx="2448">
                  <c:v>994.22</c:v>
                </c:pt>
                <c:pt idx="2449">
                  <c:v>994.22</c:v>
                </c:pt>
                <c:pt idx="2450">
                  <c:v>961.67</c:v>
                </c:pt>
                <c:pt idx="2451">
                  <c:v>961.67</c:v>
                </c:pt>
                <c:pt idx="2452">
                  <c:v>976.46</c:v>
                </c:pt>
                <c:pt idx="2453">
                  <c:v>932.08</c:v>
                </c:pt>
                <c:pt idx="2454">
                  <c:v>926.16</c:v>
                </c:pt>
                <c:pt idx="2455">
                  <c:v>946.87</c:v>
                </c:pt>
                <c:pt idx="2456">
                  <c:v>946.87</c:v>
                </c:pt>
                <c:pt idx="2457">
                  <c:v>932.08</c:v>
                </c:pt>
                <c:pt idx="2458">
                  <c:v>932.08</c:v>
                </c:pt>
                <c:pt idx="2459">
                  <c:v>932.08</c:v>
                </c:pt>
                <c:pt idx="2460">
                  <c:v>932.08</c:v>
                </c:pt>
                <c:pt idx="2461">
                  <c:v>932.08</c:v>
                </c:pt>
                <c:pt idx="2462">
                  <c:v>858.1</c:v>
                </c:pt>
                <c:pt idx="2463">
                  <c:v>858.1</c:v>
                </c:pt>
                <c:pt idx="2464">
                  <c:v>932.08</c:v>
                </c:pt>
                <c:pt idx="2465">
                  <c:v>932.08</c:v>
                </c:pt>
                <c:pt idx="2466">
                  <c:v>923.2</c:v>
                </c:pt>
                <c:pt idx="2467">
                  <c:v>923.2</c:v>
                </c:pt>
                <c:pt idx="2468">
                  <c:v>914.41</c:v>
                </c:pt>
                <c:pt idx="2469">
                  <c:v>914.41</c:v>
                </c:pt>
                <c:pt idx="2470">
                  <c:v>908.55</c:v>
                </c:pt>
                <c:pt idx="2471">
                  <c:v>896.82</c:v>
                </c:pt>
                <c:pt idx="2472">
                  <c:v>893.89</c:v>
                </c:pt>
                <c:pt idx="2473">
                  <c:v>879.24</c:v>
                </c:pt>
                <c:pt idx="2474">
                  <c:v>908.55</c:v>
                </c:pt>
                <c:pt idx="2475">
                  <c:v>908.55</c:v>
                </c:pt>
                <c:pt idx="2476">
                  <c:v>908.55</c:v>
                </c:pt>
                <c:pt idx="2477">
                  <c:v>920.27</c:v>
                </c:pt>
                <c:pt idx="2478">
                  <c:v>908.55</c:v>
                </c:pt>
                <c:pt idx="2479">
                  <c:v>914.41</c:v>
                </c:pt>
                <c:pt idx="2480">
                  <c:v>908.55</c:v>
                </c:pt>
                <c:pt idx="2481">
                  <c:v>902.69</c:v>
                </c:pt>
                <c:pt idx="2482">
                  <c:v>907.96</c:v>
                </c:pt>
                <c:pt idx="2483">
                  <c:v>879.24</c:v>
                </c:pt>
                <c:pt idx="2484">
                  <c:v>879.24</c:v>
                </c:pt>
                <c:pt idx="2485">
                  <c:v>896.82</c:v>
                </c:pt>
                <c:pt idx="2486">
                  <c:v>885.1</c:v>
                </c:pt>
                <c:pt idx="2487">
                  <c:v>908.55</c:v>
                </c:pt>
                <c:pt idx="2488">
                  <c:v>879.24</c:v>
                </c:pt>
                <c:pt idx="2489">
                  <c:v>879.24</c:v>
                </c:pt>
                <c:pt idx="2490">
                  <c:v>879.24</c:v>
                </c:pt>
                <c:pt idx="2491">
                  <c:v>899.76</c:v>
                </c:pt>
                <c:pt idx="2492">
                  <c:v>890.96</c:v>
                </c:pt>
                <c:pt idx="2493">
                  <c:v>899.76</c:v>
                </c:pt>
                <c:pt idx="2494">
                  <c:v>899.76</c:v>
                </c:pt>
                <c:pt idx="2495">
                  <c:v>902.69</c:v>
                </c:pt>
                <c:pt idx="2496">
                  <c:v>902.69</c:v>
                </c:pt>
                <c:pt idx="2497">
                  <c:v>879.24</c:v>
                </c:pt>
                <c:pt idx="2498">
                  <c:v>926.13</c:v>
                </c:pt>
                <c:pt idx="2499">
                  <c:v>893.89</c:v>
                </c:pt>
                <c:pt idx="2500">
                  <c:v>885.1</c:v>
                </c:pt>
                <c:pt idx="2501">
                  <c:v>879.24</c:v>
                </c:pt>
                <c:pt idx="2502">
                  <c:v>893.89</c:v>
                </c:pt>
                <c:pt idx="2503">
                  <c:v>893.89</c:v>
                </c:pt>
                <c:pt idx="2504">
                  <c:v>893.89</c:v>
                </c:pt>
                <c:pt idx="2505">
                  <c:v>937.86</c:v>
                </c:pt>
                <c:pt idx="2506">
                  <c:v>938.4400000000001</c:v>
                </c:pt>
                <c:pt idx="2507">
                  <c:v>937.86</c:v>
                </c:pt>
                <c:pt idx="2508">
                  <c:v>943.72</c:v>
                </c:pt>
                <c:pt idx="2509">
                  <c:v>920.27</c:v>
                </c:pt>
                <c:pt idx="2510">
                  <c:v>920.27</c:v>
                </c:pt>
                <c:pt idx="2511">
                  <c:v>892.13</c:v>
                </c:pt>
                <c:pt idx="2512">
                  <c:v>867.52</c:v>
                </c:pt>
                <c:pt idx="2513">
                  <c:v>867.52</c:v>
                </c:pt>
                <c:pt idx="2514">
                  <c:v>861.65</c:v>
                </c:pt>
                <c:pt idx="2515">
                  <c:v>852.86</c:v>
                </c:pt>
                <c:pt idx="2516">
                  <c:v>858.72</c:v>
                </c:pt>
                <c:pt idx="2517">
                  <c:v>864.59</c:v>
                </c:pt>
                <c:pt idx="2518">
                  <c:v>873.38</c:v>
                </c:pt>
                <c:pt idx="2519">
                  <c:v>873.38</c:v>
                </c:pt>
                <c:pt idx="2520">
                  <c:v>876.3099999999999</c:v>
                </c:pt>
                <c:pt idx="2521">
                  <c:v>876.3099999999999</c:v>
                </c:pt>
                <c:pt idx="2522">
                  <c:v>879.24</c:v>
                </c:pt>
                <c:pt idx="2523">
                  <c:v>879.24</c:v>
                </c:pt>
                <c:pt idx="2524">
                  <c:v>908.55</c:v>
                </c:pt>
                <c:pt idx="2525">
                  <c:v>882.17</c:v>
                </c:pt>
                <c:pt idx="2526">
                  <c:v>882.17</c:v>
                </c:pt>
                <c:pt idx="2527">
                  <c:v>879.24</c:v>
                </c:pt>
                <c:pt idx="2528">
                  <c:v>878.65</c:v>
                </c:pt>
                <c:pt idx="2529">
                  <c:v>867.52</c:v>
                </c:pt>
                <c:pt idx="2530">
                  <c:v>867.52</c:v>
                </c:pt>
                <c:pt idx="2531">
                  <c:v>849.9299999999999</c:v>
                </c:pt>
                <c:pt idx="2532">
                  <c:v>849.9299999999999</c:v>
                </c:pt>
                <c:pt idx="2533">
                  <c:v>838.21</c:v>
                </c:pt>
                <c:pt idx="2534">
                  <c:v>849.9299999999999</c:v>
                </c:pt>
                <c:pt idx="2535">
                  <c:v>838.21</c:v>
                </c:pt>
                <c:pt idx="2536">
                  <c:v>849.9299999999999</c:v>
                </c:pt>
                <c:pt idx="2537">
                  <c:v>855.79</c:v>
                </c:pt>
                <c:pt idx="2538">
                  <c:v>864.59</c:v>
                </c:pt>
                <c:pt idx="2539">
                  <c:v>864.59</c:v>
                </c:pt>
                <c:pt idx="2540">
                  <c:v>867.52</c:v>
                </c:pt>
                <c:pt idx="2541">
                  <c:v>864.59</c:v>
                </c:pt>
                <c:pt idx="2542">
                  <c:v>864.59</c:v>
                </c:pt>
                <c:pt idx="2543">
                  <c:v>878.65</c:v>
                </c:pt>
                <c:pt idx="2544">
                  <c:v>879.24</c:v>
                </c:pt>
                <c:pt idx="2545">
                  <c:v>879.83</c:v>
                </c:pt>
                <c:pt idx="2546">
                  <c:v>879.83</c:v>
                </c:pt>
                <c:pt idx="2547">
                  <c:v>879.24</c:v>
                </c:pt>
                <c:pt idx="2548">
                  <c:v>908.55</c:v>
                </c:pt>
                <c:pt idx="2549">
                  <c:v>893.89</c:v>
                </c:pt>
                <c:pt idx="2550">
                  <c:v>902.69</c:v>
                </c:pt>
                <c:pt idx="2551">
                  <c:v>908.55</c:v>
                </c:pt>
                <c:pt idx="2552">
                  <c:v>908.55</c:v>
                </c:pt>
                <c:pt idx="2553">
                  <c:v>923.2</c:v>
                </c:pt>
                <c:pt idx="2554">
                  <c:v>926.13</c:v>
                </c:pt>
                <c:pt idx="2555">
                  <c:v>923.2</c:v>
                </c:pt>
                <c:pt idx="2556">
                  <c:v>890.96</c:v>
                </c:pt>
                <c:pt idx="2557">
                  <c:v>907.96</c:v>
                </c:pt>
                <c:pt idx="2558">
                  <c:v>896.82</c:v>
                </c:pt>
                <c:pt idx="2559">
                  <c:v>896.82</c:v>
                </c:pt>
                <c:pt idx="2560">
                  <c:v>896.82</c:v>
                </c:pt>
                <c:pt idx="2561">
                  <c:v>908.55</c:v>
                </c:pt>
                <c:pt idx="2562">
                  <c:v>893.89</c:v>
                </c:pt>
                <c:pt idx="2563">
                  <c:v>893.89</c:v>
                </c:pt>
                <c:pt idx="2564">
                  <c:v>885.1</c:v>
                </c:pt>
                <c:pt idx="2565">
                  <c:v>908.55</c:v>
                </c:pt>
                <c:pt idx="2566">
                  <c:v>908.55</c:v>
                </c:pt>
                <c:pt idx="2567">
                  <c:v>902.69</c:v>
                </c:pt>
                <c:pt idx="2568">
                  <c:v>885.1</c:v>
                </c:pt>
                <c:pt idx="2569">
                  <c:v>885.1</c:v>
                </c:pt>
                <c:pt idx="2570">
                  <c:v>890.96</c:v>
                </c:pt>
                <c:pt idx="2571">
                  <c:v>890.96</c:v>
                </c:pt>
                <c:pt idx="2572">
                  <c:v>879.24</c:v>
                </c:pt>
                <c:pt idx="2573">
                  <c:v>890.96</c:v>
                </c:pt>
                <c:pt idx="2574">
                  <c:v>917.34</c:v>
                </c:pt>
                <c:pt idx="2575">
                  <c:v>917.34</c:v>
                </c:pt>
                <c:pt idx="2576">
                  <c:v>917.34</c:v>
                </c:pt>
                <c:pt idx="2577">
                  <c:v>920.27</c:v>
                </c:pt>
                <c:pt idx="2578">
                  <c:v>920.27</c:v>
                </c:pt>
                <c:pt idx="2579">
                  <c:v>903.27</c:v>
                </c:pt>
                <c:pt idx="2580">
                  <c:v>903.27</c:v>
                </c:pt>
                <c:pt idx="2581">
                  <c:v>877.87</c:v>
                </c:pt>
                <c:pt idx="2582">
                  <c:v>877.87</c:v>
                </c:pt>
                <c:pt idx="2583">
                  <c:v>877.87</c:v>
                </c:pt>
                <c:pt idx="2584">
                  <c:v>877.87</c:v>
                </c:pt>
                <c:pt idx="2585">
                  <c:v>877.87</c:v>
                </c:pt>
                <c:pt idx="2586">
                  <c:v>891.98</c:v>
                </c:pt>
                <c:pt idx="2587">
                  <c:v>891.98</c:v>
                </c:pt>
                <c:pt idx="2588">
                  <c:v>900.45</c:v>
                </c:pt>
                <c:pt idx="2589">
                  <c:v>891.98</c:v>
                </c:pt>
                <c:pt idx="2590">
                  <c:v>903.27</c:v>
                </c:pt>
                <c:pt idx="2591">
                  <c:v>903.27</c:v>
                </c:pt>
                <c:pt idx="2592">
                  <c:v>903.27</c:v>
                </c:pt>
                <c:pt idx="2593">
                  <c:v>903.27</c:v>
                </c:pt>
                <c:pt idx="2594">
                  <c:v>925.85</c:v>
                </c:pt>
                <c:pt idx="2595">
                  <c:v>900.45</c:v>
                </c:pt>
                <c:pt idx="2596">
                  <c:v>900.45</c:v>
                </c:pt>
                <c:pt idx="2597">
                  <c:v>889.16</c:v>
                </c:pt>
                <c:pt idx="2598">
                  <c:v>875.04</c:v>
                </c:pt>
                <c:pt idx="2599">
                  <c:v>875.04</c:v>
                </c:pt>
                <c:pt idx="2600">
                  <c:v>880.69</c:v>
                </c:pt>
                <c:pt idx="2601">
                  <c:v>875.04</c:v>
                </c:pt>
                <c:pt idx="2602">
                  <c:v>875.04</c:v>
                </c:pt>
                <c:pt idx="2603">
                  <c:v>875.04</c:v>
                </c:pt>
                <c:pt idx="2604">
                  <c:v>880.69</c:v>
                </c:pt>
                <c:pt idx="2605">
                  <c:v>881.25</c:v>
                </c:pt>
                <c:pt idx="2606">
                  <c:v>881.25</c:v>
                </c:pt>
                <c:pt idx="2607">
                  <c:v>880.69</c:v>
                </c:pt>
                <c:pt idx="2608">
                  <c:v>880.69</c:v>
                </c:pt>
                <c:pt idx="2609">
                  <c:v>875.04</c:v>
                </c:pt>
                <c:pt idx="2610">
                  <c:v>882.95</c:v>
                </c:pt>
                <c:pt idx="2611">
                  <c:v>877.87</c:v>
                </c:pt>
                <c:pt idx="2612">
                  <c:v>875.04</c:v>
                </c:pt>
                <c:pt idx="2613">
                  <c:v>875.04</c:v>
                </c:pt>
                <c:pt idx="2614">
                  <c:v>875.04</c:v>
                </c:pt>
                <c:pt idx="2615">
                  <c:v>872.22</c:v>
                </c:pt>
                <c:pt idx="2616">
                  <c:v>875.04</c:v>
                </c:pt>
                <c:pt idx="2617">
                  <c:v>846.82</c:v>
                </c:pt>
                <c:pt idx="2618">
                  <c:v>841.17</c:v>
                </c:pt>
                <c:pt idx="2619">
                  <c:v>841.17</c:v>
                </c:pt>
                <c:pt idx="2620">
                  <c:v>827.0599999999999</c:v>
                </c:pt>
                <c:pt idx="2621">
                  <c:v>824.24</c:v>
                </c:pt>
                <c:pt idx="2622">
                  <c:v>818.59</c:v>
                </c:pt>
                <c:pt idx="2623">
                  <c:v>818.59</c:v>
                </c:pt>
                <c:pt idx="2624">
                  <c:v>798.83</c:v>
                </c:pt>
                <c:pt idx="2625">
                  <c:v>790.36</c:v>
                </c:pt>
                <c:pt idx="2626">
                  <c:v>824.24</c:v>
                </c:pt>
                <c:pt idx="2627">
                  <c:v>824.24</c:v>
                </c:pt>
                <c:pt idx="2628">
                  <c:v>818.59</c:v>
                </c:pt>
                <c:pt idx="2629">
                  <c:v>818.59</c:v>
                </c:pt>
                <c:pt idx="2630">
                  <c:v>818.59</c:v>
                </c:pt>
                <c:pt idx="2631">
                  <c:v>818.59</c:v>
                </c:pt>
                <c:pt idx="2632">
                  <c:v>818.59</c:v>
                </c:pt>
                <c:pt idx="2633">
                  <c:v>846.82</c:v>
                </c:pt>
                <c:pt idx="2634">
                  <c:v>810.12</c:v>
                </c:pt>
                <c:pt idx="2635">
                  <c:v>810.12</c:v>
                </c:pt>
                <c:pt idx="2636">
                  <c:v>810.12</c:v>
                </c:pt>
                <c:pt idx="2637">
                  <c:v>831.57</c:v>
                </c:pt>
                <c:pt idx="2638">
                  <c:v>846.82</c:v>
                </c:pt>
                <c:pt idx="2639">
                  <c:v>846.82</c:v>
                </c:pt>
                <c:pt idx="2640">
                  <c:v>846.82</c:v>
                </c:pt>
                <c:pt idx="2641">
                  <c:v>846.82</c:v>
                </c:pt>
                <c:pt idx="2642">
                  <c:v>846.82</c:v>
                </c:pt>
                <c:pt idx="2643">
                  <c:v>846.82</c:v>
                </c:pt>
                <c:pt idx="2644">
                  <c:v>846.82</c:v>
                </c:pt>
                <c:pt idx="2645">
                  <c:v>846.82</c:v>
                </c:pt>
                <c:pt idx="2646">
                  <c:v>858.11</c:v>
                </c:pt>
                <c:pt idx="2647">
                  <c:v>869.4</c:v>
                </c:pt>
                <c:pt idx="2648">
                  <c:v>869.4</c:v>
                </c:pt>
                <c:pt idx="2649">
                  <c:v>869.4</c:v>
                </c:pt>
                <c:pt idx="2650">
                  <c:v>866.58</c:v>
                </c:pt>
                <c:pt idx="2651">
                  <c:v>866.58</c:v>
                </c:pt>
                <c:pt idx="2652">
                  <c:v>877.3</c:v>
                </c:pt>
                <c:pt idx="2653">
                  <c:v>886.34</c:v>
                </c:pt>
                <c:pt idx="2654">
                  <c:v>886.34</c:v>
                </c:pt>
                <c:pt idx="2655">
                  <c:v>880.69</c:v>
                </c:pt>
                <c:pt idx="2656">
                  <c:v>886.34</c:v>
                </c:pt>
                <c:pt idx="2657">
                  <c:v>869.4</c:v>
                </c:pt>
                <c:pt idx="2658">
                  <c:v>866.58</c:v>
                </c:pt>
                <c:pt idx="2659">
                  <c:v>860.9299999999999</c:v>
                </c:pt>
                <c:pt idx="2660">
                  <c:v>847.38</c:v>
                </c:pt>
                <c:pt idx="2661">
                  <c:v>847.38</c:v>
                </c:pt>
                <c:pt idx="2662">
                  <c:v>847.38</c:v>
                </c:pt>
                <c:pt idx="2663">
                  <c:v>860.9299999999999</c:v>
                </c:pt>
                <c:pt idx="2664">
                  <c:v>875.61</c:v>
                </c:pt>
                <c:pt idx="2665">
                  <c:v>903.27</c:v>
                </c:pt>
                <c:pt idx="2666">
                  <c:v>903.27</c:v>
                </c:pt>
                <c:pt idx="2667">
                  <c:v>903.27</c:v>
                </c:pt>
                <c:pt idx="2668">
                  <c:v>903.27</c:v>
                </c:pt>
                <c:pt idx="2669">
                  <c:v>903.27</c:v>
                </c:pt>
                <c:pt idx="2670">
                  <c:v>903.27</c:v>
                </c:pt>
                <c:pt idx="2671">
                  <c:v>903.27</c:v>
                </c:pt>
                <c:pt idx="2672">
                  <c:v>903.27</c:v>
                </c:pt>
                <c:pt idx="2673">
                  <c:v>909.48</c:v>
                </c:pt>
                <c:pt idx="2674">
                  <c:v>903.27</c:v>
                </c:pt>
                <c:pt idx="2675">
                  <c:v>903.27</c:v>
                </c:pt>
                <c:pt idx="2676">
                  <c:v>875.04</c:v>
                </c:pt>
                <c:pt idx="2677">
                  <c:v>875.04</c:v>
                </c:pt>
                <c:pt idx="2678">
                  <c:v>908.92</c:v>
                </c:pt>
                <c:pt idx="2679">
                  <c:v>903.27</c:v>
                </c:pt>
                <c:pt idx="2680">
                  <c:v>903.27</c:v>
                </c:pt>
                <c:pt idx="2681">
                  <c:v>903.27</c:v>
                </c:pt>
                <c:pt idx="2682">
                  <c:v>858.11</c:v>
                </c:pt>
                <c:pt idx="2683">
                  <c:v>846.82</c:v>
                </c:pt>
                <c:pt idx="2684">
                  <c:v>846.82</c:v>
                </c:pt>
                <c:pt idx="2685">
                  <c:v>846.82</c:v>
                </c:pt>
                <c:pt idx="2686">
                  <c:v>846.82</c:v>
                </c:pt>
                <c:pt idx="2687">
                  <c:v>846.82</c:v>
                </c:pt>
                <c:pt idx="2688">
                  <c:v>832.7</c:v>
                </c:pt>
                <c:pt idx="2689">
                  <c:v>821.41</c:v>
                </c:pt>
                <c:pt idx="2690">
                  <c:v>821.41</c:v>
                </c:pt>
                <c:pt idx="2691">
                  <c:v>821.41</c:v>
                </c:pt>
                <c:pt idx="2692">
                  <c:v>818.59</c:v>
                </c:pt>
                <c:pt idx="2693">
                  <c:v>818.59</c:v>
                </c:pt>
                <c:pt idx="2694">
                  <c:v>818.59</c:v>
                </c:pt>
                <c:pt idx="2695">
                  <c:v>818.59</c:v>
                </c:pt>
                <c:pt idx="2696">
                  <c:v>798.83</c:v>
                </c:pt>
                <c:pt idx="2697">
                  <c:v>801.65</c:v>
                </c:pt>
                <c:pt idx="2698">
                  <c:v>801.65</c:v>
                </c:pt>
                <c:pt idx="2699">
                  <c:v>804.48</c:v>
                </c:pt>
                <c:pt idx="2700">
                  <c:v>804.48</c:v>
                </c:pt>
                <c:pt idx="2701">
                  <c:v>790.36</c:v>
                </c:pt>
                <c:pt idx="2702">
                  <c:v>790.36</c:v>
                </c:pt>
                <c:pt idx="2703">
                  <c:v>750.84</c:v>
                </c:pt>
                <c:pt idx="2704">
                  <c:v>750.84</c:v>
                </c:pt>
                <c:pt idx="2705">
                  <c:v>750.84</c:v>
                </c:pt>
                <c:pt idx="2706">
                  <c:v>750.84</c:v>
                </c:pt>
                <c:pt idx="2707">
                  <c:v>750.84</c:v>
                </c:pt>
                <c:pt idx="2708">
                  <c:v>762.14</c:v>
                </c:pt>
                <c:pt idx="2709">
                  <c:v>761.57</c:v>
                </c:pt>
                <c:pt idx="2710">
                  <c:v>762.14</c:v>
                </c:pt>
                <c:pt idx="2711">
                  <c:v>762.14</c:v>
                </c:pt>
                <c:pt idx="2712">
                  <c:v>762.14</c:v>
                </c:pt>
                <c:pt idx="2713">
                  <c:v>762.14</c:v>
                </c:pt>
                <c:pt idx="2714">
                  <c:v>762.14</c:v>
                </c:pt>
                <c:pt idx="2715">
                  <c:v>773.4299999999999</c:v>
                </c:pt>
                <c:pt idx="2716">
                  <c:v>767.84</c:v>
                </c:pt>
                <c:pt idx="2717">
                  <c:v>767.84</c:v>
                </c:pt>
                <c:pt idx="2718">
                  <c:v>770.08</c:v>
                </c:pt>
                <c:pt idx="2719">
                  <c:v>773.4299999999999</c:v>
                </c:pt>
                <c:pt idx="2720">
                  <c:v>781.8</c:v>
                </c:pt>
                <c:pt idx="2721">
                  <c:v>781.8</c:v>
                </c:pt>
                <c:pt idx="2722">
                  <c:v>781.8</c:v>
                </c:pt>
                <c:pt idx="2723">
                  <c:v>753.88</c:v>
                </c:pt>
                <c:pt idx="2724">
                  <c:v>742.71</c:v>
                </c:pt>
                <c:pt idx="2725">
                  <c:v>742.71</c:v>
                </c:pt>
                <c:pt idx="2726">
                  <c:v>742.71</c:v>
                </c:pt>
                <c:pt idx="2727">
                  <c:v>756.12</c:v>
                </c:pt>
                <c:pt idx="2728">
                  <c:v>759.47</c:v>
                </c:pt>
                <c:pt idx="2729">
                  <c:v>759.47</c:v>
                </c:pt>
                <c:pt idx="2730">
                  <c:v>759.47</c:v>
                </c:pt>
                <c:pt idx="2731">
                  <c:v>748.3</c:v>
                </c:pt>
                <c:pt idx="2732">
                  <c:v>737.69</c:v>
                </c:pt>
                <c:pt idx="2733">
                  <c:v>759.47</c:v>
                </c:pt>
                <c:pt idx="2734">
                  <c:v>762.82</c:v>
                </c:pt>
                <c:pt idx="2735">
                  <c:v>762.82</c:v>
                </c:pt>
                <c:pt idx="2736">
                  <c:v>753.88</c:v>
                </c:pt>
                <c:pt idx="2737">
                  <c:v>753.88</c:v>
                </c:pt>
                <c:pt idx="2738">
                  <c:v>753.88</c:v>
                </c:pt>
                <c:pt idx="2739">
                  <c:v>753.88</c:v>
                </c:pt>
                <c:pt idx="2740">
                  <c:v>753.88</c:v>
                </c:pt>
                <c:pt idx="2741">
                  <c:v>753.88</c:v>
                </c:pt>
                <c:pt idx="2742">
                  <c:v>753.88</c:v>
                </c:pt>
                <c:pt idx="2743">
                  <c:v>725.96</c:v>
                </c:pt>
                <c:pt idx="2744">
                  <c:v>734.34</c:v>
                </c:pt>
                <c:pt idx="2745">
                  <c:v>725.96</c:v>
                </c:pt>
                <c:pt idx="2746">
                  <c:v>714.79</c:v>
                </c:pt>
                <c:pt idx="2747">
                  <c:v>725.96</c:v>
                </c:pt>
                <c:pt idx="2748">
                  <c:v>725.96</c:v>
                </c:pt>
                <c:pt idx="2749">
                  <c:v>725.96</c:v>
                </c:pt>
                <c:pt idx="2750">
                  <c:v>703.62</c:v>
                </c:pt>
              </c:numCache>
            </c:numRef>
          </c:val>
          <c:smooth val="0"/>
        </c:ser>
        <c:ser>
          <c:idx val="3"/>
          <c:order val="3"/>
          <c:spPr>
            <a:ln w="12700"/>
          </c:spPr>
          <c:marker>
            <c:symbol val="none"/>
          </c:marker>
          <c:cat>
            <c:numRef>
              <c:f>'4f. JALSH vs Oceana Prices'!$B$9:$B$2759</c:f>
              <c:numCache>
                <c:formatCode>m/d/yy</c:formatCode>
                <c:ptCount val="2751"/>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50">
                  <c:v>41397.0</c:v>
                </c:pt>
                <c:pt idx="751">
                  <c:v>41396.0</c:v>
                </c:pt>
                <c:pt idx="752">
                  <c:v>41394.0</c:v>
                </c:pt>
                <c:pt idx="753">
                  <c:v>41393.0</c:v>
                </c:pt>
                <c:pt idx="754">
                  <c:v>41390.0</c:v>
                </c:pt>
                <c:pt idx="755">
                  <c:v>41389.0</c:v>
                </c:pt>
                <c:pt idx="756">
                  <c:v>41388.0</c:v>
                </c:pt>
                <c:pt idx="757">
                  <c:v>41387.0</c:v>
                </c:pt>
                <c:pt idx="758">
                  <c:v>41386.0</c:v>
                </c:pt>
                <c:pt idx="759">
                  <c:v>41383.0</c:v>
                </c:pt>
                <c:pt idx="760">
                  <c:v>41382.0</c:v>
                </c:pt>
                <c:pt idx="761">
                  <c:v>41381.0</c:v>
                </c:pt>
                <c:pt idx="762">
                  <c:v>41380.0</c:v>
                </c:pt>
                <c:pt idx="763">
                  <c:v>41379.0</c:v>
                </c:pt>
                <c:pt idx="764">
                  <c:v>41376.0</c:v>
                </c:pt>
                <c:pt idx="765">
                  <c:v>41375.0</c:v>
                </c:pt>
                <c:pt idx="766">
                  <c:v>41374.0</c:v>
                </c:pt>
                <c:pt idx="767">
                  <c:v>41373.0</c:v>
                </c:pt>
                <c:pt idx="768">
                  <c:v>41372.0</c:v>
                </c:pt>
                <c:pt idx="769">
                  <c:v>41369.0</c:v>
                </c:pt>
                <c:pt idx="770">
                  <c:v>41368.0</c:v>
                </c:pt>
                <c:pt idx="771">
                  <c:v>41367.0</c:v>
                </c:pt>
                <c:pt idx="772">
                  <c:v>41366.0</c:v>
                </c:pt>
                <c:pt idx="773">
                  <c:v>41361.0</c:v>
                </c:pt>
                <c:pt idx="774">
                  <c:v>41360.0</c:v>
                </c:pt>
                <c:pt idx="775">
                  <c:v>41359.0</c:v>
                </c:pt>
                <c:pt idx="776">
                  <c:v>41358.0</c:v>
                </c:pt>
                <c:pt idx="777">
                  <c:v>41355.0</c:v>
                </c:pt>
                <c:pt idx="778">
                  <c:v>41353.0</c:v>
                </c:pt>
                <c:pt idx="779">
                  <c:v>41352.0</c:v>
                </c:pt>
                <c:pt idx="780">
                  <c:v>41351.0</c:v>
                </c:pt>
                <c:pt idx="781">
                  <c:v>41348.0</c:v>
                </c:pt>
                <c:pt idx="782">
                  <c:v>41347.0</c:v>
                </c:pt>
                <c:pt idx="783">
                  <c:v>41346.0</c:v>
                </c:pt>
                <c:pt idx="784">
                  <c:v>41345.0</c:v>
                </c:pt>
                <c:pt idx="785">
                  <c:v>41344.0</c:v>
                </c:pt>
                <c:pt idx="786">
                  <c:v>41341.0</c:v>
                </c:pt>
                <c:pt idx="787">
                  <c:v>41340.0</c:v>
                </c:pt>
                <c:pt idx="788">
                  <c:v>41339.0</c:v>
                </c:pt>
                <c:pt idx="789">
                  <c:v>41338.0</c:v>
                </c:pt>
                <c:pt idx="790">
                  <c:v>41337.0</c:v>
                </c:pt>
                <c:pt idx="791">
                  <c:v>41334.0</c:v>
                </c:pt>
                <c:pt idx="792">
                  <c:v>41333.0</c:v>
                </c:pt>
                <c:pt idx="793">
                  <c:v>41332.0</c:v>
                </c:pt>
                <c:pt idx="794">
                  <c:v>41331.0</c:v>
                </c:pt>
                <c:pt idx="795">
                  <c:v>41330.0</c:v>
                </c:pt>
                <c:pt idx="796">
                  <c:v>41327.0</c:v>
                </c:pt>
                <c:pt idx="797">
                  <c:v>41326.0</c:v>
                </c:pt>
                <c:pt idx="798">
                  <c:v>41325.0</c:v>
                </c:pt>
                <c:pt idx="799">
                  <c:v>41324.0</c:v>
                </c:pt>
                <c:pt idx="800">
                  <c:v>41323.0</c:v>
                </c:pt>
                <c:pt idx="801">
                  <c:v>41320.0</c:v>
                </c:pt>
                <c:pt idx="802">
                  <c:v>41319.0</c:v>
                </c:pt>
                <c:pt idx="803">
                  <c:v>41318.0</c:v>
                </c:pt>
                <c:pt idx="804">
                  <c:v>41317.0</c:v>
                </c:pt>
                <c:pt idx="805">
                  <c:v>41316.0</c:v>
                </c:pt>
                <c:pt idx="806">
                  <c:v>41313.0</c:v>
                </c:pt>
                <c:pt idx="807">
                  <c:v>41312.0</c:v>
                </c:pt>
                <c:pt idx="808">
                  <c:v>41311.0</c:v>
                </c:pt>
                <c:pt idx="809">
                  <c:v>41310.0</c:v>
                </c:pt>
                <c:pt idx="810">
                  <c:v>41309.0</c:v>
                </c:pt>
                <c:pt idx="811">
                  <c:v>41306.0</c:v>
                </c:pt>
                <c:pt idx="812">
                  <c:v>41305.0</c:v>
                </c:pt>
                <c:pt idx="813">
                  <c:v>41304.0</c:v>
                </c:pt>
                <c:pt idx="814">
                  <c:v>41303.0</c:v>
                </c:pt>
                <c:pt idx="815">
                  <c:v>41302.0</c:v>
                </c:pt>
                <c:pt idx="816">
                  <c:v>41299.0</c:v>
                </c:pt>
                <c:pt idx="817">
                  <c:v>41298.0</c:v>
                </c:pt>
                <c:pt idx="818">
                  <c:v>41297.0</c:v>
                </c:pt>
                <c:pt idx="819">
                  <c:v>41296.0</c:v>
                </c:pt>
                <c:pt idx="820">
                  <c:v>41295.0</c:v>
                </c:pt>
                <c:pt idx="821">
                  <c:v>41292.0</c:v>
                </c:pt>
                <c:pt idx="822">
                  <c:v>41291.0</c:v>
                </c:pt>
                <c:pt idx="823">
                  <c:v>41290.0</c:v>
                </c:pt>
                <c:pt idx="824">
                  <c:v>41289.0</c:v>
                </c:pt>
                <c:pt idx="825">
                  <c:v>41288.0</c:v>
                </c:pt>
                <c:pt idx="826">
                  <c:v>41285.0</c:v>
                </c:pt>
                <c:pt idx="827">
                  <c:v>41284.0</c:v>
                </c:pt>
                <c:pt idx="828">
                  <c:v>41283.0</c:v>
                </c:pt>
                <c:pt idx="829">
                  <c:v>41282.0</c:v>
                </c:pt>
                <c:pt idx="830">
                  <c:v>41281.0</c:v>
                </c:pt>
                <c:pt idx="831">
                  <c:v>41278.0</c:v>
                </c:pt>
                <c:pt idx="832">
                  <c:v>41277.0</c:v>
                </c:pt>
                <c:pt idx="833">
                  <c:v>41276.0</c:v>
                </c:pt>
                <c:pt idx="834">
                  <c:v>41274.0</c:v>
                </c:pt>
                <c:pt idx="835">
                  <c:v>41271.0</c:v>
                </c:pt>
                <c:pt idx="836">
                  <c:v>41270.0</c:v>
                </c:pt>
                <c:pt idx="837">
                  <c:v>41267.0</c:v>
                </c:pt>
                <c:pt idx="838">
                  <c:v>41264.0</c:v>
                </c:pt>
                <c:pt idx="839">
                  <c:v>41263.0</c:v>
                </c:pt>
                <c:pt idx="840">
                  <c:v>41262.0</c:v>
                </c:pt>
                <c:pt idx="841">
                  <c:v>41261.0</c:v>
                </c:pt>
                <c:pt idx="842">
                  <c:v>41257.0</c:v>
                </c:pt>
                <c:pt idx="843">
                  <c:v>41256.0</c:v>
                </c:pt>
                <c:pt idx="844">
                  <c:v>41255.0</c:v>
                </c:pt>
                <c:pt idx="845">
                  <c:v>41254.0</c:v>
                </c:pt>
                <c:pt idx="846">
                  <c:v>41253.0</c:v>
                </c:pt>
                <c:pt idx="847">
                  <c:v>41250.0</c:v>
                </c:pt>
                <c:pt idx="848">
                  <c:v>41249.0</c:v>
                </c:pt>
                <c:pt idx="849">
                  <c:v>41248.0</c:v>
                </c:pt>
                <c:pt idx="850">
                  <c:v>41247.0</c:v>
                </c:pt>
                <c:pt idx="851">
                  <c:v>41246.0</c:v>
                </c:pt>
                <c:pt idx="852">
                  <c:v>41243.0</c:v>
                </c:pt>
                <c:pt idx="853">
                  <c:v>41242.0</c:v>
                </c:pt>
                <c:pt idx="854">
                  <c:v>41241.0</c:v>
                </c:pt>
                <c:pt idx="855">
                  <c:v>41240.0</c:v>
                </c:pt>
                <c:pt idx="856">
                  <c:v>41239.0</c:v>
                </c:pt>
                <c:pt idx="857">
                  <c:v>41236.0</c:v>
                </c:pt>
                <c:pt idx="858">
                  <c:v>41235.0</c:v>
                </c:pt>
                <c:pt idx="859">
                  <c:v>41234.0</c:v>
                </c:pt>
                <c:pt idx="860">
                  <c:v>41233.0</c:v>
                </c:pt>
                <c:pt idx="861">
                  <c:v>41232.0</c:v>
                </c:pt>
                <c:pt idx="862">
                  <c:v>41229.0</c:v>
                </c:pt>
                <c:pt idx="863">
                  <c:v>41228.0</c:v>
                </c:pt>
                <c:pt idx="864">
                  <c:v>41227.0</c:v>
                </c:pt>
                <c:pt idx="865">
                  <c:v>41226.0</c:v>
                </c:pt>
                <c:pt idx="866">
                  <c:v>41225.0</c:v>
                </c:pt>
                <c:pt idx="867">
                  <c:v>41222.0</c:v>
                </c:pt>
                <c:pt idx="868">
                  <c:v>41221.0</c:v>
                </c:pt>
                <c:pt idx="869">
                  <c:v>41220.0</c:v>
                </c:pt>
                <c:pt idx="870">
                  <c:v>41219.0</c:v>
                </c:pt>
                <c:pt idx="871">
                  <c:v>41218.0</c:v>
                </c:pt>
                <c:pt idx="872">
                  <c:v>41215.0</c:v>
                </c:pt>
                <c:pt idx="873">
                  <c:v>41214.0</c:v>
                </c:pt>
                <c:pt idx="874">
                  <c:v>41213.0</c:v>
                </c:pt>
                <c:pt idx="875">
                  <c:v>41212.0</c:v>
                </c:pt>
                <c:pt idx="876">
                  <c:v>41211.0</c:v>
                </c:pt>
                <c:pt idx="877">
                  <c:v>41208.0</c:v>
                </c:pt>
                <c:pt idx="878">
                  <c:v>41207.0</c:v>
                </c:pt>
                <c:pt idx="879">
                  <c:v>41206.0</c:v>
                </c:pt>
                <c:pt idx="880">
                  <c:v>41205.0</c:v>
                </c:pt>
                <c:pt idx="881">
                  <c:v>41204.0</c:v>
                </c:pt>
                <c:pt idx="882">
                  <c:v>41201.0</c:v>
                </c:pt>
                <c:pt idx="883">
                  <c:v>41200.0</c:v>
                </c:pt>
                <c:pt idx="884">
                  <c:v>41199.0</c:v>
                </c:pt>
                <c:pt idx="885">
                  <c:v>41198.0</c:v>
                </c:pt>
                <c:pt idx="886">
                  <c:v>41197.0</c:v>
                </c:pt>
                <c:pt idx="887">
                  <c:v>41194.0</c:v>
                </c:pt>
                <c:pt idx="888">
                  <c:v>41193.0</c:v>
                </c:pt>
                <c:pt idx="889">
                  <c:v>41192.0</c:v>
                </c:pt>
                <c:pt idx="890">
                  <c:v>41191.0</c:v>
                </c:pt>
                <c:pt idx="891">
                  <c:v>41190.0</c:v>
                </c:pt>
                <c:pt idx="892">
                  <c:v>41187.0</c:v>
                </c:pt>
                <c:pt idx="893">
                  <c:v>41186.0</c:v>
                </c:pt>
                <c:pt idx="894">
                  <c:v>41185.0</c:v>
                </c:pt>
                <c:pt idx="895">
                  <c:v>41184.0</c:v>
                </c:pt>
                <c:pt idx="896">
                  <c:v>41183.0</c:v>
                </c:pt>
                <c:pt idx="897">
                  <c:v>41180.0</c:v>
                </c:pt>
                <c:pt idx="898">
                  <c:v>41179.0</c:v>
                </c:pt>
                <c:pt idx="899">
                  <c:v>41178.0</c:v>
                </c:pt>
                <c:pt idx="900">
                  <c:v>41177.0</c:v>
                </c:pt>
                <c:pt idx="901">
                  <c:v>41173.0</c:v>
                </c:pt>
                <c:pt idx="902">
                  <c:v>41172.0</c:v>
                </c:pt>
                <c:pt idx="903">
                  <c:v>41171.0</c:v>
                </c:pt>
                <c:pt idx="904">
                  <c:v>41170.0</c:v>
                </c:pt>
                <c:pt idx="905">
                  <c:v>41169.0</c:v>
                </c:pt>
                <c:pt idx="906">
                  <c:v>41166.0</c:v>
                </c:pt>
                <c:pt idx="907">
                  <c:v>41165.0</c:v>
                </c:pt>
                <c:pt idx="908">
                  <c:v>41164.0</c:v>
                </c:pt>
                <c:pt idx="909">
                  <c:v>41163.0</c:v>
                </c:pt>
                <c:pt idx="910">
                  <c:v>41162.0</c:v>
                </c:pt>
                <c:pt idx="911">
                  <c:v>41159.0</c:v>
                </c:pt>
                <c:pt idx="912">
                  <c:v>41158.0</c:v>
                </c:pt>
                <c:pt idx="913">
                  <c:v>41157.0</c:v>
                </c:pt>
                <c:pt idx="914">
                  <c:v>41156.0</c:v>
                </c:pt>
                <c:pt idx="915">
                  <c:v>41155.0</c:v>
                </c:pt>
                <c:pt idx="916">
                  <c:v>41152.0</c:v>
                </c:pt>
                <c:pt idx="917">
                  <c:v>41151.0</c:v>
                </c:pt>
                <c:pt idx="918">
                  <c:v>41150.0</c:v>
                </c:pt>
                <c:pt idx="919">
                  <c:v>41149.0</c:v>
                </c:pt>
                <c:pt idx="920">
                  <c:v>41148.0</c:v>
                </c:pt>
                <c:pt idx="921">
                  <c:v>41145.0</c:v>
                </c:pt>
                <c:pt idx="922">
                  <c:v>41144.0</c:v>
                </c:pt>
                <c:pt idx="923">
                  <c:v>41143.0</c:v>
                </c:pt>
                <c:pt idx="924">
                  <c:v>41142.0</c:v>
                </c:pt>
                <c:pt idx="925">
                  <c:v>41141.0</c:v>
                </c:pt>
                <c:pt idx="926">
                  <c:v>41138.0</c:v>
                </c:pt>
                <c:pt idx="927">
                  <c:v>41137.0</c:v>
                </c:pt>
                <c:pt idx="928">
                  <c:v>41136.0</c:v>
                </c:pt>
                <c:pt idx="929">
                  <c:v>41135.0</c:v>
                </c:pt>
                <c:pt idx="930">
                  <c:v>41134.0</c:v>
                </c:pt>
                <c:pt idx="931">
                  <c:v>41131.0</c:v>
                </c:pt>
                <c:pt idx="932">
                  <c:v>41129.0</c:v>
                </c:pt>
                <c:pt idx="933">
                  <c:v>41128.0</c:v>
                </c:pt>
                <c:pt idx="934">
                  <c:v>41127.0</c:v>
                </c:pt>
                <c:pt idx="935">
                  <c:v>41124.0</c:v>
                </c:pt>
                <c:pt idx="936">
                  <c:v>41123.0</c:v>
                </c:pt>
                <c:pt idx="937">
                  <c:v>41122.0</c:v>
                </c:pt>
                <c:pt idx="938">
                  <c:v>41121.0</c:v>
                </c:pt>
                <c:pt idx="939">
                  <c:v>41120.0</c:v>
                </c:pt>
                <c:pt idx="940">
                  <c:v>41117.0</c:v>
                </c:pt>
                <c:pt idx="941">
                  <c:v>41116.0</c:v>
                </c:pt>
                <c:pt idx="942">
                  <c:v>41115.0</c:v>
                </c:pt>
                <c:pt idx="943">
                  <c:v>41114.0</c:v>
                </c:pt>
                <c:pt idx="944">
                  <c:v>41113.0</c:v>
                </c:pt>
                <c:pt idx="945">
                  <c:v>41110.0</c:v>
                </c:pt>
                <c:pt idx="946">
                  <c:v>41109.0</c:v>
                </c:pt>
                <c:pt idx="947">
                  <c:v>41108.0</c:v>
                </c:pt>
                <c:pt idx="948">
                  <c:v>41107.0</c:v>
                </c:pt>
                <c:pt idx="949">
                  <c:v>41106.0</c:v>
                </c:pt>
                <c:pt idx="950">
                  <c:v>41103.0</c:v>
                </c:pt>
                <c:pt idx="951">
                  <c:v>41102.0</c:v>
                </c:pt>
                <c:pt idx="952">
                  <c:v>41101.0</c:v>
                </c:pt>
                <c:pt idx="953">
                  <c:v>41100.0</c:v>
                </c:pt>
                <c:pt idx="954">
                  <c:v>41099.0</c:v>
                </c:pt>
                <c:pt idx="955">
                  <c:v>41096.0</c:v>
                </c:pt>
                <c:pt idx="956">
                  <c:v>41095.0</c:v>
                </c:pt>
                <c:pt idx="957">
                  <c:v>41094.0</c:v>
                </c:pt>
                <c:pt idx="958">
                  <c:v>41093.0</c:v>
                </c:pt>
                <c:pt idx="959">
                  <c:v>41092.0</c:v>
                </c:pt>
                <c:pt idx="960">
                  <c:v>41089.0</c:v>
                </c:pt>
                <c:pt idx="961">
                  <c:v>41088.0</c:v>
                </c:pt>
                <c:pt idx="962">
                  <c:v>41087.0</c:v>
                </c:pt>
                <c:pt idx="963">
                  <c:v>41086.0</c:v>
                </c:pt>
                <c:pt idx="964">
                  <c:v>41085.0</c:v>
                </c:pt>
                <c:pt idx="965">
                  <c:v>41082.0</c:v>
                </c:pt>
                <c:pt idx="966">
                  <c:v>41081.0</c:v>
                </c:pt>
                <c:pt idx="967">
                  <c:v>41080.0</c:v>
                </c:pt>
                <c:pt idx="968">
                  <c:v>41079.0</c:v>
                </c:pt>
                <c:pt idx="969">
                  <c:v>41078.0</c:v>
                </c:pt>
                <c:pt idx="970">
                  <c:v>41075.0</c:v>
                </c:pt>
                <c:pt idx="971">
                  <c:v>41074.0</c:v>
                </c:pt>
                <c:pt idx="972">
                  <c:v>41073.0</c:v>
                </c:pt>
                <c:pt idx="973">
                  <c:v>41072.0</c:v>
                </c:pt>
                <c:pt idx="974">
                  <c:v>41071.0</c:v>
                </c:pt>
                <c:pt idx="975">
                  <c:v>41068.0</c:v>
                </c:pt>
                <c:pt idx="976">
                  <c:v>41067.0</c:v>
                </c:pt>
                <c:pt idx="977">
                  <c:v>41066.0</c:v>
                </c:pt>
                <c:pt idx="978">
                  <c:v>41065.0</c:v>
                </c:pt>
                <c:pt idx="979">
                  <c:v>41064.0</c:v>
                </c:pt>
                <c:pt idx="980">
                  <c:v>41061.0</c:v>
                </c:pt>
                <c:pt idx="981">
                  <c:v>41060.0</c:v>
                </c:pt>
                <c:pt idx="982">
                  <c:v>41059.0</c:v>
                </c:pt>
                <c:pt idx="983">
                  <c:v>41058.0</c:v>
                </c:pt>
                <c:pt idx="984">
                  <c:v>41057.0</c:v>
                </c:pt>
                <c:pt idx="985">
                  <c:v>41054.0</c:v>
                </c:pt>
                <c:pt idx="986">
                  <c:v>41053.0</c:v>
                </c:pt>
                <c:pt idx="987">
                  <c:v>41052.0</c:v>
                </c:pt>
                <c:pt idx="988">
                  <c:v>41051.0</c:v>
                </c:pt>
                <c:pt idx="989">
                  <c:v>41050.0</c:v>
                </c:pt>
                <c:pt idx="990">
                  <c:v>41047.0</c:v>
                </c:pt>
                <c:pt idx="991">
                  <c:v>41046.0</c:v>
                </c:pt>
                <c:pt idx="992">
                  <c:v>41045.0</c:v>
                </c:pt>
                <c:pt idx="993">
                  <c:v>41044.0</c:v>
                </c:pt>
                <c:pt idx="994">
                  <c:v>41043.0</c:v>
                </c:pt>
                <c:pt idx="995">
                  <c:v>41040.0</c:v>
                </c:pt>
                <c:pt idx="996">
                  <c:v>41039.0</c:v>
                </c:pt>
                <c:pt idx="997">
                  <c:v>41038.0</c:v>
                </c:pt>
                <c:pt idx="998">
                  <c:v>41037.0</c:v>
                </c:pt>
                <c:pt idx="999">
                  <c:v>41036.0</c:v>
                </c:pt>
                <c:pt idx="1000">
                  <c:v>41033.0</c:v>
                </c:pt>
                <c:pt idx="1001">
                  <c:v>41032.0</c:v>
                </c:pt>
                <c:pt idx="1002">
                  <c:v>41031.0</c:v>
                </c:pt>
                <c:pt idx="1003">
                  <c:v>41029.0</c:v>
                </c:pt>
                <c:pt idx="1004">
                  <c:v>41025.0</c:v>
                </c:pt>
                <c:pt idx="1005">
                  <c:v>41024.0</c:v>
                </c:pt>
                <c:pt idx="1006">
                  <c:v>41023.0</c:v>
                </c:pt>
                <c:pt idx="1007">
                  <c:v>41022.0</c:v>
                </c:pt>
                <c:pt idx="1008">
                  <c:v>41019.0</c:v>
                </c:pt>
                <c:pt idx="1009">
                  <c:v>41018.0</c:v>
                </c:pt>
                <c:pt idx="1010">
                  <c:v>41017.0</c:v>
                </c:pt>
                <c:pt idx="1011">
                  <c:v>41016.0</c:v>
                </c:pt>
                <c:pt idx="1012">
                  <c:v>41015.0</c:v>
                </c:pt>
                <c:pt idx="1013">
                  <c:v>41012.0</c:v>
                </c:pt>
                <c:pt idx="1014">
                  <c:v>41011.0</c:v>
                </c:pt>
                <c:pt idx="1015">
                  <c:v>41010.0</c:v>
                </c:pt>
                <c:pt idx="1016">
                  <c:v>41009.0</c:v>
                </c:pt>
                <c:pt idx="1017">
                  <c:v>41004.0</c:v>
                </c:pt>
                <c:pt idx="1018">
                  <c:v>41003.0</c:v>
                </c:pt>
                <c:pt idx="1019">
                  <c:v>41002.0</c:v>
                </c:pt>
                <c:pt idx="1020">
                  <c:v>41001.0</c:v>
                </c:pt>
                <c:pt idx="1021">
                  <c:v>40998.0</c:v>
                </c:pt>
                <c:pt idx="1022">
                  <c:v>40997.0</c:v>
                </c:pt>
                <c:pt idx="1023">
                  <c:v>40996.0</c:v>
                </c:pt>
                <c:pt idx="1024">
                  <c:v>40995.0</c:v>
                </c:pt>
                <c:pt idx="1025">
                  <c:v>40994.0</c:v>
                </c:pt>
                <c:pt idx="1026">
                  <c:v>40991.0</c:v>
                </c:pt>
                <c:pt idx="1027">
                  <c:v>40990.0</c:v>
                </c:pt>
                <c:pt idx="1028">
                  <c:v>40988.0</c:v>
                </c:pt>
                <c:pt idx="1029">
                  <c:v>40987.0</c:v>
                </c:pt>
                <c:pt idx="1030">
                  <c:v>40984.0</c:v>
                </c:pt>
                <c:pt idx="1031">
                  <c:v>40983.0</c:v>
                </c:pt>
                <c:pt idx="1032">
                  <c:v>40982.0</c:v>
                </c:pt>
                <c:pt idx="1033">
                  <c:v>40981.0</c:v>
                </c:pt>
                <c:pt idx="1034">
                  <c:v>40980.0</c:v>
                </c:pt>
                <c:pt idx="1035">
                  <c:v>40977.0</c:v>
                </c:pt>
                <c:pt idx="1036">
                  <c:v>40976.0</c:v>
                </c:pt>
                <c:pt idx="1037">
                  <c:v>40975.0</c:v>
                </c:pt>
                <c:pt idx="1038">
                  <c:v>40974.0</c:v>
                </c:pt>
                <c:pt idx="1039">
                  <c:v>40973.0</c:v>
                </c:pt>
                <c:pt idx="1040">
                  <c:v>40970.0</c:v>
                </c:pt>
                <c:pt idx="1041">
                  <c:v>40969.0</c:v>
                </c:pt>
                <c:pt idx="1042">
                  <c:v>40968.0</c:v>
                </c:pt>
                <c:pt idx="1043">
                  <c:v>40967.0</c:v>
                </c:pt>
                <c:pt idx="1044">
                  <c:v>40966.0</c:v>
                </c:pt>
                <c:pt idx="1045">
                  <c:v>40963.0</c:v>
                </c:pt>
                <c:pt idx="1046">
                  <c:v>40962.0</c:v>
                </c:pt>
                <c:pt idx="1047">
                  <c:v>40961.0</c:v>
                </c:pt>
                <c:pt idx="1048">
                  <c:v>40960.0</c:v>
                </c:pt>
                <c:pt idx="1049">
                  <c:v>40959.0</c:v>
                </c:pt>
                <c:pt idx="1050">
                  <c:v>40956.0</c:v>
                </c:pt>
                <c:pt idx="1051">
                  <c:v>40955.0</c:v>
                </c:pt>
                <c:pt idx="1052">
                  <c:v>40954.0</c:v>
                </c:pt>
                <c:pt idx="1053">
                  <c:v>40953.0</c:v>
                </c:pt>
                <c:pt idx="1054">
                  <c:v>40952.0</c:v>
                </c:pt>
                <c:pt idx="1055">
                  <c:v>40949.0</c:v>
                </c:pt>
                <c:pt idx="1056">
                  <c:v>40948.0</c:v>
                </c:pt>
                <c:pt idx="1057">
                  <c:v>40947.0</c:v>
                </c:pt>
                <c:pt idx="1058">
                  <c:v>40946.0</c:v>
                </c:pt>
                <c:pt idx="1059">
                  <c:v>40945.0</c:v>
                </c:pt>
                <c:pt idx="1060">
                  <c:v>40942.0</c:v>
                </c:pt>
                <c:pt idx="1061">
                  <c:v>40941.0</c:v>
                </c:pt>
                <c:pt idx="1062">
                  <c:v>40940.0</c:v>
                </c:pt>
                <c:pt idx="1063">
                  <c:v>40939.0</c:v>
                </c:pt>
                <c:pt idx="1064">
                  <c:v>40938.0</c:v>
                </c:pt>
                <c:pt idx="1065">
                  <c:v>40935.0</c:v>
                </c:pt>
                <c:pt idx="1066">
                  <c:v>40934.0</c:v>
                </c:pt>
                <c:pt idx="1067">
                  <c:v>40933.0</c:v>
                </c:pt>
                <c:pt idx="1068">
                  <c:v>40932.0</c:v>
                </c:pt>
                <c:pt idx="1069">
                  <c:v>40931.0</c:v>
                </c:pt>
                <c:pt idx="1070">
                  <c:v>40928.0</c:v>
                </c:pt>
                <c:pt idx="1071">
                  <c:v>40927.0</c:v>
                </c:pt>
                <c:pt idx="1072">
                  <c:v>40926.0</c:v>
                </c:pt>
                <c:pt idx="1073">
                  <c:v>40925.0</c:v>
                </c:pt>
                <c:pt idx="1074">
                  <c:v>40924.0</c:v>
                </c:pt>
                <c:pt idx="1075">
                  <c:v>40921.0</c:v>
                </c:pt>
                <c:pt idx="1076">
                  <c:v>40920.0</c:v>
                </c:pt>
                <c:pt idx="1077">
                  <c:v>40919.0</c:v>
                </c:pt>
                <c:pt idx="1078">
                  <c:v>40918.0</c:v>
                </c:pt>
                <c:pt idx="1079">
                  <c:v>40917.0</c:v>
                </c:pt>
                <c:pt idx="1080">
                  <c:v>40914.0</c:v>
                </c:pt>
                <c:pt idx="1081">
                  <c:v>40913.0</c:v>
                </c:pt>
                <c:pt idx="1082">
                  <c:v>40912.0</c:v>
                </c:pt>
                <c:pt idx="1083">
                  <c:v>40911.0</c:v>
                </c:pt>
                <c:pt idx="1084">
                  <c:v>40907.0</c:v>
                </c:pt>
                <c:pt idx="1085">
                  <c:v>40906.0</c:v>
                </c:pt>
                <c:pt idx="1086">
                  <c:v>40905.0</c:v>
                </c:pt>
                <c:pt idx="1087">
                  <c:v>40900.0</c:v>
                </c:pt>
                <c:pt idx="1088">
                  <c:v>40899.0</c:v>
                </c:pt>
                <c:pt idx="1089">
                  <c:v>40898.0</c:v>
                </c:pt>
                <c:pt idx="1090">
                  <c:v>40897.0</c:v>
                </c:pt>
                <c:pt idx="1091">
                  <c:v>40896.0</c:v>
                </c:pt>
                <c:pt idx="1092">
                  <c:v>40892.0</c:v>
                </c:pt>
                <c:pt idx="1093">
                  <c:v>40891.0</c:v>
                </c:pt>
                <c:pt idx="1094">
                  <c:v>40890.0</c:v>
                </c:pt>
                <c:pt idx="1095">
                  <c:v>40889.0</c:v>
                </c:pt>
                <c:pt idx="1096">
                  <c:v>40886.0</c:v>
                </c:pt>
                <c:pt idx="1097">
                  <c:v>40885.0</c:v>
                </c:pt>
                <c:pt idx="1098">
                  <c:v>40884.0</c:v>
                </c:pt>
                <c:pt idx="1099">
                  <c:v>40883.0</c:v>
                </c:pt>
                <c:pt idx="1100">
                  <c:v>40882.0</c:v>
                </c:pt>
                <c:pt idx="1101">
                  <c:v>40879.0</c:v>
                </c:pt>
                <c:pt idx="1102">
                  <c:v>40878.0</c:v>
                </c:pt>
                <c:pt idx="1103">
                  <c:v>40877.0</c:v>
                </c:pt>
                <c:pt idx="1104">
                  <c:v>40876.0</c:v>
                </c:pt>
                <c:pt idx="1105">
                  <c:v>40875.0</c:v>
                </c:pt>
                <c:pt idx="1106">
                  <c:v>40872.0</c:v>
                </c:pt>
                <c:pt idx="1107">
                  <c:v>40871.0</c:v>
                </c:pt>
                <c:pt idx="1108">
                  <c:v>40870.0</c:v>
                </c:pt>
                <c:pt idx="1109">
                  <c:v>40869.0</c:v>
                </c:pt>
                <c:pt idx="1110">
                  <c:v>40868.0</c:v>
                </c:pt>
                <c:pt idx="1111">
                  <c:v>40865.0</c:v>
                </c:pt>
                <c:pt idx="1112">
                  <c:v>40864.0</c:v>
                </c:pt>
                <c:pt idx="1113">
                  <c:v>40863.0</c:v>
                </c:pt>
                <c:pt idx="1114">
                  <c:v>40862.0</c:v>
                </c:pt>
                <c:pt idx="1115">
                  <c:v>40861.0</c:v>
                </c:pt>
                <c:pt idx="1116">
                  <c:v>40858.0</c:v>
                </c:pt>
                <c:pt idx="1117">
                  <c:v>40857.0</c:v>
                </c:pt>
                <c:pt idx="1118">
                  <c:v>40856.0</c:v>
                </c:pt>
                <c:pt idx="1119">
                  <c:v>40855.0</c:v>
                </c:pt>
                <c:pt idx="1120">
                  <c:v>40854.0</c:v>
                </c:pt>
                <c:pt idx="1121">
                  <c:v>40851.0</c:v>
                </c:pt>
                <c:pt idx="1122">
                  <c:v>40850.0</c:v>
                </c:pt>
                <c:pt idx="1123">
                  <c:v>40849.0</c:v>
                </c:pt>
                <c:pt idx="1124">
                  <c:v>40848.0</c:v>
                </c:pt>
                <c:pt idx="1125">
                  <c:v>40847.0</c:v>
                </c:pt>
                <c:pt idx="1126">
                  <c:v>40844.0</c:v>
                </c:pt>
                <c:pt idx="1127">
                  <c:v>40843.0</c:v>
                </c:pt>
                <c:pt idx="1128">
                  <c:v>40842.0</c:v>
                </c:pt>
                <c:pt idx="1129">
                  <c:v>40841.0</c:v>
                </c:pt>
                <c:pt idx="1130">
                  <c:v>40840.0</c:v>
                </c:pt>
                <c:pt idx="1131">
                  <c:v>40837.0</c:v>
                </c:pt>
                <c:pt idx="1132">
                  <c:v>40836.0</c:v>
                </c:pt>
                <c:pt idx="1133">
                  <c:v>40835.0</c:v>
                </c:pt>
                <c:pt idx="1134">
                  <c:v>40834.0</c:v>
                </c:pt>
                <c:pt idx="1135">
                  <c:v>40833.0</c:v>
                </c:pt>
                <c:pt idx="1136">
                  <c:v>40830.0</c:v>
                </c:pt>
                <c:pt idx="1137">
                  <c:v>40829.0</c:v>
                </c:pt>
                <c:pt idx="1138">
                  <c:v>40828.0</c:v>
                </c:pt>
                <c:pt idx="1139">
                  <c:v>40827.0</c:v>
                </c:pt>
                <c:pt idx="1140">
                  <c:v>40826.0</c:v>
                </c:pt>
                <c:pt idx="1141">
                  <c:v>40823.0</c:v>
                </c:pt>
                <c:pt idx="1142">
                  <c:v>40822.0</c:v>
                </c:pt>
                <c:pt idx="1143">
                  <c:v>40821.0</c:v>
                </c:pt>
                <c:pt idx="1144">
                  <c:v>40820.0</c:v>
                </c:pt>
                <c:pt idx="1145">
                  <c:v>40819.0</c:v>
                </c:pt>
                <c:pt idx="1146">
                  <c:v>40816.0</c:v>
                </c:pt>
                <c:pt idx="1147">
                  <c:v>40815.0</c:v>
                </c:pt>
                <c:pt idx="1148">
                  <c:v>40814.0</c:v>
                </c:pt>
                <c:pt idx="1149">
                  <c:v>40813.0</c:v>
                </c:pt>
                <c:pt idx="1150">
                  <c:v>40812.0</c:v>
                </c:pt>
                <c:pt idx="1151">
                  <c:v>40809.0</c:v>
                </c:pt>
                <c:pt idx="1152">
                  <c:v>40808.0</c:v>
                </c:pt>
                <c:pt idx="1153">
                  <c:v>40807.0</c:v>
                </c:pt>
                <c:pt idx="1154">
                  <c:v>40806.0</c:v>
                </c:pt>
                <c:pt idx="1155">
                  <c:v>40805.0</c:v>
                </c:pt>
                <c:pt idx="1156">
                  <c:v>40802.0</c:v>
                </c:pt>
                <c:pt idx="1157">
                  <c:v>40801.0</c:v>
                </c:pt>
                <c:pt idx="1158">
                  <c:v>40800.0</c:v>
                </c:pt>
                <c:pt idx="1159">
                  <c:v>40799.0</c:v>
                </c:pt>
                <c:pt idx="1160">
                  <c:v>40798.0</c:v>
                </c:pt>
                <c:pt idx="1161">
                  <c:v>40795.0</c:v>
                </c:pt>
                <c:pt idx="1162">
                  <c:v>40794.0</c:v>
                </c:pt>
                <c:pt idx="1163">
                  <c:v>40793.0</c:v>
                </c:pt>
                <c:pt idx="1164">
                  <c:v>40792.0</c:v>
                </c:pt>
                <c:pt idx="1165">
                  <c:v>40791.0</c:v>
                </c:pt>
                <c:pt idx="1166">
                  <c:v>40788.0</c:v>
                </c:pt>
                <c:pt idx="1167">
                  <c:v>40787.0</c:v>
                </c:pt>
                <c:pt idx="1168">
                  <c:v>40786.0</c:v>
                </c:pt>
                <c:pt idx="1169">
                  <c:v>40785.0</c:v>
                </c:pt>
                <c:pt idx="1170">
                  <c:v>40784.0</c:v>
                </c:pt>
                <c:pt idx="1171">
                  <c:v>40781.0</c:v>
                </c:pt>
                <c:pt idx="1172">
                  <c:v>40780.0</c:v>
                </c:pt>
                <c:pt idx="1173">
                  <c:v>40779.0</c:v>
                </c:pt>
                <c:pt idx="1174">
                  <c:v>40778.0</c:v>
                </c:pt>
                <c:pt idx="1175">
                  <c:v>40777.0</c:v>
                </c:pt>
                <c:pt idx="1176">
                  <c:v>40774.0</c:v>
                </c:pt>
                <c:pt idx="1177">
                  <c:v>40773.0</c:v>
                </c:pt>
                <c:pt idx="1178">
                  <c:v>40772.0</c:v>
                </c:pt>
                <c:pt idx="1179">
                  <c:v>40771.0</c:v>
                </c:pt>
                <c:pt idx="1180">
                  <c:v>40770.0</c:v>
                </c:pt>
                <c:pt idx="1181">
                  <c:v>40767.0</c:v>
                </c:pt>
                <c:pt idx="1182">
                  <c:v>40766.0</c:v>
                </c:pt>
                <c:pt idx="1183">
                  <c:v>40765.0</c:v>
                </c:pt>
                <c:pt idx="1184">
                  <c:v>40763.0</c:v>
                </c:pt>
                <c:pt idx="1185">
                  <c:v>40760.0</c:v>
                </c:pt>
                <c:pt idx="1186">
                  <c:v>40759.0</c:v>
                </c:pt>
                <c:pt idx="1187">
                  <c:v>40758.0</c:v>
                </c:pt>
                <c:pt idx="1188">
                  <c:v>40757.0</c:v>
                </c:pt>
                <c:pt idx="1189">
                  <c:v>40756.0</c:v>
                </c:pt>
                <c:pt idx="1190">
                  <c:v>40753.0</c:v>
                </c:pt>
                <c:pt idx="1191">
                  <c:v>40752.0</c:v>
                </c:pt>
                <c:pt idx="1192">
                  <c:v>40751.0</c:v>
                </c:pt>
                <c:pt idx="1193">
                  <c:v>40750.0</c:v>
                </c:pt>
                <c:pt idx="1194">
                  <c:v>40749.0</c:v>
                </c:pt>
                <c:pt idx="1195">
                  <c:v>40746.0</c:v>
                </c:pt>
                <c:pt idx="1196">
                  <c:v>40745.0</c:v>
                </c:pt>
                <c:pt idx="1197">
                  <c:v>40744.0</c:v>
                </c:pt>
                <c:pt idx="1198">
                  <c:v>40743.0</c:v>
                </c:pt>
                <c:pt idx="1199">
                  <c:v>40742.0</c:v>
                </c:pt>
                <c:pt idx="1200">
                  <c:v>40739.0</c:v>
                </c:pt>
                <c:pt idx="1201">
                  <c:v>40738.0</c:v>
                </c:pt>
                <c:pt idx="1202">
                  <c:v>40737.0</c:v>
                </c:pt>
                <c:pt idx="1203">
                  <c:v>40736.0</c:v>
                </c:pt>
                <c:pt idx="1204">
                  <c:v>40735.0</c:v>
                </c:pt>
                <c:pt idx="1205">
                  <c:v>40732.0</c:v>
                </c:pt>
                <c:pt idx="1206">
                  <c:v>40731.0</c:v>
                </c:pt>
                <c:pt idx="1207">
                  <c:v>40730.0</c:v>
                </c:pt>
                <c:pt idx="1208">
                  <c:v>40729.0</c:v>
                </c:pt>
                <c:pt idx="1209">
                  <c:v>40728.0</c:v>
                </c:pt>
                <c:pt idx="1210">
                  <c:v>40725.0</c:v>
                </c:pt>
                <c:pt idx="1211">
                  <c:v>40724.0</c:v>
                </c:pt>
                <c:pt idx="1212">
                  <c:v>40723.0</c:v>
                </c:pt>
                <c:pt idx="1213">
                  <c:v>40722.0</c:v>
                </c:pt>
                <c:pt idx="1214">
                  <c:v>40721.0</c:v>
                </c:pt>
                <c:pt idx="1215">
                  <c:v>40718.0</c:v>
                </c:pt>
                <c:pt idx="1216">
                  <c:v>40717.0</c:v>
                </c:pt>
                <c:pt idx="1217">
                  <c:v>40716.0</c:v>
                </c:pt>
                <c:pt idx="1218">
                  <c:v>40715.0</c:v>
                </c:pt>
                <c:pt idx="1219">
                  <c:v>40714.0</c:v>
                </c:pt>
                <c:pt idx="1220">
                  <c:v>40711.0</c:v>
                </c:pt>
                <c:pt idx="1221">
                  <c:v>40709.0</c:v>
                </c:pt>
                <c:pt idx="1222">
                  <c:v>40708.0</c:v>
                </c:pt>
                <c:pt idx="1223">
                  <c:v>40707.0</c:v>
                </c:pt>
                <c:pt idx="1224">
                  <c:v>40704.0</c:v>
                </c:pt>
                <c:pt idx="1225">
                  <c:v>40703.0</c:v>
                </c:pt>
                <c:pt idx="1226">
                  <c:v>40702.0</c:v>
                </c:pt>
                <c:pt idx="1227">
                  <c:v>40701.0</c:v>
                </c:pt>
                <c:pt idx="1228">
                  <c:v>40700.0</c:v>
                </c:pt>
                <c:pt idx="1229">
                  <c:v>40697.0</c:v>
                </c:pt>
                <c:pt idx="1230">
                  <c:v>40696.0</c:v>
                </c:pt>
                <c:pt idx="1231">
                  <c:v>40695.0</c:v>
                </c:pt>
                <c:pt idx="1232">
                  <c:v>40694.0</c:v>
                </c:pt>
                <c:pt idx="1233">
                  <c:v>40693.0</c:v>
                </c:pt>
                <c:pt idx="1234">
                  <c:v>40690.0</c:v>
                </c:pt>
                <c:pt idx="1235">
                  <c:v>40689.0</c:v>
                </c:pt>
                <c:pt idx="1236">
                  <c:v>40688.0</c:v>
                </c:pt>
                <c:pt idx="1237">
                  <c:v>40687.0</c:v>
                </c:pt>
                <c:pt idx="1238">
                  <c:v>40686.0</c:v>
                </c:pt>
                <c:pt idx="1239">
                  <c:v>40683.0</c:v>
                </c:pt>
                <c:pt idx="1240">
                  <c:v>40682.0</c:v>
                </c:pt>
                <c:pt idx="1241">
                  <c:v>40680.0</c:v>
                </c:pt>
                <c:pt idx="1242">
                  <c:v>40679.0</c:v>
                </c:pt>
                <c:pt idx="1243">
                  <c:v>40676.0</c:v>
                </c:pt>
                <c:pt idx="1244">
                  <c:v>40675.0</c:v>
                </c:pt>
                <c:pt idx="1245">
                  <c:v>40674.0</c:v>
                </c:pt>
                <c:pt idx="1246">
                  <c:v>40673.0</c:v>
                </c:pt>
                <c:pt idx="1247">
                  <c:v>40672.0</c:v>
                </c:pt>
                <c:pt idx="1248">
                  <c:v>40669.0</c:v>
                </c:pt>
                <c:pt idx="1249">
                  <c:v>40668.0</c:v>
                </c:pt>
                <c:pt idx="1250">
                  <c:v>40667.0</c:v>
                </c:pt>
                <c:pt idx="1251">
                  <c:v>40666.0</c:v>
                </c:pt>
                <c:pt idx="1252">
                  <c:v>40662.0</c:v>
                </c:pt>
                <c:pt idx="1253">
                  <c:v>40661.0</c:v>
                </c:pt>
                <c:pt idx="1254">
                  <c:v>40659.0</c:v>
                </c:pt>
                <c:pt idx="1255">
                  <c:v>40654.0</c:v>
                </c:pt>
                <c:pt idx="1256">
                  <c:v>40653.0</c:v>
                </c:pt>
                <c:pt idx="1257">
                  <c:v>40652.0</c:v>
                </c:pt>
                <c:pt idx="1258">
                  <c:v>40651.0</c:v>
                </c:pt>
                <c:pt idx="1259">
                  <c:v>40648.0</c:v>
                </c:pt>
                <c:pt idx="1260">
                  <c:v>40647.0</c:v>
                </c:pt>
                <c:pt idx="1261">
                  <c:v>40646.0</c:v>
                </c:pt>
                <c:pt idx="1262">
                  <c:v>40645.0</c:v>
                </c:pt>
                <c:pt idx="1263">
                  <c:v>40644.0</c:v>
                </c:pt>
                <c:pt idx="1264">
                  <c:v>40641.0</c:v>
                </c:pt>
                <c:pt idx="1265">
                  <c:v>40640.0</c:v>
                </c:pt>
                <c:pt idx="1266">
                  <c:v>40639.0</c:v>
                </c:pt>
                <c:pt idx="1267">
                  <c:v>40638.0</c:v>
                </c:pt>
                <c:pt idx="1268">
                  <c:v>40637.0</c:v>
                </c:pt>
                <c:pt idx="1269">
                  <c:v>40634.0</c:v>
                </c:pt>
                <c:pt idx="1270">
                  <c:v>40633.0</c:v>
                </c:pt>
                <c:pt idx="1271">
                  <c:v>40632.0</c:v>
                </c:pt>
                <c:pt idx="1272">
                  <c:v>40631.0</c:v>
                </c:pt>
                <c:pt idx="1273">
                  <c:v>40630.0</c:v>
                </c:pt>
                <c:pt idx="1274">
                  <c:v>40627.0</c:v>
                </c:pt>
                <c:pt idx="1275">
                  <c:v>40626.0</c:v>
                </c:pt>
                <c:pt idx="1276">
                  <c:v>40625.0</c:v>
                </c:pt>
                <c:pt idx="1277">
                  <c:v>40624.0</c:v>
                </c:pt>
                <c:pt idx="1278">
                  <c:v>40620.0</c:v>
                </c:pt>
                <c:pt idx="1279">
                  <c:v>40619.0</c:v>
                </c:pt>
                <c:pt idx="1280">
                  <c:v>40618.0</c:v>
                </c:pt>
                <c:pt idx="1281">
                  <c:v>40617.0</c:v>
                </c:pt>
                <c:pt idx="1282">
                  <c:v>40616.0</c:v>
                </c:pt>
                <c:pt idx="1283">
                  <c:v>40613.0</c:v>
                </c:pt>
                <c:pt idx="1284">
                  <c:v>40612.0</c:v>
                </c:pt>
                <c:pt idx="1285">
                  <c:v>40611.0</c:v>
                </c:pt>
                <c:pt idx="1286">
                  <c:v>40610.0</c:v>
                </c:pt>
                <c:pt idx="1287">
                  <c:v>40609.0</c:v>
                </c:pt>
                <c:pt idx="1288">
                  <c:v>40606.0</c:v>
                </c:pt>
                <c:pt idx="1289">
                  <c:v>40605.0</c:v>
                </c:pt>
                <c:pt idx="1290">
                  <c:v>40604.0</c:v>
                </c:pt>
                <c:pt idx="1291">
                  <c:v>40603.0</c:v>
                </c:pt>
                <c:pt idx="1292">
                  <c:v>40602.0</c:v>
                </c:pt>
                <c:pt idx="1293">
                  <c:v>40599.0</c:v>
                </c:pt>
                <c:pt idx="1294">
                  <c:v>40598.0</c:v>
                </c:pt>
                <c:pt idx="1295">
                  <c:v>40597.0</c:v>
                </c:pt>
                <c:pt idx="1296">
                  <c:v>40596.0</c:v>
                </c:pt>
                <c:pt idx="1297">
                  <c:v>40595.0</c:v>
                </c:pt>
                <c:pt idx="1298">
                  <c:v>40592.0</c:v>
                </c:pt>
                <c:pt idx="1299">
                  <c:v>40591.0</c:v>
                </c:pt>
                <c:pt idx="1300">
                  <c:v>40590.0</c:v>
                </c:pt>
                <c:pt idx="1301">
                  <c:v>40589.0</c:v>
                </c:pt>
                <c:pt idx="1302">
                  <c:v>40588.0</c:v>
                </c:pt>
                <c:pt idx="1303">
                  <c:v>40585.0</c:v>
                </c:pt>
                <c:pt idx="1304">
                  <c:v>40584.0</c:v>
                </c:pt>
                <c:pt idx="1305">
                  <c:v>40583.0</c:v>
                </c:pt>
                <c:pt idx="1306">
                  <c:v>40582.0</c:v>
                </c:pt>
                <c:pt idx="1307">
                  <c:v>40581.0</c:v>
                </c:pt>
                <c:pt idx="1308">
                  <c:v>40578.0</c:v>
                </c:pt>
                <c:pt idx="1309">
                  <c:v>40577.0</c:v>
                </c:pt>
                <c:pt idx="1310">
                  <c:v>40576.0</c:v>
                </c:pt>
                <c:pt idx="1311">
                  <c:v>40575.0</c:v>
                </c:pt>
                <c:pt idx="1312">
                  <c:v>40574.0</c:v>
                </c:pt>
                <c:pt idx="1313">
                  <c:v>40571.0</c:v>
                </c:pt>
                <c:pt idx="1314">
                  <c:v>40570.0</c:v>
                </c:pt>
                <c:pt idx="1315">
                  <c:v>40569.0</c:v>
                </c:pt>
                <c:pt idx="1316">
                  <c:v>40568.0</c:v>
                </c:pt>
                <c:pt idx="1317">
                  <c:v>40567.0</c:v>
                </c:pt>
                <c:pt idx="1318">
                  <c:v>40564.0</c:v>
                </c:pt>
                <c:pt idx="1319">
                  <c:v>40563.0</c:v>
                </c:pt>
                <c:pt idx="1320">
                  <c:v>40562.0</c:v>
                </c:pt>
                <c:pt idx="1321">
                  <c:v>40561.0</c:v>
                </c:pt>
                <c:pt idx="1322">
                  <c:v>40560.0</c:v>
                </c:pt>
                <c:pt idx="1323">
                  <c:v>40557.0</c:v>
                </c:pt>
                <c:pt idx="1324">
                  <c:v>40556.0</c:v>
                </c:pt>
                <c:pt idx="1325">
                  <c:v>40555.0</c:v>
                </c:pt>
                <c:pt idx="1326">
                  <c:v>40554.0</c:v>
                </c:pt>
                <c:pt idx="1327">
                  <c:v>40553.0</c:v>
                </c:pt>
                <c:pt idx="1328">
                  <c:v>40550.0</c:v>
                </c:pt>
                <c:pt idx="1329">
                  <c:v>40549.0</c:v>
                </c:pt>
                <c:pt idx="1330">
                  <c:v>40548.0</c:v>
                </c:pt>
                <c:pt idx="1331">
                  <c:v>40547.0</c:v>
                </c:pt>
                <c:pt idx="1332">
                  <c:v>40546.0</c:v>
                </c:pt>
                <c:pt idx="1333">
                  <c:v>40543.0</c:v>
                </c:pt>
                <c:pt idx="1334">
                  <c:v>40542.0</c:v>
                </c:pt>
                <c:pt idx="1335">
                  <c:v>40541.0</c:v>
                </c:pt>
                <c:pt idx="1336">
                  <c:v>40540.0</c:v>
                </c:pt>
                <c:pt idx="1337">
                  <c:v>40536.0</c:v>
                </c:pt>
                <c:pt idx="1338">
                  <c:v>40535.0</c:v>
                </c:pt>
                <c:pt idx="1339">
                  <c:v>40534.0</c:v>
                </c:pt>
                <c:pt idx="1340">
                  <c:v>40533.0</c:v>
                </c:pt>
                <c:pt idx="1341">
                  <c:v>40532.0</c:v>
                </c:pt>
                <c:pt idx="1342">
                  <c:v>40529.0</c:v>
                </c:pt>
                <c:pt idx="1343">
                  <c:v>40527.0</c:v>
                </c:pt>
                <c:pt idx="1344">
                  <c:v>40526.0</c:v>
                </c:pt>
                <c:pt idx="1345">
                  <c:v>40525.0</c:v>
                </c:pt>
                <c:pt idx="1346">
                  <c:v>40522.0</c:v>
                </c:pt>
                <c:pt idx="1347">
                  <c:v>40521.0</c:v>
                </c:pt>
                <c:pt idx="1348">
                  <c:v>40520.0</c:v>
                </c:pt>
                <c:pt idx="1349">
                  <c:v>40519.0</c:v>
                </c:pt>
                <c:pt idx="1350">
                  <c:v>40518.0</c:v>
                </c:pt>
                <c:pt idx="1351">
                  <c:v>40515.0</c:v>
                </c:pt>
                <c:pt idx="1352">
                  <c:v>40514.0</c:v>
                </c:pt>
                <c:pt idx="1353">
                  <c:v>40513.0</c:v>
                </c:pt>
                <c:pt idx="1354">
                  <c:v>40512.0</c:v>
                </c:pt>
                <c:pt idx="1355">
                  <c:v>40511.0</c:v>
                </c:pt>
                <c:pt idx="1356">
                  <c:v>40508.0</c:v>
                </c:pt>
                <c:pt idx="1357">
                  <c:v>40507.0</c:v>
                </c:pt>
                <c:pt idx="1358">
                  <c:v>40506.0</c:v>
                </c:pt>
                <c:pt idx="1359">
                  <c:v>40505.0</c:v>
                </c:pt>
                <c:pt idx="1360">
                  <c:v>40504.0</c:v>
                </c:pt>
                <c:pt idx="1361">
                  <c:v>40501.0</c:v>
                </c:pt>
                <c:pt idx="1362">
                  <c:v>40500.0</c:v>
                </c:pt>
                <c:pt idx="1363">
                  <c:v>40499.0</c:v>
                </c:pt>
                <c:pt idx="1364">
                  <c:v>40498.0</c:v>
                </c:pt>
                <c:pt idx="1365">
                  <c:v>40497.0</c:v>
                </c:pt>
                <c:pt idx="1366">
                  <c:v>40494.0</c:v>
                </c:pt>
                <c:pt idx="1367">
                  <c:v>40493.0</c:v>
                </c:pt>
                <c:pt idx="1368">
                  <c:v>40492.0</c:v>
                </c:pt>
                <c:pt idx="1369">
                  <c:v>40491.0</c:v>
                </c:pt>
                <c:pt idx="1370">
                  <c:v>40490.0</c:v>
                </c:pt>
                <c:pt idx="1371">
                  <c:v>40487.0</c:v>
                </c:pt>
                <c:pt idx="1372">
                  <c:v>40486.0</c:v>
                </c:pt>
                <c:pt idx="1373">
                  <c:v>40485.0</c:v>
                </c:pt>
                <c:pt idx="1374">
                  <c:v>40484.0</c:v>
                </c:pt>
                <c:pt idx="1375">
                  <c:v>40483.0</c:v>
                </c:pt>
                <c:pt idx="1376">
                  <c:v>40480.0</c:v>
                </c:pt>
                <c:pt idx="1377">
                  <c:v>40479.0</c:v>
                </c:pt>
                <c:pt idx="1378">
                  <c:v>40478.0</c:v>
                </c:pt>
                <c:pt idx="1379">
                  <c:v>40477.0</c:v>
                </c:pt>
                <c:pt idx="1380">
                  <c:v>40476.0</c:v>
                </c:pt>
                <c:pt idx="1381">
                  <c:v>40473.0</c:v>
                </c:pt>
                <c:pt idx="1382">
                  <c:v>40472.0</c:v>
                </c:pt>
                <c:pt idx="1383">
                  <c:v>40471.0</c:v>
                </c:pt>
                <c:pt idx="1384">
                  <c:v>40470.0</c:v>
                </c:pt>
                <c:pt idx="1385">
                  <c:v>40469.0</c:v>
                </c:pt>
                <c:pt idx="1386">
                  <c:v>40466.0</c:v>
                </c:pt>
                <c:pt idx="1387">
                  <c:v>40465.0</c:v>
                </c:pt>
                <c:pt idx="1388">
                  <c:v>40464.0</c:v>
                </c:pt>
                <c:pt idx="1389">
                  <c:v>40463.0</c:v>
                </c:pt>
                <c:pt idx="1390">
                  <c:v>40462.0</c:v>
                </c:pt>
                <c:pt idx="1391">
                  <c:v>40459.0</c:v>
                </c:pt>
                <c:pt idx="1392">
                  <c:v>40458.0</c:v>
                </c:pt>
                <c:pt idx="1393">
                  <c:v>40457.0</c:v>
                </c:pt>
                <c:pt idx="1394">
                  <c:v>40456.0</c:v>
                </c:pt>
                <c:pt idx="1395">
                  <c:v>40455.0</c:v>
                </c:pt>
                <c:pt idx="1396">
                  <c:v>40452.0</c:v>
                </c:pt>
                <c:pt idx="1397">
                  <c:v>40451.0</c:v>
                </c:pt>
                <c:pt idx="1398">
                  <c:v>40450.0</c:v>
                </c:pt>
                <c:pt idx="1399">
                  <c:v>40449.0</c:v>
                </c:pt>
                <c:pt idx="1400">
                  <c:v>40448.0</c:v>
                </c:pt>
                <c:pt idx="1401">
                  <c:v>40444.0</c:v>
                </c:pt>
                <c:pt idx="1402">
                  <c:v>40443.0</c:v>
                </c:pt>
                <c:pt idx="1403">
                  <c:v>40442.0</c:v>
                </c:pt>
                <c:pt idx="1404">
                  <c:v>40441.0</c:v>
                </c:pt>
                <c:pt idx="1405">
                  <c:v>40438.0</c:v>
                </c:pt>
                <c:pt idx="1406">
                  <c:v>40437.0</c:v>
                </c:pt>
                <c:pt idx="1407">
                  <c:v>40436.0</c:v>
                </c:pt>
                <c:pt idx="1408">
                  <c:v>40435.0</c:v>
                </c:pt>
                <c:pt idx="1409">
                  <c:v>40434.0</c:v>
                </c:pt>
                <c:pt idx="1410">
                  <c:v>40431.0</c:v>
                </c:pt>
                <c:pt idx="1411">
                  <c:v>40430.0</c:v>
                </c:pt>
                <c:pt idx="1412">
                  <c:v>40429.0</c:v>
                </c:pt>
                <c:pt idx="1413">
                  <c:v>40428.0</c:v>
                </c:pt>
                <c:pt idx="1414">
                  <c:v>40427.0</c:v>
                </c:pt>
                <c:pt idx="1415">
                  <c:v>40424.0</c:v>
                </c:pt>
                <c:pt idx="1416">
                  <c:v>40423.0</c:v>
                </c:pt>
                <c:pt idx="1417">
                  <c:v>40422.0</c:v>
                </c:pt>
                <c:pt idx="1418">
                  <c:v>40421.0</c:v>
                </c:pt>
                <c:pt idx="1419">
                  <c:v>40420.0</c:v>
                </c:pt>
                <c:pt idx="1420">
                  <c:v>40417.0</c:v>
                </c:pt>
                <c:pt idx="1421">
                  <c:v>40416.0</c:v>
                </c:pt>
                <c:pt idx="1422">
                  <c:v>40415.0</c:v>
                </c:pt>
                <c:pt idx="1423">
                  <c:v>40414.0</c:v>
                </c:pt>
                <c:pt idx="1424">
                  <c:v>40413.0</c:v>
                </c:pt>
                <c:pt idx="1425">
                  <c:v>40410.0</c:v>
                </c:pt>
                <c:pt idx="1426">
                  <c:v>40409.0</c:v>
                </c:pt>
                <c:pt idx="1427">
                  <c:v>40408.0</c:v>
                </c:pt>
                <c:pt idx="1428">
                  <c:v>40407.0</c:v>
                </c:pt>
                <c:pt idx="1429">
                  <c:v>40406.0</c:v>
                </c:pt>
                <c:pt idx="1430">
                  <c:v>40403.0</c:v>
                </c:pt>
                <c:pt idx="1431">
                  <c:v>40402.0</c:v>
                </c:pt>
                <c:pt idx="1432">
                  <c:v>40401.0</c:v>
                </c:pt>
                <c:pt idx="1433">
                  <c:v>40400.0</c:v>
                </c:pt>
                <c:pt idx="1434">
                  <c:v>40396.0</c:v>
                </c:pt>
                <c:pt idx="1435">
                  <c:v>40395.0</c:v>
                </c:pt>
                <c:pt idx="1436">
                  <c:v>40394.0</c:v>
                </c:pt>
                <c:pt idx="1437">
                  <c:v>40393.0</c:v>
                </c:pt>
                <c:pt idx="1438">
                  <c:v>40392.0</c:v>
                </c:pt>
                <c:pt idx="1439">
                  <c:v>40389.0</c:v>
                </c:pt>
                <c:pt idx="1440">
                  <c:v>40388.0</c:v>
                </c:pt>
                <c:pt idx="1441">
                  <c:v>40387.0</c:v>
                </c:pt>
                <c:pt idx="1442">
                  <c:v>40386.0</c:v>
                </c:pt>
                <c:pt idx="1443">
                  <c:v>40385.0</c:v>
                </c:pt>
                <c:pt idx="1444">
                  <c:v>40382.0</c:v>
                </c:pt>
                <c:pt idx="1445">
                  <c:v>40381.0</c:v>
                </c:pt>
                <c:pt idx="1446">
                  <c:v>40380.0</c:v>
                </c:pt>
                <c:pt idx="1447">
                  <c:v>40379.0</c:v>
                </c:pt>
                <c:pt idx="1448">
                  <c:v>40378.0</c:v>
                </c:pt>
                <c:pt idx="1449">
                  <c:v>40375.0</c:v>
                </c:pt>
                <c:pt idx="1450">
                  <c:v>40374.0</c:v>
                </c:pt>
                <c:pt idx="1451">
                  <c:v>40373.0</c:v>
                </c:pt>
                <c:pt idx="1452">
                  <c:v>40372.0</c:v>
                </c:pt>
                <c:pt idx="1453">
                  <c:v>40371.0</c:v>
                </c:pt>
                <c:pt idx="1454">
                  <c:v>40368.0</c:v>
                </c:pt>
                <c:pt idx="1455">
                  <c:v>40367.0</c:v>
                </c:pt>
                <c:pt idx="1456">
                  <c:v>40366.0</c:v>
                </c:pt>
                <c:pt idx="1457">
                  <c:v>40365.0</c:v>
                </c:pt>
                <c:pt idx="1458">
                  <c:v>40364.0</c:v>
                </c:pt>
                <c:pt idx="1459">
                  <c:v>40361.0</c:v>
                </c:pt>
                <c:pt idx="1460">
                  <c:v>40360.0</c:v>
                </c:pt>
                <c:pt idx="1461">
                  <c:v>40359.0</c:v>
                </c:pt>
                <c:pt idx="1462">
                  <c:v>40358.0</c:v>
                </c:pt>
                <c:pt idx="1463">
                  <c:v>40357.0</c:v>
                </c:pt>
                <c:pt idx="1464">
                  <c:v>40354.0</c:v>
                </c:pt>
                <c:pt idx="1465">
                  <c:v>40353.0</c:v>
                </c:pt>
                <c:pt idx="1466">
                  <c:v>40352.0</c:v>
                </c:pt>
                <c:pt idx="1467">
                  <c:v>40351.0</c:v>
                </c:pt>
                <c:pt idx="1468">
                  <c:v>40350.0</c:v>
                </c:pt>
                <c:pt idx="1469">
                  <c:v>40347.0</c:v>
                </c:pt>
                <c:pt idx="1470">
                  <c:v>40346.0</c:v>
                </c:pt>
                <c:pt idx="1471">
                  <c:v>40344.0</c:v>
                </c:pt>
                <c:pt idx="1472">
                  <c:v>40343.0</c:v>
                </c:pt>
                <c:pt idx="1473">
                  <c:v>40340.0</c:v>
                </c:pt>
                <c:pt idx="1474">
                  <c:v>40339.0</c:v>
                </c:pt>
                <c:pt idx="1475">
                  <c:v>40338.0</c:v>
                </c:pt>
                <c:pt idx="1476">
                  <c:v>40337.0</c:v>
                </c:pt>
                <c:pt idx="1477">
                  <c:v>40336.0</c:v>
                </c:pt>
                <c:pt idx="1478">
                  <c:v>40333.0</c:v>
                </c:pt>
                <c:pt idx="1479">
                  <c:v>40332.0</c:v>
                </c:pt>
                <c:pt idx="1480">
                  <c:v>40331.0</c:v>
                </c:pt>
                <c:pt idx="1481">
                  <c:v>40330.0</c:v>
                </c:pt>
                <c:pt idx="1482">
                  <c:v>40329.0</c:v>
                </c:pt>
                <c:pt idx="1483">
                  <c:v>40326.0</c:v>
                </c:pt>
                <c:pt idx="1484">
                  <c:v>40325.0</c:v>
                </c:pt>
                <c:pt idx="1485">
                  <c:v>40324.0</c:v>
                </c:pt>
                <c:pt idx="1486">
                  <c:v>40323.0</c:v>
                </c:pt>
                <c:pt idx="1487">
                  <c:v>40322.0</c:v>
                </c:pt>
                <c:pt idx="1488">
                  <c:v>40319.0</c:v>
                </c:pt>
                <c:pt idx="1489">
                  <c:v>40318.0</c:v>
                </c:pt>
                <c:pt idx="1490">
                  <c:v>40317.0</c:v>
                </c:pt>
                <c:pt idx="1491">
                  <c:v>40316.0</c:v>
                </c:pt>
                <c:pt idx="1492">
                  <c:v>40315.0</c:v>
                </c:pt>
                <c:pt idx="1493">
                  <c:v>40312.0</c:v>
                </c:pt>
                <c:pt idx="1494">
                  <c:v>40311.0</c:v>
                </c:pt>
                <c:pt idx="1495">
                  <c:v>40310.0</c:v>
                </c:pt>
                <c:pt idx="1496">
                  <c:v>40309.0</c:v>
                </c:pt>
                <c:pt idx="1497">
                  <c:v>40308.0</c:v>
                </c:pt>
                <c:pt idx="1498">
                  <c:v>40305.0</c:v>
                </c:pt>
                <c:pt idx="1499">
                  <c:v>40304.0</c:v>
                </c:pt>
                <c:pt idx="1500">
                  <c:v>40303.0</c:v>
                </c:pt>
                <c:pt idx="1501">
                  <c:v>40302.0</c:v>
                </c:pt>
                <c:pt idx="1503">
                  <c:v>40301.0</c:v>
                </c:pt>
                <c:pt idx="1504">
                  <c:v>40298.0</c:v>
                </c:pt>
                <c:pt idx="1505">
                  <c:v>40297.0</c:v>
                </c:pt>
                <c:pt idx="1506">
                  <c:v>40296.0</c:v>
                </c:pt>
                <c:pt idx="1507">
                  <c:v>40294.0</c:v>
                </c:pt>
                <c:pt idx="1508">
                  <c:v>40291.0</c:v>
                </c:pt>
                <c:pt idx="1509">
                  <c:v>40290.0</c:v>
                </c:pt>
                <c:pt idx="1510">
                  <c:v>40289.0</c:v>
                </c:pt>
                <c:pt idx="1511">
                  <c:v>40288.0</c:v>
                </c:pt>
                <c:pt idx="1512">
                  <c:v>40287.0</c:v>
                </c:pt>
                <c:pt idx="1513">
                  <c:v>40284.0</c:v>
                </c:pt>
                <c:pt idx="1514">
                  <c:v>40283.0</c:v>
                </c:pt>
                <c:pt idx="1515">
                  <c:v>40282.0</c:v>
                </c:pt>
                <c:pt idx="1516">
                  <c:v>40281.0</c:v>
                </c:pt>
                <c:pt idx="1517">
                  <c:v>40280.0</c:v>
                </c:pt>
                <c:pt idx="1518">
                  <c:v>40277.0</c:v>
                </c:pt>
                <c:pt idx="1519">
                  <c:v>40276.0</c:v>
                </c:pt>
                <c:pt idx="1520">
                  <c:v>40275.0</c:v>
                </c:pt>
                <c:pt idx="1521">
                  <c:v>40274.0</c:v>
                </c:pt>
                <c:pt idx="1522">
                  <c:v>40269.0</c:v>
                </c:pt>
                <c:pt idx="1523">
                  <c:v>40268.0</c:v>
                </c:pt>
                <c:pt idx="1524">
                  <c:v>40267.0</c:v>
                </c:pt>
                <c:pt idx="1525">
                  <c:v>40266.0</c:v>
                </c:pt>
                <c:pt idx="1526">
                  <c:v>40263.0</c:v>
                </c:pt>
                <c:pt idx="1527">
                  <c:v>40262.0</c:v>
                </c:pt>
                <c:pt idx="1528">
                  <c:v>40261.0</c:v>
                </c:pt>
                <c:pt idx="1529">
                  <c:v>40260.0</c:v>
                </c:pt>
                <c:pt idx="1530">
                  <c:v>40256.0</c:v>
                </c:pt>
                <c:pt idx="1531">
                  <c:v>40255.0</c:v>
                </c:pt>
                <c:pt idx="1532">
                  <c:v>40254.0</c:v>
                </c:pt>
                <c:pt idx="1533">
                  <c:v>40253.0</c:v>
                </c:pt>
                <c:pt idx="1534">
                  <c:v>40252.0</c:v>
                </c:pt>
                <c:pt idx="1535">
                  <c:v>40249.0</c:v>
                </c:pt>
                <c:pt idx="1536">
                  <c:v>40248.0</c:v>
                </c:pt>
                <c:pt idx="1537">
                  <c:v>40247.0</c:v>
                </c:pt>
                <c:pt idx="1538">
                  <c:v>40246.0</c:v>
                </c:pt>
                <c:pt idx="1539">
                  <c:v>40245.0</c:v>
                </c:pt>
                <c:pt idx="1540">
                  <c:v>40242.0</c:v>
                </c:pt>
                <c:pt idx="1541">
                  <c:v>40241.0</c:v>
                </c:pt>
                <c:pt idx="1542">
                  <c:v>40240.0</c:v>
                </c:pt>
                <c:pt idx="1543">
                  <c:v>40239.0</c:v>
                </c:pt>
                <c:pt idx="1544">
                  <c:v>40238.0</c:v>
                </c:pt>
                <c:pt idx="1545">
                  <c:v>40235.0</c:v>
                </c:pt>
                <c:pt idx="1546">
                  <c:v>40234.0</c:v>
                </c:pt>
                <c:pt idx="1547">
                  <c:v>40233.0</c:v>
                </c:pt>
                <c:pt idx="1548">
                  <c:v>40232.0</c:v>
                </c:pt>
                <c:pt idx="1549">
                  <c:v>40231.0</c:v>
                </c:pt>
                <c:pt idx="1550">
                  <c:v>40228.0</c:v>
                </c:pt>
                <c:pt idx="1551">
                  <c:v>40227.0</c:v>
                </c:pt>
                <c:pt idx="1552">
                  <c:v>40226.0</c:v>
                </c:pt>
                <c:pt idx="1553">
                  <c:v>40225.0</c:v>
                </c:pt>
                <c:pt idx="1554">
                  <c:v>40224.0</c:v>
                </c:pt>
                <c:pt idx="1555">
                  <c:v>40221.0</c:v>
                </c:pt>
                <c:pt idx="1556">
                  <c:v>40220.0</c:v>
                </c:pt>
                <c:pt idx="1557">
                  <c:v>40219.0</c:v>
                </c:pt>
                <c:pt idx="1558">
                  <c:v>40218.0</c:v>
                </c:pt>
                <c:pt idx="1559">
                  <c:v>40217.0</c:v>
                </c:pt>
                <c:pt idx="1560">
                  <c:v>40214.0</c:v>
                </c:pt>
                <c:pt idx="1561">
                  <c:v>40213.0</c:v>
                </c:pt>
                <c:pt idx="1562">
                  <c:v>40212.0</c:v>
                </c:pt>
                <c:pt idx="1563">
                  <c:v>40211.0</c:v>
                </c:pt>
                <c:pt idx="1564">
                  <c:v>40210.0</c:v>
                </c:pt>
                <c:pt idx="1565">
                  <c:v>40207.0</c:v>
                </c:pt>
                <c:pt idx="1566">
                  <c:v>40206.0</c:v>
                </c:pt>
                <c:pt idx="1567">
                  <c:v>40205.0</c:v>
                </c:pt>
                <c:pt idx="1568">
                  <c:v>40204.0</c:v>
                </c:pt>
                <c:pt idx="1569">
                  <c:v>40203.0</c:v>
                </c:pt>
                <c:pt idx="1570">
                  <c:v>40200.0</c:v>
                </c:pt>
                <c:pt idx="1571">
                  <c:v>40199.0</c:v>
                </c:pt>
                <c:pt idx="1572">
                  <c:v>40198.0</c:v>
                </c:pt>
                <c:pt idx="1573">
                  <c:v>40197.0</c:v>
                </c:pt>
                <c:pt idx="1574">
                  <c:v>40196.0</c:v>
                </c:pt>
                <c:pt idx="1575">
                  <c:v>40193.0</c:v>
                </c:pt>
                <c:pt idx="1576">
                  <c:v>40192.0</c:v>
                </c:pt>
                <c:pt idx="1577">
                  <c:v>40191.0</c:v>
                </c:pt>
                <c:pt idx="1578">
                  <c:v>40190.0</c:v>
                </c:pt>
                <c:pt idx="1579">
                  <c:v>40189.0</c:v>
                </c:pt>
                <c:pt idx="1580">
                  <c:v>40186.0</c:v>
                </c:pt>
                <c:pt idx="1581">
                  <c:v>40185.0</c:v>
                </c:pt>
                <c:pt idx="1582">
                  <c:v>40184.0</c:v>
                </c:pt>
                <c:pt idx="1583">
                  <c:v>40183.0</c:v>
                </c:pt>
                <c:pt idx="1584">
                  <c:v>40182.0</c:v>
                </c:pt>
                <c:pt idx="1585">
                  <c:v>40178.0</c:v>
                </c:pt>
                <c:pt idx="1586">
                  <c:v>40177.0</c:v>
                </c:pt>
                <c:pt idx="1587">
                  <c:v>40176.0</c:v>
                </c:pt>
                <c:pt idx="1588">
                  <c:v>40175.0</c:v>
                </c:pt>
                <c:pt idx="1589">
                  <c:v>40171.0</c:v>
                </c:pt>
                <c:pt idx="1590">
                  <c:v>40170.0</c:v>
                </c:pt>
                <c:pt idx="1591">
                  <c:v>40169.0</c:v>
                </c:pt>
                <c:pt idx="1592">
                  <c:v>40168.0</c:v>
                </c:pt>
                <c:pt idx="1593">
                  <c:v>40165.0</c:v>
                </c:pt>
                <c:pt idx="1594">
                  <c:v>40164.0</c:v>
                </c:pt>
                <c:pt idx="1595">
                  <c:v>40162.0</c:v>
                </c:pt>
                <c:pt idx="1596">
                  <c:v>40161.0</c:v>
                </c:pt>
                <c:pt idx="1597">
                  <c:v>40158.0</c:v>
                </c:pt>
                <c:pt idx="1598">
                  <c:v>40157.0</c:v>
                </c:pt>
                <c:pt idx="1599">
                  <c:v>40156.0</c:v>
                </c:pt>
                <c:pt idx="1600">
                  <c:v>40155.0</c:v>
                </c:pt>
                <c:pt idx="1601">
                  <c:v>40154.0</c:v>
                </c:pt>
                <c:pt idx="1602">
                  <c:v>40151.0</c:v>
                </c:pt>
                <c:pt idx="1603">
                  <c:v>40150.0</c:v>
                </c:pt>
                <c:pt idx="1604">
                  <c:v>40149.0</c:v>
                </c:pt>
                <c:pt idx="1605">
                  <c:v>40148.0</c:v>
                </c:pt>
                <c:pt idx="1606">
                  <c:v>40147.0</c:v>
                </c:pt>
                <c:pt idx="1607">
                  <c:v>40144.0</c:v>
                </c:pt>
                <c:pt idx="1608">
                  <c:v>40143.0</c:v>
                </c:pt>
                <c:pt idx="1609">
                  <c:v>40142.0</c:v>
                </c:pt>
                <c:pt idx="1610">
                  <c:v>40141.0</c:v>
                </c:pt>
                <c:pt idx="1611">
                  <c:v>40140.0</c:v>
                </c:pt>
                <c:pt idx="1612">
                  <c:v>40137.0</c:v>
                </c:pt>
                <c:pt idx="1613">
                  <c:v>40136.0</c:v>
                </c:pt>
                <c:pt idx="1614">
                  <c:v>40135.0</c:v>
                </c:pt>
                <c:pt idx="1615">
                  <c:v>40134.0</c:v>
                </c:pt>
                <c:pt idx="1616">
                  <c:v>40133.0</c:v>
                </c:pt>
                <c:pt idx="1617">
                  <c:v>40130.0</c:v>
                </c:pt>
                <c:pt idx="1618">
                  <c:v>40129.0</c:v>
                </c:pt>
                <c:pt idx="1619">
                  <c:v>40128.0</c:v>
                </c:pt>
                <c:pt idx="1620">
                  <c:v>40127.0</c:v>
                </c:pt>
                <c:pt idx="1621">
                  <c:v>40126.0</c:v>
                </c:pt>
                <c:pt idx="1622">
                  <c:v>40123.0</c:v>
                </c:pt>
                <c:pt idx="1623">
                  <c:v>40122.0</c:v>
                </c:pt>
                <c:pt idx="1624">
                  <c:v>40121.0</c:v>
                </c:pt>
                <c:pt idx="1625">
                  <c:v>40120.0</c:v>
                </c:pt>
                <c:pt idx="1626">
                  <c:v>40119.0</c:v>
                </c:pt>
                <c:pt idx="1627">
                  <c:v>40116.0</c:v>
                </c:pt>
                <c:pt idx="1628">
                  <c:v>40115.0</c:v>
                </c:pt>
                <c:pt idx="1629">
                  <c:v>40114.0</c:v>
                </c:pt>
                <c:pt idx="1630">
                  <c:v>40113.0</c:v>
                </c:pt>
                <c:pt idx="1631">
                  <c:v>40112.0</c:v>
                </c:pt>
                <c:pt idx="1632">
                  <c:v>40109.0</c:v>
                </c:pt>
                <c:pt idx="1633">
                  <c:v>40108.0</c:v>
                </c:pt>
                <c:pt idx="1634">
                  <c:v>40107.0</c:v>
                </c:pt>
                <c:pt idx="1635">
                  <c:v>40106.0</c:v>
                </c:pt>
                <c:pt idx="1636">
                  <c:v>40105.0</c:v>
                </c:pt>
                <c:pt idx="1637">
                  <c:v>40102.0</c:v>
                </c:pt>
                <c:pt idx="1638">
                  <c:v>40101.0</c:v>
                </c:pt>
                <c:pt idx="1639">
                  <c:v>40100.0</c:v>
                </c:pt>
                <c:pt idx="1640">
                  <c:v>40099.0</c:v>
                </c:pt>
                <c:pt idx="1641">
                  <c:v>40098.0</c:v>
                </c:pt>
                <c:pt idx="1642">
                  <c:v>40095.0</c:v>
                </c:pt>
                <c:pt idx="1643">
                  <c:v>40094.0</c:v>
                </c:pt>
                <c:pt idx="1644">
                  <c:v>40093.0</c:v>
                </c:pt>
                <c:pt idx="1645">
                  <c:v>40092.0</c:v>
                </c:pt>
                <c:pt idx="1646">
                  <c:v>40091.0</c:v>
                </c:pt>
                <c:pt idx="1647">
                  <c:v>40088.0</c:v>
                </c:pt>
                <c:pt idx="1648">
                  <c:v>40087.0</c:v>
                </c:pt>
                <c:pt idx="1649">
                  <c:v>40086.0</c:v>
                </c:pt>
                <c:pt idx="1650">
                  <c:v>40085.0</c:v>
                </c:pt>
                <c:pt idx="1651">
                  <c:v>40084.0</c:v>
                </c:pt>
                <c:pt idx="1652">
                  <c:v>40081.0</c:v>
                </c:pt>
                <c:pt idx="1653">
                  <c:v>40079.0</c:v>
                </c:pt>
                <c:pt idx="1654">
                  <c:v>40078.0</c:v>
                </c:pt>
                <c:pt idx="1655">
                  <c:v>40077.0</c:v>
                </c:pt>
                <c:pt idx="1656">
                  <c:v>40074.0</c:v>
                </c:pt>
                <c:pt idx="1657">
                  <c:v>40073.0</c:v>
                </c:pt>
                <c:pt idx="1658">
                  <c:v>40072.0</c:v>
                </c:pt>
                <c:pt idx="1659">
                  <c:v>40071.0</c:v>
                </c:pt>
                <c:pt idx="1660">
                  <c:v>40070.0</c:v>
                </c:pt>
                <c:pt idx="1661">
                  <c:v>40067.0</c:v>
                </c:pt>
                <c:pt idx="1662">
                  <c:v>40066.0</c:v>
                </c:pt>
                <c:pt idx="1663">
                  <c:v>40065.0</c:v>
                </c:pt>
                <c:pt idx="1664">
                  <c:v>40064.0</c:v>
                </c:pt>
                <c:pt idx="1665">
                  <c:v>40063.0</c:v>
                </c:pt>
                <c:pt idx="1666">
                  <c:v>40060.0</c:v>
                </c:pt>
                <c:pt idx="1667">
                  <c:v>40059.0</c:v>
                </c:pt>
                <c:pt idx="1668">
                  <c:v>40058.0</c:v>
                </c:pt>
                <c:pt idx="1669">
                  <c:v>40057.0</c:v>
                </c:pt>
                <c:pt idx="1670">
                  <c:v>40056.0</c:v>
                </c:pt>
                <c:pt idx="1671">
                  <c:v>40053.0</c:v>
                </c:pt>
                <c:pt idx="1672">
                  <c:v>40052.0</c:v>
                </c:pt>
                <c:pt idx="1673">
                  <c:v>40051.0</c:v>
                </c:pt>
                <c:pt idx="1674">
                  <c:v>40050.0</c:v>
                </c:pt>
                <c:pt idx="1675">
                  <c:v>40049.0</c:v>
                </c:pt>
                <c:pt idx="1676">
                  <c:v>40046.0</c:v>
                </c:pt>
                <c:pt idx="1677">
                  <c:v>40045.0</c:v>
                </c:pt>
                <c:pt idx="1678">
                  <c:v>40044.0</c:v>
                </c:pt>
                <c:pt idx="1679">
                  <c:v>40043.0</c:v>
                </c:pt>
                <c:pt idx="1680">
                  <c:v>40042.0</c:v>
                </c:pt>
                <c:pt idx="1681">
                  <c:v>40039.0</c:v>
                </c:pt>
                <c:pt idx="1682">
                  <c:v>40038.0</c:v>
                </c:pt>
                <c:pt idx="1683">
                  <c:v>40037.0</c:v>
                </c:pt>
                <c:pt idx="1684">
                  <c:v>40036.0</c:v>
                </c:pt>
                <c:pt idx="1685">
                  <c:v>40032.0</c:v>
                </c:pt>
                <c:pt idx="1686">
                  <c:v>40031.0</c:v>
                </c:pt>
                <c:pt idx="1687">
                  <c:v>40030.0</c:v>
                </c:pt>
                <c:pt idx="1688">
                  <c:v>40029.0</c:v>
                </c:pt>
                <c:pt idx="1689">
                  <c:v>40028.0</c:v>
                </c:pt>
                <c:pt idx="1690">
                  <c:v>40025.0</c:v>
                </c:pt>
                <c:pt idx="1691">
                  <c:v>40024.0</c:v>
                </c:pt>
                <c:pt idx="1692">
                  <c:v>40023.0</c:v>
                </c:pt>
                <c:pt idx="1693">
                  <c:v>40022.0</c:v>
                </c:pt>
                <c:pt idx="1694">
                  <c:v>40021.0</c:v>
                </c:pt>
                <c:pt idx="1695">
                  <c:v>40018.0</c:v>
                </c:pt>
                <c:pt idx="1696">
                  <c:v>40017.0</c:v>
                </c:pt>
                <c:pt idx="1697">
                  <c:v>40016.0</c:v>
                </c:pt>
                <c:pt idx="1698">
                  <c:v>40015.0</c:v>
                </c:pt>
                <c:pt idx="1699">
                  <c:v>40014.0</c:v>
                </c:pt>
                <c:pt idx="1700">
                  <c:v>40011.0</c:v>
                </c:pt>
                <c:pt idx="1701">
                  <c:v>40010.0</c:v>
                </c:pt>
                <c:pt idx="1702">
                  <c:v>40009.0</c:v>
                </c:pt>
                <c:pt idx="1703">
                  <c:v>40008.0</c:v>
                </c:pt>
                <c:pt idx="1704">
                  <c:v>40007.0</c:v>
                </c:pt>
                <c:pt idx="1705">
                  <c:v>40004.0</c:v>
                </c:pt>
                <c:pt idx="1706">
                  <c:v>40003.0</c:v>
                </c:pt>
                <c:pt idx="1707">
                  <c:v>40002.0</c:v>
                </c:pt>
                <c:pt idx="1708">
                  <c:v>40001.0</c:v>
                </c:pt>
                <c:pt idx="1709">
                  <c:v>40000.0</c:v>
                </c:pt>
                <c:pt idx="1710">
                  <c:v>39997.0</c:v>
                </c:pt>
                <c:pt idx="1711">
                  <c:v>39996.0</c:v>
                </c:pt>
                <c:pt idx="1712">
                  <c:v>39995.0</c:v>
                </c:pt>
                <c:pt idx="1713">
                  <c:v>39994.0</c:v>
                </c:pt>
                <c:pt idx="1714">
                  <c:v>39993.0</c:v>
                </c:pt>
                <c:pt idx="1715">
                  <c:v>39990.0</c:v>
                </c:pt>
                <c:pt idx="1716">
                  <c:v>39989.0</c:v>
                </c:pt>
                <c:pt idx="1717">
                  <c:v>39988.0</c:v>
                </c:pt>
                <c:pt idx="1718">
                  <c:v>39987.0</c:v>
                </c:pt>
                <c:pt idx="1719">
                  <c:v>39986.0</c:v>
                </c:pt>
                <c:pt idx="1720">
                  <c:v>39983.0</c:v>
                </c:pt>
                <c:pt idx="1721">
                  <c:v>39982.0</c:v>
                </c:pt>
                <c:pt idx="1722">
                  <c:v>39981.0</c:v>
                </c:pt>
                <c:pt idx="1723">
                  <c:v>39979.0</c:v>
                </c:pt>
                <c:pt idx="1724">
                  <c:v>39976.0</c:v>
                </c:pt>
                <c:pt idx="1725">
                  <c:v>39975.0</c:v>
                </c:pt>
                <c:pt idx="1726">
                  <c:v>39974.0</c:v>
                </c:pt>
                <c:pt idx="1727">
                  <c:v>39973.0</c:v>
                </c:pt>
                <c:pt idx="1728">
                  <c:v>39972.0</c:v>
                </c:pt>
                <c:pt idx="1729">
                  <c:v>39969.0</c:v>
                </c:pt>
                <c:pt idx="1730">
                  <c:v>39968.0</c:v>
                </c:pt>
                <c:pt idx="1731">
                  <c:v>39967.0</c:v>
                </c:pt>
                <c:pt idx="1732">
                  <c:v>39966.0</c:v>
                </c:pt>
                <c:pt idx="1733">
                  <c:v>39965.0</c:v>
                </c:pt>
                <c:pt idx="1734">
                  <c:v>39962.0</c:v>
                </c:pt>
                <c:pt idx="1735">
                  <c:v>39961.0</c:v>
                </c:pt>
                <c:pt idx="1736">
                  <c:v>39960.0</c:v>
                </c:pt>
                <c:pt idx="1737">
                  <c:v>39959.0</c:v>
                </c:pt>
                <c:pt idx="1738">
                  <c:v>39958.0</c:v>
                </c:pt>
                <c:pt idx="1739">
                  <c:v>39955.0</c:v>
                </c:pt>
                <c:pt idx="1740">
                  <c:v>39954.0</c:v>
                </c:pt>
                <c:pt idx="1741">
                  <c:v>39953.0</c:v>
                </c:pt>
                <c:pt idx="1742">
                  <c:v>39952.0</c:v>
                </c:pt>
                <c:pt idx="1743">
                  <c:v>39951.0</c:v>
                </c:pt>
                <c:pt idx="1744">
                  <c:v>39948.0</c:v>
                </c:pt>
                <c:pt idx="1745">
                  <c:v>39947.0</c:v>
                </c:pt>
                <c:pt idx="1746">
                  <c:v>39946.0</c:v>
                </c:pt>
                <c:pt idx="1747">
                  <c:v>39945.0</c:v>
                </c:pt>
                <c:pt idx="1748">
                  <c:v>39944.0</c:v>
                </c:pt>
                <c:pt idx="1749">
                  <c:v>39941.0</c:v>
                </c:pt>
                <c:pt idx="1750">
                  <c:v>39940.0</c:v>
                </c:pt>
                <c:pt idx="1751">
                  <c:v>39939.0</c:v>
                </c:pt>
                <c:pt idx="1752">
                  <c:v>39938.0</c:v>
                </c:pt>
                <c:pt idx="1753">
                  <c:v>39937.0</c:v>
                </c:pt>
                <c:pt idx="1754">
                  <c:v>39933.0</c:v>
                </c:pt>
                <c:pt idx="1755">
                  <c:v>39932.0</c:v>
                </c:pt>
                <c:pt idx="1756">
                  <c:v>39931.0</c:v>
                </c:pt>
                <c:pt idx="1757">
                  <c:v>39927.0</c:v>
                </c:pt>
                <c:pt idx="1758">
                  <c:v>39926.0</c:v>
                </c:pt>
                <c:pt idx="1759">
                  <c:v>39924.0</c:v>
                </c:pt>
                <c:pt idx="1760">
                  <c:v>39923.0</c:v>
                </c:pt>
                <c:pt idx="1761">
                  <c:v>39920.0</c:v>
                </c:pt>
                <c:pt idx="1762">
                  <c:v>39919.0</c:v>
                </c:pt>
                <c:pt idx="1763">
                  <c:v>39918.0</c:v>
                </c:pt>
                <c:pt idx="1764">
                  <c:v>39917.0</c:v>
                </c:pt>
                <c:pt idx="1765">
                  <c:v>39912.0</c:v>
                </c:pt>
                <c:pt idx="1766">
                  <c:v>39911.0</c:v>
                </c:pt>
                <c:pt idx="1767">
                  <c:v>39910.0</c:v>
                </c:pt>
                <c:pt idx="1768">
                  <c:v>39909.0</c:v>
                </c:pt>
                <c:pt idx="1769">
                  <c:v>39906.0</c:v>
                </c:pt>
                <c:pt idx="1770">
                  <c:v>39905.0</c:v>
                </c:pt>
                <c:pt idx="1771">
                  <c:v>39904.0</c:v>
                </c:pt>
                <c:pt idx="1772">
                  <c:v>39903.0</c:v>
                </c:pt>
                <c:pt idx="1773">
                  <c:v>39902.0</c:v>
                </c:pt>
                <c:pt idx="1774">
                  <c:v>39899.0</c:v>
                </c:pt>
                <c:pt idx="1775">
                  <c:v>39898.0</c:v>
                </c:pt>
                <c:pt idx="1776">
                  <c:v>39897.0</c:v>
                </c:pt>
                <c:pt idx="1777">
                  <c:v>39896.0</c:v>
                </c:pt>
                <c:pt idx="1778">
                  <c:v>39895.0</c:v>
                </c:pt>
                <c:pt idx="1779">
                  <c:v>39892.0</c:v>
                </c:pt>
                <c:pt idx="1780">
                  <c:v>39891.0</c:v>
                </c:pt>
                <c:pt idx="1781">
                  <c:v>39890.0</c:v>
                </c:pt>
                <c:pt idx="1782">
                  <c:v>39889.0</c:v>
                </c:pt>
                <c:pt idx="1783">
                  <c:v>39888.0</c:v>
                </c:pt>
                <c:pt idx="1784">
                  <c:v>39885.0</c:v>
                </c:pt>
                <c:pt idx="1785">
                  <c:v>39884.0</c:v>
                </c:pt>
                <c:pt idx="1786">
                  <c:v>39883.0</c:v>
                </c:pt>
                <c:pt idx="1787">
                  <c:v>39882.0</c:v>
                </c:pt>
                <c:pt idx="1788">
                  <c:v>39881.0</c:v>
                </c:pt>
                <c:pt idx="1789">
                  <c:v>39878.0</c:v>
                </c:pt>
                <c:pt idx="1790">
                  <c:v>39877.0</c:v>
                </c:pt>
                <c:pt idx="1791">
                  <c:v>39876.0</c:v>
                </c:pt>
                <c:pt idx="1792">
                  <c:v>39875.0</c:v>
                </c:pt>
                <c:pt idx="1793">
                  <c:v>39874.0</c:v>
                </c:pt>
                <c:pt idx="1794">
                  <c:v>39871.0</c:v>
                </c:pt>
                <c:pt idx="1795">
                  <c:v>39870.0</c:v>
                </c:pt>
                <c:pt idx="1796">
                  <c:v>39869.0</c:v>
                </c:pt>
                <c:pt idx="1797">
                  <c:v>39868.0</c:v>
                </c:pt>
                <c:pt idx="1798">
                  <c:v>39867.0</c:v>
                </c:pt>
                <c:pt idx="1799">
                  <c:v>39864.0</c:v>
                </c:pt>
                <c:pt idx="1800">
                  <c:v>39863.0</c:v>
                </c:pt>
                <c:pt idx="1801">
                  <c:v>39862.0</c:v>
                </c:pt>
                <c:pt idx="1802">
                  <c:v>39861.0</c:v>
                </c:pt>
                <c:pt idx="1803">
                  <c:v>39860.0</c:v>
                </c:pt>
                <c:pt idx="1804">
                  <c:v>39857.0</c:v>
                </c:pt>
                <c:pt idx="1805">
                  <c:v>39856.0</c:v>
                </c:pt>
                <c:pt idx="1806">
                  <c:v>39855.0</c:v>
                </c:pt>
                <c:pt idx="1807">
                  <c:v>39854.0</c:v>
                </c:pt>
                <c:pt idx="1808">
                  <c:v>39853.0</c:v>
                </c:pt>
                <c:pt idx="1809">
                  <c:v>39850.0</c:v>
                </c:pt>
                <c:pt idx="1810">
                  <c:v>39849.0</c:v>
                </c:pt>
                <c:pt idx="1811">
                  <c:v>39848.0</c:v>
                </c:pt>
                <c:pt idx="1812">
                  <c:v>39847.0</c:v>
                </c:pt>
                <c:pt idx="1813">
                  <c:v>39846.0</c:v>
                </c:pt>
                <c:pt idx="1814">
                  <c:v>39843.0</c:v>
                </c:pt>
                <c:pt idx="1815">
                  <c:v>39842.0</c:v>
                </c:pt>
                <c:pt idx="1816">
                  <c:v>39841.0</c:v>
                </c:pt>
                <c:pt idx="1817">
                  <c:v>39840.0</c:v>
                </c:pt>
                <c:pt idx="1818">
                  <c:v>39839.0</c:v>
                </c:pt>
                <c:pt idx="1819">
                  <c:v>39836.0</c:v>
                </c:pt>
                <c:pt idx="1820">
                  <c:v>39835.0</c:v>
                </c:pt>
                <c:pt idx="1821">
                  <c:v>39834.0</c:v>
                </c:pt>
                <c:pt idx="1822">
                  <c:v>39833.0</c:v>
                </c:pt>
                <c:pt idx="1823">
                  <c:v>39832.0</c:v>
                </c:pt>
                <c:pt idx="1824">
                  <c:v>39829.0</c:v>
                </c:pt>
                <c:pt idx="1825">
                  <c:v>39828.0</c:v>
                </c:pt>
                <c:pt idx="1826">
                  <c:v>39827.0</c:v>
                </c:pt>
                <c:pt idx="1827">
                  <c:v>39826.0</c:v>
                </c:pt>
                <c:pt idx="1828">
                  <c:v>39825.0</c:v>
                </c:pt>
                <c:pt idx="1829">
                  <c:v>39822.0</c:v>
                </c:pt>
                <c:pt idx="1830">
                  <c:v>39821.0</c:v>
                </c:pt>
                <c:pt idx="1831">
                  <c:v>39820.0</c:v>
                </c:pt>
                <c:pt idx="1832">
                  <c:v>39819.0</c:v>
                </c:pt>
                <c:pt idx="1833">
                  <c:v>39818.0</c:v>
                </c:pt>
                <c:pt idx="1834">
                  <c:v>39815.0</c:v>
                </c:pt>
                <c:pt idx="1835">
                  <c:v>39813.0</c:v>
                </c:pt>
                <c:pt idx="1836">
                  <c:v>39812.0</c:v>
                </c:pt>
                <c:pt idx="1837">
                  <c:v>39811.0</c:v>
                </c:pt>
                <c:pt idx="1838">
                  <c:v>39806.0</c:v>
                </c:pt>
                <c:pt idx="1839">
                  <c:v>39805.0</c:v>
                </c:pt>
                <c:pt idx="1840">
                  <c:v>39804.0</c:v>
                </c:pt>
                <c:pt idx="1841">
                  <c:v>39801.0</c:v>
                </c:pt>
                <c:pt idx="1842">
                  <c:v>39800.0</c:v>
                </c:pt>
                <c:pt idx="1843">
                  <c:v>39799.0</c:v>
                </c:pt>
                <c:pt idx="1844">
                  <c:v>39797.0</c:v>
                </c:pt>
                <c:pt idx="1845">
                  <c:v>39794.0</c:v>
                </c:pt>
                <c:pt idx="1846">
                  <c:v>39793.0</c:v>
                </c:pt>
                <c:pt idx="1847">
                  <c:v>39792.0</c:v>
                </c:pt>
                <c:pt idx="1848">
                  <c:v>39791.0</c:v>
                </c:pt>
                <c:pt idx="1849">
                  <c:v>39790.0</c:v>
                </c:pt>
                <c:pt idx="1850">
                  <c:v>39787.0</c:v>
                </c:pt>
                <c:pt idx="1851">
                  <c:v>39786.0</c:v>
                </c:pt>
                <c:pt idx="1852">
                  <c:v>39785.0</c:v>
                </c:pt>
                <c:pt idx="1853">
                  <c:v>39784.0</c:v>
                </c:pt>
                <c:pt idx="1854">
                  <c:v>39783.0</c:v>
                </c:pt>
                <c:pt idx="1855">
                  <c:v>39780.0</c:v>
                </c:pt>
                <c:pt idx="1856">
                  <c:v>39779.0</c:v>
                </c:pt>
                <c:pt idx="1857">
                  <c:v>39778.0</c:v>
                </c:pt>
                <c:pt idx="1858">
                  <c:v>39777.0</c:v>
                </c:pt>
                <c:pt idx="1859">
                  <c:v>39776.0</c:v>
                </c:pt>
                <c:pt idx="1860">
                  <c:v>39773.0</c:v>
                </c:pt>
                <c:pt idx="1861">
                  <c:v>39772.0</c:v>
                </c:pt>
                <c:pt idx="1862">
                  <c:v>39771.0</c:v>
                </c:pt>
                <c:pt idx="1863">
                  <c:v>39770.0</c:v>
                </c:pt>
                <c:pt idx="1864">
                  <c:v>39769.0</c:v>
                </c:pt>
                <c:pt idx="1865">
                  <c:v>39766.0</c:v>
                </c:pt>
                <c:pt idx="1866">
                  <c:v>39765.0</c:v>
                </c:pt>
                <c:pt idx="1867">
                  <c:v>39764.0</c:v>
                </c:pt>
                <c:pt idx="1868">
                  <c:v>39763.0</c:v>
                </c:pt>
                <c:pt idx="1869">
                  <c:v>39762.0</c:v>
                </c:pt>
                <c:pt idx="1870">
                  <c:v>39759.0</c:v>
                </c:pt>
                <c:pt idx="1871">
                  <c:v>39758.0</c:v>
                </c:pt>
                <c:pt idx="1872">
                  <c:v>39757.0</c:v>
                </c:pt>
                <c:pt idx="1873">
                  <c:v>39756.0</c:v>
                </c:pt>
                <c:pt idx="1874">
                  <c:v>39755.0</c:v>
                </c:pt>
                <c:pt idx="1875">
                  <c:v>39752.0</c:v>
                </c:pt>
                <c:pt idx="1876">
                  <c:v>39751.0</c:v>
                </c:pt>
                <c:pt idx="1877">
                  <c:v>39750.0</c:v>
                </c:pt>
                <c:pt idx="1878">
                  <c:v>39749.0</c:v>
                </c:pt>
                <c:pt idx="1879">
                  <c:v>39748.0</c:v>
                </c:pt>
                <c:pt idx="1880">
                  <c:v>39745.0</c:v>
                </c:pt>
                <c:pt idx="1881">
                  <c:v>39744.0</c:v>
                </c:pt>
                <c:pt idx="1882">
                  <c:v>39743.0</c:v>
                </c:pt>
                <c:pt idx="1883">
                  <c:v>39742.0</c:v>
                </c:pt>
                <c:pt idx="1884">
                  <c:v>39741.0</c:v>
                </c:pt>
                <c:pt idx="1885">
                  <c:v>39738.0</c:v>
                </c:pt>
                <c:pt idx="1886">
                  <c:v>39737.0</c:v>
                </c:pt>
                <c:pt idx="1887">
                  <c:v>39736.0</c:v>
                </c:pt>
                <c:pt idx="1888">
                  <c:v>39735.0</c:v>
                </c:pt>
                <c:pt idx="1889">
                  <c:v>39734.0</c:v>
                </c:pt>
                <c:pt idx="1890">
                  <c:v>39731.0</c:v>
                </c:pt>
                <c:pt idx="1891">
                  <c:v>39730.0</c:v>
                </c:pt>
                <c:pt idx="1892">
                  <c:v>39729.0</c:v>
                </c:pt>
                <c:pt idx="1893">
                  <c:v>39728.0</c:v>
                </c:pt>
                <c:pt idx="1894">
                  <c:v>39727.0</c:v>
                </c:pt>
                <c:pt idx="1895">
                  <c:v>39724.0</c:v>
                </c:pt>
                <c:pt idx="1896">
                  <c:v>39723.0</c:v>
                </c:pt>
                <c:pt idx="1897">
                  <c:v>39722.0</c:v>
                </c:pt>
                <c:pt idx="1898">
                  <c:v>39721.0</c:v>
                </c:pt>
                <c:pt idx="1899">
                  <c:v>39720.0</c:v>
                </c:pt>
                <c:pt idx="1900">
                  <c:v>39717.0</c:v>
                </c:pt>
                <c:pt idx="1901">
                  <c:v>39716.0</c:v>
                </c:pt>
                <c:pt idx="1902">
                  <c:v>39714.0</c:v>
                </c:pt>
                <c:pt idx="1903">
                  <c:v>39713.0</c:v>
                </c:pt>
                <c:pt idx="1904">
                  <c:v>39710.0</c:v>
                </c:pt>
                <c:pt idx="1905">
                  <c:v>39709.0</c:v>
                </c:pt>
                <c:pt idx="1906">
                  <c:v>39708.0</c:v>
                </c:pt>
                <c:pt idx="1907">
                  <c:v>39707.0</c:v>
                </c:pt>
                <c:pt idx="1908">
                  <c:v>39706.0</c:v>
                </c:pt>
                <c:pt idx="1909">
                  <c:v>39703.0</c:v>
                </c:pt>
                <c:pt idx="1910">
                  <c:v>39702.0</c:v>
                </c:pt>
                <c:pt idx="1911">
                  <c:v>39701.0</c:v>
                </c:pt>
                <c:pt idx="1912">
                  <c:v>39700.0</c:v>
                </c:pt>
                <c:pt idx="1913">
                  <c:v>39699.0</c:v>
                </c:pt>
                <c:pt idx="1914">
                  <c:v>39696.0</c:v>
                </c:pt>
                <c:pt idx="1915">
                  <c:v>39695.0</c:v>
                </c:pt>
                <c:pt idx="1916">
                  <c:v>39694.0</c:v>
                </c:pt>
                <c:pt idx="1917">
                  <c:v>39693.0</c:v>
                </c:pt>
                <c:pt idx="1918">
                  <c:v>39692.0</c:v>
                </c:pt>
                <c:pt idx="1919">
                  <c:v>39689.0</c:v>
                </c:pt>
                <c:pt idx="1920">
                  <c:v>39688.0</c:v>
                </c:pt>
                <c:pt idx="1921">
                  <c:v>39687.0</c:v>
                </c:pt>
                <c:pt idx="1922">
                  <c:v>39686.0</c:v>
                </c:pt>
                <c:pt idx="1923">
                  <c:v>39685.0</c:v>
                </c:pt>
                <c:pt idx="1924">
                  <c:v>39682.0</c:v>
                </c:pt>
                <c:pt idx="1925">
                  <c:v>39681.0</c:v>
                </c:pt>
                <c:pt idx="1926">
                  <c:v>39680.0</c:v>
                </c:pt>
                <c:pt idx="1927">
                  <c:v>39679.0</c:v>
                </c:pt>
                <c:pt idx="1928">
                  <c:v>39678.0</c:v>
                </c:pt>
                <c:pt idx="1929">
                  <c:v>39675.0</c:v>
                </c:pt>
                <c:pt idx="1930">
                  <c:v>39674.0</c:v>
                </c:pt>
                <c:pt idx="1931">
                  <c:v>39673.0</c:v>
                </c:pt>
                <c:pt idx="1932">
                  <c:v>39672.0</c:v>
                </c:pt>
                <c:pt idx="1933">
                  <c:v>39671.0</c:v>
                </c:pt>
                <c:pt idx="1934">
                  <c:v>39668.0</c:v>
                </c:pt>
                <c:pt idx="1935">
                  <c:v>39667.0</c:v>
                </c:pt>
                <c:pt idx="1936">
                  <c:v>39666.0</c:v>
                </c:pt>
                <c:pt idx="1937">
                  <c:v>39665.0</c:v>
                </c:pt>
                <c:pt idx="1938">
                  <c:v>39664.0</c:v>
                </c:pt>
                <c:pt idx="1939">
                  <c:v>39661.0</c:v>
                </c:pt>
                <c:pt idx="1940">
                  <c:v>39660.0</c:v>
                </c:pt>
                <c:pt idx="1941">
                  <c:v>39659.0</c:v>
                </c:pt>
                <c:pt idx="1942">
                  <c:v>39658.0</c:v>
                </c:pt>
                <c:pt idx="1943">
                  <c:v>39657.0</c:v>
                </c:pt>
                <c:pt idx="1944">
                  <c:v>39654.0</c:v>
                </c:pt>
                <c:pt idx="1945">
                  <c:v>39653.0</c:v>
                </c:pt>
                <c:pt idx="1946">
                  <c:v>39652.0</c:v>
                </c:pt>
                <c:pt idx="1947">
                  <c:v>39651.0</c:v>
                </c:pt>
                <c:pt idx="1948">
                  <c:v>39650.0</c:v>
                </c:pt>
                <c:pt idx="1949">
                  <c:v>39647.0</c:v>
                </c:pt>
                <c:pt idx="1950">
                  <c:v>39646.0</c:v>
                </c:pt>
                <c:pt idx="1951">
                  <c:v>39645.0</c:v>
                </c:pt>
                <c:pt idx="1952">
                  <c:v>39644.0</c:v>
                </c:pt>
                <c:pt idx="1953">
                  <c:v>39643.0</c:v>
                </c:pt>
                <c:pt idx="1954">
                  <c:v>39640.0</c:v>
                </c:pt>
                <c:pt idx="1955">
                  <c:v>39639.0</c:v>
                </c:pt>
                <c:pt idx="1956">
                  <c:v>39638.0</c:v>
                </c:pt>
                <c:pt idx="1957">
                  <c:v>39637.0</c:v>
                </c:pt>
                <c:pt idx="1958">
                  <c:v>39636.0</c:v>
                </c:pt>
                <c:pt idx="1959">
                  <c:v>39633.0</c:v>
                </c:pt>
                <c:pt idx="1960">
                  <c:v>39632.0</c:v>
                </c:pt>
                <c:pt idx="1961">
                  <c:v>39631.0</c:v>
                </c:pt>
                <c:pt idx="1962">
                  <c:v>39630.0</c:v>
                </c:pt>
                <c:pt idx="1963">
                  <c:v>39629.0</c:v>
                </c:pt>
                <c:pt idx="1964">
                  <c:v>39626.0</c:v>
                </c:pt>
                <c:pt idx="1965">
                  <c:v>39625.0</c:v>
                </c:pt>
                <c:pt idx="1966">
                  <c:v>39624.0</c:v>
                </c:pt>
                <c:pt idx="1967">
                  <c:v>39623.0</c:v>
                </c:pt>
                <c:pt idx="1968">
                  <c:v>39622.0</c:v>
                </c:pt>
                <c:pt idx="1969">
                  <c:v>39619.0</c:v>
                </c:pt>
                <c:pt idx="1970">
                  <c:v>39618.0</c:v>
                </c:pt>
                <c:pt idx="1971">
                  <c:v>39617.0</c:v>
                </c:pt>
                <c:pt idx="1972">
                  <c:v>39616.0</c:v>
                </c:pt>
                <c:pt idx="1973">
                  <c:v>39612.0</c:v>
                </c:pt>
                <c:pt idx="1974">
                  <c:v>39611.0</c:v>
                </c:pt>
                <c:pt idx="1975">
                  <c:v>39610.0</c:v>
                </c:pt>
                <c:pt idx="1976">
                  <c:v>39609.0</c:v>
                </c:pt>
                <c:pt idx="1977">
                  <c:v>39608.0</c:v>
                </c:pt>
                <c:pt idx="1978">
                  <c:v>39605.0</c:v>
                </c:pt>
                <c:pt idx="1979">
                  <c:v>39604.0</c:v>
                </c:pt>
                <c:pt idx="1980">
                  <c:v>39603.0</c:v>
                </c:pt>
                <c:pt idx="1981">
                  <c:v>39602.0</c:v>
                </c:pt>
                <c:pt idx="1982">
                  <c:v>39601.0</c:v>
                </c:pt>
                <c:pt idx="1983">
                  <c:v>39598.0</c:v>
                </c:pt>
                <c:pt idx="1984">
                  <c:v>39597.0</c:v>
                </c:pt>
                <c:pt idx="1985">
                  <c:v>39596.0</c:v>
                </c:pt>
                <c:pt idx="1986">
                  <c:v>39595.0</c:v>
                </c:pt>
                <c:pt idx="1987">
                  <c:v>39594.0</c:v>
                </c:pt>
                <c:pt idx="1988">
                  <c:v>39591.0</c:v>
                </c:pt>
                <c:pt idx="1989">
                  <c:v>39590.0</c:v>
                </c:pt>
                <c:pt idx="1990">
                  <c:v>39589.0</c:v>
                </c:pt>
                <c:pt idx="1991">
                  <c:v>39588.0</c:v>
                </c:pt>
                <c:pt idx="1992">
                  <c:v>39587.0</c:v>
                </c:pt>
                <c:pt idx="1993">
                  <c:v>39584.0</c:v>
                </c:pt>
                <c:pt idx="1994">
                  <c:v>39583.0</c:v>
                </c:pt>
                <c:pt idx="1995">
                  <c:v>39582.0</c:v>
                </c:pt>
                <c:pt idx="1996">
                  <c:v>39581.0</c:v>
                </c:pt>
                <c:pt idx="1997">
                  <c:v>39580.0</c:v>
                </c:pt>
                <c:pt idx="1998">
                  <c:v>39577.0</c:v>
                </c:pt>
                <c:pt idx="1999">
                  <c:v>39576.0</c:v>
                </c:pt>
                <c:pt idx="2000">
                  <c:v>39575.0</c:v>
                </c:pt>
                <c:pt idx="2001">
                  <c:v>39574.0</c:v>
                </c:pt>
                <c:pt idx="2002">
                  <c:v>39573.0</c:v>
                </c:pt>
                <c:pt idx="2003">
                  <c:v>39568.0</c:v>
                </c:pt>
                <c:pt idx="2004">
                  <c:v>39567.0</c:v>
                </c:pt>
                <c:pt idx="2005">
                  <c:v>39563.0</c:v>
                </c:pt>
                <c:pt idx="2006">
                  <c:v>39562.0</c:v>
                </c:pt>
                <c:pt idx="2007">
                  <c:v>39561.0</c:v>
                </c:pt>
                <c:pt idx="2008">
                  <c:v>39560.0</c:v>
                </c:pt>
                <c:pt idx="2009">
                  <c:v>39559.0</c:v>
                </c:pt>
                <c:pt idx="2010">
                  <c:v>39556.0</c:v>
                </c:pt>
                <c:pt idx="2011">
                  <c:v>39555.0</c:v>
                </c:pt>
                <c:pt idx="2012">
                  <c:v>39554.0</c:v>
                </c:pt>
                <c:pt idx="2013">
                  <c:v>39553.0</c:v>
                </c:pt>
                <c:pt idx="2014">
                  <c:v>39552.0</c:v>
                </c:pt>
                <c:pt idx="2015">
                  <c:v>39549.0</c:v>
                </c:pt>
                <c:pt idx="2016">
                  <c:v>39548.0</c:v>
                </c:pt>
                <c:pt idx="2017">
                  <c:v>39547.0</c:v>
                </c:pt>
                <c:pt idx="2018">
                  <c:v>39546.0</c:v>
                </c:pt>
                <c:pt idx="2019">
                  <c:v>39545.0</c:v>
                </c:pt>
                <c:pt idx="2020">
                  <c:v>39542.0</c:v>
                </c:pt>
                <c:pt idx="2021">
                  <c:v>39541.0</c:v>
                </c:pt>
                <c:pt idx="2022">
                  <c:v>39540.0</c:v>
                </c:pt>
                <c:pt idx="2023">
                  <c:v>39539.0</c:v>
                </c:pt>
                <c:pt idx="2024">
                  <c:v>39538.0</c:v>
                </c:pt>
                <c:pt idx="2025">
                  <c:v>39535.0</c:v>
                </c:pt>
                <c:pt idx="2026">
                  <c:v>39534.0</c:v>
                </c:pt>
                <c:pt idx="2027">
                  <c:v>39533.0</c:v>
                </c:pt>
                <c:pt idx="2028">
                  <c:v>39532.0</c:v>
                </c:pt>
                <c:pt idx="2029">
                  <c:v>39527.0</c:v>
                </c:pt>
                <c:pt idx="2030">
                  <c:v>39526.0</c:v>
                </c:pt>
                <c:pt idx="2031">
                  <c:v>39525.0</c:v>
                </c:pt>
                <c:pt idx="2032">
                  <c:v>39524.0</c:v>
                </c:pt>
                <c:pt idx="2033">
                  <c:v>39521.0</c:v>
                </c:pt>
                <c:pt idx="2034">
                  <c:v>39520.0</c:v>
                </c:pt>
                <c:pt idx="2035">
                  <c:v>39519.0</c:v>
                </c:pt>
                <c:pt idx="2036">
                  <c:v>39518.0</c:v>
                </c:pt>
                <c:pt idx="2037">
                  <c:v>39517.0</c:v>
                </c:pt>
                <c:pt idx="2038">
                  <c:v>39514.0</c:v>
                </c:pt>
                <c:pt idx="2039">
                  <c:v>39513.0</c:v>
                </c:pt>
                <c:pt idx="2040">
                  <c:v>39512.0</c:v>
                </c:pt>
                <c:pt idx="2041">
                  <c:v>39511.0</c:v>
                </c:pt>
                <c:pt idx="2042">
                  <c:v>39510.0</c:v>
                </c:pt>
                <c:pt idx="2043">
                  <c:v>39507.0</c:v>
                </c:pt>
                <c:pt idx="2044">
                  <c:v>39506.0</c:v>
                </c:pt>
                <c:pt idx="2045">
                  <c:v>39505.0</c:v>
                </c:pt>
                <c:pt idx="2046">
                  <c:v>39504.0</c:v>
                </c:pt>
                <c:pt idx="2047">
                  <c:v>39503.0</c:v>
                </c:pt>
                <c:pt idx="2048">
                  <c:v>39500.0</c:v>
                </c:pt>
                <c:pt idx="2049">
                  <c:v>39499.0</c:v>
                </c:pt>
                <c:pt idx="2050">
                  <c:v>39498.0</c:v>
                </c:pt>
                <c:pt idx="2051">
                  <c:v>39497.0</c:v>
                </c:pt>
                <c:pt idx="2052">
                  <c:v>39496.0</c:v>
                </c:pt>
                <c:pt idx="2053">
                  <c:v>39493.0</c:v>
                </c:pt>
                <c:pt idx="2054">
                  <c:v>39492.0</c:v>
                </c:pt>
                <c:pt idx="2055">
                  <c:v>39491.0</c:v>
                </c:pt>
                <c:pt idx="2056">
                  <c:v>39490.0</c:v>
                </c:pt>
                <c:pt idx="2057">
                  <c:v>39489.0</c:v>
                </c:pt>
                <c:pt idx="2058">
                  <c:v>39486.0</c:v>
                </c:pt>
                <c:pt idx="2059">
                  <c:v>39485.0</c:v>
                </c:pt>
                <c:pt idx="2060">
                  <c:v>39484.0</c:v>
                </c:pt>
                <c:pt idx="2061">
                  <c:v>39483.0</c:v>
                </c:pt>
                <c:pt idx="2062">
                  <c:v>39482.0</c:v>
                </c:pt>
                <c:pt idx="2063">
                  <c:v>39479.0</c:v>
                </c:pt>
                <c:pt idx="2064">
                  <c:v>39478.0</c:v>
                </c:pt>
                <c:pt idx="2065">
                  <c:v>39477.0</c:v>
                </c:pt>
                <c:pt idx="2066">
                  <c:v>39476.0</c:v>
                </c:pt>
                <c:pt idx="2067">
                  <c:v>39475.0</c:v>
                </c:pt>
                <c:pt idx="2068">
                  <c:v>39472.0</c:v>
                </c:pt>
                <c:pt idx="2069">
                  <c:v>39471.0</c:v>
                </c:pt>
                <c:pt idx="2070">
                  <c:v>39470.0</c:v>
                </c:pt>
                <c:pt idx="2071">
                  <c:v>39469.0</c:v>
                </c:pt>
                <c:pt idx="2072">
                  <c:v>39468.0</c:v>
                </c:pt>
                <c:pt idx="2073">
                  <c:v>39465.0</c:v>
                </c:pt>
                <c:pt idx="2074">
                  <c:v>39464.0</c:v>
                </c:pt>
                <c:pt idx="2075">
                  <c:v>39463.0</c:v>
                </c:pt>
                <c:pt idx="2076">
                  <c:v>39462.0</c:v>
                </c:pt>
                <c:pt idx="2077">
                  <c:v>39461.0</c:v>
                </c:pt>
                <c:pt idx="2078">
                  <c:v>39458.0</c:v>
                </c:pt>
                <c:pt idx="2079">
                  <c:v>39457.0</c:v>
                </c:pt>
                <c:pt idx="2080">
                  <c:v>39456.0</c:v>
                </c:pt>
                <c:pt idx="2081">
                  <c:v>39455.0</c:v>
                </c:pt>
                <c:pt idx="2082">
                  <c:v>39454.0</c:v>
                </c:pt>
                <c:pt idx="2083">
                  <c:v>39451.0</c:v>
                </c:pt>
                <c:pt idx="2084">
                  <c:v>39450.0</c:v>
                </c:pt>
                <c:pt idx="2085">
                  <c:v>39449.0</c:v>
                </c:pt>
                <c:pt idx="2086">
                  <c:v>39447.0</c:v>
                </c:pt>
                <c:pt idx="2087">
                  <c:v>39444.0</c:v>
                </c:pt>
                <c:pt idx="2088">
                  <c:v>39443.0</c:v>
                </c:pt>
                <c:pt idx="2089">
                  <c:v>39440.0</c:v>
                </c:pt>
                <c:pt idx="2090">
                  <c:v>39437.0</c:v>
                </c:pt>
                <c:pt idx="2091">
                  <c:v>39436.0</c:v>
                </c:pt>
                <c:pt idx="2092">
                  <c:v>39435.0</c:v>
                </c:pt>
                <c:pt idx="2093">
                  <c:v>39434.0</c:v>
                </c:pt>
                <c:pt idx="2094">
                  <c:v>39430.0</c:v>
                </c:pt>
                <c:pt idx="2095">
                  <c:v>39429.0</c:v>
                </c:pt>
                <c:pt idx="2096">
                  <c:v>39428.0</c:v>
                </c:pt>
                <c:pt idx="2097">
                  <c:v>39427.0</c:v>
                </c:pt>
                <c:pt idx="2098">
                  <c:v>39426.0</c:v>
                </c:pt>
                <c:pt idx="2099">
                  <c:v>39423.0</c:v>
                </c:pt>
                <c:pt idx="2100">
                  <c:v>39422.0</c:v>
                </c:pt>
                <c:pt idx="2101">
                  <c:v>39421.0</c:v>
                </c:pt>
                <c:pt idx="2102">
                  <c:v>39420.0</c:v>
                </c:pt>
                <c:pt idx="2103">
                  <c:v>39419.0</c:v>
                </c:pt>
                <c:pt idx="2104">
                  <c:v>39416.0</c:v>
                </c:pt>
                <c:pt idx="2105">
                  <c:v>39415.0</c:v>
                </c:pt>
                <c:pt idx="2106">
                  <c:v>39414.0</c:v>
                </c:pt>
                <c:pt idx="2107">
                  <c:v>39413.0</c:v>
                </c:pt>
                <c:pt idx="2108">
                  <c:v>39412.0</c:v>
                </c:pt>
                <c:pt idx="2109">
                  <c:v>39409.0</c:v>
                </c:pt>
                <c:pt idx="2110">
                  <c:v>39408.0</c:v>
                </c:pt>
                <c:pt idx="2111">
                  <c:v>39407.0</c:v>
                </c:pt>
                <c:pt idx="2112">
                  <c:v>39406.0</c:v>
                </c:pt>
                <c:pt idx="2113">
                  <c:v>39405.0</c:v>
                </c:pt>
                <c:pt idx="2114">
                  <c:v>39402.0</c:v>
                </c:pt>
                <c:pt idx="2115">
                  <c:v>39401.0</c:v>
                </c:pt>
                <c:pt idx="2116">
                  <c:v>39400.0</c:v>
                </c:pt>
                <c:pt idx="2117">
                  <c:v>39399.0</c:v>
                </c:pt>
                <c:pt idx="2118">
                  <c:v>39398.0</c:v>
                </c:pt>
                <c:pt idx="2119">
                  <c:v>39395.0</c:v>
                </c:pt>
                <c:pt idx="2120">
                  <c:v>39394.0</c:v>
                </c:pt>
                <c:pt idx="2121">
                  <c:v>39393.0</c:v>
                </c:pt>
                <c:pt idx="2122">
                  <c:v>39392.0</c:v>
                </c:pt>
                <c:pt idx="2123">
                  <c:v>39391.0</c:v>
                </c:pt>
                <c:pt idx="2124">
                  <c:v>39388.0</c:v>
                </c:pt>
                <c:pt idx="2125">
                  <c:v>39387.0</c:v>
                </c:pt>
                <c:pt idx="2126">
                  <c:v>39386.0</c:v>
                </c:pt>
                <c:pt idx="2127">
                  <c:v>39385.0</c:v>
                </c:pt>
                <c:pt idx="2128">
                  <c:v>39384.0</c:v>
                </c:pt>
                <c:pt idx="2129">
                  <c:v>39381.0</c:v>
                </c:pt>
                <c:pt idx="2130">
                  <c:v>39380.0</c:v>
                </c:pt>
                <c:pt idx="2131">
                  <c:v>39379.0</c:v>
                </c:pt>
                <c:pt idx="2132">
                  <c:v>39378.0</c:v>
                </c:pt>
                <c:pt idx="2133">
                  <c:v>39377.0</c:v>
                </c:pt>
                <c:pt idx="2134">
                  <c:v>39374.0</c:v>
                </c:pt>
                <c:pt idx="2135">
                  <c:v>39373.0</c:v>
                </c:pt>
                <c:pt idx="2136">
                  <c:v>39372.0</c:v>
                </c:pt>
                <c:pt idx="2137">
                  <c:v>39371.0</c:v>
                </c:pt>
                <c:pt idx="2138">
                  <c:v>39370.0</c:v>
                </c:pt>
                <c:pt idx="2139">
                  <c:v>39367.0</c:v>
                </c:pt>
                <c:pt idx="2140">
                  <c:v>39366.0</c:v>
                </c:pt>
                <c:pt idx="2141">
                  <c:v>39365.0</c:v>
                </c:pt>
                <c:pt idx="2142">
                  <c:v>39364.0</c:v>
                </c:pt>
                <c:pt idx="2143">
                  <c:v>39363.0</c:v>
                </c:pt>
                <c:pt idx="2144">
                  <c:v>39360.0</c:v>
                </c:pt>
                <c:pt idx="2145">
                  <c:v>39359.0</c:v>
                </c:pt>
                <c:pt idx="2146">
                  <c:v>39358.0</c:v>
                </c:pt>
                <c:pt idx="2147">
                  <c:v>39357.0</c:v>
                </c:pt>
                <c:pt idx="2148">
                  <c:v>39356.0</c:v>
                </c:pt>
                <c:pt idx="2149">
                  <c:v>39353.0</c:v>
                </c:pt>
                <c:pt idx="2150">
                  <c:v>39352.0</c:v>
                </c:pt>
                <c:pt idx="2151">
                  <c:v>39351.0</c:v>
                </c:pt>
                <c:pt idx="2152">
                  <c:v>39350.0</c:v>
                </c:pt>
                <c:pt idx="2153">
                  <c:v>39346.0</c:v>
                </c:pt>
                <c:pt idx="2154">
                  <c:v>39345.0</c:v>
                </c:pt>
                <c:pt idx="2155">
                  <c:v>39344.0</c:v>
                </c:pt>
                <c:pt idx="2156">
                  <c:v>39343.0</c:v>
                </c:pt>
                <c:pt idx="2157">
                  <c:v>39342.0</c:v>
                </c:pt>
                <c:pt idx="2158">
                  <c:v>39339.0</c:v>
                </c:pt>
                <c:pt idx="2159">
                  <c:v>39338.0</c:v>
                </c:pt>
                <c:pt idx="2160">
                  <c:v>39337.0</c:v>
                </c:pt>
                <c:pt idx="2161">
                  <c:v>39336.0</c:v>
                </c:pt>
                <c:pt idx="2162">
                  <c:v>39335.0</c:v>
                </c:pt>
                <c:pt idx="2163">
                  <c:v>39332.0</c:v>
                </c:pt>
                <c:pt idx="2164">
                  <c:v>39331.0</c:v>
                </c:pt>
                <c:pt idx="2165">
                  <c:v>39330.0</c:v>
                </c:pt>
                <c:pt idx="2166">
                  <c:v>39329.0</c:v>
                </c:pt>
                <c:pt idx="2167">
                  <c:v>39328.0</c:v>
                </c:pt>
                <c:pt idx="2168">
                  <c:v>39325.0</c:v>
                </c:pt>
                <c:pt idx="2169">
                  <c:v>39324.0</c:v>
                </c:pt>
                <c:pt idx="2170">
                  <c:v>39323.0</c:v>
                </c:pt>
                <c:pt idx="2171">
                  <c:v>39322.0</c:v>
                </c:pt>
                <c:pt idx="2172">
                  <c:v>39321.0</c:v>
                </c:pt>
                <c:pt idx="2173">
                  <c:v>39318.0</c:v>
                </c:pt>
                <c:pt idx="2174">
                  <c:v>39317.0</c:v>
                </c:pt>
                <c:pt idx="2175">
                  <c:v>39316.0</c:v>
                </c:pt>
                <c:pt idx="2176">
                  <c:v>39315.0</c:v>
                </c:pt>
                <c:pt idx="2177">
                  <c:v>39314.0</c:v>
                </c:pt>
                <c:pt idx="2178">
                  <c:v>39311.0</c:v>
                </c:pt>
                <c:pt idx="2179">
                  <c:v>39310.0</c:v>
                </c:pt>
                <c:pt idx="2180">
                  <c:v>39309.0</c:v>
                </c:pt>
                <c:pt idx="2181">
                  <c:v>39308.0</c:v>
                </c:pt>
                <c:pt idx="2182">
                  <c:v>39307.0</c:v>
                </c:pt>
                <c:pt idx="2183">
                  <c:v>39304.0</c:v>
                </c:pt>
                <c:pt idx="2184">
                  <c:v>39302.0</c:v>
                </c:pt>
                <c:pt idx="2185">
                  <c:v>39301.0</c:v>
                </c:pt>
                <c:pt idx="2186">
                  <c:v>39300.0</c:v>
                </c:pt>
                <c:pt idx="2187">
                  <c:v>39297.0</c:v>
                </c:pt>
                <c:pt idx="2188">
                  <c:v>39296.0</c:v>
                </c:pt>
                <c:pt idx="2189">
                  <c:v>39295.0</c:v>
                </c:pt>
                <c:pt idx="2190">
                  <c:v>39294.0</c:v>
                </c:pt>
                <c:pt idx="2191">
                  <c:v>39293.0</c:v>
                </c:pt>
                <c:pt idx="2192">
                  <c:v>39290.0</c:v>
                </c:pt>
                <c:pt idx="2193">
                  <c:v>39289.0</c:v>
                </c:pt>
                <c:pt idx="2194">
                  <c:v>39288.0</c:v>
                </c:pt>
                <c:pt idx="2195">
                  <c:v>39287.0</c:v>
                </c:pt>
                <c:pt idx="2196">
                  <c:v>39286.0</c:v>
                </c:pt>
                <c:pt idx="2197">
                  <c:v>39283.0</c:v>
                </c:pt>
                <c:pt idx="2198">
                  <c:v>39282.0</c:v>
                </c:pt>
                <c:pt idx="2199">
                  <c:v>39281.0</c:v>
                </c:pt>
                <c:pt idx="2200">
                  <c:v>39280.0</c:v>
                </c:pt>
                <c:pt idx="2201">
                  <c:v>39279.0</c:v>
                </c:pt>
                <c:pt idx="2202">
                  <c:v>39276.0</c:v>
                </c:pt>
                <c:pt idx="2203">
                  <c:v>39275.0</c:v>
                </c:pt>
                <c:pt idx="2204">
                  <c:v>39274.0</c:v>
                </c:pt>
                <c:pt idx="2205">
                  <c:v>39273.0</c:v>
                </c:pt>
                <c:pt idx="2206">
                  <c:v>39272.0</c:v>
                </c:pt>
                <c:pt idx="2207">
                  <c:v>39269.0</c:v>
                </c:pt>
                <c:pt idx="2208">
                  <c:v>39268.0</c:v>
                </c:pt>
                <c:pt idx="2209">
                  <c:v>39267.0</c:v>
                </c:pt>
                <c:pt idx="2210">
                  <c:v>39266.0</c:v>
                </c:pt>
                <c:pt idx="2211">
                  <c:v>39265.0</c:v>
                </c:pt>
                <c:pt idx="2212">
                  <c:v>39262.0</c:v>
                </c:pt>
                <c:pt idx="2213">
                  <c:v>39261.0</c:v>
                </c:pt>
                <c:pt idx="2214">
                  <c:v>39260.0</c:v>
                </c:pt>
                <c:pt idx="2215">
                  <c:v>39259.0</c:v>
                </c:pt>
                <c:pt idx="2216">
                  <c:v>39258.0</c:v>
                </c:pt>
                <c:pt idx="2217">
                  <c:v>39255.0</c:v>
                </c:pt>
                <c:pt idx="2218">
                  <c:v>39254.0</c:v>
                </c:pt>
                <c:pt idx="2219">
                  <c:v>39253.0</c:v>
                </c:pt>
                <c:pt idx="2220">
                  <c:v>39252.0</c:v>
                </c:pt>
                <c:pt idx="2221">
                  <c:v>39251.0</c:v>
                </c:pt>
                <c:pt idx="2222">
                  <c:v>39248.0</c:v>
                </c:pt>
                <c:pt idx="2223">
                  <c:v>39247.0</c:v>
                </c:pt>
                <c:pt idx="2224">
                  <c:v>39246.0</c:v>
                </c:pt>
                <c:pt idx="2225">
                  <c:v>39245.0</c:v>
                </c:pt>
                <c:pt idx="2226">
                  <c:v>39244.0</c:v>
                </c:pt>
                <c:pt idx="2227">
                  <c:v>39241.0</c:v>
                </c:pt>
                <c:pt idx="2228">
                  <c:v>39240.0</c:v>
                </c:pt>
                <c:pt idx="2229">
                  <c:v>39239.0</c:v>
                </c:pt>
                <c:pt idx="2230">
                  <c:v>39238.0</c:v>
                </c:pt>
                <c:pt idx="2231">
                  <c:v>39237.0</c:v>
                </c:pt>
                <c:pt idx="2232">
                  <c:v>39234.0</c:v>
                </c:pt>
                <c:pt idx="2233">
                  <c:v>39233.0</c:v>
                </c:pt>
                <c:pt idx="2234">
                  <c:v>39232.0</c:v>
                </c:pt>
                <c:pt idx="2235">
                  <c:v>39231.0</c:v>
                </c:pt>
                <c:pt idx="2236">
                  <c:v>39230.0</c:v>
                </c:pt>
                <c:pt idx="2237">
                  <c:v>39227.0</c:v>
                </c:pt>
                <c:pt idx="2238">
                  <c:v>39226.0</c:v>
                </c:pt>
                <c:pt idx="2239">
                  <c:v>39225.0</c:v>
                </c:pt>
                <c:pt idx="2240">
                  <c:v>39224.0</c:v>
                </c:pt>
                <c:pt idx="2241">
                  <c:v>39223.0</c:v>
                </c:pt>
                <c:pt idx="2242">
                  <c:v>39220.0</c:v>
                </c:pt>
                <c:pt idx="2243">
                  <c:v>39219.0</c:v>
                </c:pt>
                <c:pt idx="2244">
                  <c:v>39218.0</c:v>
                </c:pt>
                <c:pt idx="2245">
                  <c:v>39217.0</c:v>
                </c:pt>
                <c:pt idx="2246">
                  <c:v>39216.0</c:v>
                </c:pt>
                <c:pt idx="2247">
                  <c:v>39213.0</c:v>
                </c:pt>
                <c:pt idx="2248">
                  <c:v>39212.0</c:v>
                </c:pt>
                <c:pt idx="2249">
                  <c:v>39211.0</c:v>
                </c:pt>
                <c:pt idx="2250">
                  <c:v>39210.0</c:v>
                </c:pt>
                <c:pt idx="2251">
                  <c:v>39209.0</c:v>
                </c:pt>
                <c:pt idx="2252">
                  <c:v>39206.0</c:v>
                </c:pt>
                <c:pt idx="2253">
                  <c:v>39205.0</c:v>
                </c:pt>
                <c:pt idx="2254">
                  <c:v>39204.0</c:v>
                </c:pt>
                <c:pt idx="2255">
                  <c:v>39202.0</c:v>
                </c:pt>
                <c:pt idx="2256">
                  <c:v>39198.0</c:v>
                </c:pt>
                <c:pt idx="2257">
                  <c:v>39197.0</c:v>
                </c:pt>
                <c:pt idx="2258">
                  <c:v>39196.0</c:v>
                </c:pt>
                <c:pt idx="2259">
                  <c:v>39195.0</c:v>
                </c:pt>
                <c:pt idx="2260">
                  <c:v>39192.0</c:v>
                </c:pt>
                <c:pt idx="2261">
                  <c:v>39191.0</c:v>
                </c:pt>
                <c:pt idx="2262">
                  <c:v>39190.0</c:v>
                </c:pt>
                <c:pt idx="2263">
                  <c:v>39189.0</c:v>
                </c:pt>
                <c:pt idx="2264">
                  <c:v>39188.0</c:v>
                </c:pt>
                <c:pt idx="2265">
                  <c:v>39185.0</c:v>
                </c:pt>
                <c:pt idx="2266">
                  <c:v>39184.0</c:v>
                </c:pt>
                <c:pt idx="2267">
                  <c:v>39183.0</c:v>
                </c:pt>
                <c:pt idx="2268">
                  <c:v>39182.0</c:v>
                </c:pt>
                <c:pt idx="2269">
                  <c:v>39177.0</c:v>
                </c:pt>
                <c:pt idx="2270">
                  <c:v>39176.0</c:v>
                </c:pt>
                <c:pt idx="2271">
                  <c:v>39175.0</c:v>
                </c:pt>
                <c:pt idx="2272">
                  <c:v>39174.0</c:v>
                </c:pt>
                <c:pt idx="2273">
                  <c:v>39171.0</c:v>
                </c:pt>
                <c:pt idx="2274">
                  <c:v>39170.0</c:v>
                </c:pt>
                <c:pt idx="2275">
                  <c:v>39169.0</c:v>
                </c:pt>
                <c:pt idx="2276">
                  <c:v>39168.0</c:v>
                </c:pt>
                <c:pt idx="2277">
                  <c:v>39167.0</c:v>
                </c:pt>
                <c:pt idx="2278">
                  <c:v>39164.0</c:v>
                </c:pt>
                <c:pt idx="2279">
                  <c:v>39163.0</c:v>
                </c:pt>
                <c:pt idx="2280">
                  <c:v>39161.0</c:v>
                </c:pt>
                <c:pt idx="2281">
                  <c:v>39160.0</c:v>
                </c:pt>
                <c:pt idx="2282">
                  <c:v>39157.0</c:v>
                </c:pt>
                <c:pt idx="2283">
                  <c:v>39156.0</c:v>
                </c:pt>
                <c:pt idx="2284">
                  <c:v>39155.0</c:v>
                </c:pt>
                <c:pt idx="2285">
                  <c:v>39154.0</c:v>
                </c:pt>
                <c:pt idx="2286">
                  <c:v>39153.0</c:v>
                </c:pt>
                <c:pt idx="2287">
                  <c:v>39150.0</c:v>
                </c:pt>
                <c:pt idx="2288">
                  <c:v>39149.0</c:v>
                </c:pt>
                <c:pt idx="2289">
                  <c:v>39148.0</c:v>
                </c:pt>
                <c:pt idx="2290">
                  <c:v>39147.0</c:v>
                </c:pt>
                <c:pt idx="2291">
                  <c:v>39146.0</c:v>
                </c:pt>
                <c:pt idx="2292">
                  <c:v>39143.0</c:v>
                </c:pt>
                <c:pt idx="2293">
                  <c:v>39142.0</c:v>
                </c:pt>
                <c:pt idx="2294">
                  <c:v>39141.0</c:v>
                </c:pt>
                <c:pt idx="2295">
                  <c:v>39140.0</c:v>
                </c:pt>
                <c:pt idx="2296">
                  <c:v>39139.0</c:v>
                </c:pt>
                <c:pt idx="2297">
                  <c:v>39136.0</c:v>
                </c:pt>
                <c:pt idx="2298">
                  <c:v>39135.0</c:v>
                </c:pt>
                <c:pt idx="2299">
                  <c:v>39134.0</c:v>
                </c:pt>
                <c:pt idx="2300">
                  <c:v>39133.0</c:v>
                </c:pt>
                <c:pt idx="2301">
                  <c:v>39132.0</c:v>
                </c:pt>
                <c:pt idx="2302">
                  <c:v>39129.0</c:v>
                </c:pt>
                <c:pt idx="2303">
                  <c:v>39128.0</c:v>
                </c:pt>
                <c:pt idx="2304">
                  <c:v>39127.0</c:v>
                </c:pt>
                <c:pt idx="2305">
                  <c:v>39126.0</c:v>
                </c:pt>
                <c:pt idx="2306">
                  <c:v>39125.0</c:v>
                </c:pt>
                <c:pt idx="2307">
                  <c:v>39122.0</c:v>
                </c:pt>
                <c:pt idx="2308">
                  <c:v>39121.0</c:v>
                </c:pt>
                <c:pt idx="2309">
                  <c:v>39120.0</c:v>
                </c:pt>
                <c:pt idx="2310">
                  <c:v>39119.0</c:v>
                </c:pt>
                <c:pt idx="2311">
                  <c:v>39118.0</c:v>
                </c:pt>
                <c:pt idx="2312">
                  <c:v>39115.0</c:v>
                </c:pt>
                <c:pt idx="2313">
                  <c:v>39114.0</c:v>
                </c:pt>
                <c:pt idx="2314">
                  <c:v>39113.0</c:v>
                </c:pt>
                <c:pt idx="2315">
                  <c:v>39112.0</c:v>
                </c:pt>
                <c:pt idx="2316">
                  <c:v>39111.0</c:v>
                </c:pt>
                <c:pt idx="2317">
                  <c:v>39108.0</c:v>
                </c:pt>
                <c:pt idx="2318">
                  <c:v>39107.0</c:v>
                </c:pt>
                <c:pt idx="2319">
                  <c:v>39106.0</c:v>
                </c:pt>
                <c:pt idx="2320">
                  <c:v>39105.0</c:v>
                </c:pt>
                <c:pt idx="2321">
                  <c:v>39104.0</c:v>
                </c:pt>
                <c:pt idx="2322">
                  <c:v>39101.0</c:v>
                </c:pt>
                <c:pt idx="2323">
                  <c:v>39100.0</c:v>
                </c:pt>
                <c:pt idx="2324">
                  <c:v>39099.0</c:v>
                </c:pt>
                <c:pt idx="2325">
                  <c:v>39098.0</c:v>
                </c:pt>
                <c:pt idx="2326">
                  <c:v>39097.0</c:v>
                </c:pt>
                <c:pt idx="2327">
                  <c:v>39094.0</c:v>
                </c:pt>
                <c:pt idx="2328">
                  <c:v>39093.0</c:v>
                </c:pt>
                <c:pt idx="2329">
                  <c:v>39092.0</c:v>
                </c:pt>
                <c:pt idx="2330">
                  <c:v>39091.0</c:v>
                </c:pt>
                <c:pt idx="2331">
                  <c:v>39090.0</c:v>
                </c:pt>
                <c:pt idx="2332">
                  <c:v>39087.0</c:v>
                </c:pt>
                <c:pt idx="2333">
                  <c:v>39086.0</c:v>
                </c:pt>
                <c:pt idx="2334">
                  <c:v>39085.0</c:v>
                </c:pt>
                <c:pt idx="2335">
                  <c:v>39084.0</c:v>
                </c:pt>
                <c:pt idx="2336">
                  <c:v>39080.0</c:v>
                </c:pt>
                <c:pt idx="2337">
                  <c:v>39079.0</c:v>
                </c:pt>
                <c:pt idx="2338">
                  <c:v>39078.0</c:v>
                </c:pt>
                <c:pt idx="2339">
                  <c:v>39073.0</c:v>
                </c:pt>
                <c:pt idx="2340">
                  <c:v>39072.0</c:v>
                </c:pt>
                <c:pt idx="2341">
                  <c:v>39071.0</c:v>
                </c:pt>
                <c:pt idx="2342">
                  <c:v>39070.0</c:v>
                </c:pt>
                <c:pt idx="2343">
                  <c:v>39069.0</c:v>
                </c:pt>
                <c:pt idx="2344">
                  <c:v>39066.0</c:v>
                </c:pt>
                <c:pt idx="2345">
                  <c:v>39065.0</c:v>
                </c:pt>
                <c:pt idx="2346">
                  <c:v>39064.0</c:v>
                </c:pt>
                <c:pt idx="2347">
                  <c:v>39063.0</c:v>
                </c:pt>
                <c:pt idx="2348">
                  <c:v>39062.0</c:v>
                </c:pt>
                <c:pt idx="2349">
                  <c:v>39059.0</c:v>
                </c:pt>
                <c:pt idx="2350">
                  <c:v>39058.0</c:v>
                </c:pt>
                <c:pt idx="2351">
                  <c:v>39057.0</c:v>
                </c:pt>
                <c:pt idx="2352">
                  <c:v>39056.0</c:v>
                </c:pt>
                <c:pt idx="2353">
                  <c:v>39055.0</c:v>
                </c:pt>
                <c:pt idx="2354">
                  <c:v>39052.0</c:v>
                </c:pt>
                <c:pt idx="2355">
                  <c:v>39051.0</c:v>
                </c:pt>
                <c:pt idx="2356">
                  <c:v>39050.0</c:v>
                </c:pt>
                <c:pt idx="2357">
                  <c:v>39049.0</c:v>
                </c:pt>
                <c:pt idx="2358">
                  <c:v>39048.0</c:v>
                </c:pt>
                <c:pt idx="2359">
                  <c:v>39045.0</c:v>
                </c:pt>
                <c:pt idx="2360">
                  <c:v>39044.0</c:v>
                </c:pt>
                <c:pt idx="2361">
                  <c:v>39043.0</c:v>
                </c:pt>
                <c:pt idx="2362">
                  <c:v>39042.0</c:v>
                </c:pt>
                <c:pt idx="2363">
                  <c:v>39041.0</c:v>
                </c:pt>
                <c:pt idx="2364">
                  <c:v>39038.0</c:v>
                </c:pt>
                <c:pt idx="2365">
                  <c:v>39037.0</c:v>
                </c:pt>
                <c:pt idx="2366">
                  <c:v>39036.0</c:v>
                </c:pt>
                <c:pt idx="2367">
                  <c:v>39035.0</c:v>
                </c:pt>
                <c:pt idx="2368">
                  <c:v>39034.0</c:v>
                </c:pt>
                <c:pt idx="2369">
                  <c:v>39031.0</c:v>
                </c:pt>
                <c:pt idx="2370">
                  <c:v>39030.0</c:v>
                </c:pt>
                <c:pt idx="2371">
                  <c:v>39029.0</c:v>
                </c:pt>
                <c:pt idx="2372">
                  <c:v>39028.0</c:v>
                </c:pt>
                <c:pt idx="2373">
                  <c:v>39027.0</c:v>
                </c:pt>
                <c:pt idx="2374">
                  <c:v>39024.0</c:v>
                </c:pt>
                <c:pt idx="2375">
                  <c:v>39023.0</c:v>
                </c:pt>
                <c:pt idx="2376">
                  <c:v>39022.0</c:v>
                </c:pt>
                <c:pt idx="2377">
                  <c:v>39021.0</c:v>
                </c:pt>
                <c:pt idx="2378">
                  <c:v>39020.0</c:v>
                </c:pt>
                <c:pt idx="2379">
                  <c:v>39017.0</c:v>
                </c:pt>
                <c:pt idx="2380">
                  <c:v>39016.0</c:v>
                </c:pt>
                <c:pt idx="2381">
                  <c:v>39015.0</c:v>
                </c:pt>
                <c:pt idx="2382">
                  <c:v>39014.0</c:v>
                </c:pt>
                <c:pt idx="2383">
                  <c:v>39013.0</c:v>
                </c:pt>
                <c:pt idx="2384">
                  <c:v>39010.0</c:v>
                </c:pt>
                <c:pt idx="2385">
                  <c:v>39009.0</c:v>
                </c:pt>
                <c:pt idx="2386">
                  <c:v>39008.0</c:v>
                </c:pt>
                <c:pt idx="2387">
                  <c:v>39007.0</c:v>
                </c:pt>
                <c:pt idx="2388">
                  <c:v>39006.0</c:v>
                </c:pt>
                <c:pt idx="2389">
                  <c:v>39003.0</c:v>
                </c:pt>
                <c:pt idx="2390">
                  <c:v>39002.0</c:v>
                </c:pt>
                <c:pt idx="2391">
                  <c:v>39001.0</c:v>
                </c:pt>
                <c:pt idx="2392">
                  <c:v>39000.0</c:v>
                </c:pt>
                <c:pt idx="2393">
                  <c:v>38999.0</c:v>
                </c:pt>
                <c:pt idx="2394">
                  <c:v>38996.0</c:v>
                </c:pt>
                <c:pt idx="2395">
                  <c:v>38995.0</c:v>
                </c:pt>
                <c:pt idx="2396">
                  <c:v>38994.0</c:v>
                </c:pt>
                <c:pt idx="2397">
                  <c:v>38993.0</c:v>
                </c:pt>
                <c:pt idx="2398">
                  <c:v>38992.0</c:v>
                </c:pt>
                <c:pt idx="2399">
                  <c:v>38989.0</c:v>
                </c:pt>
                <c:pt idx="2400">
                  <c:v>38988.0</c:v>
                </c:pt>
                <c:pt idx="2401">
                  <c:v>38987.0</c:v>
                </c:pt>
                <c:pt idx="2402">
                  <c:v>38986.0</c:v>
                </c:pt>
                <c:pt idx="2403">
                  <c:v>38982.0</c:v>
                </c:pt>
                <c:pt idx="2404">
                  <c:v>38981.0</c:v>
                </c:pt>
                <c:pt idx="2405">
                  <c:v>38980.0</c:v>
                </c:pt>
                <c:pt idx="2406">
                  <c:v>38979.0</c:v>
                </c:pt>
                <c:pt idx="2407">
                  <c:v>38978.0</c:v>
                </c:pt>
                <c:pt idx="2408">
                  <c:v>38975.0</c:v>
                </c:pt>
                <c:pt idx="2409">
                  <c:v>38974.0</c:v>
                </c:pt>
                <c:pt idx="2410">
                  <c:v>38973.0</c:v>
                </c:pt>
                <c:pt idx="2411">
                  <c:v>38972.0</c:v>
                </c:pt>
                <c:pt idx="2412">
                  <c:v>38971.0</c:v>
                </c:pt>
                <c:pt idx="2413">
                  <c:v>38968.0</c:v>
                </c:pt>
                <c:pt idx="2414">
                  <c:v>38967.0</c:v>
                </c:pt>
                <c:pt idx="2415">
                  <c:v>38966.0</c:v>
                </c:pt>
                <c:pt idx="2416">
                  <c:v>38965.0</c:v>
                </c:pt>
                <c:pt idx="2417">
                  <c:v>38964.0</c:v>
                </c:pt>
                <c:pt idx="2418">
                  <c:v>38961.0</c:v>
                </c:pt>
                <c:pt idx="2419">
                  <c:v>38960.0</c:v>
                </c:pt>
                <c:pt idx="2420">
                  <c:v>38959.0</c:v>
                </c:pt>
                <c:pt idx="2421">
                  <c:v>38958.0</c:v>
                </c:pt>
                <c:pt idx="2422">
                  <c:v>38957.0</c:v>
                </c:pt>
                <c:pt idx="2423">
                  <c:v>38954.0</c:v>
                </c:pt>
                <c:pt idx="2424">
                  <c:v>38953.0</c:v>
                </c:pt>
                <c:pt idx="2425">
                  <c:v>38952.0</c:v>
                </c:pt>
                <c:pt idx="2426">
                  <c:v>38951.0</c:v>
                </c:pt>
                <c:pt idx="2427">
                  <c:v>38950.0</c:v>
                </c:pt>
                <c:pt idx="2428">
                  <c:v>38947.0</c:v>
                </c:pt>
                <c:pt idx="2429">
                  <c:v>38946.0</c:v>
                </c:pt>
                <c:pt idx="2430">
                  <c:v>38945.0</c:v>
                </c:pt>
                <c:pt idx="2431">
                  <c:v>38944.0</c:v>
                </c:pt>
                <c:pt idx="2432">
                  <c:v>38943.0</c:v>
                </c:pt>
                <c:pt idx="2433">
                  <c:v>38940.0</c:v>
                </c:pt>
                <c:pt idx="2434">
                  <c:v>38939.0</c:v>
                </c:pt>
                <c:pt idx="2435">
                  <c:v>38937.0</c:v>
                </c:pt>
                <c:pt idx="2436">
                  <c:v>38936.0</c:v>
                </c:pt>
                <c:pt idx="2437">
                  <c:v>38933.0</c:v>
                </c:pt>
                <c:pt idx="2438">
                  <c:v>38932.0</c:v>
                </c:pt>
                <c:pt idx="2439">
                  <c:v>38931.0</c:v>
                </c:pt>
                <c:pt idx="2440">
                  <c:v>38930.0</c:v>
                </c:pt>
                <c:pt idx="2441">
                  <c:v>38929.0</c:v>
                </c:pt>
                <c:pt idx="2442">
                  <c:v>38926.0</c:v>
                </c:pt>
                <c:pt idx="2443">
                  <c:v>38925.0</c:v>
                </c:pt>
                <c:pt idx="2444">
                  <c:v>38924.0</c:v>
                </c:pt>
                <c:pt idx="2445">
                  <c:v>38923.0</c:v>
                </c:pt>
                <c:pt idx="2446">
                  <c:v>38922.0</c:v>
                </c:pt>
                <c:pt idx="2447">
                  <c:v>38919.0</c:v>
                </c:pt>
                <c:pt idx="2448">
                  <c:v>38918.0</c:v>
                </c:pt>
                <c:pt idx="2449">
                  <c:v>38917.0</c:v>
                </c:pt>
                <c:pt idx="2450">
                  <c:v>38916.0</c:v>
                </c:pt>
                <c:pt idx="2451">
                  <c:v>38915.0</c:v>
                </c:pt>
                <c:pt idx="2452">
                  <c:v>38912.0</c:v>
                </c:pt>
                <c:pt idx="2453">
                  <c:v>38911.0</c:v>
                </c:pt>
                <c:pt idx="2454">
                  <c:v>38910.0</c:v>
                </c:pt>
                <c:pt idx="2455">
                  <c:v>38909.0</c:v>
                </c:pt>
                <c:pt idx="2456">
                  <c:v>38908.0</c:v>
                </c:pt>
                <c:pt idx="2457">
                  <c:v>38905.0</c:v>
                </c:pt>
                <c:pt idx="2458">
                  <c:v>38904.0</c:v>
                </c:pt>
                <c:pt idx="2459">
                  <c:v>38903.0</c:v>
                </c:pt>
                <c:pt idx="2460">
                  <c:v>38902.0</c:v>
                </c:pt>
                <c:pt idx="2461">
                  <c:v>38901.0</c:v>
                </c:pt>
                <c:pt idx="2462">
                  <c:v>38898.0</c:v>
                </c:pt>
                <c:pt idx="2463">
                  <c:v>38897.0</c:v>
                </c:pt>
                <c:pt idx="2464">
                  <c:v>38896.0</c:v>
                </c:pt>
                <c:pt idx="2465">
                  <c:v>38895.0</c:v>
                </c:pt>
                <c:pt idx="2466">
                  <c:v>38894.0</c:v>
                </c:pt>
                <c:pt idx="2467">
                  <c:v>38891.0</c:v>
                </c:pt>
                <c:pt idx="2468">
                  <c:v>38890.0</c:v>
                </c:pt>
                <c:pt idx="2469">
                  <c:v>38889.0</c:v>
                </c:pt>
                <c:pt idx="2470">
                  <c:v>38888.0</c:v>
                </c:pt>
                <c:pt idx="2471">
                  <c:v>38887.0</c:v>
                </c:pt>
                <c:pt idx="2472">
                  <c:v>38883.0</c:v>
                </c:pt>
                <c:pt idx="2473">
                  <c:v>38882.0</c:v>
                </c:pt>
                <c:pt idx="2474">
                  <c:v>38881.0</c:v>
                </c:pt>
                <c:pt idx="2475">
                  <c:v>38880.0</c:v>
                </c:pt>
                <c:pt idx="2476">
                  <c:v>38877.0</c:v>
                </c:pt>
                <c:pt idx="2477">
                  <c:v>38876.0</c:v>
                </c:pt>
                <c:pt idx="2478">
                  <c:v>38875.0</c:v>
                </c:pt>
                <c:pt idx="2479">
                  <c:v>38874.0</c:v>
                </c:pt>
                <c:pt idx="2480">
                  <c:v>38873.0</c:v>
                </c:pt>
                <c:pt idx="2481">
                  <c:v>38870.0</c:v>
                </c:pt>
                <c:pt idx="2482">
                  <c:v>38869.0</c:v>
                </c:pt>
                <c:pt idx="2483">
                  <c:v>38868.0</c:v>
                </c:pt>
                <c:pt idx="2484">
                  <c:v>38867.0</c:v>
                </c:pt>
                <c:pt idx="2485">
                  <c:v>38866.0</c:v>
                </c:pt>
                <c:pt idx="2486">
                  <c:v>38863.0</c:v>
                </c:pt>
                <c:pt idx="2487">
                  <c:v>38862.0</c:v>
                </c:pt>
                <c:pt idx="2488">
                  <c:v>38861.0</c:v>
                </c:pt>
                <c:pt idx="2489">
                  <c:v>38860.0</c:v>
                </c:pt>
                <c:pt idx="2490">
                  <c:v>38859.0</c:v>
                </c:pt>
                <c:pt idx="2491">
                  <c:v>38856.0</c:v>
                </c:pt>
                <c:pt idx="2492">
                  <c:v>38855.0</c:v>
                </c:pt>
                <c:pt idx="2493">
                  <c:v>38854.0</c:v>
                </c:pt>
                <c:pt idx="2494">
                  <c:v>38853.0</c:v>
                </c:pt>
                <c:pt idx="2495">
                  <c:v>38852.0</c:v>
                </c:pt>
                <c:pt idx="2496">
                  <c:v>38849.0</c:v>
                </c:pt>
                <c:pt idx="2497">
                  <c:v>38848.0</c:v>
                </c:pt>
                <c:pt idx="2498">
                  <c:v>38847.0</c:v>
                </c:pt>
                <c:pt idx="2499">
                  <c:v>38846.0</c:v>
                </c:pt>
                <c:pt idx="2500">
                  <c:v>38845.0</c:v>
                </c:pt>
                <c:pt idx="2501">
                  <c:v>38842.0</c:v>
                </c:pt>
                <c:pt idx="2502">
                  <c:v>38841.0</c:v>
                </c:pt>
                <c:pt idx="2503">
                  <c:v>38840.0</c:v>
                </c:pt>
                <c:pt idx="2504">
                  <c:v>38839.0</c:v>
                </c:pt>
                <c:pt idx="2505">
                  <c:v>38835.0</c:v>
                </c:pt>
                <c:pt idx="2506">
                  <c:v>38833.0</c:v>
                </c:pt>
                <c:pt idx="2507">
                  <c:v>38832.0</c:v>
                </c:pt>
                <c:pt idx="2508">
                  <c:v>38831.0</c:v>
                </c:pt>
                <c:pt idx="2509">
                  <c:v>38828.0</c:v>
                </c:pt>
                <c:pt idx="2510">
                  <c:v>38827.0</c:v>
                </c:pt>
                <c:pt idx="2511">
                  <c:v>38826.0</c:v>
                </c:pt>
                <c:pt idx="2512">
                  <c:v>38825.0</c:v>
                </c:pt>
                <c:pt idx="2513">
                  <c:v>38820.0</c:v>
                </c:pt>
                <c:pt idx="2514">
                  <c:v>38819.0</c:v>
                </c:pt>
                <c:pt idx="2515">
                  <c:v>38818.0</c:v>
                </c:pt>
                <c:pt idx="2516">
                  <c:v>38817.0</c:v>
                </c:pt>
                <c:pt idx="2517">
                  <c:v>38814.0</c:v>
                </c:pt>
                <c:pt idx="2518">
                  <c:v>38813.0</c:v>
                </c:pt>
                <c:pt idx="2519">
                  <c:v>38812.0</c:v>
                </c:pt>
                <c:pt idx="2520">
                  <c:v>38811.0</c:v>
                </c:pt>
                <c:pt idx="2521">
                  <c:v>38810.0</c:v>
                </c:pt>
                <c:pt idx="2522">
                  <c:v>38807.0</c:v>
                </c:pt>
                <c:pt idx="2523">
                  <c:v>38806.0</c:v>
                </c:pt>
                <c:pt idx="2524">
                  <c:v>38805.0</c:v>
                </c:pt>
                <c:pt idx="2525">
                  <c:v>38804.0</c:v>
                </c:pt>
                <c:pt idx="2526">
                  <c:v>38803.0</c:v>
                </c:pt>
                <c:pt idx="2527">
                  <c:v>38800.0</c:v>
                </c:pt>
                <c:pt idx="2528">
                  <c:v>38799.0</c:v>
                </c:pt>
                <c:pt idx="2529">
                  <c:v>38798.0</c:v>
                </c:pt>
                <c:pt idx="2530">
                  <c:v>38796.0</c:v>
                </c:pt>
                <c:pt idx="2531">
                  <c:v>38793.0</c:v>
                </c:pt>
                <c:pt idx="2532">
                  <c:v>38792.0</c:v>
                </c:pt>
                <c:pt idx="2533">
                  <c:v>38791.0</c:v>
                </c:pt>
                <c:pt idx="2534">
                  <c:v>38790.0</c:v>
                </c:pt>
                <c:pt idx="2535">
                  <c:v>38789.0</c:v>
                </c:pt>
                <c:pt idx="2536">
                  <c:v>38786.0</c:v>
                </c:pt>
                <c:pt idx="2537">
                  <c:v>38785.0</c:v>
                </c:pt>
                <c:pt idx="2538">
                  <c:v>38784.0</c:v>
                </c:pt>
                <c:pt idx="2539">
                  <c:v>38783.0</c:v>
                </c:pt>
                <c:pt idx="2540">
                  <c:v>38782.0</c:v>
                </c:pt>
                <c:pt idx="2541">
                  <c:v>38779.0</c:v>
                </c:pt>
                <c:pt idx="2542">
                  <c:v>38778.0</c:v>
                </c:pt>
                <c:pt idx="2543">
                  <c:v>38776.0</c:v>
                </c:pt>
                <c:pt idx="2544">
                  <c:v>38775.0</c:v>
                </c:pt>
                <c:pt idx="2545">
                  <c:v>38772.0</c:v>
                </c:pt>
                <c:pt idx="2546">
                  <c:v>38771.0</c:v>
                </c:pt>
                <c:pt idx="2547">
                  <c:v>38770.0</c:v>
                </c:pt>
                <c:pt idx="2548">
                  <c:v>38769.0</c:v>
                </c:pt>
                <c:pt idx="2549">
                  <c:v>38768.0</c:v>
                </c:pt>
                <c:pt idx="2550">
                  <c:v>38765.0</c:v>
                </c:pt>
                <c:pt idx="2551">
                  <c:v>38764.0</c:v>
                </c:pt>
                <c:pt idx="2552">
                  <c:v>38763.0</c:v>
                </c:pt>
                <c:pt idx="2553">
                  <c:v>38762.0</c:v>
                </c:pt>
                <c:pt idx="2554">
                  <c:v>38761.0</c:v>
                </c:pt>
                <c:pt idx="2555">
                  <c:v>38758.0</c:v>
                </c:pt>
                <c:pt idx="2556">
                  <c:v>38757.0</c:v>
                </c:pt>
                <c:pt idx="2557">
                  <c:v>38756.0</c:v>
                </c:pt>
                <c:pt idx="2558">
                  <c:v>38755.0</c:v>
                </c:pt>
                <c:pt idx="2559">
                  <c:v>38754.0</c:v>
                </c:pt>
                <c:pt idx="2560">
                  <c:v>38751.0</c:v>
                </c:pt>
                <c:pt idx="2561">
                  <c:v>38750.0</c:v>
                </c:pt>
                <c:pt idx="2562">
                  <c:v>38749.0</c:v>
                </c:pt>
                <c:pt idx="2563">
                  <c:v>38748.0</c:v>
                </c:pt>
                <c:pt idx="2564">
                  <c:v>38747.0</c:v>
                </c:pt>
                <c:pt idx="2565">
                  <c:v>38744.0</c:v>
                </c:pt>
                <c:pt idx="2566">
                  <c:v>38743.0</c:v>
                </c:pt>
                <c:pt idx="2567">
                  <c:v>38742.0</c:v>
                </c:pt>
                <c:pt idx="2568">
                  <c:v>38741.0</c:v>
                </c:pt>
                <c:pt idx="2569">
                  <c:v>38740.0</c:v>
                </c:pt>
                <c:pt idx="2570">
                  <c:v>38737.0</c:v>
                </c:pt>
                <c:pt idx="2571">
                  <c:v>38736.0</c:v>
                </c:pt>
                <c:pt idx="2572">
                  <c:v>38735.0</c:v>
                </c:pt>
                <c:pt idx="2573">
                  <c:v>38734.0</c:v>
                </c:pt>
                <c:pt idx="2574">
                  <c:v>38733.0</c:v>
                </c:pt>
                <c:pt idx="2575">
                  <c:v>38730.0</c:v>
                </c:pt>
                <c:pt idx="2576">
                  <c:v>38729.0</c:v>
                </c:pt>
                <c:pt idx="2577">
                  <c:v>38728.0</c:v>
                </c:pt>
                <c:pt idx="2578">
                  <c:v>38727.0</c:v>
                </c:pt>
                <c:pt idx="2579">
                  <c:v>38726.0</c:v>
                </c:pt>
                <c:pt idx="2580">
                  <c:v>38723.0</c:v>
                </c:pt>
                <c:pt idx="2581">
                  <c:v>38722.0</c:v>
                </c:pt>
                <c:pt idx="2582">
                  <c:v>38721.0</c:v>
                </c:pt>
                <c:pt idx="2583">
                  <c:v>38720.0</c:v>
                </c:pt>
                <c:pt idx="2584">
                  <c:v>38716.0</c:v>
                </c:pt>
                <c:pt idx="2585">
                  <c:v>38715.0</c:v>
                </c:pt>
                <c:pt idx="2586">
                  <c:v>38714.0</c:v>
                </c:pt>
                <c:pt idx="2587">
                  <c:v>38713.0</c:v>
                </c:pt>
                <c:pt idx="2588">
                  <c:v>38709.0</c:v>
                </c:pt>
                <c:pt idx="2589">
                  <c:v>38708.0</c:v>
                </c:pt>
                <c:pt idx="2590">
                  <c:v>38707.0</c:v>
                </c:pt>
                <c:pt idx="2591">
                  <c:v>38706.0</c:v>
                </c:pt>
                <c:pt idx="2592">
                  <c:v>38705.0</c:v>
                </c:pt>
                <c:pt idx="2593">
                  <c:v>38701.0</c:v>
                </c:pt>
                <c:pt idx="2594">
                  <c:v>38700.0</c:v>
                </c:pt>
                <c:pt idx="2595">
                  <c:v>38699.0</c:v>
                </c:pt>
                <c:pt idx="2596">
                  <c:v>38698.0</c:v>
                </c:pt>
                <c:pt idx="2597">
                  <c:v>38695.0</c:v>
                </c:pt>
                <c:pt idx="2598">
                  <c:v>38694.0</c:v>
                </c:pt>
                <c:pt idx="2599">
                  <c:v>38693.0</c:v>
                </c:pt>
                <c:pt idx="2600">
                  <c:v>38692.0</c:v>
                </c:pt>
                <c:pt idx="2601">
                  <c:v>38691.0</c:v>
                </c:pt>
                <c:pt idx="2602">
                  <c:v>38688.0</c:v>
                </c:pt>
                <c:pt idx="2603">
                  <c:v>38687.0</c:v>
                </c:pt>
                <c:pt idx="2604">
                  <c:v>38686.0</c:v>
                </c:pt>
                <c:pt idx="2605">
                  <c:v>38685.0</c:v>
                </c:pt>
                <c:pt idx="2606">
                  <c:v>38684.0</c:v>
                </c:pt>
                <c:pt idx="2607">
                  <c:v>38681.0</c:v>
                </c:pt>
                <c:pt idx="2608">
                  <c:v>38680.0</c:v>
                </c:pt>
                <c:pt idx="2609">
                  <c:v>38679.0</c:v>
                </c:pt>
                <c:pt idx="2610">
                  <c:v>38678.0</c:v>
                </c:pt>
                <c:pt idx="2611">
                  <c:v>38677.0</c:v>
                </c:pt>
                <c:pt idx="2612">
                  <c:v>38674.0</c:v>
                </c:pt>
                <c:pt idx="2613">
                  <c:v>38673.0</c:v>
                </c:pt>
                <c:pt idx="2614">
                  <c:v>38672.0</c:v>
                </c:pt>
                <c:pt idx="2615">
                  <c:v>38671.0</c:v>
                </c:pt>
                <c:pt idx="2616">
                  <c:v>38670.0</c:v>
                </c:pt>
                <c:pt idx="2617">
                  <c:v>38667.0</c:v>
                </c:pt>
                <c:pt idx="2618">
                  <c:v>38666.0</c:v>
                </c:pt>
                <c:pt idx="2619">
                  <c:v>38665.0</c:v>
                </c:pt>
                <c:pt idx="2620">
                  <c:v>38664.0</c:v>
                </c:pt>
                <c:pt idx="2621">
                  <c:v>38663.0</c:v>
                </c:pt>
                <c:pt idx="2622">
                  <c:v>38660.0</c:v>
                </c:pt>
                <c:pt idx="2623">
                  <c:v>38659.0</c:v>
                </c:pt>
                <c:pt idx="2624">
                  <c:v>38658.0</c:v>
                </c:pt>
                <c:pt idx="2625">
                  <c:v>38657.0</c:v>
                </c:pt>
                <c:pt idx="2626">
                  <c:v>38656.0</c:v>
                </c:pt>
                <c:pt idx="2627">
                  <c:v>38653.0</c:v>
                </c:pt>
                <c:pt idx="2628">
                  <c:v>38652.0</c:v>
                </c:pt>
                <c:pt idx="2629">
                  <c:v>38651.0</c:v>
                </c:pt>
                <c:pt idx="2630">
                  <c:v>38650.0</c:v>
                </c:pt>
                <c:pt idx="2631">
                  <c:v>38649.0</c:v>
                </c:pt>
                <c:pt idx="2632">
                  <c:v>38646.0</c:v>
                </c:pt>
                <c:pt idx="2633">
                  <c:v>38645.0</c:v>
                </c:pt>
                <c:pt idx="2634">
                  <c:v>38644.0</c:v>
                </c:pt>
                <c:pt idx="2635">
                  <c:v>38643.0</c:v>
                </c:pt>
                <c:pt idx="2636">
                  <c:v>38642.0</c:v>
                </c:pt>
                <c:pt idx="2637">
                  <c:v>38639.0</c:v>
                </c:pt>
                <c:pt idx="2638">
                  <c:v>38638.0</c:v>
                </c:pt>
                <c:pt idx="2639">
                  <c:v>38637.0</c:v>
                </c:pt>
                <c:pt idx="2640">
                  <c:v>38636.0</c:v>
                </c:pt>
                <c:pt idx="2641">
                  <c:v>38635.0</c:v>
                </c:pt>
                <c:pt idx="2642">
                  <c:v>38632.0</c:v>
                </c:pt>
                <c:pt idx="2643">
                  <c:v>38631.0</c:v>
                </c:pt>
                <c:pt idx="2644">
                  <c:v>38630.0</c:v>
                </c:pt>
                <c:pt idx="2645">
                  <c:v>38629.0</c:v>
                </c:pt>
                <c:pt idx="2646">
                  <c:v>38628.0</c:v>
                </c:pt>
                <c:pt idx="2647">
                  <c:v>38625.0</c:v>
                </c:pt>
                <c:pt idx="2648">
                  <c:v>38624.0</c:v>
                </c:pt>
                <c:pt idx="2649">
                  <c:v>38623.0</c:v>
                </c:pt>
                <c:pt idx="2650">
                  <c:v>38622.0</c:v>
                </c:pt>
                <c:pt idx="2651">
                  <c:v>38621.0</c:v>
                </c:pt>
                <c:pt idx="2652">
                  <c:v>38618.0</c:v>
                </c:pt>
                <c:pt idx="2653">
                  <c:v>38617.0</c:v>
                </c:pt>
                <c:pt idx="2654">
                  <c:v>38616.0</c:v>
                </c:pt>
                <c:pt idx="2655">
                  <c:v>38615.0</c:v>
                </c:pt>
                <c:pt idx="2656">
                  <c:v>38614.0</c:v>
                </c:pt>
                <c:pt idx="2657">
                  <c:v>38611.0</c:v>
                </c:pt>
                <c:pt idx="2658">
                  <c:v>38610.0</c:v>
                </c:pt>
                <c:pt idx="2659">
                  <c:v>38609.0</c:v>
                </c:pt>
                <c:pt idx="2660">
                  <c:v>38608.0</c:v>
                </c:pt>
                <c:pt idx="2661">
                  <c:v>38607.0</c:v>
                </c:pt>
                <c:pt idx="2662">
                  <c:v>38604.0</c:v>
                </c:pt>
                <c:pt idx="2663">
                  <c:v>38603.0</c:v>
                </c:pt>
                <c:pt idx="2664">
                  <c:v>38602.0</c:v>
                </c:pt>
                <c:pt idx="2665">
                  <c:v>38601.0</c:v>
                </c:pt>
                <c:pt idx="2666">
                  <c:v>38600.0</c:v>
                </c:pt>
                <c:pt idx="2667">
                  <c:v>38597.0</c:v>
                </c:pt>
                <c:pt idx="2668">
                  <c:v>38596.0</c:v>
                </c:pt>
                <c:pt idx="2669">
                  <c:v>38595.0</c:v>
                </c:pt>
                <c:pt idx="2670">
                  <c:v>38594.0</c:v>
                </c:pt>
                <c:pt idx="2671">
                  <c:v>38593.0</c:v>
                </c:pt>
                <c:pt idx="2672">
                  <c:v>38590.0</c:v>
                </c:pt>
                <c:pt idx="2673">
                  <c:v>38589.0</c:v>
                </c:pt>
                <c:pt idx="2674">
                  <c:v>38588.0</c:v>
                </c:pt>
                <c:pt idx="2675">
                  <c:v>38587.0</c:v>
                </c:pt>
                <c:pt idx="2676">
                  <c:v>38586.0</c:v>
                </c:pt>
                <c:pt idx="2677">
                  <c:v>38583.0</c:v>
                </c:pt>
                <c:pt idx="2678">
                  <c:v>38582.0</c:v>
                </c:pt>
                <c:pt idx="2679">
                  <c:v>38581.0</c:v>
                </c:pt>
                <c:pt idx="2680">
                  <c:v>38580.0</c:v>
                </c:pt>
                <c:pt idx="2681">
                  <c:v>38579.0</c:v>
                </c:pt>
                <c:pt idx="2682">
                  <c:v>38576.0</c:v>
                </c:pt>
                <c:pt idx="2683">
                  <c:v>38575.0</c:v>
                </c:pt>
                <c:pt idx="2684">
                  <c:v>38574.0</c:v>
                </c:pt>
                <c:pt idx="2685">
                  <c:v>38572.0</c:v>
                </c:pt>
                <c:pt idx="2686">
                  <c:v>38569.0</c:v>
                </c:pt>
                <c:pt idx="2687">
                  <c:v>38568.0</c:v>
                </c:pt>
                <c:pt idx="2688">
                  <c:v>38567.0</c:v>
                </c:pt>
                <c:pt idx="2689">
                  <c:v>38566.0</c:v>
                </c:pt>
                <c:pt idx="2690">
                  <c:v>38565.0</c:v>
                </c:pt>
                <c:pt idx="2691">
                  <c:v>38562.0</c:v>
                </c:pt>
                <c:pt idx="2692">
                  <c:v>38561.0</c:v>
                </c:pt>
                <c:pt idx="2693">
                  <c:v>38560.0</c:v>
                </c:pt>
                <c:pt idx="2694">
                  <c:v>38559.0</c:v>
                </c:pt>
                <c:pt idx="2695">
                  <c:v>38558.0</c:v>
                </c:pt>
                <c:pt idx="2696">
                  <c:v>38555.0</c:v>
                </c:pt>
                <c:pt idx="2697">
                  <c:v>38554.0</c:v>
                </c:pt>
                <c:pt idx="2698">
                  <c:v>38553.0</c:v>
                </c:pt>
                <c:pt idx="2699">
                  <c:v>38552.0</c:v>
                </c:pt>
                <c:pt idx="2700">
                  <c:v>38551.0</c:v>
                </c:pt>
                <c:pt idx="2701">
                  <c:v>38548.0</c:v>
                </c:pt>
                <c:pt idx="2702">
                  <c:v>38547.0</c:v>
                </c:pt>
                <c:pt idx="2703">
                  <c:v>38546.0</c:v>
                </c:pt>
                <c:pt idx="2704">
                  <c:v>38545.0</c:v>
                </c:pt>
                <c:pt idx="2705">
                  <c:v>38544.0</c:v>
                </c:pt>
                <c:pt idx="2706">
                  <c:v>38541.0</c:v>
                </c:pt>
                <c:pt idx="2707">
                  <c:v>38540.0</c:v>
                </c:pt>
                <c:pt idx="2708">
                  <c:v>38539.0</c:v>
                </c:pt>
                <c:pt idx="2709">
                  <c:v>38538.0</c:v>
                </c:pt>
                <c:pt idx="2710">
                  <c:v>38537.0</c:v>
                </c:pt>
                <c:pt idx="2711">
                  <c:v>38534.0</c:v>
                </c:pt>
                <c:pt idx="2712">
                  <c:v>38533.0</c:v>
                </c:pt>
                <c:pt idx="2713">
                  <c:v>38532.0</c:v>
                </c:pt>
                <c:pt idx="2714">
                  <c:v>38531.0</c:v>
                </c:pt>
                <c:pt idx="2715">
                  <c:v>38530.0</c:v>
                </c:pt>
                <c:pt idx="2716">
                  <c:v>38527.0</c:v>
                </c:pt>
                <c:pt idx="2717">
                  <c:v>38526.0</c:v>
                </c:pt>
                <c:pt idx="2718">
                  <c:v>38525.0</c:v>
                </c:pt>
                <c:pt idx="2719">
                  <c:v>38524.0</c:v>
                </c:pt>
                <c:pt idx="2720">
                  <c:v>38523.0</c:v>
                </c:pt>
                <c:pt idx="2721">
                  <c:v>38520.0</c:v>
                </c:pt>
                <c:pt idx="2722">
                  <c:v>38518.0</c:v>
                </c:pt>
                <c:pt idx="2723">
                  <c:v>38517.0</c:v>
                </c:pt>
                <c:pt idx="2724">
                  <c:v>38516.0</c:v>
                </c:pt>
                <c:pt idx="2725">
                  <c:v>38513.0</c:v>
                </c:pt>
                <c:pt idx="2726">
                  <c:v>38512.0</c:v>
                </c:pt>
                <c:pt idx="2727">
                  <c:v>38511.0</c:v>
                </c:pt>
                <c:pt idx="2728">
                  <c:v>38510.0</c:v>
                </c:pt>
                <c:pt idx="2729">
                  <c:v>38509.0</c:v>
                </c:pt>
                <c:pt idx="2730">
                  <c:v>38506.0</c:v>
                </c:pt>
                <c:pt idx="2731">
                  <c:v>38505.0</c:v>
                </c:pt>
                <c:pt idx="2732">
                  <c:v>38504.0</c:v>
                </c:pt>
                <c:pt idx="2733">
                  <c:v>38503.0</c:v>
                </c:pt>
                <c:pt idx="2734">
                  <c:v>38502.0</c:v>
                </c:pt>
                <c:pt idx="2735">
                  <c:v>38499.0</c:v>
                </c:pt>
                <c:pt idx="2736">
                  <c:v>38498.0</c:v>
                </c:pt>
                <c:pt idx="2737">
                  <c:v>38497.0</c:v>
                </c:pt>
                <c:pt idx="2738">
                  <c:v>38496.0</c:v>
                </c:pt>
                <c:pt idx="2739">
                  <c:v>38495.0</c:v>
                </c:pt>
                <c:pt idx="2740">
                  <c:v>38492.0</c:v>
                </c:pt>
                <c:pt idx="2741">
                  <c:v>38491.0</c:v>
                </c:pt>
                <c:pt idx="2742">
                  <c:v>38490.0</c:v>
                </c:pt>
                <c:pt idx="2743">
                  <c:v>38489.0</c:v>
                </c:pt>
                <c:pt idx="2744">
                  <c:v>38488.0</c:v>
                </c:pt>
                <c:pt idx="2745">
                  <c:v>38485.0</c:v>
                </c:pt>
                <c:pt idx="2746">
                  <c:v>38484.0</c:v>
                </c:pt>
                <c:pt idx="2747">
                  <c:v>38483.0</c:v>
                </c:pt>
                <c:pt idx="2748">
                  <c:v>38482.0</c:v>
                </c:pt>
                <c:pt idx="2749">
                  <c:v>38481.0</c:v>
                </c:pt>
                <c:pt idx="2750">
                  <c:v>38478.0</c:v>
                </c:pt>
              </c:numCache>
            </c:numRef>
          </c:cat>
          <c:val>
            <c:numRef>
              <c:f>'4f. JALSH vs Oceana Prices'!$F$9:$F$2759</c:f>
              <c:numCache>
                <c:formatCode>0.00</c:formatCode>
                <c:ptCount val="2751"/>
                <c:pt idx="0">
                  <c:v>172.4776444245665</c:v>
                </c:pt>
                <c:pt idx="1">
                  <c:v>179.1864536180565</c:v>
                </c:pt>
                <c:pt idx="2">
                  <c:v>171.4236064621074</c:v>
                </c:pt>
                <c:pt idx="3">
                  <c:v>175.1982018682111</c:v>
                </c:pt>
                <c:pt idx="4">
                  <c:v>165.2275724935974</c:v>
                </c:pt>
                <c:pt idx="5">
                  <c:v>172.5061319370654</c:v>
                </c:pt>
                <c:pt idx="6">
                  <c:v>169.5006993684318</c:v>
                </c:pt>
                <c:pt idx="7">
                  <c:v>173.7738262432663</c:v>
                </c:pt>
                <c:pt idx="8">
                  <c:v>163.8031968686526</c:v>
                </c:pt>
                <c:pt idx="9">
                  <c:v>164.0738282373921</c:v>
                </c:pt>
                <c:pt idx="10">
                  <c:v>164.8572348311118</c:v>
                </c:pt>
                <c:pt idx="11">
                  <c:v>162.3788212437078</c:v>
                </c:pt>
                <c:pt idx="12">
                  <c:v>163.3331529124208</c:v>
                </c:pt>
                <c:pt idx="13">
                  <c:v>164.5723597061228</c:v>
                </c:pt>
                <c:pt idx="14">
                  <c:v>163.8031968686526</c:v>
                </c:pt>
                <c:pt idx="15">
                  <c:v>166.0109790873171</c:v>
                </c:pt>
                <c:pt idx="16">
                  <c:v>171.7797003683435</c:v>
                </c:pt>
                <c:pt idx="17">
                  <c:v>173.0616384307939</c:v>
                </c:pt>
                <c:pt idx="18">
                  <c:v>171.4948252433546</c:v>
                </c:pt>
                <c:pt idx="19">
                  <c:v>171.4948252433546</c:v>
                </c:pt>
                <c:pt idx="20">
                  <c:v>176.6083337369064</c:v>
                </c:pt>
                <c:pt idx="21">
                  <c:v>172.8479820870521</c:v>
                </c:pt>
                <c:pt idx="22">
                  <c:v>178.0469531181007</c:v>
                </c:pt>
                <c:pt idx="23">
                  <c:v>179.200697374306</c:v>
                </c:pt>
                <c:pt idx="24">
                  <c:v>176.9929151556415</c:v>
                </c:pt>
                <c:pt idx="25">
                  <c:v>176.6225774931559</c:v>
                </c:pt>
                <c:pt idx="26">
                  <c:v>170.2128871809043</c:v>
                </c:pt>
                <c:pt idx="27">
                  <c:v>183.0322678054075</c:v>
                </c:pt>
                <c:pt idx="28">
                  <c:v>183.6020180553854</c:v>
                </c:pt>
                <c:pt idx="29">
                  <c:v>169.5006993684318</c:v>
                </c:pt>
                <c:pt idx="30">
                  <c:v>164.1308032623899</c:v>
                </c:pt>
                <c:pt idx="31">
                  <c:v>159.8291888750566</c:v>
                </c:pt>
                <c:pt idx="32">
                  <c:v>158.8891009625931</c:v>
                </c:pt>
                <c:pt idx="33">
                  <c:v>158.8178821813458</c:v>
                </c:pt>
                <c:pt idx="34">
                  <c:v>166.6519481185422</c:v>
                </c:pt>
                <c:pt idx="35">
                  <c:v>168.0763237434871</c:v>
                </c:pt>
                <c:pt idx="36">
                  <c:v>170.9250749933767</c:v>
                </c:pt>
                <c:pt idx="37">
                  <c:v>173.9732388307586</c:v>
                </c:pt>
                <c:pt idx="38">
                  <c:v>174.4717702994892</c:v>
                </c:pt>
                <c:pt idx="39">
                  <c:v>170.2128871809043</c:v>
                </c:pt>
                <c:pt idx="40">
                  <c:v>178.0469531181007</c:v>
                </c:pt>
                <c:pt idx="41">
                  <c:v>164.5723597061228</c:v>
                </c:pt>
                <c:pt idx="42">
                  <c:v>163.8031968686526</c:v>
                </c:pt>
                <c:pt idx="43">
                  <c:v>162.6921838811957</c:v>
                </c:pt>
                <c:pt idx="44">
                  <c:v>163.8031968686526</c:v>
                </c:pt>
                <c:pt idx="45">
                  <c:v>163.8031968686526</c:v>
                </c:pt>
                <c:pt idx="46">
                  <c:v>164.1450470186394</c:v>
                </c:pt>
                <c:pt idx="47">
                  <c:v>163.9456344311471</c:v>
                </c:pt>
                <c:pt idx="48">
                  <c:v>163.8031968686526</c:v>
                </c:pt>
                <c:pt idx="49">
                  <c:v>163.8031968686526</c:v>
                </c:pt>
                <c:pt idx="50">
                  <c:v>162.3788212437078</c:v>
                </c:pt>
                <c:pt idx="51">
                  <c:v>159.5158262375688</c:v>
                </c:pt>
                <c:pt idx="52">
                  <c:v>162.4073087562067</c:v>
                </c:pt>
                <c:pt idx="53">
                  <c:v>159.5300699938182</c:v>
                </c:pt>
                <c:pt idx="54">
                  <c:v>154.1886614002752</c:v>
                </c:pt>
                <c:pt idx="55">
                  <c:v>156.6813187439286</c:v>
                </c:pt>
                <c:pt idx="56">
                  <c:v>157.4504815813988</c:v>
                </c:pt>
                <c:pt idx="57">
                  <c:v>159.302169893827</c:v>
                </c:pt>
                <c:pt idx="58">
                  <c:v>162.5924775874495</c:v>
                </c:pt>
                <c:pt idx="59">
                  <c:v>166.0964416248138</c:v>
                </c:pt>
                <c:pt idx="60">
                  <c:v>168.0763237434871</c:v>
                </c:pt>
                <c:pt idx="61">
                  <c:v>156.6955625001781</c:v>
                </c:pt>
                <c:pt idx="62">
                  <c:v>158.1056943688734</c:v>
                </c:pt>
                <c:pt idx="63">
                  <c:v>159.3306574063259</c:v>
                </c:pt>
                <c:pt idx="64">
                  <c:v>162.3503337312089</c:v>
                </c:pt>
                <c:pt idx="65">
                  <c:v>163.9313906748977</c:v>
                </c:pt>
                <c:pt idx="66">
                  <c:v>163.5468092561626</c:v>
                </c:pt>
                <c:pt idx="67">
                  <c:v>161.5669271374893</c:v>
                </c:pt>
                <c:pt idx="68">
                  <c:v>160.954445618763</c:v>
                </c:pt>
                <c:pt idx="69">
                  <c:v>158.091450612624</c:v>
                </c:pt>
                <c:pt idx="70">
                  <c:v>156.6813187439286</c:v>
                </c:pt>
                <c:pt idx="71">
                  <c:v>158.1056943688734</c:v>
                </c:pt>
                <c:pt idx="72">
                  <c:v>157.5929191438933</c:v>
                </c:pt>
                <c:pt idx="73">
                  <c:v>156.6813187439286</c:v>
                </c:pt>
                <c:pt idx="74">
                  <c:v>156.6813187439286</c:v>
                </c:pt>
                <c:pt idx="75">
                  <c:v>156.6813187439286</c:v>
                </c:pt>
                <c:pt idx="76">
                  <c:v>153.832567494039</c:v>
                </c:pt>
                <c:pt idx="77">
                  <c:v>151.5678102503768</c:v>
                </c:pt>
                <c:pt idx="78">
                  <c:v>152.9921858753216</c:v>
                </c:pt>
                <c:pt idx="79">
                  <c:v>152.9921858753216</c:v>
                </c:pt>
                <c:pt idx="80">
                  <c:v>151.6014255151254</c:v>
                </c:pt>
                <c:pt idx="81">
                  <c:v>152.9921858753216</c:v>
                </c:pt>
                <c:pt idx="82">
                  <c:v>157.5124419210839</c:v>
                </c:pt>
                <c:pt idx="83">
                  <c:v>162.7280781469443</c:v>
                </c:pt>
                <c:pt idx="84">
                  <c:v>159.278810133578</c:v>
                </c:pt>
                <c:pt idx="85">
                  <c:v>156.4692292133743</c:v>
                </c:pt>
                <c:pt idx="86">
                  <c:v>154.5221077340748</c:v>
                </c:pt>
                <c:pt idx="87">
                  <c:v>154.7307787631292</c:v>
                </c:pt>
                <c:pt idx="88">
                  <c:v>154.7307787631292</c:v>
                </c:pt>
                <c:pt idx="89">
                  <c:v>154.619535026821</c:v>
                </c:pt>
                <c:pt idx="90">
                  <c:v>156.246741740758</c:v>
                </c:pt>
                <c:pt idx="91">
                  <c:v>157.818397805322</c:v>
                </c:pt>
                <c:pt idx="92">
                  <c:v>157.1647518310349</c:v>
                </c:pt>
                <c:pt idx="93">
                  <c:v>158.6667559275392</c:v>
                </c:pt>
                <c:pt idx="94">
                  <c:v>155.7738490332763</c:v>
                </c:pt>
                <c:pt idx="95">
                  <c:v>155.7738490332763</c:v>
                </c:pt>
                <c:pt idx="96">
                  <c:v>166.6502388677923</c:v>
                </c:pt>
                <c:pt idx="97">
                  <c:v>163.1452777674906</c:v>
                </c:pt>
                <c:pt idx="98">
                  <c:v>164.8143611248009</c:v>
                </c:pt>
                <c:pt idx="99">
                  <c:v>156.1215391233253</c:v>
                </c:pt>
                <c:pt idx="100">
                  <c:v>154.5778008210101</c:v>
                </c:pt>
                <c:pt idx="101">
                  <c:v>157.8601320111329</c:v>
                </c:pt>
                <c:pt idx="102">
                  <c:v>157.1647518310349</c:v>
                </c:pt>
                <c:pt idx="103">
                  <c:v>157.6097267762676</c:v>
                </c:pt>
                <c:pt idx="104">
                  <c:v>157.1647518310349</c:v>
                </c:pt>
                <c:pt idx="105">
                  <c:v>157.1647518310349</c:v>
                </c:pt>
                <c:pt idx="106">
                  <c:v>159.1675663972698</c:v>
                </c:pt>
                <c:pt idx="107">
                  <c:v>156.5526976249961</c:v>
                </c:pt>
                <c:pt idx="108">
                  <c:v>157.1647518310349</c:v>
                </c:pt>
                <c:pt idx="109">
                  <c:v>159.9324561078651</c:v>
                </c:pt>
                <c:pt idx="110">
                  <c:v>159.9464149889896</c:v>
                </c:pt>
                <c:pt idx="111">
                  <c:v>159.9464149889896</c:v>
                </c:pt>
                <c:pt idx="112">
                  <c:v>159.8629465773678</c:v>
                </c:pt>
                <c:pt idx="113">
                  <c:v>159.4595634003834</c:v>
                </c:pt>
                <c:pt idx="114">
                  <c:v>159.9464149889896</c:v>
                </c:pt>
                <c:pt idx="115">
                  <c:v>157.8601320111329</c:v>
                </c:pt>
                <c:pt idx="116">
                  <c:v>155.7738490332763</c:v>
                </c:pt>
                <c:pt idx="117">
                  <c:v>149.6541615982634</c:v>
                </c:pt>
                <c:pt idx="118">
                  <c:v>150.9059028974649</c:v>
                </c:pt>
                <c:pt idx="119">
                  <c:v>148.8196199196082</c:v>
                </c:pt>
                <c:pt idx="120">
                  <c:v>145.3425765815555</c:v>
                </c:pt>
                <c:pt idx="121">
                  <c:v>148.8196199196082</c:v>
                </c:pt>
                <c:pt idx="122">
                  <c:v>146.9699257330549</c:v>
                </c:pt>
                <c:pt idx="123">
                  <c:v>145.857203494848</c:v>
                </c:pt>
                <c:pt idx="124">
                  <c:v>141.6568622144483</c:v>
                </c:pt>
                <c:pt idx="125">
                  <c:v>143.4510057516288</c:v>
                </c:pt>
                <c:pt idx="126">
                  <c:v>143.2562936036988</c:v>
                </c:pt>
                <c:pt idx="127">
                  <c:v>146.0379567616535</c:v>
                </c:pt>
                <c:pt idx="128">
                  <c:v>146.0379567616535</c:v>
                </c:pt>
                <c:pt idx="129">
                  <c:v>146.0379567616535</c:v>
                </c:pt>
                <c:pt idx="130">
                  <c:v>143.2562936036988</c:v>
                </c:pt>
                <c:pt idx="131">
                  <c:v>144.1881201375377</c:v>
                </c:pt>
                <c:pt idx="132">
                  <c:v>146.0379567616535</c:v>
                </c:pt>
                <c:pt idx="133">
                  <c:v>148.8058034760463</c:v>
                </c:pt>
                <c:pt idx="134">
                  <c:v>148.9170472123544</c:v>
                </c:pt>
                <c:pt idx="135">
                  <c:v>147.7208565625258</c:v>
                </c:pt>
                <c:pt idx="136">
                  <c:v>152.2968056952235</c:v>
                </c:pt>
                <c:pt idx="137">
                  <c:v>151.6014255151254</c:v>
                </c:pt>
                <c:pt idx="138">
                  <c:v>150.2105227173668</c:v>
                </c:pt>
                <c:pt idx="139">
                  <c:v>152.9921858753216</c:v>
                </c:pt>
                <c:pt idx="140">
                  <c:v>146.7334793793141</c:v>
                </c:pt>
                <c:pt idx="141">
                  <c:v>145.3425765815555</c:v>
                </c:pt>
                <c:pt idx="142">
                  <c:v>145.898937700659</c:v>
                </c:pt>
                <c:pt idx="143">
                  <c:v>142.1157960408055</c:v>
                </c:pt>
                <c:pt idx="144">
                  <c:v>139.5010697060943</c:v>
                </c:pt>
                <c:pt idx="145">
                  <c:v>135.857089544798</c:v>
                </c:pt>
                <c:pt idx="146">
                  <c:v>132.825021151978</c:v>
                </c:pt>
                <c:pt idx="147">
                  <c:v>134.0767624511795</c:v>
                </c:pt>
                <c:pt idx="148">
                  <c:v>134.8417945993374</c:v>
                </c:pt>
                <c:pt idx="149">
                  <c:v>132.825021151978</c:v>
                </c:pt>
                <c:pt idx="150">
                  <c:v>132.12964097188</c:v>
                </c:pt>
                <c:pt idx="151">
                  <c:v>132.7555116214807</c:v>
                </c:pt>
                <c:pt idx="152">
                  <c:v>129.083756135498</c:v>
                </c:pt>
                <c:pt idx="153">
                  <c:v>130.0433579940233</c:v>
                </c:pt>
                <c:pt idx="154">
                  <c:v>131.0726118206084</c:v>
                </c:pt>
                <c:pt idx="155">
                  <c:v>128.6525976338272</c:v>
                </c:pt>
                <c:pt idx="156">
                  <c:v>126.3436847457917</c:v>
                </c:pt>
                <c:pt idx="157">
                  <c:v>127.7485464246747</c:v>
                </c:pt>
                <c:pt idx="158">
                  <c:v>130.2520290230777</c:v>
                </c:pt>
                <c:pt idx="159">
                  <c:v>132.12964097188</c:v>
                </c:pt>
                <c:pt idx="160">
                  <c:v>129.4174873444226</c:v>
                </c:pt>
                <c:pt idx="161">
                  <c:v>139.0699112044235</c:v>
                </c:pt>
                <c:pt idx="162">
                  <c:v>132.3938626503073</c:v>
                </c:pt>
                <c:pt idx="163">
                  <c:v>129.973848463526</c:v>
                </c:pt>
                <c:pt idx="164">
                  <c:v>128.3882335178374</c:v>
                </c:pt>
                <c:pt idx="165">
                  <c:v>128.7638413701354</c:v>
                </c:pt>
                <c:pt idx="166">
                  <c:v>134.9530383356456</c:v>
                </c:pt>
                <c:pt idx="167">
                  <c:v>130.0433579940233</c:v>
                </c:pt>
                <c:pt idx="168">
                  <c:v>134.633123570283</c:v>
                </c:pt>
                <c:pt idx="169">
                  <c:v>137.331318316616</c:v>
                </c:pt>
                <c:pt idx="170">
                  <c:v>132.477331061929</c:v>
                </c:pt>
                <c:pt idx="171">
                  <c:v>133.6317875059468</c:v>
                </c:pt>
                <c:pt idx="172">
                  <c:v>132.3243531198099</c:v>
                </c:pt>
                <c:pt idx="173">
                  <c:v>129.3479778139253</c:v>
                </c:pt>
                <c:pt idx="174">
                  <c:v>133.8427375360011</c:v>
                </c:pt>
                <c:pt idx="175">
                  <c:v>136.1364096048497</c:v>
                </c:pt>
                <c:pt idx="176">
                  <c:v>132.8983764966627</c:v>
                </c:pt>
                <c:pt idx="177">
                  <c:v>132.6284573157356</c:v>
                </c:pt>
                <c:pt idx="178">
                  <c:v>131.1442579145432</c:v>
                </c:pt>
                <c:pt idx="179">
                  <c:v>136.6221216929559</c:v>
                </c:pt>
                <c:pt idx="180">
                  <c:v>134.9896447892067</c:v>
                </c:pt>
                <c:pt idx="181">
                  <c:v>136.0150528016044</c:v>
                </c:pt>
                <c:pt idx="182">
                  <c:v>134.9221293845843</c:v>
                </c:pt>
                <c:pt idx="183">
                  <c:v>134.9221293845843</c:v>
                </c:pt>
                <c:pt idx="184">
                  <c:v>136.2308457087836</c:v>
                </c:pt>
                <c:pt idx="185">
                  <c:v>136.0690366377898</c:v>
                </c:pt>
                <c:pt idx="186">
                  <c:v>137.5126413336714</c:v>
                </c:pt>
                <c:pt idx="187">
                  <c:v>134.9221293845843</c:v>
                </c:pt>
                <c:pt idx="188">
                  <c:v>134.517321831975</c:v>
                </c:pt>
                <c:pt idx="189">
                  <c:v>133.5729607926365</c:v>
                </c:pt>
                <c:pt idx="190">
                  <c:v>134.787241012902</c:v>
                </c:pt>
                <c:pt idx="191">
                  <c:v>130.941996575801</c:v>
                </c:pt>
                <c:pt idx="192">
                  <c:v>133.7078491643188</c:v>
                </c:pt>
                <c:pt idx="193">
                  <c:v>133.5729607926365</c:v>
                </c:pt>
                <c:pt idx="194">
                  <c:v>134.1126567169282</c:v>
                </c:pt>
                <c:pt idx="195">
                  <c:v>134.9221293845843</c:v>
                </c:pt>
                <c:pt idx="196">
                  <c:v>134.5308534004119</c:v>
                </c:pt>
                <c:pt idx="197">
                  <c:v>134.3824334602927</c:v>
                </c:pt>
                <c:pt idx="198">
                  <c:v>134.9221293845843</c:v>
                </c:pt>
                <c:pt idx="199">
                  <c:v>134.2475450886104</c:v>
                </c:pt>
                <c:pt idx="200">
                  <c:v>134.9221293845843</c:v>
                </c:pt>
                <c:pt idx="201">
                  <c:v>134.9221293845843</c:v>
                </c:pt>
                <c:pt idx="202">
                  <c:v>133.1681532400272</c:v>
                </c:pt>
                <c:pt idx="203">
                  <c:v>134.3555127609812</c:v>
                </c:pt>
                <c:pt idx="204">
                  <c:v>134.9221293845843</c:v>
                </c:pt>
                <c:pt idx="205">
                  <c:v>132.9792810321595</c:v>
                </c:pt>
                <c:pt idx="206">
                  <c:v>133.5729607926365</c:v>
                </c:pt>
                <c:pt idx="207">
                  <c:v>131.8189846480795</c:v>
                </c:pt>
                <c:pt idx="208">
                  <c:v>131.5490654671524</c:v>
                </c:pt>
                <c:pt idx="209">
                  <c:v>131.5490654671524</c:v>
                </c:pt>
                <c:pt idx="210">
                  <c:v>130.7935766356818</c:v>
                </c:pt>
                <c:pt idx="211">
                  <c:v>130.8744811711786</c:v>
                </c:pt>
                <c:pt idx="212">
                  <c:v>126.476009241349</c:v>
                </c:pt>
                <c:pt idx="213">
                  <c:v>126.6108976130313</c:v>
                </c:pt>
                <c:pt idx="214">
                  <c:v>124.0760787508796</c:v>
                </c:pt>
                <c:pt idx="215">
                  <c:v>124.0760787508796</c:v>
                </c:pt>
                <c:pt idx="216">
                  <c:v>123.409043645718</c:v>
                </c:pt>
                <c:pt idx="217">
                  <c:v>121.74124222647</c:v>
                </c:pt>
                <c:pt idx="218">
                  <c:v>118.7395130344614</c:v>
                </c:pt>
                <c:pt idx="219">
                  <c:v>117.4053003865755</c:v>
                </c:pt>
                <c:pt idx="220">
                  <c:v>116.5647763302956</c:v>
                </c:pt>
                <c:pt idx="221">
                  <c:v>116.3380157308044</c:v>
                </c:pt>
                <c:pt idx="222">
                  <c:v>117.4053003865755</c:v>
                </c:pt>
                <c:pt idx="223">
                  <c:v>117.4053003865755</c:v>
                </c:pt>
                <c:pt idx="224">
                  <c:v>117.4053003865755</c:v>
                </c:pt>
                <c:pt idx="225">
                  <c:v>119.5398696981178</c:v>
                </c:pt>
                <c:pt idx="226">
                  <c:v>119.406548139623</c:v>
                </c:pt>
                <c:pt idx="227">
                  <c:v>124.0760787508796</c:v>
                </c:pt>
                <c:pt idx="228">
                  <c:v>121.7546313573445</c:v>
                </c:pt>
                <c:pt idx="229">
                  <c:v>123.7424899795175</c:v>
                </c:pt>
                <c:pt idx="230">
                  <c:v>124.0760787508796</c:v>
                </c:pt>
                <c:pt idx="231">
                  <c:v>123.409043645718</c:v>
                </c:pt>
                <c:pt idx="232">
                  <c:v>125.7837626876259</c:v>
                </c:pt>
                <c:pt idx="233">
                  <c:v>124.0760787508796</c:v>
                </c:pt>
                <c:pt idx="234">
                  <c:v>121.4077958926704</c:v>
                </c:pt>
                <c:pt idx="235">
                  <c:v>126.7443616090887</c:v>
                </c:pt>
                <c:pt idx="236">
                  <c:v>128.0918209502864</c:v>
                </c:pt>
                <c:pt idx="237">
                  <c:v>131.8407775951412</c:v>
                </c:pt>
                <c:pt idx="238">
                  <c:v>130.7468571151836</c:v>
                </c:pt>
                <c:pt idx="239">
                  <c:v>132.8948155576003</c:v>
                </c:pt>
                <c:pt idx="240">
                  <c:v>137.2173682666204</c:v>
                </c:pt>
                <c:pt idx="241">
                  <c:v>133.3350900632708</c:v>
                </c:pt>
                <c:pt idx="242">
                  <c:v>128.412020590774</c:v>
                </c:pt>
                <c:pt idx="243">
                  <c:v>150.025353886124</c:v>
                </c:pt>
                <c:pt idx="244">
                  <c:v>150.8925137665904</c:v>
                </c:pt>
                <c:pt idx="245">
                  <c:v>150.0920146653714</c:v>
                </c:pt>
                <c:pt idx="246">
                  <c:v>139.4054941016605</c:v>
                </c:pt>
                <c:pt idx="247">
                  <c:v>141.9136771396258</c:v>
                </c:pt>
                <c:pt idx="248">
                  <c:v>138.7650948206854</c:v>
                </c:pt>
                <c:pt idx="249">
                  <c:v>142.7542011959058</c:v>
                </c:pt>
                <c:pt idx="250">
                  <c:v>152.0932624184189</c:v>
                </c:pt>
                <c:pt idx="251">
                  <c:v>144.7554489489532</c:v>
                </c:pt>
                <c:pt idx="252">
                  <c:v>141.8468739228159</c:v>
                </c:pt>
                <c:pt idx="253">
                  <c:v>132.4145160968689</c:v>
                </c:pt>
                <c:pt idx="254">
                  <c:v>135.536462591623</c:v>
                </c:pt>
                <c:pt idx="255">
                  <c:v>134.5624745392857</c:v>
                </c:pt>
                <c:pt idx="256">
                  <c:v>134.749210183716</c:v>
                </c:pt>
                <c:pt idx="257">
                  <c:v>133.6285114420094</c:v>
                </c:pt>
                <c:pt idx="258">
                  <c:v>134.6158886252211</c:v>
                </c:pt>
                <c:pt idx="259">
                  <c:v>133.935464389185</c:v>
                </c:pt>
                <c:pt idx="260">
                  <c:v>133.4151399733927</c:v>
                </c:pt>
                <c:pt idx="261">
                  <c:v>133.1616011121525</c:v>
                </c:pt>
                <c:pt idx="262">
                  <c:v>133.6152647486974</c:v>
                </c:pt>
                <c:pt idx="263">
                  <c:v>134.0821750785543</c:v>
                </c:pt>
                <c:pt idx="264">
                  <c:v>134.5090604533503</c:v>
                </c:pt>
                <c:pt idx="265">
                  <c:v>132.6146408721737</c:v>
                </c:pt>
                <c:pt idx="266">
                  <c:v>136.8038720226988</c:v>
                </c:pt>
                <c:pt idx="267">
                  <c:v>136.5103082063977</c:v>
                </c:pt>
                <c:pt idx="268">
                  <c:v>137.8977925026565</c:v>
                </c:pt>
                <c:pt idx="269">
                  <c:v>138.7517056898109</c:v>
                </c:pt>
                <c:pt idx="270">
                  <c:v>138.0178673678393</c:v>
                </c:pt>
                <c:pt idx="271">
                  <c:v>134.2156390746117</c:v>
                </c:pt>
                <c:pt idx="272">
                  <c:v>134.8826741797733</c:v>
                </c:pt>
                <c:pt idx="273">
                  <c:v>131.4805529995926</c:v>
                </c:pt>
                <c:pt idx="274">
                  <c:v>132.1477305423168</c:v>
                </c:pt>
                <c:pt idx="275">
                  <c:v>135.2295096444474</c:v>
                </c:pt>
                <c:pt idx="276">
                  <c:v>133.6552897037584</c:v>
                </c:pt>
                <c:pt idx="277">
                  <c:v>128.0785742569745</c:v>
                </c:pt>
                <c:pt idx="278">
                  <c:v>125.4101489612029</c:v>
                </c:pt>
                <c:pt idx="279">
                  <c:v>130.2131435685168</c:v>
                </c:pt>
                <c:pt idx="280">
                  <c:v>136.4970615130857</c:v>
                </c:pt>
                <c:pt idx="281">
                  <c:v>139.4455190567215</c:v>
                </c:pt>
                <c:pt idx="282">
                  <c:v>140.7529534428583</c:v>
                </c:pt>
                <c:pt idx="283">
                  <c:v>135.4564126815011</c:v>
                </c:pt>
                <c:pt idx="284">
                  <c:v>138.7517056898109</c:v>
                </c:pt>
                <c:pt idx="285">
                  <c:v>140.5928536226145</c:v>
                </c:pt>
                <c:pt idx="286">
                  <c:v>146.0228583800291</c:v>
                </c:pt>
                <c:pt idx="287">
                  <c:v>140.0859183376966</c:v>
                </c:pt>
                <c:pt idx="288">
                  <c:v>145.2489951029966</c:v>
                </c:pt>
                <c:pt idx="289">
                  <c:v>145.9561976007817</c:v>
                </c:pt>
                <c:pt idx="290">
                  <c:v>144.0882714062291</c:v>
                </c:pt>
                <c:pt idx="291">
                  <c:v>144.0616355820426</c:v>
                </c:pt>
                <c:pt idx="292">
                  <c:v>145.4224840541149</c:v>
                </c:pt>
                <c:pt idx="293">
                  <c:v>146.7565542644382</c:v>
                </c:pt>
                <c:pt idx="294">
                  <c:v>148.090766912324</c:v>
                </c:pt>
                <c:pt idx="295">
                  <c:v>148.9713159236649</c:v>
                </c:pt>
                <c:pt idx="296">
                  <c:v>149.4115904293353</c:v>
                </c:pt>
                <c:pt idx="297">
                  <c:v>152.0932624184189</c:v>
                </c:pt>
                <c:pt idx="298">
                  <c:v>153.4273326287422</c:v>
                </c:pt>
                <c:pt idx="299">
                  <c:v>152.0932624184189</c:v>
                </c:pt>
                <c:pt idx="300">
                  <c:v>151.3860599206338</c:v>
                </c:pt>
                <c:pt idx="301">
                  <c:v>151.7596736470568</c:v>
                </c:pt>
                <c:pt idx="302">
                  <c:v>144.7554489489532</c:v>
                </c:pt>
                <c:pt idx="303">
                  <c:v>146.0895191592765</c:v>
                </c:pt>
                <c:pt idx="304">
                  <c:v>148.5576772421809</c:v>
                </c:pt>
                <c:pt idx="305">
                  <c:v>146.156179938524</c:v>
                </c:pt>
                <c:pt idx="306">
                  <c:v>148.7311661932992</c:v>
                </c:pt>
                <c:pt idx="307">
                  <c:v>149.0247300096003</c:v>
                </c:pt>
                <c:pt idx="308">
                  <c:v>147.5570533656572</c:v>
                </c:pt>
                <c:pt idx="309">
                  <c:v>150.4256034367335</c:v>
                </c:pt>
                <c:pt idx="310">
                  <c:v>150.4256034367335</c:v>
                </c:pt>
                <c:pt idx="311">
                  <c:v>150.0920146653714</c:v>
                </c:pt>
                <c:pt idx="312">
                  <c:v>147.0901430358003</c:v>
                </c:pt>
                <c:pt idx="313">
                  <c:v>144.0882714062291</c:v>
                </c:pt>
                <c:pt idx="314">
                  <c:v>145.4224840541149</c:v>
                </c:pt>
                <c:pt idx="315">
                  <c:v>145.4224840541149</c:v>
                </c:pt>
                <c:pt idx="316">
                  <c:v>145.4224840541149</c:v>
                </c:pt>
                <c:pt idx="317">
                  <c:v>145.4224840541149</c:v>
                </c:pt>
                <c:pt idx="318">
                  <c:v>146.0895191592765</c:v>
                </c:pt>
                <c:pt idx="319">
                  <c:v>142.7542011959058</c:v>
                </c:pt>
                <c:pt idx="320">
                  <c:v>146.7299184402517</c:v>
                </c:pt>
                <c:pt idx="321">
                  <c:v>144.0882714062291</c:v>
                </c:pt>
                <c:pt idx="322">
                  <c:v>145.4224840541149</c:v>
                </c:pt>
                <c:pt idx="323">
                  <c:v>145.4224840541149</c:v>
                </c:pt>
                <c:pt idx="324">
                  <c:v>144.0082214961072</c:v>
                </c:pt>
                <c:pt idx="325">
                  <c:v>143.9549498477342</c:v>
                </c:pt>
                <c:pt idx="326">
                  <c:v>141.3533277687725</c:v>
                </c:pt>
                <c:pt idx="327">
                  <c:v>140.619489446801</c:v>
                </c:pt>
                <c:pt idx="328">
                  <c:v>143.1410616156408</c:v>
                </c:pt>
                <c:pt idx="329">
                  <c:v>142.490406830166</c:v>
                </c:pt>
                <c:pt idx="330">
                  <c:v>141.9699399768112</c:v>
                </c:pt>
                <c:pt idx="331">
                  <c:v>142.490406830166</c:v>
                </c:pt>
                <c:pt idx="332">
                  <c:v>141.1890972592164</c:v>
                </c:pt>
                <c:pt idx="333">
                  <c:v>137.4804504445476</c:v>
                </c:pt>
                <c:pt idx="334">
                  <c:v>136.452478556025</c:v>
                </c:pt>
                <c:pt idx="335">
                  <c:v>135.3333466275058</c:v>
                </c:pt>
                <c:pt idx="336">
                  <c:v>139.1200492264216</c:v>
                </c:pt>
                <c:pt idx="337">
                  <c:v>140.0309374385738</c:v>
                </c:pt>
                <c:pt idx="338">
                  <c:v>137.5716104845441</c:v>
                </c:pt>
                <c:pt idx="339">
                  <c:v>137.6106383766676</c:v>
                </c:pt>
                <c:pt idx="340">
                  <c:v>137.3113770578667</c:v>
                </c:pt>
                <c:pt idx="341">
                  <c:v>137.6757323427276</c:v>
                </c:pt>
                <c:pt idx="342">
                  <c:v>132.7308699231692</c:v>
                </c:pt>
                <c:pt idx="343">
                  <c:v>130.12825078127</c:v>
                </c:pt>
                <c:pt idx="344">
                  <c:v>130.12825078127</c:v>
                </c:pt>
                <c:pt idx="345">
                  <c:v>130.8179334588683</c:v>
                </c:pt>
                <c:pt idx="346">
                  <c:v>131.4295603522196</c:v>
                </c:pt>
                <c:pt idx="347">
                  <c:v>134.6957960977805</c:v>
                </c:pt>
                <c:pt idx="348">
                  <c:v>136.6476180166424</c:v>
                </c:pt>
                <c:pt idx="349">
                  <c:v>134.2273189547362</c:v>
                </c:pt>
                <c:pt idx="350">
                  <c:v>130.115288963083</c:v>
                </c:pt>
                <c:pt idx="351">
                  <c:v>129.1522686030578</c:v>
                </c:pt>
                <c:pt idx="352">
                  <c:v>128.1762864248457</c:v>
                </c:pt>
                <c:pt idx="353">
                  <c:v>130.12825078127</c:v>
                </c:pt>
                <c:pt idx="354">
                  <c:v>135.8538134808607</c:v>
                </c:pt>
                <c:pt idx="355">
                  <c:v>136.6346561984554</c:v>
                </c:pt>
                <c:pt idx="356">
                  <c:v>131.4295603522196</c:v>
                </c:pt>
                <c:pt idx="357">
                  <c:v>131.4295603522196</c:v>
                </c:pt>
                <c:pt idx="358">
                  <c:v>128.8269412103205</c:v>
                </c:pt>
                <c:pt idx="359">
                  <c:v>128.1762864248457</c:v>
                </c:pt>
                <c:pt idx="360">
                  <c:v>122.3334976113221</c:v>
                </c:pt>
                <c:pt idx="361">
                  <c:v>121.6698810076603</c:v>
                </c:pt>
                <c:pt idx="362">
                  <c:v>117.1154399468993</c:v>
                </c:pt>
                <c:pt idx="363">
                  <c:v>112.5478946303888</c:v>
                </c:pt>
                <c:pt idx="364">
                  <c:v>114.5128208050001</c:v>
                </c:pt>
                <c:pt idx="365">
                  <c:v>114.864214271674</c:v>
                </c:pt>
                <c:pt idx="366">
                  <c:v>112.7040061988827</c:v>
                </c:pt>
                <c:pt idx="367">
                  <c:v>111.2987172073122</c:v>
                </c:pt>
                <c:pt idx="368">
                  <c:v>111.2336232412522</c:v>
                </c:pt>
                <c:pt idx="369">
                  <c:v>111.9233059188505</c:v>
                </c:pt>
                <c:pt idx="370">
                  <c:v>107.4078927502129</c:v>
                </c:pt>
                <c:pt idx="371">
                  <c:v>101.6951494312468</c:v>
                </c:pt>
                <c:pt idx="372">
                  <c:v>101.4870481524424</c:v>
                </c:pt>
                <c:pt idx="373">
                  <c:v>98.50711190749535</c:v>
                </c:pt>
                <c:pt idx="374">
                  <c:v>98.63715740205281</c:v>
                </c:pt>
                <c:pt idx="375">
                  <c:v>97.4399696892867</c:v>
                </c:pt>
                <c:pt idx="376">
                  <c:v>97.27089630260576</c:v>
                </c:pt>
                <c:pt idx="377">
                  <c:v>97.5962236953431</c:v>
                </c:pt>
                <c:pt idx="378">
                  <c:v>98.24687848081794</c:v>
                </c:pt>
                <c:pt idx="379">
                  <c:v>98.23377422506844</c:v>
                </c:pt>
                <c:pt idx="380">
                  <c:v>97.80432497414757</c:v>
                </c:pt>
                <c:pt idx="381">
                  <c:v>98.18178451475796</c:v>
                </c:pt>
                <c:pt idx="382">
                  <c:v>97.36191390503972</c:v>
                </c:pt>
                <c:pt idx="383">
                  <c:v>97.20580233654577</c:v>
                </c:pt>
                <c:pt idx="384">
                  <c:v>96.2298201583336</c:v>
                </c:pt>
                <c:pt idx="385">
                  <c:v>91.48009719939264</c:v>
                </c:pt>
                <c:pt idx="386">
                  <c:v>91.08981827815776</c:v>
                </c:pt>
                <c:pt idx="387">
                  <c:v>91.74047306363254</c:v>
                </c:pt>
                <c:pt idx="388">
                  <c:v>93.27594998732305</c:v>
                </c:pt>
                <c:pt idx="389">
                  <c:v>93.17182812913958</c:v>
                </c:pt>
                <c:pt idx="390">
                  <c:v>94.993604553444</c:v>
                </c:pt>
                <c:pt idx="391">
                  <c:v>97.85645712202057</c:v>
                </c:pt>
                <c:pt idx="392">
                  <c:v>100.4589338263572</c:v>
                </c:pt>
                <c:pt idx="393">
                  <c:v>100.8493551851546</c:v>
                </c:pt>
                <c:pt idx="394">
                  <c:v>99.9384669730024</c:v>
                </c:pt>
                <c:pt idx="395">
                  <c:v>96.34690383470405</c:v>
                </c:pt>
                <c:pt idx="396">
                  <c:v>96.490053585011</c:v>
                </c:pt>
                <c:pt idx="397">
                  <c:v>96.29491412439357</c:v>
                </c:pt>
                <c:pt idx="398">
                  <c:v>95.72231512316577</c:v>
                </c:pt>
                <c:pt idx="399">
                  <c:v>94.993604553444</c:v>
                </c:pt>
                <c:pt idx="400">
                  <c:v>93.70539923824391</c:v>
                </c:pt>
                <c:pt idx="401">
                  <c:v>96.32098019833006</c:v>
                </c:pt>
                <c:pt idx="402">
                  <c:v>97.27089630260576</c:v>
                </c:pt>
                <c:pt idx="403">
                  <c:v>96.29491412439357</c:v>
                </c:pt>
                <c:pt idx="404">
                  <c:v>93.30201606125955</c:v>
                </c:pt>
                <c:pt idx="405">
                  <c:v>91.74047306363254</c:v>
                </c:pt>
                <c:pt idx="406">
                  <c:v>93.60127738006045</c:v>
                </c:pt>
                <c:pt idx="407">
                  <c:v>94.64221108677011</c:v>
                </c:pt>
                <c:pt idx="408">
                  <c:v>93.69229498249442</c:v>
                </c:pt>
                <c:pt idx="409">
                  <c:v>93.69229498249442</c:v>
                </c:pt>
                <c:pt idx="410">
                  <c:v>92.39098541154486</c:v>
                </c:pt>
                <c:pt idx="411">
                  <c:v>92.96358441277266</c:v>
                </c:pt>
                <c:pt idx="412">
                  <c:v>93.497155521877</c:v>
                </c:pt>
                <c:pt idx="413">
                  <c:v>92.13075198486743</c:v>
                </c:pt>
                <c:pt idx="414">
                  <c:v>97.5962236953431</c:v>
                </c:pt>
                <c:pt idx="415">
                  <c:v>101.3699644760719</c:v>
                </c:pt>
                <c:pt idx="416">
                  <c:v>101.5260760445659</c:v>
                </c:pt>
                <c:pt idx="417">
                  <c:v>102.0465428979207</c:v>
                </c:pt>
                <c:pt idx="418">
                  <c:v>101.9294592215502</c:v>
                </c:pt>
                <c:pt idx="419">
                  <c:v>102.9184032179494</c:v>
                </c:pt>
                <c:pt idx="420">
                  <c:v>103.0745147864434</c:v>
                </c:pt>
                <c:pt idx="421">
                  <c:v>104.7662457161903</c:v>
                </c:pt>
                <c:pt idx="422">
                  <c:v>105.794217604713</c:v>
                </c:pt>
                <c:pt idx="423">
                  <c:v>106.8482555671721</c:v>
                </c:pt>
                <c:pt idx="424">
                  <c:v>105.846349752586</c:v>
                </c:pt>
                <c:pt idx="425">
                  <c:v>107.5640043187069</c:v>
                </c:pt>
                <c:pt idx="426">
                  <c:v>106.015423139267</c:v>
                </c:pt>
                <c:pt idx="427">
                  <c:v>106.7051058168652</c:v>
                </c:pt>
                <c:pt idx="428">
                  <c:v>104.7532838980033</c:v>
                </c:pt>
                <c:pt idx="429">
                  <c:v>106.0544510313904</c:v>
                </c:pt>
                <c:pt idx="430">
                  <c:v>106.7051058168652</c:v>
                </c:pt>
                <c:pt idx="431">
                  <c:v>108.6570701732895</c:v>
                </c:pt>
                <c:pt idx="432">
                  <c:v>111.9103441006635</c:v>
                </c:pt>
                <c:pt idx="433">
                  <c:v>110.6090345297139</c:v>
                </c:pt>
                <c:pt idx="434">
                  <c:v>109.3206867769513</c:v>
                </c:pt>
                <c:pt idx="435">
                  <c:v>109.3077249587643</c:v>
                </c:pt>
                <c:pt idx="436">
                  <c:v>107.6941922508269</c:v>
                </c:pt>
                <c:pt idx="437">
                  <c:v>107.35576060234</c:v>
                </c:pt>
                <c:pt idx="438">
                  <c:v>104.297768573146</c:v>
                </c:pt>
                <c:pt idx="439">
                  <c:v>108.0324814617512</c:v>
                </c:pt>
                <c:pt idx="440">
                  <c:v>111.9103441006635</c:v>
                </c:pt>
                <c:pt idx="441">
                  <c:v>113.2115112340506</c:v>
                </c:pt>
                <c:pt idx="442">
                  <c:v>110.6090345297139</c:v>
                </c:pt>
                <c:pt idx="443">
                  <c:v>113.0293335916201</c:v>
                </c:pt>
                <c:pt idx="444">
                  <c:v>113.2115112340506</c:v>
                </c:pt>
                <c:pt idx="445">
                  <c:v>113.2115112340506</c:v>
                </c:pt>
                <c:pt idx="446">
                  <c:v>113.8621660195253</c:v>
                </c:pt>
                <c:pt idx="447">
                  <c:v>112.2225672376514</c:v>
                </c:pt>
                <c:pt idx="448">
                  <c:v>112.5608564485758</c:v>
                </c:pt>
                <c:pt idx="449">
                  <c:v>113.1985494158636</c:v>
                </c:pt>
                <c:pt idx="450">
                  <c:v>113.2115112340506</c:v>
                </c:pt>
                <c:pt idx="451">
                  <c:v>113.2115112340506</c:v>
                </c:pt>
                <c:pt idx="452">
                  <c:v>112.8341941310027</c:v>
                </c:pt>
                <c:pt idx="453">
                  <c:v>114.0443436619558</c:v>
                </c:pt>
                <c:pt idx="454">
                  <c:v>114.5128208050001</c:v>
                </c:pt>
                <c:pt idx="455">
                  <c:v>115.8141303759497</c:v>
                </c:pt>
                <c:pt idx="456">
                  <c:v>113.2115112340506</c:v>
                </c:pt>
                <c:pt idx="457">
                  <c:v>114.5128208050001</c:v>
                </c:pt>
                <c:pt idx="458">
                  <c:v>114.5128208050001</c:v>
                </c:pt>
                <c:pt idx="459">
                  <c:v>112.3006230218984</c:v>
                </c:pt>
                <c:pt idx="460">
                  <c:v>111.9103441006635</c:v>
                </c:pt>
                <c:pt idx="461">
                  <c:v>110.6090345297139</c:v>
                </c:pt>
                <c:pt idx="462">
                  <c:v>113.2115112340506</c:v>
                </c:pt>
                <c:pt idx="463">
                  <c:v>112.2356714934009</c:v>
                </c:pt>
                <c:pt idx="464">
                  <c:v>108.9433696739035</c:v>
                </c:pt>
                <c:pt idx="465">
                  <c:v>109.3077249587643</c:v>
                </c:pt>
                <c:pt idx="466">
                  <c:v>109.0735576060234</c:v>
                </c:pt>
                <c:pt idx="467">
                  <c:v>106.0544510313904</c:v>
                </c:pt>
                <c:pt idx="468">
                  <c:v>104.0245733282815</c:v>
                </c:pt>
                <c:pt idx="469">
                  <c:v>102.7531756454558</c:v>
                </c:pt>
                <c:pt idx="470">
                  <c:v>106.593007455182</c:v>
                </c:pt>
                <c:pt idx="471">
                  <c:v>107.5561702527697</c:v>
                </c:pt>
                <c:pt idx="472">
                  <c:v>108.5193330503574</c:v>
                </c:pt>
                <c:pt idx="473">
                  <c:v>112.6931809441331</c:v>
                </c:pt>
                <c:pt idx="474">
                  <c:v>111.7300181465455</c:v>
                </c:pt>
                <c:pt idx="475">
                  <c:v>111.7300181465455</c:v>
                </c:pt>
                <c:pt idx="476">
                  <c:v>112.3721266782706</c:v>
                </c:pt>
                <c:pt idx="477">
                  <c:v>111.5116613632414</c:v>
                </c:pt>
                <c:pt idx="478">
                  <c:v>111.7300181465455</c:v>
                </c:pt>
                <c:pt idx="479">
                  <c:v>116.2763402662443</c:v>
                </c:pt>
                <c:pt idx="480">
                  <c:v>113.0142352099957</c:v>
                </c:pt>
                <c:pt idx="481">
                  <c:v>113.0142352099957</c:v>
                </c:pt>
                <c:pt idx="482">
                  <c:v>115.7112904558287</c:v>
                </c:pt>
                <c:pt idx="483">
                  <c:v>109.161584019645</c:v>
                </c:pt>
                <c:pt idx="484">
                  <c:v>108.8533491344069</c:v>
                </c:pt>
                <c:pt idx="485">
                  <c:v>108.1982787844948</c:v>
                </c:pt>
                <c:pt idx="486">
                  <c:v>108.7762904130974</c:v>
                </c:pt>
                <c:pt idx="487">
                  <c:v>109.161584019645</c:v>
                </c:pt>
                <c:pt idx="488">
                  <c:v>109.161584019645</c:v>
                </c:pt>
                <c:pt idx="489">
                  <c:v>109.4568570866961</c:v>
                </c:pt>
                <c:pt idx="490">
                  <c:v>106.6957049377405</c:v>
                </c:pt>
                <c:pt idx="491">
                  <c:v>109.0459247188995</c:v>
                </c:pt>
                <c:pt idx="492">
                  <c:v>105.0005555064937</c:v>
                </c:pt>
                <c:pt idx="493">
                  <c:v>108.7762904130974</c:v>
                </c:pt>
                <c:pt idx="494">
                  <c:v>108.5193330503574</c:v>
                </c:pt>
                <c:pt idx="495">
                  <c:v>109.7908731707456</c:v>
                </c:pt>
                <c:pt idx="496">
                  <c:v>106.9783010617296</c:v>
                </c:pt>
                <c:pt idx="497">
                  <c:v>110.0090875164871</c:v>
                </c:pt>
                <c:pt idx="498">
                  <c:v>115.5828117744587</c:v>
                </c:pt>
                <c:pt idx="499">
                  <c:v>115.5828117744587</c:v>
                </c:pt>
                <c:pt idx="500">
                  <c:v>114.9407032427335</c:v>
                </c:pt>
                <c:pt idx="501">
                  <c:v>115.5828117744587</c:v>
                </c:pt>
                <c:pt idx="502">
                  <c:v>115.5828117744587</c:v>
                </c:pt>
                <c:pt idx="503">
                  <c:v>113.6564861792833</c:v>
                </c:pt>
                <c:pt idx="504">
                  <c:v>111.986833071723</c:v>
                </c:pt>
                <c:pt idx="505">
                  <c:v>111.408963880683</c:v>
                </c:pt>
                <c:pt idx="506">
                  <c:v>110.6383766675877</c:v>
                </c:pt>
                <c:pt idx="507">
                  <c:v>110.5999185257142</c:v>
                </c:pt>
                <c:pt idx="508">
                  <c:v>112.3721266782706</c:v>
                </c:pt>
                <c:pt idx="509">
                  <c:v>112.3721266782706</c:v>
                </c:pt>
                <c:pt idx="510">
                  <c:v>113.4765875378528</c:v>
                </c:pt>
                <c:pt idx="511">
                  <c:v>112.3721266782706</c:v>
                </c:pt>
                <c:pt idx="512">
                  <c:v>113.4765875378528</c:v>
                </c:pt>
                <c:pt idx="513">
                  <c:v>112.6161222228236</c:v>
                </c:pt>
                <c:pt idx="514">
                  <c:v>112.269429195712</c:v>
                </c:pt>
                <c:pt idx="515">
                  <c:v>115.1975181679111</c:v>
                </c:pt>
                <c:pt idx="516">
                  <c:v>115.9038660403212</c:v>
                </c:pt>
                <c:pt idx="517">
                  <c:v>117.8301916354966</c:v>
                </c:pt>
                <c:pt idx="518">
                  <c:v>116.7000920146654</c:v>
                </c:pt>
                <c:pt idx="519">
                  <c:v>118.1512459013591</c:v>
                </c:pt>
                <c:pt idx="520">
                  <c:v>118.1512459013591</c:v>
                </c:pt>
                <c:pt idx="521">
                  <c:v>116.2891596468688</c:v>
                </c:pt>
                <c:pt idx="522">
                  <c:v>112.6931809441331</c:v>
                </c:pt>
                <c:pt idx="523">
                  <c:v>110.4458010830952</c:v>
                </c:pt>
                <c:pt idx="524">
                  <c:v>110.4458010830952</c:v>
                </c:pt>
                <c:pt idx="525">
                  <c:v>111.3705057388094</c:v>
                </c:pt>
                <c:pt idx="526">
                  <c:v>113.0142352099957</c:v>
                </c:pt>
                <c:pt idx="527">
                  <c:v>115.5699923938342</c:v>
                </c:pt>
                <c:pt idx="528">
                  <c:v>110.4458010830952</c:v>
                </c:pt>
                <c:pt idx="529">
                  <c:v>105.9508989234569</c:v>
                </c:pt>
                <c:pt idx="530">
                  <c:v>105.3087903917318</c:v>
                </c:pt>
                <c:pt idx="531">
                  <c:v>105.5912440781583</c:v>
                </c:pt>
                <c:pt idx="532">
                  <c:v>105.2060929091733</c:v>
                </c:pt>
                <c:pt idx="533">
                  <c:v>104.0245733282815</c:v>
                </c:pt>
                <c:pt idx="534">
                  <c:v>105.5013659762243</c:v>
                </c:pt>
                <c:pt idx="535">
                  <c:v>102.7273944466443</c:v>
                </c:pt>
                <c:pt idx="536">
                  <c:v>102.7402138272688</c:v>
                </c:pt>
                <c:pt idx="537">
                  <c:v>103.639279721734</c:v>
                </c:pt>
                <c:pt idx="538">
                  <c:v>103.1641080132524</c:v>
                </c:pt>
                <c:pt idx="539">
                  <c:v>103.7676159655415</c:v>
                </c:pt>
                <c:pt idx="540">
                  <c:v>105.4500884537263</c:v>
                </c:pt>
                <c:pt idx="541">
                  <c:v>106.593007455182</c:v>
                </c:pt>
                <c:pt idx="542">
                  <c:v>106.2975919505685</c:v>
                </c:pt>
                <c:pt idx="543">
                  <c:v>104.7950181038142</c:v>
                </c:pt>
                <c:pt idx="544">
                  <c:v>107.8772245186323</c:v>
                </c:pt>
                <c:pt idx="545">
                  <c:v>107.4919309120847</c:v>
                </c:pt>
                <c:pt idx="546">
                  <c:v>107.6846489341397</c:v>
                </c:pt>
                <c:pt idx="547">
                  <c:v>107.1324185043486</c:v>
                </c:pt>
                <c:pt idx="548">
                  <c:v>108.0057032000023</c:v>
                </c:pt>
                <c:pt idx="549">
                  <c:v>108.4936942891084</c:v>
                </c:pt>
                <c:pt idx="550">
                  <c:v>106.9397004822936</c:v>
                </c:pt>
                <c:pt idx="551">
                  <c:v>106.7214861365521</c:v>
                </c:pt>
                <c:pt idx="552">
                  <c:v>107.6204095934547</c:v>
                </c:pt>
                <c:pt idx="553">
                  <c:v>108.4936942891084</c:v>
                </c:pt>
                <c:pt idx="554">
                  <c:v>108.3395768464893</c:v>
                </c:pt>
                <c:pt idx="555">
                  <c:v>106.9526623004806</c:v>
                </c:pt>
                <c:pt idx="556">
                  <c:v>107.5561702527697</c:v>
                </c:pt>
                <c:pt idx="557">
                  <c:v>106.593007455182</c:v>
                </c:pt>
                <c:pt idx="558">
                  <c:v>106.9268811016691</c:v>
                </c:pt>
                <c:pt idx="559">
                  <c:v>106.593007455182</c:v>
                </c:pt>
                <c:pt idx="560">
                  <c:v>108.5193330503574</c:v>
                </c:pt>
                <c:pt idx="561">
                  <c:v>107.3635946682772</c:v>
                </c:pt>
                <c:pt idx="562">
                  <c:v>106.657246795867</c:v>
                </c:pt>
                <c:pt idx="563">
                  <c:v>109.161584019645</c:v>
                </c:pt>
                <c:pt idx="564">
                  <c:v>108.6864123111634</c:v>
                </c:pt>
                <c:pt idx="565">
                  <c:v>105.8224202420869</c:v>
                </c:pt>
                <c:pt idx="566">
                  <c:v>107.5151482347713</c:v>
                </c:pt>
                <c:pt idx="567">
                  <c:v>108.1982787844948</c:v>
                </c:pt>
                <c:pt idx="568">
                  <c:v>109.161584019645</c:v>
                </c:pt>
                <c:pt idx="569">
                  <c:v>106.593007455182</c:v>
                </c:pt>
                <c:pt idx="570">
                  <c:v>106.1832145878854</c:v>
                </c:pt>
                <c:pt idx="571">
                  <c:v>106.593007455182</c:v>
                </c:pt>
                <c:pt idx="572">
                  <c:v>106.259133808695</c:v>
                </c:pt>
                <c:pt idx="573">
                  <c:v>107.2351159869071</c:v>
                </c:pt>
                <c:pt idx="574">
                  <c:v>106.631608034618</c:v>
                </c:pt>
                <c:pt idx="575">
                  <c:v>107.7617076554492</c:v>
                </c:pt>
                <c:pt idx="576">
                  <c:v>104.5638419398857</c:v>
                </c:pt>
                <c:pt idx="577">
                  <c:v>102.4319789420308</c:v>
                </c:pt>
                <c:pt idx="578">
                  <c:v>102.7402138272688</c:v>
                </c:pt>
                <c:pt idx="579">
                  <c:v>102.5860963846498</c:v>
                </c:pt>
                <c:pt idx="580">
                  <c:v>102.2908233175987</c:v>
                </c:pt>
                <c:pt idx="581">
                  <c:v>102.4577601408423</c:v>
                </c:pt>
                <c:pt idx="582">
                  <c:v>102.620138962086</c:v>
                </c:pt>
                <c:pt idx="583">
                  <c:v>102.4577601408423</c:v>
                </c:pt>
                <c:pt idx="584">
                  <c:v>102.9075779631998</c:v>
                </c:pt>
                <c:pt idx="585">
                  <c:v>102.9075779631998</c:v>
                </c:pt>
                <c:pt idx="586">
                  <c:v>102.0204768239842</c:v>
                </c:pt>
                <c:pt idx="587">
                  <c:v>102.2077822186644</c:v>
                </c:pt>
                <c:pt idx="588">
                  <c:v>99.9588355444391</c:v>
                </c:pt>
                <c:pt idx="589">
                  <c:v>98.47192982955921</c:v>
                </c:pt>
                <c:pt idx="590">
                  <c:v>96.21030621227186</c:v>
                </c:pt>
                <c:pt idx="591">
                  <c:v>95.96047072765654</c:v>
                </c:pt>
                <c:pt idx="592">
                  <c:v>97.45976851047344</c:v>
                </c:pt>
                <c:pt idx="593">
                  <c:v>97.73467300608777</c:v>
                </c:pt>
                <c:pt idx="594">
                  <c:v>102.4577601408423</c:v>
                </c:pt>
                <c:pt idx="595">
                  <c:v>100.8583287515918</c:v>
                </c:pt>
                <c:pt idx="596">
                  <c:v>99.82138329663192</c:v>
                </c:pt>
                <c:pt idx="597">
                  <c:v>97.92212083833051</c:v>
                </c:pt>
                <c:pt idx="598">
                  <c:v>99.20904421546815</c:v>
                </c:pt>
                <c:pt idx="599">
                  <c:v>100.0212231968117</c:v>
                </c:pt>
                <c:pt idx="600">
                  <c:v>103.6822958656073</c:v>
                </c:pt>
                <c:pt idx="601">
                  <c:v>106.9183348479194</c:v>
                </c:pt>
                <c:pt idx="602">
                  <c:v>108.7176061373497</c:v>
                </c:pt>
                <c:pt idx="603">
                  <c:v>109.3299452185135</c:v>
                </c:pt>
                <c:pt idx="604">
                  <c:v>109.9546763676143</c:v>
                </c:pt>
                <c:pt idx="605">
                  <c:v>109.8921462776792</c:v>
                </c:pt>
                <c:pt idx="606">
                  <c:v>109.9546763676143</c:v>
                </c:pt>
                <c:pt idx="607">
                  <c:v>109.9546763676143</c:v>
                </c:pt>
                <c:pt idx="608">
                  <c:v>110.5794075167151</c:v>
                </c:pt>
                <c:pt idx="609">
                  <c:v>109.9546763676143</c:v>
                </c:pt>
                <c:pt idx="610">
                  <c:v>108.7176061373497</c:v>
                </c:pt>
                <c:pt idx="611">
                  <c:v>108.7052140694127</c:v>
                </c:pt>
                <c:pt idx="612">
                  <c:v>107.0808561067256</c:v>
                </c:pt>
                <c:pt idx="613">
                  <c:v>104.9566847372454</c:v>
                </c:pt>
                <c:pt idx="614">
                  <c:v>104.3319535881446</c:v>
                </c:pt>
                <c:pt idx="615">
                  <c:v>105.5814158863462</c:v>
                </c:pt>
                <c:pt idx="616">
                  <c:v>105.768863718589</c:v>
                </c:pt>
                <c:pt idx="617">
                  <c:v>103.7072224390438</c:v>
                </c:pt>
                <c:pt idx="618">
                  <c:v>108.0804829203119</c:v>
                </c:pt>
                <c:pt idx="619">
                  <c:v>106.1437593830744</c:v>
                </c:pt>
                <c:pt idx="620">
                  <c:v>105.7937902920255</c:v>
                </c:pt>
                <c:pt idx="621">
                  <c:v>104.9566847372454</c:v>
                </c:pt>
                <c:pt idx="622">
                  <c:v>107.0933906122251</c:v>
                </c:pt>
                <c:pt idx="623">
                  <c:v>104.9566847372454</c:v>
                </c:pt>
                <c:pt idx="624">
                  <c:v>107.8305049981341</c:v>
                </c:pt>
                <c:pt idx="625">
                  <c:v>108.0804829203119</c:v>
                </c:pt>
                <c:pt idx="626">
                  <c:v>108.0804829203119</c:v>
                </c:pt>
                <c:pt idx="627">
                  <c:v>107.1432437590982</c:v>
                </c:pt>
                <c:pt idx="628">
                  <c:v>108.1428705726845</c:v>
                </c:pt>
                <c:pt idx="629">
                  <c:v>107.4556093336486</c:v>
                </c:pt>
                <c:pt idx="630">
                  <c:v>107.4556093336486</c:v>
                </c:pt>
                <c:pt idx="631">
                  <c:v>108.3303184049272</c:v>
                </c:pt>
                <c:pt idx="632">
                  <c:v>107.8430395036336</c:v>
                </c:pt>
                <c:pt idx="633">
                  <c:v>106.593577205432</c:v>
                </c:pt>
                <c:pt idx="634">
                  <c:v>108.7052140694127</c:v>
                </c:pt>
                <c:pt idx="635">
                  <c:v>108.7052140694127</c:v>
                </c:pt>
                <c:pt idx="636">
                  <c:v>108.7052140694127</c:v>
                </c:pt>
                <c:pt idx="637">
                  <c:v>106.206147035447</c:v>
                </c:pt>
                <c:pt idx="638">
                  <c:v>107.368152670277</c:v>
                </c:pt>
                <c:pt idx="639">
                  <c:v>107.509878044959</c:v>
                </c:pt>
                <c:pt idx="640">
                  <c:v>110.2045118522296</c:v>
                </c:pt>
                <c:pt idx="641">
                  <c:v>110.5794075167151</c:v>
                </c:pt>
                <c:pt idx="642">
                  <c:v>108.3803139893628</c:v>
                </c:pt>
                <c:pt idx="643">
                  <c:v>107.2057738490333</c:v>
                </c:pt>
                <c:pt idx="644">
                  <c:v>106.8308781845478</c:v>
                </c:pt>
                <c:pt idx="645">
                  <c:v>105.8937814608966</c:v>
                </c:pt>
                <c:pt idx="646">
                  <c:v>105.2565158062963</c:v>
                </c:pt>
                <c:pt idx="647">
                  <c:v>105.2066626594232</c:v>
                </c:pt>
                <c:pt idx="648">
                  <c:v>104.644319162695</c:v>
                </c:pt>
                <c:pt idx="649">
                  <c:v>104.3319535881446</c:v>
                </c:pt>
                <c:pt idx="650">
                  <c:v>101.2206899105777</c:v>
                </c:pt>
                <c:pt idx="651">
                  <c:v>98.70923080867501</c:v>
                </c:pt>
                <c:pt idx="652">
                  <c:v>101.2082978426407</c:v>
                </c:pt>
                <c:pt idx="653">
                  <c:v>102.4577601408423</c:v>
                </c:pt>
                <c:pt idx="654">
                  <c:v>104.0695835980298</c:v>
                </c:pt>
                <c:pt idx="655">
                  <c:v>105.2066626594232</c:v>
                </c:pt>
                <c:pt idx="656">
                  <c:v>107.6930527503269</c:v>
                </c:pt>
                <c:pt idx="657">
                  <c:v>108.5677618216055</c:v>
                </c:pt>
                <c:pt idx="658">
                  <c:v>109.4548629608211</c:v>
                </c:pt>
                <c:pt idx="659">
                  <c:v>111.0541519125092</c:v>
                </c:pt>
                <c:pt idx="660">
                  <c:v>110.554338505716</c:v>
                </c:pt>
                <c:pt idx="661">
                  <c:v>109.4548629608211</c:v>
                </c:pt>
                <c:pt idx="662">
                  <c:v>107.4681438391481</c:v>
                </c:pt>
                <c:pt idx="663">
                  <c:v>109.5297851186932</c:v>
                </c:pt>
                <c:pt idx="664">
                  <c:v>109.9546763676143</c:v>
                </c:pt>
                <c:pt idx="665">
                  <c:v>109.4548629608211</c:v>
                </c:pt>
                <c:pt idx="666">
                  <c:v>109.9546763676143</c:v>
                </c:pt>
                <c:pt idx="667">
                  <c:v>109.6297762875643</c:v>
                </c:pt>
                <c:pt idx="668">
                  <c:v>109.7046984454364</c:v>
                </c:pt>
                <c:pt idx="669">
                  <c:v>110.904307596765</c:v>
                </c:pt>
                <c:pt idx="670">
                  <c:v>111.1041474969447</c:v>
                </c:pt>
                <c:pt idx="671">
                  <c:v>111.3541254191225</c:v>
                </c:pt>
                <c:pt idx="672">
                  <c:v>110.5794075167151</c:v>
                </c:pt>
                <c:pt idx="673">
                  <c:v>109.2799496340779</c:v>
                </c:pt>
                <c:pt idx="674">
                  <c:v>107.5806695135187</c:v>
                </c:pt>
                <c:pt idx="675">
                  <c:v>109.9670684355513</c:v>
                </c:pt>
                <c:pt idx="676">
                  <c:v>109.6048497141278</c:v>
                </c:pt>
                <c:pt idx="677">
                  <c:v>111.1916041603163</c:v>
                </c:pt>
                <c:pt idx="678">
                  <c:v>111.4539741504312</c:v>
                </c:pt>
                <c:pt idx="679">
                  <c:v>112.3910708740824</c:v>
                </c:pt>
                <c:pt idx="680">
                  <c:v>112.4536009640174</c:v>
                </c:pt>
                <c:pt idx="681">
                  <c:v>115.5772567095214</c:v>
                </c:pt>
                <c:pt idx="682">
                  <c:v>117.0392358509647</c:v>
                </c:pt>
                <c:pt idx="683">
                  <c:v>114.5777723334976</c:v>
                </c:pt>
                <c:pt idx="684">
                  <c:v>120.2628827653398</c:v>
                </c:pt>
                <c:pt idx="685">
                  <c:v>121.199979488991</c:v>
                </c:pt>
                <c:pt idx="686">
                  <c:v>119.9505171907894</c:v>
                </c:pt>
                <c:pt idx="687">
                  <c:v>120.825226262068</c:v>
                </c:pt>
                <c:pt idx="688">
                  <c:v>116.8268614452854</c:v>
                </c:pt>
                <c:pt idx="689">
                  <c:v>116.0146824639419</c:v>
                </c:pt>
                <c:pt idx="690">
                  <c:v>115.9521523740069</c:v>
                </c:pt>
                <c:pt idx="691">
                  <c:v>116.7143357709148</c:v>
                </c:pt>
                <c:pt idx="692">
                  <c:v>115.7023168893915</c:v>
                </c:pt>
                <c:pt idx="693">
                  <c:v>115.5772567095214</c:v>
                </c:pt>
                <c:pt idx="694">
                  <c:v>115.3648823038421</c:v>
                </c:pt>
                <c:pt idx="695">
                  <c:v>115.252499067034</c:v>
                </c:pt>
                <c:pt idx="696">
                  <c:v>114.3277944113198</c:v>
                </c:pt>
                <c:pt idx="697">
                  <c:v>114.0779589267045</c:v>
                </c:pt>
                <c:pt idx="698">
                  <c:v>113.703063262219</c:v>
                </c:pt>
                <c:pt idx="699">
                  <c:v>114.9525255604206</c:v>
                </c:pt>
                <c:pt idx="700">
                  <c:v>114.9525255604206</c:v>
                </c:pt>
                <c:pt idx="701">
                  <c:v>114.502707738063</c:v>
                </c:pt>
                <c:pt idx="702">
                  <c:v>114.502707738063</c:v>
                </c:pt>
                <c:pt idx="703">
                  <c:v>115.3774168093416</c:v>
                </c:pt>
                <c:pt idx="704">
                  <c:v>115.264891134971</c:v>
                </c:pt>
                <c:pt idx="705">
                  <c:v>114.8276078181129</c:v>
                </c:pt>
                <c:pt idx="706">
                  <c:v>113.690671194282</c:v>
                </c:pt>
                <c:pt idx="707">
                  <c:v>113.2783144508605</c:v>
                </c:pt>
                <c:pt idx="708">
                  <c:v>114.9525255604206</c:v>
                </c:pt>
                <c:pt idx="709">
                  <c:v>112.3910708740824</c:v>
                </c:pt>
                <c:pt idx="710">
                  <c:v>105.2066626594232</c:v>
                </c:pt>
                <c:pt idx="711">
                  <c:v>102.4702946463418</c:v>
                </c:pt>
                <c:pt idx="712">
                  <c:v>99.9588355444391</c:v>
                </c:pt>
                <c:pt idx="713">
                  <c:v>99.33396195777581</c:v>
                </c:pt>
                <c:pt idx="714">
                  <c:v>99.4090265532104</c:v>
                </c:pt>
                <c:pt idx="715">
                  <c:v>103.407391369993</c:v>
                </c:pt>
                <c:pt idx="716">
                  <c:v>106.1604245778863</c:v>
                </c:pt>
                <c:pt idx="717">
                  <c:v>103.7036614999815</c:v>
                </c:pt>
                <c:pt idx="718">
                  <c:v>104.6913235583182</c:v>
                </c:pt>
                <c:pt idx="719">
                  <c:v>106.1604245778863</c:v>
                </c:pt>
                <c:pt idx="720">
                  <c:v>108.6419717916651</c:v>
                </c:pt>
                <c:pt idx="721">
                  <c:v>110.543085938279</c:v>
                </c:pt>
                <c:pt idx="722">
                  <c:v>110.9876335708242</c:v>
                </c:pt>
                <c:pt idx="723">
                  <c:v>113.5801396457863</c:v>
                </c:pt>
                <c:pt idx="724">
                  <c:v>112.024579025784</c:v>
                </c:pt>
                <c:pt idx="725">
                  <c:v>112.7159709541323</c:v>
                </c:pt>
                <c:pt idx="726">
                  <c:v>112.3456332916466</c:v>
                </c:pt>
                <c:pt idx="727">
                  <c:v>109.8764781458048</c:v>
                </c:pt>
                <c:pt idx="728">
                  <c:v>106.1728166458233</c:v>
                </c:pt>
                <c:pt idx="729">
                  <c:v>106.1728166458233</c:v>
                </c:pt>
                <c:pt idx="730">
                  <c:v>106.1728166458233</c:v>
                </c:pt>
                <c:pt idx="731">
                  <c:v>106.4196609416262</c:v>
                </c:pt>
                <c:pt idx="732">
                  <c:v>106.1604245778863</c:v>
                </c:pt>
                <c:pt idx="733">
                  <c:v>106.0493232791406</c:v>
                </c:pt>
                <c:pt idx="734">
                  <c:v>106.4196609416262</c:v>
                </c:pt>
                <c:pt idx="735">
                  <c:v>106.1728166458233</c:v>
                </c:pt>
                <c:pt idx="736">
                  <c:v>106.1728166458233</c:v>
                </c:pt>
                <c:pt idx="737">
                  <c:v>103.3333238374959</c:v>
                </c:pt>
                <c:pt idx="738">
                  <c:v>103.394999302056</c:v>
                </c:pt>
                <c:pt idx="739">
                  <c:v>102.4690127082793</c:v>
                </c:pt>
                <c:pt idx="740">
                  <c:v>102.4690127082793</c:v>
                </c:pt>
                <c:pt idx="741">
                  <c:v>101.8518307499907</c:v>
                </c:pt>
                <c:pt idx="742">
                  <c:v>101.8518307499907</c:v>
                </c:pt>
                <c:pt idx="743">
                  <c:v>101.987573747048</c:v>
                </c:pt>
                <c:pt idx="744">
                  <c:v>101.8394386820537</c:v>
                </c:pt>
                <c:pt idx="745">
                  <c:v>101.5431685520652</c:v>
                </c:pt>
                <c:pt idx="746">
                  <c:v>101.2345063541397</c:v>
                </c:pt>
                <c:pt idx="747">
                  <c:v>100.0</c:v>
                </c:pt>
                <c:pt idx="748">
                  <c:v>100.0</c:v>
                </c:pt>
                <c:pt idx="750">
                  <c:v>1010.103464938461</c:v>
                </c:pt>
                <c:pt idx="751">
                  <c:v>997.7857366191977</c:v>
                </c:pt>
                <c:pt idx="752">
                  <c:v>987.4378215514057</c:v>
                </c:pt>
                <c:pt idx="753">
                  <c:v>987.9309854751144</c:v>
                </c:pt>
                <c:pt idx="754">
                  <c:v>995.690855859697</c:v>
                </c:pt>
                <c:pt idx="755">
                  <c:v>989.1617634518632</c:v>
                </c:pt>
                <c:pt idx="756">
                  <c:v>997.7857366191977</c:v>
                </c:pt>
                <c:pt idx="757">
                  <c:v>993.4737500355305</c:v>
                </c:pt>
                <c:pt idx="758">
                  <c:v>989.9007987265854</c:v>
                </c:pt>
                <c:pt idx="759">
                  <c:v>985.4665870782523</c:v>
                </c:pt>
                <c:pt idx="760">
                  <c:v>979.4306585941275</c:v>
                </c:pt>
                <c:pt idx="761">
                  <c:v>985.4665870782523</c:v>
                </c:pt>
                <c:pt idx="762">
                  <c:v>980.539211506211</c:v>
                </c:pt>
                <c:pt idx="763">
                  <c:v>985.4665870782523</c:v>
                </c:pt>
                <c:pt idx="764">
                  <c:v>975.611835934169</c:v>
                </c:pt>
                <c:pt idx="765">
                  <c:v>954.6715556692532</c:v>
                </c:pt>
                <c:pt idx="766">
                  <c:v>954.6715556692532</c:v>
                </c:pt>
                <c:pt idx="767">
                  <c:v>957.7499218328076</c:v>
                </c:pt>
                <c:pt idx="768">
                  <c:v>962.1855547028225</c:v>
                </c:pt>
                <c:pt idx="769">
                  <c:v>966.9892839885164</c:v>
                </c:pt>
                <c:pt idx="770">
                  <c:v>973.1488587589891</c:v>
                </c:pt>
                <c:pt idx="771">
                  <c:v>967.604672976891</c:v>
                </c:pt>
                <c:pt idx="772">
                  <c:v>960.4601915806827</c:v>
                </c:pt>
                <c:pt idx="773">
                  <c:v>960.3379665160172</c:v>
                </c:pt>
                <c:pt idx="774">
                  <c:v>963.9094966032802</c:v>
                </c:pt>
                <c:pt idx="775">
                  <c:v>991.6261618487251</c:v>
                </c:pt>
                <c:pt idx="776">
                  <c:v>983.4953526050993</c:v>
                </c:pt>
                <c:pt idx="777">
                  <c:v>991.6261618487251</c:v>
                </c:pt>
                <c:pt idx="778">
                  <c:v>997.7857366191977</c:v>
                </c:pt>
                <c:pt idx="779">
                  <c:v>997.7857366191977</c:v>
                </c:pt>
                <c:pt idx="780">
                  <c:v>997.7857366191977</c:v>
                </c:pt>
                <c:pt idx="781">
                  <c:v>1010.103464938461</c:v>
                </c:pt>
                <c:pt idx="782">
                  <c:v>1010.103464938461</c:v>
                </c:pt>
                <c:pt idx="783">
                  <c:v>948.5119808987806</c:v>
                </c:pt>
                <c:pt idx="784">
                  <c:v>948.5119808987806</c:v>
                </c:pt>
                <c:pt idx="785">
                  <c:v>923.875103038572</c:v>
                </c:pt>
                <c:pt idx="786">
                  <c:v>917.7155282680992</c:v>
                </c:pt>
                <c:pt idx="787">
                  <c:v>923.875103038572</c:v>
                </c:pt>
                <c:pt idx="788">
                  <c:v>936.0706062931696</c:v>
                </c:pt>
                <c:pt idx="789">
                  <c:v>910.9405645092522</c:v>
                </c:pt>
                <c:pt idx="790">
                  <c:v>866.5941843608765</c:v>
                </c:pt>
                <c:pt idx="791">
                  <c:v>845.0370938859044</c:v>
                </c:pt>
                <c:pt idx="792">
                  <c:v>849.9644694579461</c:v>
                </c:pt>
                <c:pt idx="793">
                  <c:v>849.7185981069327</c:v>
                </c:pt>
                <c:pt idx="794">
                  <c:v>837.6467411386828</c:v>
                </c:pt>
                <c:pt idx="795">
                  <c:v>843.8063159091553</c:v>
                </c:pt>
                <c:pt idx="796">
                  <c:v>849.9644694579461</c:v>
                </c:pt>
                <c:pt idx="797">
                  <c:v>849.3490804695716</c:v>
                </c:pt>
                <c:pt idx="798">
                  <c:v>837.6467411386828</c:v>
                </c:pt>
                <c:pt idx="799">
                  <c:v>845.2843864585998</c:v>
                </c:pt>
                <c:pt idx="800">
                  <c:v>845.2843864585998</c:v>
                </c:pt>
                <c:pt idx="801">
                  <c:v>847.3778459964185</c:v>
                </c:pt>
                <c:pt idx="802">
                  <c:v>844.1758335465165</c:v>
                </c:pt>
                <c:pt idx="803">
                  <c:v>847.1319746454052</c:v>
                </c:pt>
                <c:pt idx="804">
                  <c:v>847.5014922827661</c:v>
                </c:pt>
                <c:pt idx="805">
                  <c:v>847.8710099201272</c:v>
                </c:pt>
                <c:pt idx="806">
                  <c:v>840.7265285239193</c:v>
                </c:pt>
                <c:pt idx="807">
                  <c:v>849.9644694579461</c:v>
                </c:pt>
                <c:pt idx="808">
                  <c:v>842.9436343480855</c:v>
                </c:pt>
                <c:pt idx="809">
                  <c:v>842.2045990733633</c:v>
                </c:pt>
                <c:pt idx="810">
                  <c:v>838.755294050766</c:v>
                </c:pt>
                <c:pt idx="811">
                  <c:v>846.2692930843353</c:v>
                </c:pt>
                <c:pt idx="812">
                  <c:v>843.8063159091553</c:v>
                </c:pt>
                <c:pt idx="813">
                  <c:v>849.9644694579461</c:v>
                </c:pt>
                <c:pt idx="814">
                  <c:v>840.7265285239193</c:v>
                </c:pt>
                <c:pt idx="815">
                  <c:v>837.6467411386828</c:v>
                </c:pt>
                <c:pt idx="816">
                  <c:v>837.523094852335</c:v>
                </c:pt>
                <c:pt idx="817">
                  <c:v>837.6467411386828</c:v>
                </c:pt>
                <c:pt idx="818">
                  <c:v>831.4871663682102</c:v>
                </c:pt>
                <c:pt idx="819">
                  <c:v>820.27799096103</c:v>
                </c:pt>
                <c:pt idx="820">
                  <c:v>816.0896506637104</c:v>
                </c:pt>
                <c:pt idx="821">
                  <c:v>814.3657087632528</c:v>
                </c:pt>
                <c:pt idx="822">
                  <c:v>818.5526278388902</c:v>
                </c:pt>
                <c:pt idx="823">
                  <c:v>814.1184161905574</c:v>
                </c:pt>
                <c:pt idx="824">
                  <c:v>825.3290128194196</c:v>
                </c:pt>
                <c:pt idx="825">
                  <c:v>825.3290128194196</c:v>
                </c:pt>
                <c:pt idx="826">
                  <c:v>825.3290128194196</c:v>
                </c:pt>
                <c:pt idx="827">
                  <c:v>813.0098632784741</c:v>
                </c:pt>
                <c:pt idx="828">
                  <c:v>813.0098632784741</c:v>
                </c:pt>
                <c:pt idx="829">
                  <c:v>813.0098632784741</c:v>
                </c:pt>
                <c:pt idx="830">
                  <c:v>820.401637247378</c:v>
                </c:pt>
                <c:pt idx="831">
                  <c:v>818.3067564878771</c:v>
                </c:pt>
                <c:pt idx="832">
                  <c:v>818.4261391091783</c:v>
                </c:pt>
                <c:pt idx="833">
                  <c:v>827.914215059265</c:v>
                </c:pt>
                <c:pt idx="834">
                  <c:v>828.1515590801853</c:v>
                </c:pt>
                <c:pt idx="835">
                  <c:v>842.029788806458</c:v>
                </c:pt>
                <c:pt idx="836">
                  <c:v>842.1477502060772</c:v>
                </c:pt>
                <c:pt idx="837">
                  <c:v>842.029788806458</c:v>
                </c:pt>
                <c:pt idx="838">
                  <c:v>830.4056166680877</c:v>
                </c:pt>
                <c:pt idx="839">
                  <c:v>842.1477502060772</c:v>
                </c:pt>
                <c:pt idx="840">
                  <c:v>828.0335976805663</c:v>
                </c:pt>
                <c:pt idx="841">
                  <c:v>827.914215059265</c:v>
                </c:pt>
                <c:pt idx="842">
                  <c:v>830.2862340467866</c:v>
                </c:pt>
                <c:pt idx="843">
                  <c:v>824.3568971888235</c:v>
                </c:pt>
                <c:pt idx="844">
                  <c:v>838.8263551348739</c:v>
                </c:pt>
                <c:pt idx="845">
                  <c:v>842.1477502060772</c:v>
                </c:pt>
                <c:pt idx="846">
                  <c:v>842.1477502060772</c:v>
                </c:pt>
                <c:pt idx="847">
                  <c:v>824.3568971888235</c:v>
                </c:pt>
                <c:pt idx="848">
                  <c:v>818.4261391091783</c:v>
                </c:pt>
                <c:pt idx="849">
                  <c:v>836.2169921264318</c:v>
                </c:pt>
                <c:pt idx="850">
                  <c:v>834.5570052016713</c:v>
                </c:pt>
                <c:pt idx="851">
                  <c:v>842.2671328273784</c:v>
                </c:pt>
                <c:pt idx="852">
                  <c:v>811.308660924931</c:v>
                </c:pt>
                <c:pt idx="853">
                  <c:v>813.3253744919133</c:v>
                </c:pt>
                <c:pt idx="854">
                  <c:v>812.495381029533</c:v>
                </c:pt>
                <c:pt idx="855">
                  <c:v>810.7160114834711</c:v>
                </c:pt>
                <c:pt idx="856">
                  <c:v>806.5646229498876</c:v>
                </c:pt>
                <c:pt idx="857">
                  <c:v>791.6190557403143</c:v>
                </c:pt>
                <c:pt idx="858">
                  <c:v>783.4342400727664</c:v>
                </c:pt>
                <c:pt idx="859">
                  <c:v>788.6543873113328</c:v>
                </c:pt>
                <c:pt idx="860">
                  <c:v>788.772348710952</c:v>
                </c:pt>
                <c:pt idx="861">
                  <c:v>773.2341320599187</c:v>
                </c:pt>
                <c:pt idx="862">
                  <c:v>782.8415906313066</c:v>
                </c:pt>
                <c:pt idx="863">
                  <c:v>770.9800744720162</c:v>
                </c:pt>
                <c:pt idx="864">
                  <c:v>759.1199795344077</c:v>
                </c:pt>
                <c:pt idx="865">
                  <c:v>757.9332594298058</c:v>
                </c:pt>
                <c:pt idx="866">
                  <c:v>723.4174696569171</c:v>
                </c:pt>
                <c:pt idx="867">
                  <c:v>721.1634120690144</c:v>
                </c:pt>
                <c:pt idx="868">
                  <c:v>723.535431056536</c:v>
                </c:pt>
                <c:pt idx="869">
                  <c:v>711.6739148972456</c:v>
                </c:pt>
                <c:pt idx="870">
                  <c:v>723.535431056536</c:v>
                </c:pt>
                <c:pt idx="871">
                  <c:v>723.535431056536</c:v>
                </c:pt>
                <c:pt idx="872">
                  <c:v>723.535431056536</c:v>
                </c:pt>
                <c:pt idx="873">
                  <c:v>687.9523038003467</c:v>
                </c:pt>
                <c:pt idx="874">
                  <c:v>711.6739148972456</c:v>
                </c:pt>
                <c:pt idx="875">
                  <c:v>687.9523038003467</c:v>
                </c:pt>
                <c:pt idx="876">
                  <c:v>687.9523038003467</c:v>
                </c:pt>
                <c:pt idx="877">
                  <c:v>687.9523038003467</c:v>
                </c:pt>
                <c:pt idx="878">
                  <c:v>676.090787641056</c:v>
                </c:pt>
                <c:pt idx="879">
                  <c:v>673.1246979903925</c:v>
                </c:pt>
                <c:pt idx="880">
                  <c:v>687.9523038003467</c:v>
                </c:pt>
                <c:pt idx="881">
                  <c:v>676.090787641056</c:v>
                </c:pt>
                <c:pt idx="882">
                  <c:v>668.0253545948096</c:v>
                </c:pt>
                <c:pt idx="883">
                  <c:v>687.9523038003467</c:v>
                </c:pt>
                <c:pt idx="884">
                  <c:v>676.090787641056</c:v>
                </c:pt>
                <c:pt idx="885">
                  <c:v>687.9523038003467</c:v>
                </c:pt>
                <c:pt idx="886">
                  <c:v>667.788010573889</c:v>
                </c:pt>
                <c:pt idx="887">
                  <c:v>652.3677553224752</c:v>
                </c:pt>
                <c:pt idx="888">
                  <c:v>671.3467496660128</c:v>
                </c:pt>
                <c:pt idx="889">
                  <c:v>647.031067905972</c:v>
                </c:pt>
                <c:pt idx="890">
                  <c:v>646.4369972428299</c:v>
                </c:pt>
                <c:pt idx="891">
                  <c:v>640.5076603848668</c:v>
                </c:pt>
                <c:pt idx="892">
                  <c:v>640.5076603848668</c:v>
                </c:pt>
                <c:pt idx="893">
                  <c:v>652.3677553224752</c:v>
                </c:pt>
                <c:pt idx="894">
                  <c:v>649.4030868934937</c:v>
                </c:pt>
                <c:pt idx="895">
                  <c:v>651.1824564395554</c:v>
                </c:pt>
                <c:pt idx="896">
                  <c:v>652.3677553224752</c:v>
                </c:pt>
                <c:pt idx="897">
                  <c:v>640.5076603848668</c:v>
                </c:pt>
                <c:pt idx="898">
                  <c:v>640.5076603848668</c:v>
                </c:pt>
                <c:pt idx="899">
                  <c:v>640.5076603848668</c:v>
                </c:pt>
                <c:pt idx="900">
                  <c:v>640.5076603848668</c:v>
                </c:pt>
                <c:pt idx="901">
                  <c:v>640.5076603848668</c:v>
                </c:pt>
                <c:pt idx="902">
                  <c:v>640.5076603848668</c:v>
                </c:pt>
                <c:pt idx="903">
                  <c:v>640.5076603848668</c:v>
                </c:pt>
                <c:pt idx="904">
                  <c:v>652.3677553224752</c:v>
                </c:pt>
                <c:pt idx="905">
                  <c:v>652.3677553224752</c:v>
                </c:pt>
                <c:pt idx="906">
                  <c:v>622.715386145931</c:v>
                </c:pt>
                <c:pt idx="907">
                  <c:v>622.715386145931</c:v>
                </c:pt>
                <c:pt idx="908">
                  <c:v>634.5769023052216</c:v>
                </c:pt>
                <c:pt idx="909">
                  <c:v>628.6461442255762</c:v>
                </c:pt>
                <c:pt idx="910">
                  <c:v>622.715386145931</c:v>
                </c:pt>
                <c:pt idx="911">
                  <c:v>628.6461442255762</c:v>
                </c:pt>
                <c:pt idx="912">
                  <c:v>628.526761604275</c:v>
                </c:pt>
                <c:pt idx="913">
                  <c:v>629.5940990875756</c:v>
                </c:pt>
                <c:pt idx="914">
                  <c:v>640.3882777635654</c:v>
                </c:pt>
                <c:pt idx="915">
                  <c:v>640.5076603848668</c:v>
                </c:pt>
                <c:pt idx="916">
                  <c:v>618.5639976123475</c:v>
                </c:pt>
                <c:pt idx="917">
                  <c:v>610.9718313862596</c:v>
                </c:pt>
                <c:pt idx="918">
                  <c:v>630.7808191921775</c:v>
                </c:pt>
                <c:pt idx="919">
                  <c:v>626.2741252380546</c:v>
                </c:pt>
                <c:pt idx="920">
                  <c:v>633.3901822006196</c:v>
                </c:pt>
                <c:pt idx="921">
                  <c:v>640.5076603848668</c:v>
                </c:pt>
                <c:pt idx="922">
                  <c:v>645.8443478013701</c:v>
                </c:pt>
                <c:pt idx="923">
                  <c:v>646.4369972428299</c:v>
                </c:pt>
                <c:pt idx="924">
                  <c:v>663.1619339984651</c:v>
                </c:pt>
                <c:pt idx="925">
                  <c:v>640.3882777635654</c:v>
                </c:pt>
                <c:pt idx="926">
                  <c:v>626.1547426167533</c:v>
                </c:pt>
                <c:pt idx="927">
                  <c:v>617.9699269492055</c:v>
                </c:pt>
                <c:pt idx="928">
                  <c:v>646.4369972428299</c:v>
                </c:pt>
                <c:pt idx="929">
                  <c:v>610.8538699866404</c:v>
                </c:pt>
                <c:pt idx="930">
                  <c:v>616.7846280662856</c:v>
                </c:pt>
                <c:pt idx="931">
                  <c:v>615.5979079616838</c:v>
                </c:pt>
                <c:pt idx="932">
                  <c:v>616.6652454449844</c:v>
                </c:pt>
                <c:pt idx="933">
                  <c:v>582.3867996930162</c:v>
                </c:pt>
                <c:pt idx="934">
                  <c:v>575.270742730451</c:v>
                </c:pt>
                <c:pt idx="935">
                  <c:v>581.2000795884141</c:v>
                </c:pt>
                <c:pt idx="936">
                  <c:v>581.2000795884141</c:v>
                </c:pt>
                <c:pt idx="937">
                  <c:v>581.2000795884141</c:v>
                </c:pt>
                <c:pt idx="938">
                  <c:v>575.270742730451</c:v>
                </c:pt>
                <c:pt idx="939">
                  <c:v>581.2000795884141</c:v>
                </c:pt>
                <c:pt idx="940">
                  <c:v>580.0147807054944</c:v>
                </c:pt>
                <c:pt idx="941">
                  <c:v>575.270742730451</c:v>
                </c:pt>
                <c:pt idx="942">
                  <c:v>569.9326340922656</c:v>
                </c:pt>
                <c:pt idx="943">
                  <c:v>584.166169239078</c:v>
                </c:pt>
                <c:pt idx="944">
                  <c:v>587.1308376680594</c:v>
                </c:pt>
                <c:pt idx="945">
                  <c:v>590.689576760183</c:v>
                </c:pt>
                <c:pt idx="946">
                  <c:v>592.4689463062448</c:v>
                </c:pt>
                <c:pt idx="947">
                  <c:v>593.0615957477047</c:v>
                </c:pt>
                <c:pt idx="948">
                  <c:v>616.7846280662856</c:v>
                </c:pt>
                <c:pt idx="949">
                  <c:v>616.9025894659048</c:v>
                </c:pt>
                <c:pt idx="950">
                  <c:v>604.9231119069952</c:v>
                </c:pt>
                <c:pt idx="951">
                  <c:v>571.7120036383274</c:v>
                </c:pt>
                <c:pt idx="952">
                  <c:v>569.3399846508057</c:v>
                </c:pt>
                <c:pt idx="953">
                  <c:v>557.7158125124357</c:v>
                </c:pt>
                <c:pt idx="954">
                  <c:v>566.9679656632842</c:v>
                </c:pt>
                <c:pt idx="955">
                  <c:v>569.3399846508057</c:v>
                </c:pt>
                <c:pt idx="956">
                  <c:v>581.2000795884141</c:v>
                </c:pt>
                <c:pt idx="957">
                  <c:v>581.2000795884141</c:v>
                </c:pt>
                <c:pt idx="958">
                  <c:v>581.2000795884141</c:v>
                </c:pt>
                <c:pt idx="959">
                  <c:v>581.2000795884141</c:v>
                </c:pt>
                <c:pt idx="960">
                  <c:v>581.2000795884141</c:v>
                </c:pt>
                <c:pt idx="961">
                  <c:v>569.3399846508057</c:v>
                </c:pt>
                <c:pt idx="962">
                  <c:v>571.7120036383274</c:v>
                </c:pt>
                <c:pt idx="963">
                  <c:v>575.270742730451</c:v>
                </c:pt>
                <c:pt idx="964">
                  <c:v>575.270742730451</c:v>
                </c:pt>
                <c:pt idx="965">
                  <c:v>587.7249083312016</c:v>
                </c:pt>
                <c:pt idx="966">
                  <c:v>587.7249083312016</c:v>
                </c:pt>
                <c:pt idx="967">
                  <c:v>575.9699837980728</c:v>
                </c:pt>
                <c:pt idx="968">
                  <c:v>587.7249083312016</c:v>
                </c:pt>
                <c:pt idx="969">
                  <c:v>575.9699837980728</c:v>
                </c:pt>
                <c:pt idx="970">
                  <c:v>587.7249083312016</c:v>
                </c:pt>
                <c:pt idx="971">
                  <c:v>575.9699837980728</c:v>
                </c:pt>
                <c:pt idx="972">
                  <c:v>575.9699837980728</c:v>
                </c:pt>
                <c:pt idx="973">
                  <c:v>575.9699837980728</c:v>
                </c:pt>
                <c:pt idx="974">
                  <c:v>547.7587334072368</c:v>
                </c:pt>
                <c:pt idx="975">
                  <c:v>581.8467354537961</c:v>
                </c:pt>
                <c:pt idx="976">
                  <c:v>568.5639976123476</c:v>
                </c:pt>
                <c:pt idx="977">
                  <c:v>576.0879451976918</c:v>
                </c:pt>
                <c:pt idx="978">
                  <c:v>553.0485205082289</c:v>
                </c:pt>
                <c:pt idx="979">
                  <c:v>583.0220857849407</c:v>
                </c:pt>
                <c:pt idx="980">
                  <c:v>541.2935959751</c:v>
                </c:pt>
                <c:pt idx="981">
                  <c:v>540.706631420369</c:v>
                </c:pt>
                <c:pt idx="982">
                  <c:v>540.706631420369</c:v>
                </c:pt>
                <c:pt idx="983">
                  <c:v>540.706631420369</c:v>
                </c:pt>
                <c:pt idx="984">
                  <c:v>540.8245928199881</c:v>
                </c:pt>
                <c:pt idx="985">
                  <c:v>587.7249083312016</c:v>
                </c:pt>
                <c:pt idx="986">
                  <c:v>540.706631420369</c:v>
                </c:pt>
                <c:pt idx="987">
                  <c:v>540.706631420369</c:v>
                </c:pt>
                <c:pt idx="988">
                  <c:v>540.706631420369</c:v>
                </c:pt>
                <c:pt idx="989">
                  <c:v>540.706631420369</c:v>
                </c:pt>
                <c:pt idx="990">
                  <c:v>540.706631420369</c:v>
                </c:pt>
                <c:pt idx="991">
                  <c:v>542.470367527927</c:v>
                </c:pt>
                <c:pt idx="992">
                  <c:v>540.5886700207498</c:v>
                </c:pt>
                <c:pt idx="993">
                  <c:v>540.3541684431938</c:v>
                </c:pt>
                <c:pt idx="994">
                  <c:v>523.074955231517</c:v>
                </c:pt>
                <c:pt idx="995">
                  <c:v>523.074955231517</c:v>
                </c:pt>
                <c:pt idx="996">
                  <c:v>523.074955231517</c:v>
                </c:pt>
                <c:pt idx="997">
                  <c:v>527.7763565560956</c:v>
                </c:pt>
                <c:pt idx="998">
                  <c:v>511.3200306983883</c:v>
                </c:pt>
                <c:pt idx="999">
                  <c:v>517.1982035757937</c:v>
                </c:pt>
                <c:pt idx="1000">
                  <c:v>517.1982035757937</c:v>
                </c:pt>
                <c:pt idx="1001">
                  <c:v>523.074955231517</c:v>
                </c:pt>
                <c:pt idx="1002">
                  <c:v>528.9517068872403</c:v>
                </c:pt>
                <c:pt idx="1003">
                  <c:v>528.9517068872403</c:v>
                </c:pt>
                <c:pt idx="1004">
                  <c:v>528.9517068872403</c:v>
                </c:pt>
                <c:pt idx="1005">
                  <c:v>528.9517068872403</c:v>
                </c:pt>
                <c:pt idx="1006">
                  <c:v>528.9517068872403</c:v>
                </c:pt>
                <c:pt idx="1007">
                  <c:v>528.9517068872403</c:v>
                </c:pt>
                <c:pt idx="1008">
                  <c:v>530.127057218385</c:v>
                </c:pt>
                <c:pt idx="1009">
                  <c:v>540.1182456439556</c:v>
                </c:pt>
                <c:pt idx="1010">
                  <c:v>538.3559307580797</c:v>
                </c:pt>
                <c:pt idx="1011">
                  <c:v>540.5886700207498</c:v>
                </c:pt>
                <c:pt idx="1012">
                  <c:v>540.4707086211307</c:v>
                </c:pt>
                <c:pt idx="1013">
                  <c:v>540.706631420369</c:v>
                </c:pt>
                <c:pt idx="1014">
                  <c:v>530.9499445723544</c:v>
                </c:pt>
                <c:pt idx="1015">
                  <c:v>552.3435945538784</c:v>
                </c:pt>
                <c:pt idx="1016">
                  <c:v>552.3435945538784</c:v>
                </c:pt>
                <c:pt idx="1017">
                  <c:v>552.4615559534976</c:v>
                </c:pt>
                <c:pt idx="1018">
                  <c:v>552.4615559534976</c:v>
                </c:pt>
                <c:pt idx="1019">
                  <c:v>575.8520223984536</c:v>
                </c:pt>
                <c:pt idx="1020">
                  <c:v>564.2150592649441</c:v>
                </c:pt>
                <c:pt idx="1021">
                  <c:v>552.6960575310537</c:v>
                </c:pt>
                <c:pt idx="1022">
                  <c:v>552.4615559534976</c:v>
                </c:pt>
                <c:pt idx="1023">
                  <c:v>552.4615559534976</c:v>
                </c:pt>
                <c:pt idx="1024">
                  <c:v>552.4615559534976</c:v>
                </c:pt>
                <c:pt idx="1025">
                  <c:v>552.4615559534976</c:v>
                </c:pt>
                <c:pt idx="1026">
                  <c:v>552.4615559534976</c:v>
                </c:pt>
                <c:pt idx="1027">
                  <c:v>552.4615559534976</c:v>
                </c:pt>
                <c:pt idx="1028">
                  <c:v>547.5242318296807</c:v>
                </c:pt>
                <c:pt idx="1029">
                  <c:v>544.3506438134219</c:v>
                </c:pt>
                <c:pt idx="1030">
                  <c:v>543.7622580370087</c:v>
                </c:pt>
                <c:pt idx="1031">
                  <c:v>530.7154429947983</c:v>
                </c:pt>
                <c:pt idx="1032">
                  <c:v>541.8819817515135</c:v>
                </c:pt>
                <c:pt idx="1033">
                  <c:v>540.706631420369</c:v>
                </c:pt>
                <c:pt idx="1034">
                  <c:v>541.7640203518944</c:v>
                </c:pt>
                <c:pt idx="1035">
                  <c:v>541.8819817515135</c:v>
                </c:pt>
                <c:pt idx="1036">
                  <c:v>523.074955231517</c:v>
                </c:pt>
                <c:pt idx="1037">
                  <c:v>530.127057218385</c:v>
                </c:pt>
                <c:pt idx="1038">
                  <c:v>529.1876296864784</c:v>
                </c:pt>
                <c:pt idx="1039">
                  <c:v>528.9517068872403</c:v>
                </c:pt>
                <c:pt idx="1040">
                  <c:v>528.9517068872403</c:v>
                </c:pt>
                <c:pt idx="1041">
                  <c:v>523.074955231517</c:v>
                </c:pt>
                <c:pt idx="1042">
                  <c:v>542.704869105483</c:v>
                </c:pt>
                <c:pt idx="1043">
                  <c:v>528.9517068872403</c:v>
                </c:pt>
                <c:pt idx="1044">
                  <c:v>517.1982035757937</c:v>
                </c:pt>
                <c:pt idx="1045">
                  <c:v>523.074955231517</c:v>
                </c:pt>
                <c:pt idx="1046">
                  <c:v>523.074955231517</c:v>
                </c:pt>
                <c:pt idx="1047">
                  <c:v>523.074955231517</c:v>
                </c:pt>
                <c:pt idx="1048">
                  <c:v>523.074955231517</c:v>
                </c:pt>
                <c:pt idx="1049">
                  <c:v>523.074955231517</c:v>
                </c:pt>
                <c:pt idx="1050">
                  <c:v>532.4777578806742</c:v>
                </c:pt>
                <c:pt idx="1051">
                  <c:v>532.4777578806742</c:v>
                </c:pt>
                <c:pt idx="1052">
                  <c:v>532.4777578806742</c:v>
                </c:pt>
                <c:pt idx="1053">
                  <c:v>529.0696682868594</c:v>
                </c:pt>
                <c:pt idx="1054">
                  <c:v>531.0679059719735</c:v>
                </c:pt>
                <c:pt idx="1055">
                  <c:v>530.245018618004</c:v>
                </c:pt>
                <c:pt idx="1056">
                  <c:v>542.704869105483</c:v>
                </c:pt>
                <c:pt idx="1057">
                  <c:v>541.8819817515135</c:v>
                </c:pt>
                <c:pt idx="1058">
                  <c:v>542.470367527927</c:v>
                </c:pt>
                <c:pt idx="1059">
                  <c:v>540.706631420369</c:v>
                </c:pt>
                <c:pt idx="1060">
                  <c:v>528.599243910065</c:v>
                </c:pt>
                <c:pt idx="1061">
                  <c:v>528.9517068872403</c:v>
                </c:pt>
                <c:pt idx="1062">
                  <c:v>510.1446803672437</c:v>
                </c:pt>
                <c:pt idx="1063">
                  <c:v>542.704869105483</c:v>
                </c:pt>
                <c:pt idx="1064">
                  <c:v>540.706631420369</c:v>
                </c:pt>
                <c:pt idx="1065">
                  <c:v>540.706631420369</c:v>
                </c:pt>
                <c:pt idx="1066">
                  <c:v>528.9517068872403</c:v>
                </c:pt>
                <c:pt idx="1067">
                  <c:v>528.7172053096841</c:v>
                </c:pt>
                <c:pt idx="1068">
                  <c:v>528.9517068872403</c:v>
                </c:pt>
                <c:pt idx="1069">
                  <c:v>521.8996049003723</c:v>
                </c:pt>
                <c:pt idx="1070">
                  <c:v>517.1982035757937</c:v>
                </c:pt>
                <c:pt idx="1071">
                  <c:v>522.3700292771666</c:v>
                </c:pt>
                <c:pt idx="1072">
                  <c:v>528.9517068872403</c:v>
                </c:pt>
                <c:pt idx="1073">
                  <c:v>534.8298797646457</c:v>
                </c:pt>
                <c:pt idx="1074">
                  <c:v>537.180580426935</c:v>
                </c:pt>
                <c:pt idx="1075">
                  <c:v>537.7675449816663</c:v>
                </c:pt>
                <c:pt idx="1076">
                  <c:v>531.4203689491487</c:v>
                </c:pt>
                <c:pt idx="1077">
                  <c:v>540.706631420369</c:v>
                </c:pt>
                <c:pt idx="1078">
                  <c:v>540.706631420369</c:v>
                </c:pt>
                <c:pt idx="1079">
                  <c:v>545.996418521361</c:v>
                </c:pt>
                <c:pt idx="1080">
                  <c:v>525.073192916631</c:v>
                </c:pt>
                <c:pt idx="1081">
                  <c:v>530.7182854381626</c:v>
                </c:pt>
                <c:pt idx="1082">
                  <c:v>530.7182854381626</c:v>
                </c:pt>
                <c:pt idx="1083">
                  <c:v>542.01131292459</c:v>
                </c:pt>
                <c:pt idx="1084">
                  <c:v>542.01131292459</c:v>
                </c:pt>
                <c:pt idx="1085">
                  <c:v>536.2525226684858</c:v>
                </c:pt>
                <c:pt idx="1086">
                  <c:v>553.1892214547624</c:v>
                </c:pt>
                <c:pt idx="1087">
                  <c:v>536.3647991813763</c:v>
                </c:pt>
                <c:pt idx="1088">
                  <c:v>530.7182854381626</c:v>
                </c:pt>
                <c:pt idx="1089">
                  <c:v>519.4266791734175</c:v>
                </c:pt>
                <c:pt idx="1090">
                  <c:v>519.4266791734175</c:v>
                </c:pt>
                <c:pt idx="1091">
                  <c:v>508.1350729086723</c:v>
                </c:pt>
                <c:pt idx="1092">
                  <c:v>508.1350729086723</c:v>
                </c:pt>
                <c:pt idx="1093">
                  <c:v>523.9433216793155</c:v>
                </c:pt>
                <c:pt idx="1094">
                  <c:v>512.6517154145703</c:v>
                </c:pt>
                <c:pt idx="1095">
                  <c:v>512.6517154145703</c:v>
                </c:pt>
                <c:pt idx="1096">
                  <c:v>509.8291691538046</c:v>
                </c:pt>
                <c:pt idx="1097">
                  <c:v>510.957619169438</c:v>
                </c:pt>
                <c:pt idx="1098">
                  <c:v>525.073192916631</c:v>
                </c:pt>
                <c:pt idx="1099">
                  <c:v>485.6641368920724</c:v>
                </c:pt>
                <c:pt idx="1100">
                  <c:v>485.6641368920724</c:v>
                </c:pt>
                <c:pt idx="1101">
                  <c:v>479.9053466359683</c:v>
                </c:pt>
                <c:pt idx="1102">
                  <c:v>474.2588328927546</c:v>
                </c:pt>
                <c:pt idx="1103">
                  <c:v>474.2588328927546</c:v>
                </c:pt>
                <c:pt idx="1104">
                  <c:v>474.2588328927546</c:v>
                </c:pt>
                <c:pt idx="1105">
                  <c:v>474.0342798669736</c:v>
                </c:pt>
                <c:pt idx="1106">
                  <c:v>474.2588328927546</c:v>
                </c:pt>
                <c:pt idx="1107">
                  <c:v>470.8720616241721</c:v>
                </c:pt>
                <c:pt idx="1108">
                  <c:v>470.8720616241721</c:v>
                </c:pt>
                <c:pt idx="1109">
                  <c:v>470.8720616241721</c:v>
                </c:pt>
                <c:pt idx="1110">
                  <c:v>477.3087746226657</c:v>
                </c:pt>
                <c:pt idx="1111">
                  <c:v>483.8577641340496</c:v>
                </c:pt>
                <c:pt idx="1112">
                  <c:v>485.551860379182</c:v>
                </c:pt>
                <c:pt idx="1113">
                  <c:v>485.551860379182</c:v>
                </c:pt>
                <c:pt idx="1114">
                  <c:v>485.551860379182</c:v>
                </c:pt>
                <c:pt idx="1115">
                  <c:v>479.9053466359683</c:v>
                </c:pt>
                <c:pt idx="1116">
                  <c:v>474.4848071402178</c:v>
                </c:pt>
                <c:pt idx="1117">
                  <c:v>474.4848071402178</c:v>
                </c:pt>
                <c:pt idx="1118">
                  <c:v>480.0190443705409</c:v>
                </c:pt>
                <c:pt idx="1119">
                  <c:v>488.3744066399477</c:v>
                </c:pt>
                <c:pt idx="1120">
                  <c:v>492.7787726329552</c:v>
                </c:pt>
                <c:pt idx="1121">
                  <c:v>496.8434666439271</c:v>
                </c:pt>
                <c:pt idx="1122">
                  <c:v>508.1350729086723</c:v>
                </c:pt>
                <c:pt idx="1123">
                  <c:v>489.5028566555811</c:v>
                </c:pt>
                <c:pt idx="1124">
                  <c:v>491.1969529007134</c:v>
                </c:pt>
                <c:pt idx="1125">
                  <c:v>481.0352178732838</c:v>
                </c:pt>
                <c:pt idx="1126">
                  <c:v>485.551860379182</c:v>
                </c:pt>
                <c:pt idx="1127">
                  <c:v>477.3087746226657</c:v>
                </c:pt>
                <c:pt idx="1128">
                  <c:v>474.3725306273273</c:v>
                </c:pt>
                <c:pt idx="1129">
                  <c:v>474.2588328927546</c:v>
                </c:pt>
                <c:pt idx="1130">
                  <c:v>474.2588328927546</c:v>
                </c:pt>
                <c:pt idx="1131">
                  <c:v>474.2588328927546</c:v>
                </c:pt>
                <c:pt idx="1132">
                  <c:v>451.6756203632642</c:v>
                </c:pt>
                <c:pt idx="1133">
                  <c:v>446.0291066200506</c:v>
                </c:pt>
                <c:pt idx="1134">
                  <c:v>446.0291066200506</c:v>
                </c:pt>
                <c:pt idx="1135">
                  <c:v>446.2550808675137</c:v>
                </c:pt>
                <c:pt idx="1136">
                  <c:v>430.2208578494073</c:v>
                </c:pt>
                <c:pt idx="1137">
                  <c:v>429.0924078337738</c:v>
                </c:pt>
                <c:pt idx="1138">
                  <c:v>430.2208578494073</c:v>
                </c:pt>
                <c:pt idx="1139">
                  <c:v>429.0924078337738</c:v>
                </c:pt>
                <c:pt idx="1140">
                  <c:v>428.9787100992012</c:v>
                </c:pt>
                <c:pt idx="1141">
                  <c:v>418.9292515846622</c:v>
                </c:pt>
                <c:pt idx="1142">
                  <c:v>421.1875728376112</c:v>
                </c:pt>
                <c:pt idx="1143">
                  <c:v>421.1875728376112</c:v>
                </c:pt>
                <c:pt idx="1144">
                  <c:v>417.7993803473465</c:v>
                </c:pt>
                <c:pt idx="1145">
                  <c:v>422.8816690827435</c:v>
                </c:pt>
                <c:pt idx="1146">
                  <c:v>422.8816690827435</c:v>
                </c:pt>
                <c:pt idx="1147">
                  <c:v>420.6233478297945</c:v>
                </c:pt>
                <c:pt idx="1148">
                  <c:v>420.6233478297945</c:v>
                </c:pt>
                <c:pt idx="1149">
                  <c:v>421.1875728376112</c:v>
                </c:pt>
                <c:pt idx="1150">
                  <c:v>422.3174440749268</c:v>
                </c:pt>
                <c:pt idx="1151">
                  <c:v>422.3174440749268</c:v>
                </c:pt>
                <c:pt idx="1152">
                  <c:v>423.4458940905602</c:v>
                </c:pt>
                <c:pt idx="1153">
                  <c:v>423.4458940905602</c:v>
                </c:pt>
                <c:pt idx="1154">
                  <c:v>430.7850828572241</c:v>
                </c:pt>
                <c:pt idx="1155">
                  <c:v>425.7042153435093</c:v>
                </c:pt>
                <c:pt idx="1156">
                  <c:v>417.7993803473465</c:v>
                </c:pt>
                <c:pt idx="1157">
                  <c:v>406.5077740826014</c:v>
                </c:pt>
                <c:pt idx="1158">
                  <c:v>426.4944145987891</c:v>
                </c:pt>
                <c:pt idx="1159">
                  <c:v>423.559591825133</c:v>
                </c:pt>
                <c:pt idx="1160">
                  <c:v>417.7993803473465</c:v>
                </c:pt>
                <c:pt idx="1161">
                  <c:v>418.3650265768454</c:v>
                </c:pt>
                <c:pt idx="1162">
                  <c:v>429.0924078337738</c:v>
                </c:pt>
                <c:pt idx="1163">
                  <c:v>427.9625365964583</c:v>
                </c:pt>
                <c:pt idx="1164">
                  <c:v>427.6242858361047</c:v>
                </c:pt>
                <c:pt idx="1165">
                  <c:v>427.6242858361047</c:v>
                </c:pt>
                <c:pt idx="1166">
                  <c:v>406.621471817174</c:v>
                </c:pt>
                <c:pt idx="1167">
                  <c:v>429.0924078337738</c:v>
                </c:pt>
                <c:pt idx="1168">
                  <c:v>429.0924078337738</c:v>
                </c:pt>
                <c:pt idx="1169">
                  <c:v>427.9625365964583</c:v>
                </c:pt>
                <c:pt idx="1170">
                  <c:v>428.9787100992012</c:v>
                </c:pt>
                <c:pt idx="1171">
                  <c:v>423.4458940905602</c:v>
                </c:pt>
                <c:pt idx="1172">
                  <c:v>423.4458940905602</c:v>
                </c:pt>
                <c:pt idx="1173">
                  <c:v>414.9768340865808</c:v>
                </c:pt>
                <c:pt idx="1174">
                  <c:v>423.4458940905602</c:v>
                </c:pt>
                <c:pt idx="1175">
                  <c:v>423.4458940905602</c:v>
                </c:pt>
                <c:pt idx="1176">
                  <c:v>423.4458940905602</c:v>
                </c:pt>
                <c:pt idx="1177">
                  <c:v>423.4458940905602</c:v>
                </c:pt>
                <c:pt idx="1178">
                  <c:v>423.4458940905602</c:v>
                </c:pt>
                <c:pt idx="1179">
                  <c:v>414.9768340865808</c:v>
                </c:pt>
                <c:pt idx="1180">
                  <c:v>414.9768340865808</c:v>
                </c:pt>
                <c:pt idx="1181">
                  <c:v>417.7993803473465</c:v>
                </c:pt>
                <c:pt idx="1182">
                  <c:v>418.9292515846622</c:v>
                </c:pt>
                <c:pt idx="1183">
                  <c:v>418.0253545948097</c:v>
                </c:pt>
                <c:pt idx="1184">
                  <c:v>423.4458940905602</c:v>
                </c:pt>
                <c:pt idx="1185">
                  <c:v>423.4458940905602</c:v>
                </c:pt>
                <c:pt idx="1186">
                  <c:v>406.5077740826014</c:v>
                </c:pt>
                <c:pt idx="1187">
                  <c:v>423.4458940905602</c:v>
                </c:pt>
                <c:pt idx="1188">
                  <c:v>423.4458940905602</c:v>
                </c:pt>
                <c:pt idx="1189">
                  <c:v>427.9625365964583</c:v>
                </c:pt>
                <c:pt idx="1190">
                  <c:v>427.9625365964583</c:v>
                </c:pt>
                <c:pt idx="1191">
                  <c:v>427.9625365964583</c:v>
                </c:pt>
                <c:pt idx="1192">
                  <c:v>427.9625365964583</c:v>
                </c:pt>
                <c:pt idx="1193">
                  <c:v>427.8502600835678</c:v>
                </c:pt>
                <c:pt idx="1194">
                  <c:v>427.9625365964583</c:v>
                </c:pt>
                <c:pt idx="1195">
                  <c:v>427.3983115886416</c:v>
                </c:pt>
                <c:pt idx="1196">
                  <c:v>427.9625365964583</c:v>
                </c:pt>
                <c:pt idx="1197">
                  <c:v>429.0924078337738</c:v>
                </c:pt>
                <c:pt idx="1198">
                  <c:v>417.7993803473465</c:v>
                </c:pt>
                <c:pt idx="1199">
                  <c:v>417.7993803473465</c:v>
                </c:pt>
                <c:pt idx="1200">
                  <c:v>417.7993803473465</c:v>
                </c:pt>
                <c:pt idx="1201">
                  <c:v>417.7993803473465</c:v>
                </c:pt>
                <c:pt idx="1202">
                  <c:v>417.7993803473465</c:v>
                </c:pt>
                <c:pt idx="1203">
                  <c:v>417.7993803473465</c:v>
                </c:pt>
                <c:pt idx="1204">
                  <c:v>417.7993803473465</c:v>
                </c:pt>
                <c:pt idx="1205">
                  <c:v>417.7993803473465</c:v>
                </c:pt>
                <c:pt idx="1206">
                  <c:v>409.3317415650492</c:v>
                </c:pt>
                <c:pt idx="1207">
                  <c:v>409.2180438304767</c:v>
                </c:pt>
                <c:pt idx="1208">
                  <c:v>409.2180438304767</c:v>
                </c:pt>
                <c:pt idx="1209">
                  <c:v>400.9749580739604</c:v>
                </c:pt>
                <c:pt idx="1210">
                  <c:v>409.3317415650492</c:v>
                </c:pt>
                <c:pt idx="1211">
                  <c:v>408.8797930701231</c:v>
                </c:pt>
                <c:pt idx="1212">
                  <c:v>415.5410590943976</c:v>
                </c:pt>
                <c:pt idx="1213">
                  <c:v>416.6709303317131</c:v>
                </c:pt>
                <c:pt idx="1214">
                  <c:v>417.687103834456</c:v>
                </c:pt>
                <c:pt idx="1215">
                  <c:v>413.6224098234843</c:v>
                </c:pt>
                <c:pt idx="1216">
                  <c:v>424.8003183536568</c:v>
                </c:pt>
                <c:pt idx="1217">
                  <c:v>413.6224098234843</c:v>
                </c:pt>
                <c:pt idx="1218">
                  <c:v>423.5709615985901</c:v>
                </c:pt>
                <c:pt idx="1219">
                  <c:v>424.8003183536568</c:v>
                </c:pt>
                <c:pt idx="1220">
                  <c:v>424.8003183536568</c:v>
                </c:pt>
                <c:pt idx="1221">
                  <c:v>424.8003183536568</c:v>
                </c:pt>
                <c:pt idx="1222">
                  <c:v>416.975071771695</c:v>
                </c:pt>
                <c:pt idx="1223">
                  <c:v>419.2120746994115</c:v>
                </c:pt>
                <c:pt idx="1224">
                  <c:v>424.8003183536568</c:v>
                </c:pt>
                <c:pt idx="1225">
                  <c:v>416.4165316506068</c:v>
                </c:pt>
                <c:pt idx="1226">
                  <c:v>418.0935732355533</c:v>
                </c:pt>
                <c:pt idx="1227">
                  <c:v>419.2120746994115</c:v>
                </c:pt>
                <c:pt idx="1228">
                  <c:v>419.2120746994115</c:v>
                </c:pt>
                <c:pt idx="1229">
                  <c:v>419.2120746994115</c:v>
                </c:pt>
                <c:pt idx="1230">
                  <c:v>419.2120746994115</c:v>
                </c:pt>
                <c:pt idx="1231">
                  <c:v>419.2120746994115</c:v>
                </c:pt>
                <c:pt idx="1232">
                  <c:v>419.2120746994115</c:v>
                </c:pt>
                <c:pt idx="1233">
                  <c:v>410.2683266535914</c:v>
                </c:pt>
                <c:pt idx="1234">
                  <c:v>413.6224098234843</c:v>
                </c:pt>
                <c:pt idx="1235">
                  <c:v>412.1685000426367</c:v>
                </c:pt>
                <c:pt idx="1236">
                  <c:v>413.6224098234843</c:v>
                </c:pt>
                <c:pt idx="1237">
                  <c:v>409.2621017026236</c:v>
                </c:pt>
                <c:pt idx="1238">
                  <c:v>409.2621017026236</c:v>
                </c:pt>
                <c:pt idx="1239">
                  <c:v>413.6224098234843</c:v>
                </c:pt>
                <c:pt idx="1240">
                  <c:v>419.2120746994115</c:v>
                </c:pt>
                <c:pt idx="1241">
                  <c:v>428.1544015235496</c:v>
                </c:pt>
                <c:pt idx="1242">
                  <c:v>430.3899832295842</c:v>
                </c:pt>
                <c:pt idx="1243">
                  <c:v>432.6269861573008</c:v>
                </c:pt>
                <c:pt idx="1244">
                  <c:v>435.9796481055115</c:v>
                </c:pt>
                <c:pt idx="1245">
                  <c:v>438.7751911543162</c:v>
                </c:pt>
                <c:pt idx="1246">
                  <c:v>438.7751911543162</c:v>
                </c:pt>
                <c:pt idx="1247">
                  <c:v>447.1589778573662</c:v>
                </c:pt>
                <c:pt idx="1248">
                  <c:v>447.1589778573662</c:v>
                </c:pt>
                <c:pt idx="1249">
                  <c:v>446.0404763935078</c:v>
                </c:pt>
                <c:pt idx="1250">
                  <c:v>449.9530996844887</c:v>
                </c:pt>
                <c:pt idx="1251">
                  <c:v>447.1589778573662</c:v>
                </c:pt>
                <c:pt idx="1252">
                  <c:v>435.9796481055115</c:v>
                </c:pt>
                <c:pt idx="1253">
                  <c:v>435.9796481055115</c:v>
                </c:pt>
                <c:pt idx="1254">
                  <c:v>435.9796481055115</c:v>
                </c:pt>
                <c:pt idx="1255">
                  <c:v>425.9188198175151</c:v>
                </c:pt>
                <c:pt idx="1256">
                  <c:v>430.3899832295842</c:v>
                </c:pt>
                <c:pt idx="1257">
                  <c:v>424.8003183536568</c:v>
                </c:pt>
                <c:pt idx="1258">
                  <c:v>424.8003183536568</c:v>
                </c:pt>
                <c:pt idx="1259">
                  <c:v>427.5958614024615</c:v>
                </c:pt>
                <c:pt idx="1260">
                  <c:v>430.3899832295842</c:v>
                </c:pt>
                <c:pt idx="1261">
                  <c:v>430.3899832295842</c:v>
                </c:pt>
                <c:pt idx="1262">
                  <c:v>430.3899832295842</c:v>
                </c:pt>
                <c:pt idx="1263">
                  <c:v>430.3899832295842</c:v>
                </c:pt>
                <c:pt idx="1264">
                  <c:v>429.272902987408</c:v>
                </c:pt>
                <c:pt idx="1265">
                  <c:v>430.3899832295842</c:v>
                </c:pt>
                <c:pt idx="1266">
                  <c:v>434.8625678633353</c:v>
                </c:pt>
                <c:pt idx="1267">
                  <c:v>434.8625678633353</c:v>
                </c:pt>
                <c:pt idx="1268">
                  <c:v>435.9796481055115</c:v>
                </c:pt>
                <c:pt idx="1269">
                  <c:v>435.9796481055115</c:v>
                </c:pt>
                <c:pt idx="1270">
                  <c:v>435.9796481055115</c:v>
                </c:pt>
                <c:pt idx="1271">
                  <c:v>435.9796481055115</c:v>
                </c:pt>
                <c:pt idx="1272">
                  <c:v>431.5084846934424</c:v>
                </c:pt>
                <c:pt idx="1273">
                  <c:v>432.4024331315198</c:v>
                </c:pt>
                <c:pt idx="1274">
                  <c:v>424.8003183536568</c:v>
                </c:pt>
                <c:pt idx="1275">
                  <c:v>424.8003183536568</c:v>
                </c:pt>
                <c:pt idx="1276">
                  <c:v>424.8003183536568</c:v>
                </c:pt>
                <c:pt idx="1277">
                  <c:v>424.8003183536568</c:v>
                </c:pt>
                <c:pt idx="1278">
                  <c:v>419.2120746994115</c:v>
                </c:pt>
                <c:pt idx="1279">
                  <c:v>424.8003183536568</c:v>
                </c:pt>
                <c:pt idx="1280">
                  <c:v>432.6269861573008</c:v>
                </c:pt>
                <c:pt idx="1281">
                  <c:v>432.6269861573008</c:v>
                </c:pt>
                <c:pt idx="1282">
                  <c:v>419.2120746994115</c:v>
                </c:pt>
                <c:pt idx="1283">
                  <c:v>424.2417782325687</c:v>
                </c:pt>
                <c:pt idx="1284">
                  <c:v>419.2120746994115</c:v>
                </c:pt>
                <c:pt idx="1285">
                  <c:v>424.8003183536568</c:v>
                </c:pt>
                <c:pt idx="1286">
                  <c:v>424.8003183536568</c:v>
                </c:pt>
                <c:pt idx="1287">
                  <c:v>414.1809499445724</c:v>
                </c:pt>
                <c:pt idx="1288">
                  <c:v>424.8003183536568</c:v>
                </c:pt>
                <c:pt idx="1289">
                  <c:v>413.7332651146926</c:v>
                </c:pt>
                <c:pt idx="1290">
                  <c:v>413.7332651146926</c:v>
                </c:pt>
                <c:pt idx="1291">
                  <c:v>419.2120746994115</c:v>
                </c:pt>
                <c:pt idx="1292">
                  <c:v>424.6894630624484</c:v>
                </c:pt>
                <c:pt idx="1293">
                  <c:v>419.2120746994115</c:v>
                </c:pt>
                <c:pt idx="1294">
                  <c:v>413.6224098234843</c:v>
                </c:pt>
                <c:pt idx="1295">
                  <c:v>420.4414314544783</c:v>
                </c:pt>
                <c:pt idx="1296">
                  <c:v>422.6770131605128</c:v>
                </c:pt>
                <c:pt idx="1297">
                  <c:v>431.5084846934424</c:v>
                </c:pt>
                <c:pt idx="1298">
                  <c:v>424.8003183536568</c:v>
                </c:pt>
                <c:pt idx="1299">
                  <c:v>424.577186549558</c:v>
                </c:pt>
                <c:pt idx="1300">
                  <c:v>402.4430800716295</c:v>
                </c:pt>
                <c:pt idx="1301">
                  <c:v>397.9719166595606</c:v>
                </c:pt>
                <c:pt idx="1302">
                  <c:v>402.6662118757283</c:v>
                </c:pt>
                <c:pt idx="1303">
                  <c:v>408.0327449475569</c:v>
                </c:pt>
                <c:pt idx="1304">
                  <c:v>413.6224098234843</c:v>
                </c:pt>
                <c:pt idx="1305">
                  <c:v>413.6224098234843</c:v>
                </c:pt>
                <c:pt idx="1306">
                  <c:v>413.6224098234843</c:v>
                </c:pt>
                <c:pt idx="1307">
                  <c:v>413.6224098234843</c:v>
                </c:pt>
                <c:pt idx="1308">
                  <c:v>414.7394900656604</c:v>
                </c:pt>
                <c:pt idx="1309">
                  <c:v>413.6224098234843</c:v>
                </c:pt>
                <c:pt idx="1310">
                  <c:v>410.8268667746794</c:v>
                </c:pt>
                <c:pt idx="1311">
                  <c:v>397.9719166595606</c:v>
                </c:pt>
                <c:pt idx="1312">
                  <c:v>409.0389698985247</c:v>
                </c:pt>
                <c:pt idx="1313">
                  <c:v>410.2683266535914</c:v>
                </c:pt>
                <c:pt idx="1314">
                  <c:v>413.6224098234843</c:v>
                </c:pt>
                <c:pt idx="1315">
                  <c:v>412.5039083596259</c:v>
                </c:pt>
                <c:pt idx="1316">
                  <c:v>419.2120746994115</c:v>
                </c:pt>
                <c:pt idx="1317">
                  <c:v>419.2120746994115</c:v>
                </c:pt>
                <c:pt idx="1318">
                  <c:v>413.6224098234843</c:v>
                </c:pt>
                <c:pt idx="1319">
                  <c:v>413.6224098234843</c:v>
                </c:pt>
                <c:pt idx="1320">
                  <c:v>413.6224098234843</c:v>
                </c:pt>
                <c:pt idx="1321">
                  <c:v>419.2120746994115</c:v>
                </c:pt>
                <c:pt idx="1322">
                  <c:v>419.2120746994115</c:v>
                </c:pt>
                <c:pt idx="1323">
                  <c:v>419.2120746994115</c:v>
                </c:pt>
                <c:pt idx="1324">
                  <c:v>416.5288081634974</c:v>
                </c:pt>
                <c:pt idx="1325">
                  <c:v>414.2932264574629</c:v>
                </c:pt>
                <c:pt idx="1326">
                  <c:v>424.8003183536568</c:v>
                </c:pt>
                <c:pt idx="1327">
                  <c:v>424.8003183536568</c:v>
                </c:pt>
                <c:pt idx="1328">
                  <c:v>416.975071771695</c:v>
                </c:pt>
                <c:pt idx="1329">
                  <c:v>427.1197521389386</c:v>
                </c:pt>
                <c:pt idx="1330">
                  <c:v>427.1197521389386</c:v>
                </c:pt>
                <c:pt idx="1331">
                  <c:v>427.1197521389386</c:v>
                </c:pt>
                <c:pt idx="1332">
                  <c:v>427.1197521389386</c:v>
                </c:pt>
                <c:pt idx="1333">
                  <c:v>411.1025837810182</c:v>
                </c:pt>
                <c:pt idx="1334">
                  <c:v>411.1025837810182</c:v>
                </c:pt>
                <c:pt idx="1335">
                  <c:v>410.5696256502089</c:v>
                </c:pt>
                <c:pt idx="1336">
                  <c:v>411.1025837810182</c:v>
                </c:pt>
                <c:pt idx="1337">
                  <c:v>400.4249452829652</c:v>
                </c:pt>
                <c:pt idx="1338">
                  <c:v>400.4249452829652</c:v>
                </c:pt>
                <c:pt idx="1339">
                  <c:v>400.5315369091271</c:v>
                </c:pt>
                <c:pt idx="1340">
                  <c:v>400.4249452829652</c:v>
                </c:pt>
                <c:pt idx="1341">
                  <c:v>395.0854154230977</c:v>
                </c:pt>
                <c:pt idx="1342">
                  <c:v>384.5143685512066</c:v>
                </c:pt>
                <c:pt idx="1343">
                  <c:v>408.9679088144169</c:v>
                </c:pt>
                <c:pt idx="1344">
                  <c:v>404.5891248116881</c:v>
                </c:pt>
                <c:pt idx="1345">
                  <c:v>397.2215116113811</c:v>
                </c:pt>
                <c:pt idx="1346">
                  <c:v>395.0854154230977</c:v>
                </c:pt>
                <c:pt idx="1347">
                  <c:v>384.9421562775362</c:v>
                </c:pt>
                <c:pt idx="1348">
                  <c:v>384.6209601773684</c:v>
                </c:pt>
                <c:pt idx="1349">
                  <c:v>384.4077769250448</c:v>
                </c:pt>
                <c:pt idx="1350">
                  <c:v>395.0854154230977</c:v>
                </c:pt>
                <c:pt idx="1351">
                  <c:v>395.7263864017509</c:v>
                </c:pt>
                <c:pt idx="1352">
                  <c:v>400.4249452829652</c:v>
                </c:pt>
                <c:pt idx="1353">
                  <c:v>400.4249452829652</c:v>
                </c:pt>
                <c:pt idx="1354">
                  <c:v>400.4249452829652</c:v>
                </c:pt>
                <c:pt idx="1355">
                  <c:v>395.0854154230977</c:v>
                </c:pt>
                <c:pt idx="1356">
                  <c:v>384.4077769250448</c:v>
                </c:pt>
                <c:pt idx="1357">
                  <c:v>384.4077769250448</c:v>
                </c:pt>
                <c:pt idx="1358">
                  <c:v>384.4077769250448</c:v>
                </c:pt>
                <c:pt idx="1359">
                  <c:v>384.4077769250448</c:v>
                </c:pt>
                <c:pt idx="1360">
                  <c:v>384.4077769250448</c:v>
                </c:pt>
                <c:pt idx="1361">
                  <c:v>395.0854154230977</c:v>
                </c:pt>
                <c:pt idx="1362">
                  <c:v>384.4077769250448</c:v>
                </c:pt>
                <c:pt idx="1363">
                  <c:v>379.0682470651772</c:v>
                </c:pt>
                <c:pt idx="1364">
                  <c:v>389.7473067849123</c:v>
                </c:pt>
                <c:pt idx="1365">
                  <c:v>397.2215116113811</c:v>
                </c:pt>
                <c:pt idx="1366">
                  <c:v>384.3011852988829</c:v>
                </c:pt>
                <c:pt idx="1367">
                  <c:v>385.1553395298599</c:v>
                </c:pt>
                <c:pt idx="1368">
                  <c:v>373.7301384269918</c:v>
                </c:pt>
                <c:pt idx="1369">
                  <c:v>384.4077769250448</c:v>
                </c:pt>
                <c:pt idx="1370">
                  <c:v>358.6737159262101</c:v>
                </c:pt>
                <c:pt idx="1371">
                  <c:v>347.0353315710184</c:v>
                </c:pt>
                <c:pt idx="1372">
                  <c:v>355.0439157499786</c:v>
                </c:pt>
                <c:pt idx="1373">
                  <c:v>355.0439157499786</c:v>
                </c:pt>
                <c:pt idx="1374">
                  <c:v>355.0439157499786</c:v>
                </c:pt>
                <c:pt idx="1375">
                  <c:v>352.3734402092038</c:v>
                </c:pt>
                <c:pt idx="1376">
                  <c:v>352.3734402092038</c:v>
                </c:pt>
                <c:pt idx="1377">
                  <c:v>352.3734402092038</c:v>
                </c:pt>
                <c:pt idx="1378">
                  <c:v>352.3734402092038</c:v>
                </c:pt>
                <c:pt idx="1379">
                  <c:v>352.3734402092038</c:v>
                </c:pt>
                <c:pt idx="1380">
                  <c:v>352.3734402092038</c:v>
                </c:pt>
                <c:pt idx="1381">
                  <c:v>352.266848583042</c:v>
                </c:pt>
                <c:pt idx="1382">
                  <c:v>350.2387652426025</c:v>
                </c:pt>
                <c:pt idx="1383">
                  <c:v>351.1995110997413</c:v>
                </c:pt>
                <c:pt idx="1384">
                  <c:v>352.266848583042</c:v>
                </c:pt>
                <c:pt idx="1385">
                  <c:v>352.266848583042</c:v>
                </c:pt>
                <c:pt idx="1386">
                  <c:v>352.3734402092038</c:v>
                </c:pt>
                <c:pt idx="1387">
                  <c:v>352.3734402092038</c:v>
                </c:pt>
                <c:pt idx="1388">
                  <c:v>352.3734402092038</c:v>
                </c:pt>
                <c:pt idx="1389">
                  <c:v>357.7129700690714</c:v>
                </c:pt>
                <c:pt idx="1390">
                  <c:v>362.5181205764475</c:v>
                </c:pt>
                <c:pt idx="1391">
                  <c:v>368.3906085671243</c:v>
                </c:pt>
                <c:pt idx="1392">
                  <c:v>368.3906085671243</c:v>
                </c:pt>
                <c:pt idx="1393">
                  <c:v>373.7301384269918</c:v>
                </c:pt>
                <c:pt idx="1394">
                  <c:v>354.2963531451636</c:v>
                </c:pt>
                <c:pt idx="1395">
                  <c:v>352.3734402092038</c:v>
                </c:pt>
                <c:pt idx="1396">
                  <c:v>343.297518546943</c:v>
                </c:pt>
                <c:pt idx="1397">
                  <c:v>341.6958017111509</c:v>
                </c:pt>
                <c:pt idx="1398">
                  <c:v>341.6958017111509</c:v>
                </c:pt>
                <c:pt idx="1399">
                  <c:v>331.018163213098</c:v>
                </c:pt>
                <c:pt idx="1400">
                  <c:v>336.3562718512833</c:v>
                </c:pt>
                <c:pt idx="1401">
                  <c:v>336.3562718512833</c:v>
                </c:pt>
                <c:pt idx="1402">
                  <c:v>336.3562718512833</c:v>
                </c:pt>
                <c:pt idx="1403">
                  <c:v>331.018163213098</c:v>
                </c:pt>
                <c:pt idx="1404">
                  <c:v>331.018163213098</c:v>
                </c:pt>
                <c:pt idx="1405">
                  <c:v>331.018163213098</c:v>
                </c:pt>
                <c:pt idx="1406">
                  <c:v>331.018163213098</c:v>
                </c:pt>
                <c:pt idx="1407">
                  <c:v>331.018163213098</c:v>
                </c:pt>
                <c:pt idx="1408">
                  <c:v>331.018163213098</c:v>
                </c:pt>
                <c:pt idx="1409">
                  <c:v>330.9115715869361</c:v>
                </c:pt>
                <c:pt idx="1410">
                  <c:v>331.018163213098</c:v>
                </c:pt>
                <c:pt idx="1411">
                  <c:v>331.018163213098</c:v>
                </c:pt>
                <c:pt idx="1412">
                  <c:v>331.018163213098</c:v>
                </c:pt>
                <c:pt idx="1413">
                  <c:v>341.6958017111509</c:v>
                </c:pt>
                <c:pt idx="1414">
                  <c:v>341.6958017111509</c:v>
                </c:pt>
                <c:pt idx="1415">
                  <c:v>331.018163213098</c:v>
                </c:pt>
                <c:pt idx="1416">
                  <c:v>331.018163213098</c:v>
                </c:pt>
                <c:pt idx="1417">
                  <c:v>330.8049799607743</c:v>
                </c:pt>
                <c:pt idx="1418">
                  <c:v>331.018163213098</c:v>
                </c:pt>
                <c:pt idx="1419">
                  <c:v>329.9494045081152</c:v>
                </c:pt>
                <c:pt idx="1420">
                  <c:v>329.9494045081152</c:v>
                </c:pt>
                <c:pt idx="1421">
                  <c:v>330.9115715869361</c:v>
                </c:pt>
                <c:pt idx="1422">
                  <c:v>331.018163213098</c:v>
                </c:pt>
                <c:pt idx="1423">
                  <c:v>331.018163213098</c:v>
                </c:pt>
                <c:pt idx="1424">
                  <c:v>336.4642846991273</c:v>
                </c:pt>
                <c:pt idx="1425">
                  <c:v>331.018163213098</c:v>
                </c:pt>
                <c:pt idx="1426">
                  <c:v>322.4751996816464</c:v>
                </c:pt>
                <c:pt idx="1427">
                  <c:v>320.340524715045</c:v>
                </c:pt>
                <c:pt idx="1428">
                  <c:v>320.340524715045</c:v>
                </c:pt>
                <c:pt idx="1429">
                  <c:v>320.340524715045</c:v>
                </c:pt>
                <c:pt idx="1430">
                  <c:v>320.340524715045</c:v>
                </c:pt>
                <c:pt idx="1431">
                  <c:v>320.340524715045</c:v>
                </c:pt>
                <c:pt idx="1432">
                  <c:v>306.9924106762173</c:v>
                </c:pt>
                <c:pt idx="1433">
                  <c:v>306.9924106762173</c:v>
                </c:pt>
                <c:pt idx="1434">
                  <c:v>315.0009948551775</c:v>
                </c:pt>
                <c:pt idx="1435">
                  <c:v>315.0009948551775</c:v>
                </c:pt>
                <c:pt idx="1436">
                  <c:v>310.1958443478014</c:v>
                </c:pt>
                <c:pt idx="1437">
                  <c:v>313.3992780193855</c:v>
                </c:pt>
                <c:pt idx="1438">
                  <c:v>313.3992780193855</c:v>
                </c:pt>
                <c:pt idx="1439">
                  <c:v>311.7975611835934</c:v>
                </c:pt>
                <c:pt idx="1440">
                  <c:v>304.3233563571246</c:v>
                </c:pt>
                <c:pt idx="1441">
                  <c:v>304.3233563571246</c:v>
                </c:pt>
                <c:pt idx="1442">
                  <c:v>309.66146499531</c:v>
                </c:pt>
                <c:pt idx="1443">
                  <c:v>309.66146499531</c:v>
                </c:pt>
                <c:pt idx="1444">
                  <c:v>311.7975611835934</c:v>
                </c:pt>
                <c:pt idx="1445">
                  <c:v>311.7975611835934</c:v>
                </c:pt>
                <c:pt idx="1446">
                  <c:v>311.6909695574316</c:v>
                </c:pt>
                <c:pt idx="1447">
                  <c:v>311.6909695574316</c:v>
                </c:pt>
                <c:pt idx="1448">
                  <c:v>313.719052897871</c:v>
                </c:pt>
                <c:pt idx="1449">
                  <c:v>320.232511867201</c:v>
                </c:pt>
                <c:pt idx="1450">
                  <c:v>320.232511867201</c:v>
                </c:pt>
                <c:pt idx="1451">
                  <c:v>324.0769165174383</c:v>
                </c:pt>
                <c:pt idx="1452">
                  <c:v>324.0769165174383</c:v>
                </c:pt>
                <c:pt idx="1453">
                  <c:v>322.4751996816464</c:v>
                </c:pt>
                <c:pt idx="1454">
                  <c:v>331.018163213098</c:v>
                </c:pt>
                <c:pt idx="1455">
                  <c:v>320.340524715045</c:v>
                </c:pt>
                <c:pt idx="1456">
                  <c:v>309.66146499531</c:v>
                </c:pt>
                <c:pt idx="1457">
                  <c:v>309.66146499531</c:v>
                </c:pt>
                <c:pt idx="1458">
                  <c:v>309.66146499531</c:v>
                </c:pt>
                <c:pt idx="1459">
                  <c:v>309.66146499531</c:v>
                </c:pt>
                <c:pt idx="1460">
                  <c:v>309.1285068645008</c:v>
                </c:pt>
                <c:pt idx="1461">
                  <c:v>309.1285068645008</c:v>
                </c:pt>
                <c:pt idx="1462">
                  <c:v>306.4580313237259</c:v>
                </c:pt>
                <c:pt idx="1463">
                  <c:v>306.9924106762173</c:v>
                </c:pt>
                <c:pt idx="1464">
                  <c:v>306.0316648190785</c:v>
                </c:pt>
                <c:pt idx="1465">
                  <c:v>295.3696597595293</c:v>
                </c:pt>
                <c:pt idx="1466">
                  <c:v>295.3696597595293</c:v>
                </c:pt>
                <c:pt idx="1467">
                  <c:v>295.5800005684887</c:v>
                </c:pt>
                <c:pt idx="1468">
                  <c:v>300.8584178960234</c:v>
                </c:pt>
                <c:pt idx="1469">
                  <c:v>290.301583240954</c:v>
                </c:pt>
                <c:pt idx="1470">
                  <c:v>311.3100821466132</c:v>
                </c:pt>
                <c:pt idx="1471">
                  <c:v>316.6936698786277</c:v>
                </c:pt>
                <c:pt idx="1472">
                  <c:v>321.1264603052784</c:v>
                </c:pt>
                <c:pt idx="1473">
                  <c:v>321.1264603052784</c:v>
                </c:pt>
                <c:pt idx="1474">
                  <c:v>321.9720872061624</c:v>
                </c:pt>
                <c:pt idx="1475">
                  <c:v>314.0544612148602</c:v>
                </c:pt>
                <c:pt idx="1476">
                  <c:v>314.0544612148602</c:v>
                </c:pt>
                <c:pt idx="1477">
                  <c:v>332.42233023507</c:v>
                </c:pt>
                <c:pt idx="1478">
                  <c:v>332.42233023507</c:v>
                </c:pt>
                <c:pt idx="1479">
                  <c:v>332.42233023507</c:v>
                </c:pt>
                <c:pt idx="1480">
                  <c:v>316.6936698786277</c:v>
                </c:pt>
                <c:pt idx="1481">
                  <c:v>313.4205963446178</c:v>
                </c:pt>
                <c:pt idx="1482">
                  <c:v>315.1104289247036</c:v>
                </c:pt>
                <c:pt idx="1483">
                  <c:v>315.1104289247036</c:v>
                </c:pt>
                <c:pt idx="1484">
                  <c:v>316.6936698786277</c:v>
                </c:pt>
                <c:pt idx="1485">
                  <c:v>315.6377021687842</c:v>
                </c:pt>
                <c:pt idx="1486">
                  <c:v>301.9143856058668</c:v>
                </c:pt>
                <c:pt idx="1487">
                  <c:v>301.9143856058668</c:v>
                </c:pt>
                <c:pt idx="1488">
                  <c:v>306.1368352235581</c:v>
                </c:pt>
                <c:pt idx="1489">
                  <c:v>306.1368352235581</c:v>
                </c:pt>
                <c:pt idx="1490">
                  <c:v>306.6641084676388</c:v>
                </c:pt>
                <c:pt idx="1491">
                  <c:v>331.4729541513885</c:v>
                </c:pt>
                <c:pt idx="1492">
                  <c:v>332.0002273954691</c:v>
                </c:pt>
                <c:pt idx="1493">
                  <c:v>316.7988402831074</c:v>
                </c:pt>
                <c:pt idx="1494">
                  <c:v>332.5275006395498</c:v>
                </c:pt>
                <c:pt idx="1495">
                  <c:v>332.5275006395498</c:v>
                </c:pt>
                <c:pt idx="1496">
                  <c:v>332.5275006395498</c:v>
                </c:pt>
                <c:pt idx="1497">
                  <c:v>332.5275006395498</c:v>
                </c:pt>
                <c:pt idx="1498">
                  <c:v>332.5275006395498</c:v>
                </c:pt>
                <c:pt idx="1499">
                  <c:v>332.5275006395498</c:v>
                </c:pt>
                <c:pt idx="1500">
                  <c:v>332.5275006395498</c:v>
                </c:pt>
                <c:pt idx="1501">
                  <c:v>337.8059179670845</c:v>
                </c:pt>
                <c:pt idx="1503">
                  <c:v>332.5275006395498</c:v>
                </c:pt>
                <c:pt idx="1504">
                  <c:v>337.7007475626048</c:v>
                </c:pt>
                <c:pt idx="1505">
                  <c:v>327.2505045336972</c:v>
                </c:pt>
                <c:pt idx="1506">
                  <c:v>333.5834683493931</c:v>
                </c:pt>
                <c:pt idx="1507">
                  <c:v>337.8059179670845</c:v>
                </c:pt>
                <c:pt idx="1508">
                  <c:v>337.8059179670845</c:v>
                </c:pt>
                <c:pt idx="1509">
                  <c:v>332.5275006395498</c:v>
                </c:pt>
                <c:pt idx="1510">
                  <c:v>332.5275006395498</c:v>
                </c:pt>
                <c:pt idx="1511">
                  <c:v>332.5275006395498</c:v>
                </c:pt>
                <c:pt idx="1512">
                  <c:v>336.6447798527614</c:v>
                </c:pt>
                <c:pt idx="1513">
                  <c:v>336.7499502572412</c:v>
                </c:pt>
                <c:pt idx="1514">
                  <c:v>336.7499502572412</c:v>
                </c:pt>
                <c:pt idx="1515">
                  <c:v>335.6954037690799</c:v>
                </c:pt>
                <c:pt idx="1516">
                  <c:v>321.9720872061624</c:v>
                </c:pt>
                <c:pt idx="1517">
                  <c:v>316.6936698786277</c:v>
                </c:pt>
                <c:pt idx="1518">
                  <c:v>316.6936698786277</c:v>
                </c:pt>
                <c:pt idx="1519">
                  <c:v>316.6936698786277</c:v>
                </c:pt>
                <c:pt idx="1520">
                  <c:v>316.6936698786277</c:v>
                </c:pt>
                <c:pt idx="1521">
                  <c:v>314.5817344589409</c:v>
                </c:pt>
                <c:pt idx="1522">
                  <c:v>314.15963161934</c:v>
                </c:pt>
                <c:pt idx="1523">
                  <c:v>316.6936698786277</c:v>
                </c:pt>
                <c:pt idx="1524">
                  <c:v>315.1104289247036</c:v>
                </c:pt>
                <c:pt idx="1525">
                  <c:v>316.6936698786277</c:v>
                </c:pt>
                <c:pt idx="1526">
                  <c:v>316.6936698786277</c:v>
                </c:pt>
                <c:pt idx="1527">
                  <c:v>316.6936698786277</c:v>
                </c:pt>
                <c:pt idx="1528">
                  <c:v>319.754981381996</c:v>
                </c:pt>
                <c:pt idx="1529">
                  <c:v>319.8601517864756</c:v>
                </c:pt>
                <c:pt idx="1530">
                  <c:v>319.8601517864756</c:v>
                </c:pt>
                <c:pt idx="1531">
                  <c:v>325.665842358091</c:v>
                </c:pt>
                <c:pt idx="1532">
                  <c:v>327.2505045336972</c:v>
                </c:pt>
                <c:pt idx="1533">
                  <c:v>327.2505045336972</c:v>
                </c:pt>
                <c:pt idx="1534">
                  <c:v>333.4782979449134</c:v>
                </c:pt>
                <c:pt idx="1535">
                  <c:v>333.4782979449134</c:v>
                </c:pt>
                <c:pt idx="1536">
                  <c:v>335.6954037690799</c:v>
                </c:pt>
                <c:pt idx="1537">
                  <c:v>335.6954037690799</c:v>
                </c:pt>
                <c:pt idx="1538">
                  <c:v>337.4889855319632</c:v>
                </c:pt>
                <c:pt idx="1539">
                  <c:v>337.4889855319632</c:v>
                </c:pt>
                <c:pt idx="1540">
                  <c:v>337.8059179670845</c:v>
                </c:pt>
                <c:pt idx="1541">
                  <c:v>337.8059179670845</c:v>
                </c:pt>
                <c:pt idx="1542">
                  <c:v>337.8059179670845</c:v>
                </c:pt>
                <c:pt idx="1543">
                  <c:v>337.8059179670845</c:v>
                </c:pt>
                <c:pt idx="1544">
                  <c:v>316.6936698786277</c:v>
                </c:pt>
                <c:pt idx="1545">
                  <c:v>337.8059179670845</c:v>
                </c:pt>
                <c:pt idx="1546">
                  <c:v>337.8059179670845</c:v>
                </c:pt>
                <c:pt idx="1547">
                  <c:v>337.8059179670845</c:v>
                </c:pt>
                <c:pt idx="1548">
                  <c:v>337.8059179670845</c:v>
                </c:pt>
                <c:pt idx="1549">
                  <c:v>337.8059179670845</c:v>
                </c:pt>
                <c:pt idx="1550">
                  <c:v>329.3610187317017</c:v>
                </c:pt>
                <c:pt idx="1551">
                  <c:v>327.2505045336972</c:v>
                </c:pt>
                <c:pt idx="1552">
                  <c:v>347.3067849123106</c:v>
                </c:pt>
                <c:pt idx="1553">
                  <c:v>327.7777777777778</c:v>
                </c:pt>
                <c:pt idx="1554">
                  <c:v>341.9231971802962</c:v>
                </c:pt>
                <c:pt idx="1555">
                  <c:v>316.6936698786277</c:v>
                </c:pt>
                <c:pt idx="1556">
                  <c:v>324.6112958699298</c:v>
                </c:pt>
                <c:pt idx="1557">
                  <c:v>316.6936698786277</c:v>
                </c:pt>
                <c:pt idx="1558">
                  <c:v>313.5257667490976</c:v>
                </c:pt>
                <c:pt idx="1559">
                  <c:v>312.4712202609363</c:v>
                </c:pt>
                <c:pt idx="1560">
                  <c:v>327.2505045336972</c:v>
                </c:pt>
                <c:pt idx="1561">
                  <c:v>310.3592848412495</c:v>
                </c:pt>
                <c:pt idx="1562">
                  <c:v>311.4152525510929</c:v>
                </c:pt>
                <c:pt idx="1563">
                  <c:v>306.1368352235581</c:v>
                </c:pt>
                <c:pt idx="1564">
                  <c:v>306.1368352235581</c:v>
                </c:pt>
                <c:pt idx="1565">
                  <c:v>311.4152525510929</c:v>
                </c:pt>
                <c:pt idx="1566">
                  <c:v>306.1368352235581</c:v>
                </c:pt>
                <c:pt idx="1567">
                  <c:v>306.1368352235581</c:v>
                </c:pt>
                <c:pt idx="1568">
                  <c:v>306.1368352235581</c:v>
                </c:pt>
                <c:pt idx="1569">
                  <c:v>311.3100821466132</c:v>
                </c:pt>
                <c:pt idx="1570">
                  <c:v>306.1368352235581</c:v>
                </c:pt>
                <c:pt idx="1571">
                  <c:v>311.4152525510929</c:v>
                </c:pt>
                <c:pt idx="1572">
                  <c:v>311.4152525510929</c:v>
                </c:pt>
                <c:pt idx="1573">
                  <c:v>307.1928029334015</c:v>
                </c:pt>
                <c:pt idx="1574">
                  <c:v>308.2487706432449</c:v>
                </c:pt>
                <c:pt idx="1575">
                  <c:v>308.2487706432449</c:v>
                </c:pt>
                <c:pt idx="1576">
                  <c:v>308.2487706432449</c:v>
                </c:pt>
                <c:pt idx="1577">
                  <c:v>308.2487706432449</c:v>
                </c:pt>
                <c:pt idx="1578">
                  <c:v>311.4152525510929</c:v>
                </c:pt>
                <c:pt idx="1579">
                  <c:v>311.4152525510929</c:v>
                </c:pt>
                <c:pt idx="1580">
                  <c:v>314.8986668940621</c:v>
                </c:pt>
                <c:pt idx="1581">
                  <c:v>314.8986668940621</c:v>
                </c:pt>
                <c:pt idx="1582">
                  <c:v>316.6936698786277</c:v>
                </c:pt>
                <c:pt idx="1583">
                  <c:v>316.6936698786277</c:v>
                </c:pt>
                <c:pt idx="1584">
                  <c:v>316.6936698786277</c:v>
                </c:pt>
                <c:pt idx="1585">
                  <c:v>311.0983201159717</c:v>
                </c:pt>
                <c:pt idx="1586">
                  <c:v>310.8979278587874</c:v>
                </c:pt>
                <c:pt idx="1587">
                  <c:v>307.0847900855575</c:v>
                </c:pt>
                <c:pt idx="1588">
                  <c:v>321.1335664136892</c:v>
                </c:pt>
                <c:pt idx="1589">
                  <c:v>321.1335664136892</c:v>
                </c:pt>
                <c:pt idx="1590">
                  <c:v>321.1335664136892</c:v>
                </c:pt>
                <c:pt idx="1591">
                  <c:v>321.1335664136892</c:v>
                </c:pt>
                <c:pt idx="1592">
                  <c:v>321.1335664136892</c:v>
                </c:pt>
                <c:pt idx="1593">
                  <c:v>331.1688127114068</c:v>
                </c:pt>
                <c:pt idx="1594">
                  <c:v>286.0094937608368</c:v>
                </c:pt>
                <c:pt idx="1595">
                  <c:v>286.0094937608368</c:v>
                </c:pt>
                <c:pt idx="1596">
                  <c:v>291.0278275205366</c:v>
                </c:pt>
                <c:pt idx="1597">
                  <c:v>280.9925812228191</c:v>
                </c:pt>
                <c:pt idx="1598">
                  <c:v>284.0027287456297</c:v>
                </c:pt>
                <c:pt idx="1599">
                  <c:v>280.9925812228191</c:v>
                </c:pt>
                <c:pt idx="1600">
                  <c:v>280.9925812228191</c:v>
                </c:pt>
                <c:pt idx="1601">
                  <c:v>281.0920667405701</c:v>
                </c:pt>
                <c:pt idx="1602">
                  <c:v>280.9925812228191</c:v>
                </c:pt>
                <c:pt idx="1603">
                  <c:v>291.0278275205366</c:v>
                </c:pt>
                <c:pt idx="1604">
                  <c:v>293.0345925357437</c:v>
                </c:pt>
                <c:pt idx="1605">
                  <c:v>298.5546175492453</c:v>
                </c:pt>
                <c:pt idx="1606">
                  <c:v>299.5580000568489</c:v>
                </c:pt>
                <c:pt idx="1607">
                  <c:v>301.0630738182542</c:v>
                </c:pt>
                <c:pt idx="1608">
                  <c:v>295.0413575509508</c:v>
                </c:pt>
                <c:pt idx="1609">
                  <c:v>297.04954378784</c:v>
                </c:pt>
                <c:pt idx="1610">
                  <c:v>298.5546175492453</c:v>
                </c:pt>
                <c:pt idx="1611">
                  <c:v>301.0630738182542</c:v>
                </c:pt>
                <c:pt idx="1612">
                  <c:v>297.04954378784</c:v>
                </c:pt>
                <c:pt idx="1613">
                  <c:v>300.0596913106506</c:v>
                </c:pt>
                <c:pt idx="1614">
                  <c:v>300.0596913106506</c:v>
                </c:pt>
                <c:pt idx="1615">
                  <c:v>296.0447400585543</c:v>
                </c:pt>
                <c:pt idx="1616">
                  <c:v>296.0447400585543</c:v>
                </c:pt>
                <c:pt idx="1617">
                  <c:v>282.9993462380262</c:v>
                </c:pt>
                <c:pt idx="1618">
                  <c:v>270.9573349251016</c:v>
                </c:pt>
                <c:pt idx="1619">
                  <c:v>273.5652767118615</c:v>
                </c:pt>
                <c:pt idx="1620">
                  <c:v>280.9925812228191</c:v>
                </c:pt>
                <c:pt idx="1621">
                  <c:v>280.9925812228191</c:v>
                </c:pt>
                <c:pt idx="1622">
                  <c:v>280.9925812228191</c:v>
                </c:pt>
                <c:pt idx="1623">
                  <c:v>280.8916744833859</c:v>
                </c:pt>
                <c:pt idx="1624">
                  <c:v>285.9100082430858</c:v>
                </c:pt>
                <c:pt idx="1625">
                  <c:v>299.0563088030471</c:v>
                </c:pt>
                <c:pt idx="1626">
                  <c:v>286.11040050027</c:v>
                </c:pt>
                <c:pt idx="1627">
                  <c:v>299.0563088030471</c:v>
                </c:pt>
                <c:pt idx="1628">
                  <c:v>299.0563088030471</c:v>
                </c:pt>
                <c:pt idx="1629">
                  <c:v>299.0563088030471</c:v>
                </c:pt>
                <c:pt idx="1630">
                  <c:v>299.0563088030471</c:v>
                </c:pt>
                <c:pt idx="1631">
                  <c:v>299.0563088030471</c:v>
                </c:pt>
                <c:pt idx="1632">
                  <c:v>299.0563088030471</c:v>
                </c:pt>
                <c:pt idx="1633">
                  <c:v>299.0563088030471</c:v>
                </c:pt>
                <c:pt idx="1634">
                  <c:v>296.0447400585543</c:v>
                </c:pt>
                <c:pt idx="1635">
                  <c:v>300.0596913106506</c:v>
                </c:pt>
                <c:pt idx="1636">
                  <c:v>300.0596913106506</c:v>
                </c:pt>
                <c:pt idx="1637">
                  <c:v>300.0596913106506</c:v>
                </c:pt>
                <c:pt idx="1638">
                  <c:v>301.0630738182542</c:v>
                </c:pt>
                <c:pt idx="1639">
                  <c:v>292.9336857963105</c:v>
                </c:pt>
                <c:pt idx="1640">
                  <c:v>280.9925812228191</c:v>
                </c:pt>
                <c:pt idx="1641">
                  <c:v>270.9573349251016</c:v>
                </c:pt>
                <c:pt idx="1642">
                  <c:v>270.9573349251016</c:v>
                </c:pt>
                <c:pt idx="1643">
                  <c:v>263.430544896393</c:v>
                </c:pt>
                <c:pt idx="1644">
                  <c:v>263.430544896393</c:v>
                </c:pt>
                <c:pt idx="1645">
                  <c:v>263.430544896393</c:v>
                </c:pt>
                <c:pt idx="1646">
                  <c:v>263.430544896393</c:v>
                </c:pt>
                <c:pt idx="1647">
                  <c:v>263.430544896393</c:v>
                </c:pt>
                <c:pt idx="1648">
                  <c:v>263.430544896393</c:v>
                </c:pt>
                <c:pt idx="1649">
                  <c:v>263.430544896393</c:v>
                </c:pt>
                <c:pt idx="1650">
                  <c:v>263.430544896393</c:v>
                </c:pt>
                <c:pt idx="1651">
                  <c:v>265.9390011654018</c:v>
                </c:pt>
                <c:pt idx="1652">
                  <c:v>265.9390011654018</c:v>
                </c:pt>
                <c:pt idx="1653">
                  <c:v>260.4189761519002</c:v>
                </c:pt>
                <c:pt idx="1654">
                  <c:v>260.4189761519002</c:v>
                </c:pt>
                <c:pt idx="1655">
                  <c:v>259.9172848980984</c:v>
                </c:pt>
                <c:pt idx="1656">
                  <c:v>260.4189761519002</c:v>
                </c:pt>
                <c:pt idx="1657">
                  <c:v>260.4189761519002</c:v>
                </c:pt>
                <c:pt idx="1658">
                  <c:v>265.8380944259686</c:v>
                </c:pt>
                <c:pt idx="1659">
                  <c:v>265.8380944259686</c:v>
                </c:pt>
                <c:pt idx="1660">
                  <c:v>265.8380944259686</c:v>
                </c:pt>
                <c:pt idx="1661">
                  <c:v>261.4223586595037</c:v>
                </c:pt>
                <c:pt idx="1662">
                  <c:v>263.430544896393</c:v>
                </c:pt>
                <c:pt idx="1663">
                  <c:v>263.430544896393</c:v>
                </c:pt>
                <c:pt idx="1664">
                  <c:v>260.920667405702</c:v>
                </c:pt>
                <c:pt idx="1665">
                  <c:v>260.920667405702</c:v>
                </c:pt>
                <c:pt idx="1666">
                  <c:v>260.920667405702</c:v>
                </c:pt>
                <c:pt idx="1667">
                  <c:v>250.8854211079844</c:v>
                </c:pt>
                <c:pt idx="1668">
                  <c:v>245.8685085699667</c:v>
                </c:pt>
                <c:pt idx="1669">
                  <c:v>240.9510815497001</c:v>
                </c:pt>
                <c:pt idx="1670">
                  <c:v>245.8685085699667</c:v>
                </c:pt>
                <c:pt idx="1671">
                  <c:v>245.8685085699667</c:v>
                </c:pt>
                <c:pt idx="1672">
                  <c:v>245.8685085699667</c:v>
                </c:pt>
                <c:pt idx="1673">
                  <c:v>245.8685085699667</c:v>
                </c:pt>
                <c:pt idx="1674">
                  <c:v>245.8685085699667</c:v>
                </c:pt>
                <c:pt idx="1675">
                  <c:v>245.8685085699667</c:v>
                </c:pt>
                <c:pt idx="1676">
                  <c:v>245.8685085699667</c:v>
                </c:pt>
                <c:pt idx="1677">
                  <c:v>245.8685085699667</c:v>
                </c:pt>
                <c:pt idx="1678">
                  <c:v>244.8651260623632</c:v>
                </c:pt>
                <c:pt idx="1679">
                  <c:v>247.8752735851738</c:v>
                </c:pt>
                <c:pt idx="1680">
                  <c:v>255.802848128251</c:v>
                </c:pt>
                <c:pt idx="1681">
                  <c:v>255.802848128251</c:v>
                </c:pt>
                <c:pt idx="1682">
                  <c:v>255.802848128251</c:v>
                </c:pt>
                <c:pt idx="1683">
                  <c:v>255.9037548676843</c:v>
                </c:pt>
                <c:pt idx="1684">
                  <c:v>255.9037548676843</c:v>
                </c:pt>
                <c:pt idx="1685">
                  <c:v>250.8854211079844</c:v>
                </c:pt>
                <c:pt idx="1686">
                  <c:v>245.8685085699667</c:v>
                </c:pt>
                <c:pt idx="1687">
                  <c:v>245.8685085699667</c:v>
                </c:pt>
                <c:pt idx="1688">
                  <c:v>250.8854211079844</c:v>
                </c:pt>
                <c:pt idx="1689">
                  <c:v>253.3952985986754</c:v>
                </c:pt>
                <c:pt idx="1690">
                  <c:v>250.7859355902334</c:v>
                </c:pt>
                <c:pt idx="1691">
                  <c:v>250.8854211079844</c:v>
                </c:pt>
                <c:pt idx="1692">
                  <c:v>250.8854211079844</c:v>
                </c:pt>
                <c:pt idx="1693">
                  <c:v>250.8854211079844</c:v>
                </c:pt>
                <c:pt idx="1694">
                  <c:v>250.8854211079844</c:v>
                </c:pt>
                <c:pt idx="1695">
                  <c:v>250.8854211079844</c:v>
                </c:pt>
                <c:pt idx="1696">
                  <c:v>245.8685085699667</c:v>
                </c:pt>
                <c:pt idx="1697">
                  <c:v>240.8501748102669</c:v>
                </c:pt>
                <c:pt idx="1698">
                  <c:v>240.8501748102669</c:v>
                </c:pt>
                <c:pt idx="1699">
                  <c:v>240.7506892925158</c:v>
                </c:pt>
                <c:pt idx="1700">
                  <c:v>240.7506892925158</c:v>
                </c:pt>
                <c:pt idx="1701">
                  <c:v>239.3451010488616</c:v>
                </c:pt>
                <c:pt idx="1702">
                  <c:v>239.3451010488616</c:v>
                </c:pt>
                <c:pt idx="1703">
                  <c:v>239.3451010488616</c:v>
                </c:pt>
                <c:pt idx="1704">
                  <c:v>238.341718541258</c:v>
                </c:pt>
                <c:pt idx="1705">
                  <c:v>237.8400272874563</c:v>
                </c:pt>
                <c:pt idx="1706">
                  <c:v>235.8332622722492</c:v>
                </c:pt>
                <c:pt idx="1707">
                  <c:v>235.8332622722492</c:v>
                </c:pt>
                <c:pt idx="1708">
                  <c:v>235.8332622722492</c:v>
                </c:pt>
                <c:pt idx="1709">
                  <c:v>235.8332622722492</c:v>
                </c:pt>
                <c:pt idx="1710">
                  <c:v>235.8332622722492</c:v>
                </c:pt>
                <c:pt idx="1711">
                  <c:v>235.8332622722492</c:v>
                </c:pt>
                <c:pt idx="1712">
                  <c:v>235.8332622722492</c:v>
                </c:pt>
                <c:pt idx="1713">
                  <c:v>235.8332622722492</c:v>
                </c:pt>
                <c:pt idx="1714">
                  <c:v>239.3451010488616</c:v>
                </c:pt>
                <c:pt idx="1715">
                  <c:v>237.2374292942213</c:v>
                </c:pt>
                <c:pt idx="1716">
                  <c:v>237.2374292942213</c:v>
                </c:pt>
                <c:pt idx="1717">
                  <c:v>232.780478098974</c:v>
                </c:pt>
                <c:pt idx="1718">
                  <c:v>232.780478098974</c:v>
                </c:pt>
                <c:pt idx="1719">
                  <c:v>232.780478098974</c:v>
                </c:pt>
                <c:pt idx="1720">
                  <c:v>232.780478098974</c:v>
                </c:pt>
                <c:pt idx="1721">
                  <c:v>232.780478098974</c:v>
                </c:pt>
                <c:pt idx="1722">
                  <c:v>232.780478098974</c:v>
                </c:pt>
                <c:pt idx="1723">
                  <c:v>232.780478098974</c:v>
                </c:pt>
                <c:pt idx="1724">
                  <c:v>232.780478098974</c:v>
                </c:pt>
                <c:pt idx="1725">
                  <c:v>227.9270060544043</c:v>
                </c:pt>
                <c:pt idx="1726">
                  <c:v>238.2280208066854</c:v>
                </c:pt>
                <c:pt idx="1727">
                  <c:v>241.6958017111509</c:v>
                </c:pt>
                <c:pt idx="1728">
                  <c:v>243.675563514397</c:v>
                </c:pt>
                <c:pt idx="1729">
                  <c:v>246.6473380517893</c:v>
                </c:pt>
                <c:pt idx="1730">
                  <c:v>247.6379295642535</c:v>
                </c:pt>
                <c:pt idx="1731">
                  <c:v>247.6379295642535</c:v>
                </c:pt>
                <c:pt idx="1732">
                  <c:v>247.6379295642535</c:v>
                </c:pt>
                <c:pt idx="1733">
                  <c:v>267.4497598135357</c:v>
                </c:pt>
                <c:pt idx="1734">
                  <c:v>267.4497598135357</c:v>
                </c:pt>
                <c:pt idx="1735">
                  <c:v>269.430942838464</c:v>
                </c:pt>
                <c:pt idx="1736">
                  <c:v>269.430942838464</c:v>
                </c:pt>
                <c:pt idx="1737">
                  <c:v>269.430942838464</c:v>
                </c:pt>
                <c:pt idx="1738">
                  <c:v>267.4497598135357</c:v>
                </c:pt>
                <c:pt idx="1739">
                  <c:v>267.4497598135357</c:v>
                </c:pt>
                <c:pt idx="1740">
                  <c:v>274.8784855461755</c:v>
                </c:pt>
                <c:pt idx="1741">
                  <c:v>274.8784855461755</c:v>
                </c:pt>
                <c:pt idx="1742">
                  <c:v>272.4027173758563</c:v>
                </c:pt>
                <c:pt idx="1743">
                  <c:v>276.3650834257128</c:v>
                </c:pt>
                <c:pt idx="1744">
                  <c:v>276.3650834257128</c:v>
                </c:pt>
                <c:pt idx="1745">
                  <c:v>276.3650834257128</c:v>
                </c:pt>
                <c:pt idx="1746">
                  <c:v>276.3650834257128</c:v>
                </c:pt>
                <c:pt idx="1747">
                  <c:v>276.3650834257128</c:v>
                </c:pt>
                <c:pt idx="1748">
                  <c:v>262.4968022512152</c:v>
                </c:pt>
                <c:pt idx="1749">
                  <c:v>262.4968022512152</c:v>
                </c:pt>
                <c:pt idx="1750">
                  <c:v>248.3314857451466</c:v>
                </c:pt>
                <c:pt idx="1751">
                  <c:v>246.6473380517893</c:v>
                </c:pt>
                <c:pt idx="1752">
                  <c:v>246.6473380517893</c:v>
                </c:pt>
                <c:pt idx="1753">
                  <c:v>243.180978369006</c:v>
                </c:pt>
                <c:pt idx="1754">
                  <c:v>241.6958017111509</c:v>
                </c:pt>
                <c:pt idx="1755">
                  <c:v>243.180978369006</c:v>
                </c:pt>
                <c:pt idx="1756">
                  <c:v>240.2092038316136</c:v>
                </c:pt>
                <c:pt idx="1757">
                  <c:v>240.2092038316136</c:v>
                </c:pt>
                <c:pt idx="1758">
                  <c:v>240.2092038316136</c:v>
                </c:pt>
                <c:pt idx="1759">
                  <c:v>237.7334356612944</c:v>
                </c:pt>
                <c:pt idx="1760">
                  <c:v>237.7334356612944</c:v>
                </c:pt>
                <c:pt idx="1761">
                  <c:v>237.7334356612944</c:v>
                </c:pt>
                <c:pt idx="1762">
                  <c:v>242.586907705864</c:v>
                </c:pt>
                <c:pt idx="1763">
                  <c:v>242.586907705864</c:v>
                </c:pt>
                <c:pt idx="1764">
                  <c:v>242.586907705864</c:v>
                </c:pt>
                <c:pt idx="1765">
                  <c:v>242.586907705864</c:v>
                </c:pt>
                <c:pt idx="1766">
                  <c:v>242.586907705864</c:v>
                </c:pt>
                <c:pt idx="1767">
                  <c:v>242.586907705864</c:v>
                </c:pt>
                <c:pt idx="1768">
                  <c:v>242.686393223615</c:v>
                </c:pt>
                <c:pt idx="1769">
                  <c:v>242.686393223615</c:v>
                </c:pt>
                <c:pt idx="1770">
                  <c:v>242.686393223615</c:v>
                </c:pt>
                <c:pt idx="1771">
                  <c:v>237.7334356612944</c:v>
                </c:pt>
                <c:pt idx="1772">
                  <c:v>223.4686336374748</c:v>
                </c:pt>
                <c:pt idx="1773">
                  <c:v>217.9216054120122</c:v>
                </c:pt>
                <c:pt idx="1774">
                  <c:v>217.9216054120122</c:v>
                </c:pt>
                <c:pt idx="1775">
                  <c:v>217.9216054120122</c:v>
                </c:pt>
                <c:pt idx="1776">
                  <c:v>244.6661550268611</c:v>
                </c:pt>
                <c:pt idx="1777">
                  <c:v>244.6661550268611</c:v>
                </c:pt>
                <c:pt idx="1778">
                  <c:v>244.6661550268611</c:v>
                </c:pt>
                <c:pt idx="1779">
                  <c:v>244.6661550268611</c:v>
                </c:pt>
                <c:pt idx="1780">
                  <c:v>242.686393223615</c:v>
                </c:pt>
                <c:pt idx="1781">
                  <c:v>242.686393223615</c:v>
                </c:pt>
                <c:pt idx="1782">
                  <c:v>242.686393223615</c:v>
                </c:pt>
                <c:pt idx="1783">
                  <c:v>242.686393223615</c:v>
                </c:pt>
                <c:pt idx="1784">
                  <c:v>242.686393223615</c:v>
                </c:pt>
                <c:pt idx="1785">
                  <c:v>243.675563514397</c:v>
                </c:pt>
                <c:pt idx="1786">
                  <c:v>247.6379295642535</c:v>
                </c:pt>
                <c:pt idx="1787">
                  <c:v>246.5492737557204</c:v>
                </c:pt>
                <c:pt idx="1788">
                  <c:v>250.1151189562548</c:v>
                </c:pt>
                <c:pt idx="1789">
                  <c:v>250.1151189562548</c:v>
                </c:pt>
                <c:pt idx="1790">
                  <c:v>250.1151189562548</c:v>
                </c:pt>
                <c:pt idx="1791">
                  <c:v>252.590887126574</c:v>
                </c:pt>
                <c:pt idx="1792">
                  <c:v>252.590887126574</c:v>
                </c:pt>
                <c:pt idx="1793">
                  <c:v>253.5814786390381</c:v>
                </c:pt>
                <c:pt idx="1794">
                  <c:v>262.4968022512152</c:v>
                </c:pt>
                <c:pt idx="1795">
                  <c:v>262.4968022512152</c:v>
                </c:pt>
                <c:pt idx="1796">
                  <c:v>257.5438446888946</c:v>
                </c:pt>
                <c:pt idx="1797">
                  <c:v>257.5438446888946</c:v>
                </c:pt>
                <c:pt idx="1798">
                  <c:v>257.5438446888946</c:v>
                </c:pt>
                <c:pt idx="1799">
                  <c:v>247.6379295642535</c:v>
                </c:pt>
                <c:pt idx="1800">
                  <c:v>247.6379295642535</c:v>
                </c:pt>
                <c:pt idx="1801">
                  <c:v>239.2186123191495</c:v>
                </c:pt>
                <c:pt idx="1802">
                  <c:v>240.2092038316136</c:v>
                </c:pt>
                <c:pt idx="1803">
                  <c:v>240.2092038316136</c:v>
                </c:pt>
                <c:pt idx="1804">
                  <c:v>237.7334356612944</c:v>
                </c:pt>
                <c:pt idx="1805">
                  <c:v>236.2468377817572</c:v>
                </c:pt>
                <c:pt idx="1806">
                  <c:v>234.7616611239021</c:v>
                </c:pt>
                <c:pt idx="1807">
                  <c:v>237.7334356612944</c:v>
                </c:pt>
                <c:pt idx="1808">
                  <c:v>240.2092038316136</c:v>
                </c:pt>
                <c:pt idx="1809">
                  <c:v>240.2092038316136</c:v>
                </c:pt>
                <c:pt idx="1810">
                  <c:v>240.2092038316136</c:v>
                </c:pt>
                <c:pt idx="1811">
                  <c:v>240.2092038316136</c:v>
                </c:pt>
                <c:pt idx="1812">
                  <c:v>232.780478098974</c:v>
                </c:pt>
                <c:pt idx="1813">
                  <c:v>227.8275205366533</c:v>
                </c:pt>
                <c:pt idx="1814">
                  <c:v>227.8275205366533</c:v>
                </c:pt>
                <c:pt idx="1815">
                  <c:v>227.8275205366533</c:v>
                </c:pt>
                <c:pt idx="1816">
                  <c:v>227.7280350189022</c:v>
                </c:pt>
                <c:pt idx="1817">
                  <c:v>227.7280350189022</c:v>
                </c:pt>
                <c:pt idx="1818">
                  <c:v>227.7280350189022</c:v>
                </c:pt>
                <c:pt idx="1819">
                  <c:v>227.7280350189022</c:v>
                </c:pt>
                <c:pt idx="1820">
                  <c:v>227.8275205366533</c:v>
                </c:pt>
                <c:pt idx="1821">
                  <c:v>227.8275205366533</c:v>
                </c:pt>
                <c:pt idx="1822">
                  <c:v>217.9216054120122</c:v>
                </c:pt>
                <c:pt idx="1823">
                  <c:v>217.9216054120122</c:v>
                </c:pt>
                <c:pt idx="1824">
                  <c:v>217.9216054120122</c:v>
                </c:pt>
                <c:pt idx="1825">
                  <c:v>217.9216054120122</c:v>
                </c:pt>
                <c:pt idx="1826">
                  <c:v>217.9216054120122</c:v>
                </c:pt>
                <c:pt idx="1827">
                  <c:v>217.9216054120122</c:v>
                </c:pt>
                <c:pt idx="1828">
                  <c:v>222.8745629743327</c:v>
                </c:pt>
                <c:pt idx="1829">
                  <c:v>222.8745629743327</c:v>
                </c:pt>
                <c:pt idx="1830">
                  <c:v>222.8745629743327</c:v>
                </c:pt>
                <c:pt idx="1831">
                  <c:v>222.8745629743327</c:v>
                </c:pt>
                <c:pt idx="1832">
                  <c:v>222.8745629743327</c:v>
                </c:pt>
                <c:pt idx="1833">
                  <c:v>222.8745629743327</c:v>
                </c:pt>
                <c:pt idx="1834">
                  <c:v>210.4928796793724</c:v>
                </c:pt>
                <c:pt idx="1835">
                  <c:v>210.4928796793724</c:v>
                </c:pt>
                <c:pt idx="1836">
                  <c:v>210.4928796793724</c:v>
                </c:pt>
                <c:pt idx="1837">
                  <c:v>210.4928796793724</c:v>
                </c:pt>
                <c:pt idx="1838">
                  <c:v>210.4928796793724</c:v>
                </c:pt>
                <c:pt idx="1839">
                  <c:v>210.4928796793724</c:v>
                </c:pt>
                <c:pt idx="1840">
                  <c:v>210.0252977459424</c:v>
                </c:pt>
                <c:pt idx="1841">
                  <c:v>210.0252977459424</c:v>
                </c:pt>
                <c:pt idx="1842">
                  <c:v>210.0252977459424</c:v>
                </c:pt>
                <c:pt idx="1843">
                  <c:v>210.0252977459424</c:v>
                </c:pt>
                <c:pt idx="1844">
                  <c:v>210.0252977459424</c:v>
                </c:pt>
                <c:pt idx="1845">
                  <c:v>210.0252977459424</c:v>
                </c:pt>
                <c:pt idx="1846">
                  <c:v>214.6925897501492</c:v>
                </c:pt>
                <c:pt idx="1847">
                  <c:v>210.0252977459424</c:v>
                </c:pt>
                <c:pt idx="1848">
                  <c:v>210.0252977459424</c:v>
                </c:pt>
                <c:pt idx="1849">
                  <c:v>210.0252977459424</c:v>
                </c:pt>
                <c:pt idx="1850">
                  <c:v>210.9590403911202</c:v>
                </c:pt>
                <c:pt idx="1851">
                  <c:v>210.0252977459424</c:v>
                </c:pt>
                <c:pt idx="1852">
                  <c:v>205.8255876751656</c:v>
                </c:pt>
                <c:pt idx="1853">
                  <c:v>214.2264290384014</c:v>
                </c:pt>
                <c:pt idx="1854">
                  <c:v>214.2264290384014</c:v>
                </c:pt>
                <c:pt idx="1855">
                  <c:v>212.3589437480458</c:v>
                </c:pt>
                <c:pt idx="1856">
                  <c:v>210.0252977459424</c:v>
                </c:pt>
                <c:pt idx="1857">
                  <c:v>210.0252977459424</c:v>
                </c:pt>
                <c:pt idx="1858">
                  <c:v>205.451806372758</c:v>
                </c:pt>
                <c:pt idx="1859">
                  <c:v>205.451806372758</c:v>
                </c:pt>
                <c:pt idx="1860">
                  <c:v>205.3594269634177</c:v>
                </c:pt>
                <c:pt idx="1861">
                  <c:v>205.3594269634177</c:v>
                </c:pt>
                <c:pt idx="1862">
                  <c:v>205.3594269634177</c:v>
                </c:pt>
                <c:pt idx="1863">
                  <c:v>196.0248429550041</c:v>
                </c:pt>
                <c:pt idx="1864">
                  <c:v>196.2110229953668</c:v>
                </c:pt>
                <c:pt idx="1865">
                  <c:v>196.0248429550041</c:v>
                </c:pt>
                <c:pt idx="1866">
                  <c:v>184.3566129444871</c:v>
                </c:pt>
                <c:pt idx="1867">
                  <c:v>184.3566129444871</c:v>
                </c:pt>
                <c:pt idx="1868">
                  <c:v>184.3566129444871</c:v>
                </c:pt>
                <c:pt idx="1869">
                  <c:v>184.3566129444871</c:v>
                </c:pt>
                <c:pt idx="1870">
                  <c:v>204.3318836872175</c:v>
                </c:pt>
                <c:pt idx="1871">
                  <c:v>207.2254910320912</c:v>
                </c:pt>
                <c:pt idx="1872">
                  <c:v>207.2254910320912</c:v>
                </c:pt>
                <c:pt idx="1873">
                  <c:v>205.3594269634177</c:v>
                </c:pt>
                <c:pt idx="1874">
                  <c:v>205.3594269634177</c:v>
                </c:pt>
                <c:pt idx="1875">
                  <c:v>204.8918450299878</c:v>
                </c:pt>
                <c:pt idx="1876">
                  <c:v>204.8918450299878</c:v>
                </c:pt>
                <c:pt idx="1877">
                  <c:v>204.42568431824</c:v>
                </c:pt>
                <c:pt idx="1878">
                  <c:v>191.3575509507973</c:v>
                </c:pt>
                <c:pt idx="1879">
                  <c:v>194.1573576646485</c:v>
                </c:pt>
                <c:pt idx="1880">
                  <c:v>206.2917483869134</c:v>
                </c:pt>
                <c:pt idx="1881">
                  <c:v>196.0248429550041</c:v>
                </c:pt>
                <c:pt idx="1882">
                  <c:v>196.0248429550041</c:v>
                </c:pt>
                <c:pt idx="1883">
                  <c:v>214.6925897501492</c:v>
                </c:pt>
                <c:pt idx="1884">
                  <c:v>214.6925897501492</c:v>
                </c:pt>
                <c:pt idx="1885">
                  <c:v>196.0248429550041</c:v>
                </c:pt>
                <c:pt idx="1886">
                  <c:v>186.6902589465905</c:v>
                </c:pt>
                <c:pt idx="1887">
                  <c:v>191.3575509507973</c:v>
                </c:pt>
                <c:pt idx="1888">
                  <c:v>191.3575509507973</c:v>
                </c:pt>
                <c:pt idx="1889">
                  <c:v>191.3575509507973</c:v>
                </c:pt>
                <c:pt idx="1890">
                  <c:v>191.3575509507973</c:v>
                </c:pt>
                <c:pt idx="1891">
                  <c:v>191.3575509507973</c:v>
                </c:pt>
                <c:pt idx="1892">
                  <c:v>196.0248429550041</c:v>
                </c:pt>
                <c:pt idx="1893">
                  <c:v>196.0248429550041</c:v>
                </c:pt>
                <c:pt idx="1894">
                  <c:v>196.0248429550041</c:v>
                </c:pt>
                <c:pt idx="1895">
                  <c:v>196.0248429550041</c:v>
                </c:pt>
                <c:pt idx="1896">
                  <c:v>196.1172223643444</c:v>
                </c:pt>
                <c:pt idx="1897">
                  <c:v>196.4910036667519</c:v>
                </c:pt>
                <c:pt idx="1898">
                  <c:v>197.4247463119297</c:v>
                </c:pt>
                <c:pt idx="1899">
                  <c:v>204.42568431824</c:v>
                </c:pt>
                <c:pt idx="1900">
                  <c:v>202.5581990278844</c:v>
                </c:pt>
                <c:pt idx="1901">
                  <c:v>202.5581990278844</c:v>
                </c:pt>
                <c:pt idx="1902">
                  <c:v>196.0248429550041</c:v>
                </c:pt>
                <c:pt idx="1903">
                  <c:v>196.0248429550041</c:v>
                </c:pt>
                <c:pt idx="1904">
                  <c:v>193.6911969529007</c:v>
                </c:pt>
                <c:pt idx="1905">
                  <c:v>196.0248429550041</c:v>
                </c:pt>
                <c:pt idx="1906">
                  <c:v>196.0248429550041</c:v>
                </c:pt>
                <c:pt idx="1907">
                  <c:v>196.0248429550041</c:v>
                </c:pt>
                <c:pt idx="1908">
                  <c:v>196.0248429550041</c:v>
                </c:pt>
                <c:pt idx="1909">
                  <c:v>196.0248429550041</c:v>
                </c:pt>
                <c:pt idx="1910">
                  <c:v>196.0248429550041</c:v>
                </c:pt>
                <c:pt idx="1911">
                  <c:v>196.0248429550041</c:v>
                </c:pt>
                <c:pt idx="1912">
                  <c:v>183.8890310110571</c:v>
                </c:pt>
                <c:pt idx="1913">
                  <c:v>183.8890310110571</c:v>
                </c:pt>
                <c:pt idx="1914">
                  <c:v>180.1554816520281</c:v>
                </c:pt>
                <c:pt idx="1915">
                  <c:v>183.8890310110571</c:v>
                </c:pt>
                <c:pt idx="1916">
                  <c:v>182.0229669423837</c:v>
                </c:pt>
                <c:pt idx="1917">
                  <c:v>175.0220289360735</c:v>
                </c:pt>
                <c:pt idx="1918">
                  <c:v>175.4881896478213</c:v>
                </c:pt>
                <c:pt idx="1919">
                  <c:v>174.8344276740286</c:v>
                </c:pt>
                <c:pt idx="1920">
                  <c:v>172.68838293397</c:v>
                </c:pt>
                <c:pt idx="1921">
                  <c:v>174.4620675933032</c:v>
                </c:pt>
                <c:pt idx="1922">
                  <c:v>169.8871549984366</c:v>
                </c:pt>
                <c:pt idx="1923">
                  <c:v>169.8871549984366</c:v>
                </c:pt>
                <c:pt idx="1924">
                  <c:v>174.5544470026435</c:v>
                </c:pt>
                <c:pt idx="1925">
                  <c:v>174.5544470026435</c:v>
                </c:pt>
                <c:pt idx="1926">
                  <c:v>174.5544470026435</c:v>
                </c:pt>
                <c:pt idx="1927">
                  <c:v>174.5544470026435</c:v>
                </c:pt>
                <c:pt idx="1928">
                  <c:v>174.5544470026435</c:v>
                </c:pt>
                <c:pt idx="1929">
                  <c:v>174.8344276740286</c:v>
                </c:pt>
                <c:pt idx="1930">
                  <c:v>174.928228305051</c:v>
                </c:pt>
                <c:pt idx="1931">
                  <c:v>174.928228305051</c:v>
                </c:pt>
                <c:pt idx="1932">
                  <c:v>175.0220289360735</c:v>
                </c:pt>
                <c:pt idx="1933">
                  <c:v>175.0220289360735</c:v>
                </c:pt>
                <c:pt idx="1934">
                  <c:v>175.0220289360735</c:v>
                </c:pt>
                <c:pt idx="1935">
                  <c:v>172.2208010005401</c:v>
                </c:pt>
                <c:pt idx="1936">
                  <c:v>175.4881896478213</c:v>
                </c:pt>
                <c:pt idx="1937">
                  <c:v>175.4881896478213</c:v>
                </c:pt>
                <c:pt idx="1938">
                  <c:v>177.3556749381769</c:v>
                </c:pt>
                <c:pt idx="1939">
                  <c:v>177.3556749381769</c:v>
                </c:pt>
                <c:pt idx="1940">
                  <c:v>177.3556749381769</c:v>
                </c:pt>
                <c:pt idx="1941">
                  <c:v>177.3556749381769</c:v>
                </c:pt>
                <c:pt idx="1942">
                  <c:v>177.3556749381769</c:v>
                </c:pt>
                <c:pt idx="1943">
                  <c:v>177.3556749381769</c:v>
                </c:pt>
                <c:pt idx="1944">
                  <c:v>177.3556749381769</c:v>
                </c:pt>
                <c:pt idx="1945">
                  <c:v>177.3556749381769</c:v>
                </c:pt>
                <c:pt idx="1946">
                  <c:v>177.3556749381769</c:v>
                </c:pt>
                <c:pt idx="1947">
                  <c:v>177.3556749381769</c:v>
                </c:pt>
                <c:pt idx="1948">
                  <c:v>177.3556749381769</c:v>
                </c:pt>
                <c:pt idx="1949">
                  <c:v>168.4872516415111</c:v>
                </c:pt>
                <c:pt idx="1950">
                  <c:v>166.1536056394076</c:v>
                </c:pt>
                <c:pt idx="1951">
                  <c:v>164.753702282482</c:v>
                </c:pt>
                <c:pt idx="1952">
                  <c:v>166.1536056394076</c:v>
                </c:pt>
                <c:pt idx="1953">
                  <c:v>165.2198629942298</c:v>
                </c:pt>
                <c:pt idx="1954">
                  <c:v>167.0873482845855</c:v>
                </c:pt>
                <c:pt idx="1955">
                  <c:v>167.0873482845855</c:v>
                </c:pt>
                <c:pt idx="1956">
                  <c:v>171.7546402887922</c:v>
                </c:pt>
                <c:pt idx="1957">
                  <c:v>177.3556749381769</c:v>
                </c:pt>
                <c:pt idx="1958">
                  <c:v>177.3556749381769</c:v>
                </c:pt>
                <c:pt idx="1959">
                  <c:v>180.621642363776</c:v>
                </c:pt>
                <c:pt idx="1960">
                  <c:v>182.0229669423837</c:v>
                </c:pt>
                <c:pt idx="1961">
                  <c:v>183.8890310110571</c:v>
                </c:pt>
                <c:pt idx="1962">
                  <c:v>186.6902589465905</c:v>
                </c:pt>
                <c:pt idx="1963">
                  <c:v>185.1965549586425</c:v>
                </c:pt>
                <c:pt idx="1964">
                  <c:v>193.4879622523521</c:v>
                </c:pt>
                <c:pt idx="1965">
                  <c:v>198.0955629459083</c:v>
                </c:pt>
                <c:pt idx="1966">
                  <c:v>198.0955629459083</c:v>
                </c:pt>
                <c:pt idx="1967">
                  <c:v>198.0955629459083</c:v>
                </c:pt>
                <c:pt idx="1968">
                  <c:v>198.0955629459083</c:v>
                </c:pt>
                <c:pt idx="1969">
                  <c:v>198.0955629459083</c:v>
                </c:pt>
                <c:pt idx="1970">
                  <c:v>202.7017424177823</c:v>
                </c:pt>
                <c:pt idx="1971">
                  <c:v>199.0165145959467</c:v>
                </c:pt>
                <c:pt idx="1972">
                  <c:v>199.0165145959467</c:v>
                </c:pt>
                <c:pt idx="1973">
                  <c:v>199.0165145959467</c:v>
                </c:pt>
                <c:pt idx="1974">
                  <c:v>198.0955629459083</c:v>
                </c:pt>
                <c:pt idx="1975">
                  <c:v>198.0955629459083</c:v>
                </c:pt>
                <c:pt idx="1976">
                  <c:v>198.0955629459083</c:v>
                </c:pt>
                <c:pt idx="1977">
                  <c:v>193.4879622523521</c:v>
                </c:pt>
                <c:pt idx="1978">
                  <c:v>193.4879622523521</c:v>
                </c:pt>
                <c:pt idx="1979">
                  <c:v>193.4879622523521</c:v>
                </c:pt>
                <c:pt idx="1980">
                  <c:v>193.4879622523521</c:v>
                </c:pt>
                <c:pt idx="1981">
                  <c:v>198.0955629459083</c:v>
                </c:pt>
                <c:pt idx="1982">
                  <c:v>198.0955629459083</c:v>
                </c:pt>
                <c:pt idx="1983">
                  <c:v>198.0955629459083</c:v>
                </c:pt>
                <c:pt idx="1984">
                  <c:v>198.0955629459083</c:v>
                </c:pt>
                <c:pt idx="1985">
                  <c:v>195.7917625991302</c:v>
                </c:pt>
                <c:pt idx="1986">
                  <c:v>193.4879622523521</c:v>
                </c:pt>
                <c:pt idx="1987">
                  <c:v>193.4879622523521</c:v>
                </c:pt>
                <c:pt idx="1988">
                  <c:v>193.4879622523521</c:v>
                </c:pt>
                <c:pt idx="1989">
                  <c:v>196.6217560615105</c:v>
                </c:pt>
                <c:pt idx="1990">
                  <c:v>196.6217560615105</c:v>
                </c:pt>
                <c:pt idx="1991">
                  <c:v>196.7127142491686</c:v>
                </c:pt>
                <c:pt idx="1992">
                  <c:v>195.7917625991302</c:v>
                </c:pt>
                <c:pt idx="1993">
                  <c:v>195.7917625991302</c:v>
                </c:pt>
                <c:pt idx="1994">
                  <c:v>188.8817827804781</c:v>
                </c:pt>
                <c:pt idx="1995">
                  <c:v>185.1965549586425</c:v>
                </c:pt>
                <c:pt idx="1996">
                  <c:v>184.2741820869219</c:v>
                </c:pt>
                <c:pt idx="1997">
                  <c:v>184.7360791336232</c:v>
                </c:pt>
                <c:pt idx="1998">
                  <c:v>179.6680026150479</c:v>
                </c:pt>
                <c:pt idx="1999">
                  <c:v>184.2741820869219</c:v>
                </c:pt>
                <c:pt idx="2000">
                  <c:v>184.2741820869219</c:v>
                </c:pt>
                <c:pt idx="2001">
                  <c:v>184.2741820869219</c:v>
                </c:pt>
                <c:pt idx="2002">
                  <c:v>184.2741820869219</c:v>
                </c:pt>
                <c:pt idx="2003">
                  <c:v>182.4322787868452</c:v>
                </c:pt>
                <c:pt idx="2004">
                  <c:v>179.6680026150479</c:v>
                </c:pt>
                <c:pt idx="2005">
                  <c:v>178.7470509650095</c:v>
                </c:pt>
                <c:pt idx="2006">
                  <c:v>184.2741820869219</c:v>
                </c:pt>
                <c:pt idx="2007">
                  <c:v>184.2741820869219</c:v>
                </c:pt>
                <c:pt idx="2008">
                  <c:v>195.5160455927916</c:v>
                </c:pt>
                <c:pt idx="2009">
                  <c:v>202.7017424177823</c:v>
                </c:pt>
                <c:pt idx="2010">
                  <c:v>207.3093431113385</c:v>
                </c:pt>
                <c:pt idx="2011">
                  <c:v>207.3093431113385</c:v>
                </c:pt>
                <c:pt idx="2012">
                  <c:v>207.3093431113385</c:v>
                </c:pt>
                <c:pt idx="2013">
                  <c:v>207.3093431113385</c:v>
                </c:pt>
                <c:pt idx="2014">
                  <c:v>207.3093431113385</c:v>
                </c:pt>
                <c:pt idx="2015">
                  <c:v>206.3883914613002</c:v>
                </c:pt>
                <c:pt idx="2016">
                  <c:v>202.7017424177823</c:v>
                </c:pt>
                <c:pt idx="2017">
                  <c:v>198.0955629459083</c:v>
                </c:pt>
                <c:pt idx="2018">
                  <c:v>193.4879622523521</c:v>
                </c:pt>
                <c:pt idx="2019">
                  <c:v>194.5027145334129</c:v>
                </c:pt>
                <c:pt idx="2020">
                  <c:v>193.4879622523521</c:v>
                </c:pt>
                <c:pt idx="2021">
                  <c:v>193.4879622523521</c:v>
                </c:pt>
                <c:pt idx="2022">
                  <c:v>175.522298968193</c:v>
                </c:pt>
                <c:pt idx="2023">
                  <c:v>175.522298968193</c:v>
                </c:pt>
                <c:pt idx="2024">
                  <c:v>176.996105852591</c:v>
                </c:pt>
                <c:pt idx="2025">
                  <c:v>175.522298968193</c:v>
                </c:pt>
                <c:pt idx="2026">
                  <c:v>175.0618231431739</c:v>
                </c:pt>
                <c:pt idx="2027">
                  <c:v>175.0618231431739</c:v>
                </c:pt>
                <c:pt idx="2028">
                  <c:v>175.0618231431739</c:v>
                </c:pt>
                <c:pt idx="2029">
                  <c:v>175.0618231431739</c:v>
                </c:pt>
                <c:pt idx="2030">
                  <c:v>173.218498621415</c:v>
                </c:pt>
                <c:pt idx="2031">
                  <c:v>168.1504221028396</c:v>
                </c:pt>
                <c:pt idx="2032">
                  <c:v>168.1504221028396</c:v>
                </c:pt>
                <c:pt idx="2033">
                  <c:v>170.4542224496177</c:v>
                </c:pt>
                <c:pt idx="2034">
                  <c:v>170.4542224496177</c:v>
                </c:pt>
                <c:pt idx="2035">
                  <c:v>170.4542224496177</c:v>
                </c:pt>
                <c:pt idx="2036">
                  <c:v>173.218498621415</c:v>
                </c:pt>
                <c:pt idx="2037">
                  <c:v>165.8480429777437</c:v>
                </c:pt>
                <c:pt idx="2038">
                  <c:v>156.7252209999716</c:v>
                </c:pt>
                <c:pt idx="2039">
                  <c:v>156.7252209999716</c:v>
                </c:pt>
                <c:pt idx="2040">
                  <c:v>171.375174099656</c:v>
                </c:pt>
                <c:pt idx="2041">
                  <c:v>171.375174099656</c:v>
                </c:pt>
                <c:pt idx="2042">
                  <c:v>156.6342628123135</c:v>
                </c:pt>
                <c:pt idx="2043">
                  <c:v>147.5114408345414</c:v>
                </c:pt>
                <c:pt idx="2044">
                  <c:v>147.5114408345414</c:v>
                </c:pt>
                <c:pt idx="2045">
                  <c:v>147.5114408345414</c:v>
                </c:pt>
                <c:pt idx="2046">
                  <c:v>147.5114408345414</c:v>
                </c:pt>
                <c:pt idx="2047">
                  <c:v>152.0266621187573</c:v>
                </c:pt>
                <c:pt idx="2048">
                  <c:v>152.5795173531167</c:v>
                </c:pt>
                <c:pt idx="2049">
                  <c:v>152.9476137687957</c:v>
                </c:pt>
                <c:pt idx="2050">
                  <c:v>156.6342628123135</c:v>
                </c:pt>
                <c:pt idx="2051">
                  <c:v>161.055683465507</c:v>
                </c:pt>
                <c:pt idx="2052">
                  <c:v>161.2404422841875</c:v>
                </c:pt>
                <c:pt idx="2053">
                  <c:v>163.5442426309656</c:v>
                </c:pt>
                <c:pt idx="2054">
                  <c:v>166.7689946277821</c:v>
                </c:pt>
                <c:pt idx="2055">
                  <c:v>167.6899462778204</c:v>
                </c:pt>
                <c:pt idx="2056">
                  <c:v>168.6108979278588</c:v>
                </c:pt>
                <c:pt idx="2057">
                  <c:v>166.3085188027629</c:v>
                </c:pt>
                <c:pt idx="2058">
                  <c:v>166.3085188027629</c:v>
                </c:pt>
                <c:pt idx="2059">
                  <c:v>174.5999260964725</c:v>
                </c:pt>
                <c:pt idx="2060">
                  <c:v>174.5999260964725</c:v>
                </c:pt>
                <c:pt idx="2061">
                  <c:v>174.5999260964725</c:v>
                </c:pt>
                <c:pt idx="2062">
                  <c:v>175.0618231431739</c:v>
                </c:pt>
                <c:pt idx="2063">
                  <c:v>170.9146982746369</c:v>
                </c:pt>
                <c:pt idx="2064">
                  <c:v>170.4542224496177</c:v>
                </c:pt>
                <c:pt idx="2065">
                  <c:v>165.8480429777437</c:v>
                </c:pt>
                <c:pt idx="2066">
                  <c:v>165.8480429777437</c:v>
                </c:pt>
                <c:pt idx="2067">
                  <c:v>170.4542224496177</c:v>
                </c:pt>
                <c:pt idx="2068">
                  <c:v>167.2294704528012</c:v>
                </c:pt>
                <c:pt idx="2069">
                  <c:v>168.1504221028396</c:v>
                </c:pt>
                <c:pt idx="2070">
                  <c:v>175.0618231431739</c:v>
                </c:pt>
                <c:pt idx="2071">
                  <c:v>175.0618231431739</c:v>
                </c:pt>
                <c:pt idx="2072">
                  <c:v>179.2075267900287</c:v>
                </c:pt>
                <c:pt idx="2073">
                  <c:v>179.2075267900287</c:v>
                </c:pt>
                <c:pt idx="2074">
                  <c:v>179.2075267900287</c:v>
                </c:pt>
                <c:pt idx="2075">
                  <c:v>181.5113271368068</c:v>
                </c:pt>
                <c:pt idx="2076">
                  <c:v>181.5113271368068</c:v>
                </c:pt>
                <c:pt idx="2077">
                  <c:v>181.5113271368068</c:v>
                </c:pt>
                <c:pt idx="2078">
                  <c:v>179.6680026150479</c:v>
                </c:pt>
                <c:pt idx="2079">
                  <c:v>179.6680026150479</c:v>
                </c:pt>
                <c:pt idx="2080">
                  <c:v>181.5113271368068</c:v>
                </c:pt>
                <c:pt idx="2081">
                  <c:v>179.6680026150479</c:v>
                </c:pt>
                <c:pt idx="2082">
                  <c:v>176.2584917995509</c:v>
                </c:pt>
                <c:pt idx="2083">
                  <c:v>176.2584917995509</c:v>
                </c:pt>
                <c:pt idx="2084">
                  <c:v>176.2584917995509</c:v>
                </c:pt>
                <c:pt idx="2085">
                  <c:v>176.2584917995509</c:v>
                </c:pt>
                <c:pt idx="2086">
                  <c:v>178.0208066854268</c:v>
                </c:pt>
                <c:pt idx="2087">
                  <c:v>176.2584917995509</c:v>
                </c:pt>
                <c:pt idx="2088">
                  <c:v>176.2584917995509</c:v>
                </c:pt>
                <c:pt idx="2089">
                  <c:v>171.8527045848612</c:v>
                </c:pt>
                <c:pt idx="2090">
                  <c:v>176.2584917995509</c:v>
                </c:pt>
                <c:pt idx="2091">
                  <c:v>179.3439640715159</c:v>
                </c:pt>
                <c:pt idx="2092">
                  <c:v>181.5468576788608</c:v>
                </c:pt>
                <c:pt idx="2093">
                  <c:v>181.5468576788608</c:v>
                </c:pt>
                <c:pt idx="2094">
                  <c:v>176.2584917995509</c:v>
                </c:pt>
                <c:pt idx="2095">
                  <c:v>184.6309087291436</c:v>
                </c:pt>
                <c:pt idx="2096">
                  <c:v>185.0714874506125</c:v>
                </c:pt>
                <c:pt idx="2097">
                  <c:v>185.0714874506125</c:v>
                </c:pt>
                <c:pt idx="2098">
                  <c:v>185.0714874506125</c:v>
                </c:pt>
                <c:pt idx="2099">
                  <c:v>189.4786958869844</c:v>
                </c:pt>
                <c:pt idx="2100">
                  <c:v>193.8844831016742</c:v>
                </c:pt>
                <c:pt idx="2101">
                  <c:v>202.6974787527359</c:v>
                </c:pt>
                <c:pt idx="2102">
                  <c:v>209.7481595179216</c:v>
                </c:pt>
                <c:pt idx="2103">
                  <c:v>209.7481595179216</c:v>
                </c:pt>
                <c:pt idx="2104">
                  <c:v>207.9858446320457</c:v>
                </c:pt>
                <c:pt idx="2105">
                  <c:v>204.4597936386118</c:v>
                </c:pt>
                <c:pt idx="2106">
                  <c:v>204.4597936386118</c:v>
                </c:pt>
                <c:pt idx="2107">
                  <c:v>211.5104744037975</c:v>
                </c:pt>
                <c:pt idx="2108">
                  <c:v>211.5104744037975</c:v>
                </c:pt>
                <c:pt idx="2109">
                  <c:v>215.9176828401694</c:v>
                </c:pt>
                <c:pt idx="2110">
                  <c:v>215.9176828401694</c:v>
                </c:pt>
                <c:pt idx="2111">
                  <c:v>220.3234700548592</c:v>
                </c:pt>
                <c:pt idx="2112">
                  <c:v>218.208692191808</c:v>
                </c:pt>
                <c:pt idx="2113">
                  <c:v>220.3234700548592</c:v>
                </c:pt>
                <c:pt idx="2114">
                  <c:v>226.052414655638</c:v>
                </c:pt>
                <c:pt idx="2115">
                  <c:v>229.1364657059208</c:v>
                </c:pt>
                <c:pt idx="2116">
                  <c:v>226.7573406099883</c:v>
                </c:pt>
                <c:pt idx="2117">
                  <c:v>219.0017338904522</c:v>
                </c:pt>
                <c:pt idx="2118">
                  <c:v>213.88959949973</c:v>
                </c:pt>
                <c:pt idx="2119">
                  <c:v>213.008442056792</c:v>
                </c:pt>
                <c:pt idx="2120">
                  <c:v>213.008442056792</c:v>
                </c:pt>
                <c:pt idx="2121">
                  <c:v>211.9510531252664</c:v>
                </c:pt>
                <c:pt idx="2122">
                  <c:v>211.5104744037975</c:v>
                </c:pt>
                <c:pt idx="2123">
                  <c:v>211.5104744037975</c:v>
                </c:pt>
                <c:pt idx="2124">
                  <c:v>215.9176828401694</c:v>
                </c:pt>
                <c:pt idx="2125">
                  <c:v>220.3234700548592</c:v>
                </c:pt>
                <c:pt idx="2126">
                  <c:v>211.5104744037975</c:v>
                </c:pt>
                <c:pt idx="2127">
                  <c:v>211.5985901480913</c:v>
                </c:pt>
                <c:pt idx="2128">
                  <c:v>211.5104744037975</c:v>
                </c:pt>
                <c:pt idx="2129">
                  <c:v>211.5104744037975</c:v>
                </c:pt>
                <c:pt idx="2130">
                  <c:v>211.5104744037975</c:v>
                </c:pt>
                <c:pt idx="2131">
                  <c:v>211.5104744037975</c:v>
                </c:pt>
                <c:pt idx="2132">
                  <c:v>211.5104744037975</c:v>
                </c:pt>
                <c:pt idx="2133">
                  <c:v>215.9176828401694</c:v>
                </c:pt>
                <c:pt idx="2134">
                  <c:v>215.9176828401694</c:v>
                </c:pt>
                <c:pt idx="2135">
                  <c:v>218.1205764475143</c:v>
                </c:pt>
                <c:pt idx="2136">
                  <c:v>215.9176828401694</c:v>
                </c:pt>
                <c:pt idx="2137">
                  <c:v>215.9176828401694</c:v>
                </c:pt>
                <c:pt idx="2138">
                  <c:v>215.9176828401694</c:v>
                </c:pt>
                <c:pt idx="2139">
                  <c:v>215.9176828401694</c:v>
                </c:pt>
                <c:pt idx="2140">
                  <c:v>211.5104744037975</c:v>
                </c:pt>
                <c:pt idx="2141">
                  <c:v>211.5104744037975</c:v>
                </c:pt>
                <c:pt idx="2142">
                  <c:v>211.9510531252664</c:v>
                </c:pt>
                <c:pt idx="2143">
                  <c:v>211.5104744037975</c:v>
                </c:pt>
                <c:pt idx="2144">
                  <c:v>211.5104744037975</c:v>
                </c:pt>
                <c:pt idx="2145">
                  <c:v>207.1046871891078</c:v>
                </c:pt>
                <c:pt idx="2146">
                  <c:v>203.1380574742048</c:v>
                </c:pt>
                <c:pt idx="2147">
                  <c:v>199.613427702453</c:v>
                </c:pt>
                <c:pt idx="2148">
                  <c:v>199.1728489809841</c:v>
                </c:pt>
                <c:pt idx="2149">
                  <c:v>198.2916915380461</c:v>
                </c:pt>
                <c:pt idx="2150">
                  <c:v>198.2916915380461</c:v>
                </c:pt>
                <c:pt idx="2151">
                  <c:v>198.2916915380461</c:v>
                </c:pt>
                <c:pt idx="2152">
                  <c:v>198.2916915380461</c:v>
                </c:pt>
                <c:pt idx="2153">
                  <c:v>193.8844831016742</c:v>
                </c:pt>
                <c:pt idx="2154">
                  <c:v>193.8844831016742</c:v>
                </c:pt>
                <c:pt idx="2155">
                  <c:v>176.4347232881385</c:v>
                </c:pt>
                <c:pt idx="2156">
                  <c:v>175.4654501009067</c:v>
                </c:pt>
                <c:pt idx="2157">
                  <c:v>170.5309684204542</c:v>
                </c:pt>
                <c:pt idx="2158">
                  <c:v>170.5309684204542</c:v>
                </c:pt>
                <c:pt idx="2159">
                  <c:v>170.5309684204542</c:v>
                </c:pt>
                <c:pt idx="2160">
                  <c:v>167.4454961484892</c:v>
                </c:pt>
                <c:pt idx="2161">
                  <c:v>167.4454961484892</c:v>
                </c:pt>
                <c:pt idx="2162">
                  <c:v>170.5309684204542</c:v>
                </c:pt>
                <c:pt idx="2163">
                  <c:v>170.5309684204542</c:v>
                </c:pt>
                <c:pt idx="2164">
                  <c:v>170.5309684204542</c:v>
                </c:pt>
                <c:pt idx="2165">
                  <c:v>167.4454961484892</c:v>
                </c:pt>
                <c:pt idx="2166">
                  <c:v>171.8527045848612</c:v>
                </c:pt>
                <c:pt idx="2167">
                  <c:v>158.6325004974276</c:v>
                </c:pt>
                <c:pt idx="2168">
                  <c:v>158.6325004974276</c:v>
                </c:pt>
                <c:pt idx="2169">
                  <c:v>158.6325004974276</c:v>
                </c:pt>
                <c:pt idx="2170">
                  <c:v>150.7006622893039</c:v>
                </c:pt>
                <c:pt idx="2171">
                  <c:v>150.3481993121287</c:v>
                </c:pt>
                <c:pt idx="2172">
                  <c:v>149.819504846366</c:v>
                </c:pt>
                <c:pt idx="2173">
                  <c:v>149.819504846366</c:v>
                </c:pt>
                <c:pt idx="2174">
                  <c:v>149.819504846366</c:v>
                </c:pt>
                <c:pt idx="2175">
                  <c:v>149.819504846366</c:v>
                </c:pt>
                <c:pt idx="2176">
                  <c:v>149.819504846366</c:v>
                </c:pt>
                <c:pt idx="2177">
                  <c:v>149.819504846366</c:v>
                </c:pt>
                <c:pt idx="2178">
                  <c:v>150.3481993121287</c:v>
                </c:pt>
                <c:pt idx="2179">
                  <c:v>150.3481993121287</c:v>
                </c:pt>
                <c:pt idx="2180">
                  <c:v>151.142662232455</c:v>
                </c:pt>
                <c:pt idx="2181">
                  <c:v>151.142662232455</c:v>
                </c:pt>
                <c:pt idx="2182">
                  <c:v>149.819504846366</c:v>
                </c:pt>
                <c:pt idx="2183">
                  <c:v>151.142662232455</c:v>
                </c:pt>
                <c:pt idx="2184">
                  <c:v>149.819504846366</c:v>
                </c:pt>
                <c:pt idx="2185">
                  <c:v>149.819504846366</c:v>
                </c:pt>
                <c:pt idx="2186">
                  <c:v>158.6325004974276</c:v>
                </c:pt>
                <c:pt idx="2187">
                  <c:v>163.9208663767375</c:v>
                </c:pt>
                <c:pt idx="2188">
                  <c:v>159.0730792188965</c:v>
                </c:pt>
                <c:pt idx="2189">
                  <c:v>167.4454961484892</c:v>
                </c:pt>
                <c:pt idx="2190">
                  <c:v>167.4454961484892</c:v>
                </c:pt>
                <c:pt idx="2191">
                  <c:v>171.8527045848612</c:v>
                </c:pt>
                <c:pt idx="2192">
                  <c:v>171.8527045848612</c:v>
                </c:pt>
                <c:pt idx="2193">
                  <c:v>174.496176913675</c:v>
                </c:pt>
                <c:pt idx="2194">
                  <c:v>174.496176913675</c:v>
                </c:pt>
                <c:pt idx="2195">
                  <c:v>173.3506722378557</c:v>
                </c:pt>
                <c:pt idx="2196">
                  <c:v>174.496176913675</c:v>
                </c:pt>
                <c:pt idx="2197">
                  <c:v>174.496176913675</c:v>
                </c:pt>
                <c:pt idx="2198">
                  <c:v>174.496176913675</c:v>
                </c:pt>
                <c:pt idx="2199">
                  <c:v>173.615019470737</c:v>
                </c:pt>
                <c:pt idx="2200">
                  <c:v>173.615019470737</c:v>
                </c:pt>
                <c:pt idx="2201">
                  <c:v>173.615019470737</c:v>
                </c:pt>
                <c:pt idx="2202">
                  <c:v>173.615019470737</c:v>
                </c:pt>
                <c:pt idx="2203">
                  <c:v>173.615019470737</c:v>
                </c:pt>
                <c:pt idx="2204">
                  <c:v>173.615019470737</c:v>
                </c:pt>
                <c:pt idx="2205">
                  <c:v>176.2584917995509</c:v>
                </c:pt>
                <c:pt idx="2206">
                  <c:v>171.8527045848612</c:v>
                </c:pt>
                <c:pt idx="2207">
                  <c:v>176.2584917995509</c:v>
                </c:pt>
                <c:pt idx="2208">
                  <c:v>176.2584917995509</c:v>
                </c:pt>
                <c:pt idx="2209">
                  <c:v>167.4454961484892</c:v>
                </c:pt>
                <c:pt idx="2210">
                  <c:v>167.4454961484892</c:v>
                </c:pt>
                <c:pt idx="2211">
                  <c:v>167.4454961484892</c:v>
                </c:pt>
                <c:pt idx="2212">
                  <c:v>172.7338620277991</c:v>
                </c:pt>
                <c:pt idx="2213">
                  <c:v>167.8860748699582</c:v>
                </c:pt>
                <c:pt idx="2214">
                  <c:v>167.4454961484892</c:v>
                </c:pt>
                <c:pt idx="2215">
                  <c:v>165.2426025411444</c:v>
                </c:pt>
                <c:pt idx="2216">
                  <c:v>161.3655097922174</c:v>
                </c:pt>
                <c:pt idx="2217">
                  <c:v>161.3655097922174</c:v>
                </c:pt>
                <c:pt idx="2218">
                  <c:v>161.3655097922174</c:v>
                </c:pt>
                <c:pt idx="2219">
                  <c:v>162.8478440067082</c:v>
                </c:pt>
                <c:pt idx="2220">
                  <c:v>163.5456638526477</c:v>
                </c:pt>
                <c:pt idx="2221">
                  <c:v>161.80182484864</c:v>
                </c:pt>
                <c:pt idx="2222">
                  <c:v>165.7258179130781</c:v>
                </c:pt>
                <c:pt idx="2223">
                  <c:v>165.7258179130781</c:v>
                </c:pt>
                <c:pt idx="2224">
                  <c:v>170.087547255621</c:v>
                </c:pt>
                <c:pt idx="2225">
                  <c:v>174.4492765981638</c:v>
                </c:pt>
                <c:pt idx="2226">
                  <c:v>174.4492765981638</c:v>
                </c:pt>
                <c:pt idx="2227">
                  <c:v>183.1713140615673</c:v>
                </c:pt>
                <c:pt idx="2228">
                  <c:v>183.1713140615673</c:v>
                </c:pt>
                <c:pt idx="2229">
                  <c:v>187.0967283476877</c:v>
                </c:pt>
                <c:pt idx="2230">
                  <c:v>187.3582331372047</c:v>
                </c:pt>
                <c:pt idx="2231">
                  <c:v>187.531622182428</c:v>
                </c:pt>
                <c:pt idx="2232">
                  <c:v>189.276882408118</c:v>
                </c:pt>
                <c:pt idx="2233">
                  <c:v>191.8066570023592</c:v>
                </c:pt>
                <c:pt idx="2234">
                  <c:v>191.8933515249709</c:v>
                </c:pt>
                <c:pt idx="2235">
                  <c:v>191.8933515249709</c:v>
                </c:pt>
                <c:pt idx="2236">
                  <c:v>193.6386117506609</c:v>
                </c:pt>
                <c:pt idx="2237">
                  <c:v>189.7131974645405</c:v>
                </c:pt>
                <c:pt idx="2238">
                  <c:v>189.7131974645405</c:v>
                </c:pt>
                <c:pt idx="2239">
                  <c:v>187.531622182428</c:v>
                </c:pt>
                <c:pt idx="2240">
                  <c:v>178.8095847190245</c:v>
                </c:pt>
                <c:pt idx="2241">
                  <c:v>174.4492765981638</c:v>
                </c:pt>
                <c:pt idx="2242">
                  <c:v>174.4492765981638</c:v>
                </c:pt>
                <c:pt idx="2243">
                  <c:v>174.4492765981638</c:v>
                </c:pt>
                <c:pt idx="2244">
                  <c:v>169.0401068758705</c:v>
                </c:pt>
                <c:pt idx="2245">
                  <c:v>168.4304027742247</c:v>
                </c:pt>
                <c:pt idx="2246">
                  <c:v>163.5456638526477</c:v>
                </c:pt>
                <c:pt idx="2247">
                  <c:v>163.1093487962252</c:v>
                </c:pt>
                <c:pt idx="2248">
                  <c:v>161.80182484864</c:v>
                </c:pt>
                <c:pt idx="2249">
                  <c:v>161.80182484864</c:v>
                </c:pt>
                <c:pt idx="2250">
                  <c:v>161.452204314829</c:v>
                </c:pt>
                <c:pt idx="2251">
                  <c:v>161.452204314829</c:v>
                </c:pt>
                <c:pt idx="2252">
                  <c:v>157.0037804496745</c:v>
                </c:pt>
                <c:pt idx="2253">
                  <c:v>157.0037804496745</c:v>
                </c:pt>
                <c:pt idx="2254">
                  <c:v>157.0037804496745</c:v>
                </c:pt>
                <c:pt idx="2255">
                  <c:v>157.0037804496745</c:v>
                </c:pt>
                <c:pt idx="2256">
                  <c:v>157.0904749722862</c:v>
                </c:pt>
                <c:pt idx="2257">
                  <c:v>157.0037804496745</c:v>
                </c:pt>
                <c:pt idx="2258">
                  <c:v>157.0904749722862</c:v>
                </c:pt>
                <c:pt idx="2259">
                  <c:v>157.0037804496745</c:v>
                </c:pt>
                <c:pt idx="2260">
                  <c:v>156.5674653932521</c:v>
                </c:pt>
                <c:pt idx="2261">
                  <c:v>156.5674653932521</c:v>
                </c:pt>
                <c:pt idx="2262">
                  <c:v>148.7180580426935</c:v>
                </c:pt>
                <c:pt idx="2263">
                  <c:v>148.7180580426935</c:v>
                </c:pt>
                <c:pt idx="2264">
                  <c:v>148.7180580426935</c:v>
                </c:pt>
                <c:pt idx="2265">
                  <c:v>148.3684375088826</c:v>
                </c:pt>
                <c:pt idx="2266">
                  <c:v>143.9200136437281</c:v>
                </c:pt>
                <c:pt idx="2267">
                  <c:v>143.9200136437281</c:v>
                </c:pt>
                <c:pt idx="2268">
                  <c:v>143.9200136437281</c:v>
                </c:pt>
                <c:pt idx="2269">
                  <c:v>145.6652738694182</c:v>
                </c:pt>
                <c:pt idx="2270">
                  <c:v>146.1001677041585</c:v>
                </c:pt>
                <c:pt idx="2271">
                  <c:v>144.7926437565731</c:v>
                </c:pt>
                <c:pt idx="2272">
                  <c:v>146.1001677041585</c:v>
                </c:pt>
                <c:pt idx="2273">
                  <c:v>144.0067081663398</c:v>
                </c:pt>
                <c:pt idx="2274">
                  <c:v>144.0067081663398</c:v>
                </c:pt>
                <c:pt idx="2275">
                  <c:v>143.9200136437281</c:v>
                </c:pt>
                <c:pt idx="2276">
                  <c:v>143.9200136437281</c:v>
                </c:pt>
                <c:pt idx="2277">
                  <c:v>143.9200136437281</c:v>
                </c:pt>
                <c:pt idx="2278">
                  <c:v>143.9200136437281</c:v>
                </c:pt>
                <c:pt idx="2279">
                  <c:v>143.9200136437281</c:v>
                </c:pt>
                <c:pt idx="2280">
                  <c:v>143.9200136437281</c:v>
                </c:pt>
                <c:pt idx="2281">
                  <c:v>143.9200136437281</c:v>
                </c:pt>
                <c:pt idx="2282">
                  <c:v>143.9200136437281</c:v>
                </c:pt>
                <c:pt idx="2283">
                  <c:v>143.9200136437281</c:v>
                </c:pt>
                <c:pt idx="2284">
                  <c:v>143.9200136437281</c:v>
                </c:pt>
                <c:pt idx="2285">
                  <c:v>143.9200136437281</c:v>
                </c:pt>
                <c:pt idx="2286">
                  <c:v>139.5582843011853</c:v>
                </c:pt>
                <c:pt idx="2287">
                  <c:v>139.9945993576078</c:v>
                </c:pt>
                <c:pt idx="2288">
                  <c:v>139.5582843011853</c:v>
                </c:pt>
                <c:pt idx="2289">
                  <c:v>139.5582843011853</c:v>
                </c:pt>
                <c:pt idx="2290">
                  <c:v>136.0706062931696</c:v>
                </c:pt>
                <c:pt idx="2291">
                  <c:v>136.0706062931696</c:v>
                </c:pt>
                <c:pt idx="2292">
                  <c:v>136.0706062931696</c:v>
                </c:pt>
                <c:pt idx="2293">
                  <c:v>137.8144452971775</c:v>
                </c:pt>
                <c:pt idx="2294">
                  <c:v>140.4309144140303</c:v>
                </c:pt>
                <c:pt idx="2295">
                  <c:v>139.5582843011853</c:v>
                </c:pt>
                <c:pt idx="2296">
                  <c:v>140.4309144140303</c:v>
                </c:pt>
                <c:pt idx="2297">
                  <c:v>141.3035445268753</c:v>
                </c:pt>
                <c:pt idx="2298">
                  <c:v>141.7398595832978</c:v>
                </c:pt>
                <c:pt idx="2299">
                  <c:v>143.9200136437281</c:v>
                </c:pt>
                <c:pt idx="2300">
                  <c:v>143.9200136437281</c:v>
                </c:pt>
                <c:pt idx="2301">
                  <c:v>143.9200136437281</c:v>
                </c:pt>
                <c:pt idx="2302">
                  <c:v>143.9200136437281</c:v>
                </c:pt>
                <c:pt idx="2303">
                  <c:v>148.281742986271</c:v>
                </c:pt>
                <c:pt idx="2304">
                  <c:v>143.9200136437281</c:v>
                </c:pt>
                <c:pt idx="2305">
                  <c:v>148.281742986271</c:v>
                </c:pt>
                <c:pt idx="2306">
                  <c:v>152.2071572723914</c:v>
                </c:pt>
                <c:pt idx="2307">
                  <c:v>152.6420511071317</c:v>
                </c:pt>
                <c:pt idx="2308">
                  <c:v>155.2599414456667</c:v>
                </c:pt>
                <c:pt idx="2309">
                  <c:v>155.2599414456667</c:v>
                </c:pt>
                <c:pt idx="2310">
                  <c:v>152.6420511071317</c:v>
                </c:pt>
                <c:pt idx="2311">
                  <c:v>153.0783661635542</c:v>
                </c:pt>
                <c:pt idx="2312">
                  <c:v>154.3873113328217</c:v>
                </c:pt>
                <c:pt idx="2313">
                  <c:v>152.6420511071317</c:v>
                </c:pt>
                <c:pt idx="2314">
                  <c:v>152.6420511071317</c:v>
                </c:pt>
                <c:pt idx="2315">
                  <c:v>148.281742986271</c:v>
                </c:pt>
                <c:pt idx="2316">
                  <c:v>148.281742986271</c:v>
                </c:pt>
                <c:pt idx="2317">
                  <c:v>143.9200136437281</c:v>
                </c:pt>
                <c:pt idx="2318">
                  <c:v>143.9200136437281</c:v>
                </c:pt>
                <c:pt idx="2319">
                  <c:v>143.9200136437281</c:v>
                </c:pt>
                <c:pt idx="2320">
                  <c:v>144.7926437565731</c:v>
                </c:pt>
                <c:pt idx="2321">
                  <c:v>143.9200136437281</c:v>
                </c:pt>
                <c:pt idx="2322">
                  <c:v>143.9200136437281</c:v>
                </c:pt>
                <c:pt idx="2323">
                  <c:v>143.9200136437281</c:v>
                </c:pt>
                <c:pt idx="2324">
                  <c:v>141.3035445268753</c:v>
                </c:pt>
                <c:pt idx="2325">
                  <c:v>139.9945993576078</c:v>
                </c:pt>
                <c:pt idx="2326">
                  <c:v>139.5582843011853</c:v>
                </c:pt>
                <c:pt idx="2327">
                  <c:v>139.5582843011853</c:v>
                </c:pt>
                <c:pt idx="2328">
                  <c:v>139.5582843011853</c:v>
                </c:pt>
                <c:pt idx="2329">
                  <c:v>139.5582843011853</c:v>
                </c:pt>
                <c:pt idx="2330">
                  <c:v>144.0067081663398</c:v>
                </c:pt>
                <c:pt idx="2331">
                  <c:v>138.8604644552457</c:v>
                </c:pt>
                <c:pt idx="2332">
                  <c:v>138.8604644552457</c:v>
                </c:pt>
                <c:pt idx="2333">
                  <c:v>138.7766123759984</c:v>
                </c:pt>
                <c:pt idx="2334">
                  <c:v>138.7766123759984</c:v>
                </c:pt>
                <c:pt idx="2335">
                  <c:v>138.7766123759984</c:v>
                </c:pt>
                <c:pt idx="2336">
                  <c:v>141.300702083511</c:v>
                </c:pt>
                <c:pt idx="2337">
                  <c:v>141.300702083511</c:v>
                </c:pt>
                <c:pt idx="2338">
                  <c:v>141.300702083511</c:v>
                </c:pt>
                <c:pt idx="2339">
                  <c:v>138.7766123759984</c:v>
                </c:pt>
                <c:pt idx="2340">
                  <c:v>138.7766123759984</c:v>
                </c:pt>
                <c:pt idx="2341">
                  <c:v>138.7766123759984</c:v>
                </c:pt>
                <c:pt idx="2342">
                  <c:v>138.7766123759984</c:v>
                </c:pt>
                <c:pt idx="2343">
                  <c:v>139.1134419146699</c:v>
                </c:pt>
                <c:pt idx="2344">
                  <c:v>138.7766123759984</c:v>
                </c:pt>
                <c:pt idx="2345">
                  <c:v>138.7766123759984</c:v>
                </c:pt>
                <c:pt idx="2346">
                  <c:v>138.7766123759984</c:v>
                </c:pt>
                <c:pt idx="2347">
                  <c:v>138.7766123759984</c:v>
                </c:pt>
                <c:pt idx="2348">
                  <c:v>138.7766123759984</c:v>
                </c:pt>
                <c:pt idx="2349">
                  <c:v>138.7766123759984</c:v>
                </c:pt>
                <c:pt idx="2350">
                  <c:v>138.7766123759984</c:v>
                </c:pt>
                <c:pt idx="2351">
                  <c:v>139.1972939939172</c:v>
                </c:pt>
                <c:pt idx="2352">
                  <c:v>138.7766123759984</c:v>
                </c:pt>
                <c:pt idx="2353">
                  <c:v>141.300702083511</c:v>
                </c:pt>
                <c:pt idx="2354">
                  <c:v>138.7766123759984</c:v>
                </c:pt>
                <c:pt idx="2355">
                  <c:v>138.7766123759984</c:v>
                </c:pt>
                <c:pt idx="2356">
                  <c:v>142.9820073335039</c:v>
                </c:pt>
                <c:pt idx="2357">
                  <c:v>145.9267786589352</c:v>
                </c:pt>
                <c:pt idx="2358">
                  <c:v>145.9267786589352</c:v>
                </c:pt>
                <c:pt idx="2359">
                  <c:v>145.5060970410165</c:v>
                </c:pt>
                <c:pt idx="2360">
                  <c:v>147.1874022910094</c:v>
                </c:pt>
                <c:pt idx="2361">
                  <c:v>147.1874022910094</c:v>
                </c:pt>
                <c:pt idx="2362">
                  <c:v>147.1874022910094</c:v>
                </c:pt>
                <c:pt idx="2363">
                  <c:v>147.1874022910094</c:v>
                </c:pt>
                <c:pt idx="2364">
                  <c:v>149.6262186975925</c:v>
                </c:pt>
                <c:pt idx="2365">
                  <c:v>147.1874022910094</c:v>
                </c:pt>
                <c:pt idx="2366">
                  <c:v>147.1874022910094</c:v>
                </c:pt>
                <c:pt idx="2367">
                  <c:v>144.6647338051789</c:v>
                </c:pt>
                <c:pt idx="2368">
                  <c:v>144.6647338051789</c:v>
                </c:pt>
                <c:pt idx="2369">
                  <c:v>146.3460390551718</c:v>
                </c:pt>
                <c:pt idx="2370">
                  <c:v>146.3460390551718</c:v>
                </c:pt>
                <c:pt idx="2371">
                  <c:v>146.3460390551718</c:v>
                </c:pt>
                <c:pt idx="2372">
                  <c:v>142.9820073335039</c:v>
                </c:pt>
                <c:pt idx="2373">
                  <c:v>147.1874022910094</c:v>
                </c:pt>
                <c:pt idx="2374">
                  <c:v>151.3927972485148</c:v>
                </c:pt>
                <c:pt idx="2375">
                  <c:v>149.2908103806032</c:v>
                </c:pt>
                <c:pt idx="2376">
                  <c:v>145.0854154230977</c:v>
                </c:pt>
                <c:pt idx="2377">
                  <c:v>142.9820073335039</c:v>
                </c:pt>
                <c:pt idx="2378">
                  <c:v>143.4026889514226</c:v>
                </c:pt>
                <c:pt idx="2379">
                  <c:v>142.9820073335039</c:v>
                </c:pt>
                <c:pt idx="2380">
                  <c:v>142.9820073335039</c:v>
                </c:pt>
                <c:pt idx="2381">
                  <c:v>142.9820073335039</c:v>
                </c:pt>
                <c:pt idx="2382">
                  <c:v>142.9820073335039</c:v>
                </c:pt>
                <c:pt idx="2383">
                  <c:v>138.7766123759984</c:v>
                </c:pt>
                <c:pt idx="2384">
                  <c:v>142.9820073335039</c:v>
                </c:pt>
                <c:pt idx="2385">
                  <c:v>140.8800204655922</c:v>
                </c:pt>
                <c:pt idx="2386">
                  <c:v>142.5613257155851</c:v>
                </c:pt>
                <c:pt idx="2387">
                  <c:v>142.9820073335039</c:v>
                </c:pt>
                <c:pt idx="2388">
                  <c:v>140.8800204655922</c:v>
                </c:pt>
                <c:pt idx="2389">
                  <c:v>140.8800204655922</c:v>
                </c:pt>
                <c:pt idx="2390">
                  <c:v>140.8800204655922</c:v>
                </c:pt>
                <c:pt idx="2391">
                  <c:v>140.8800204655922</c:v>
                </c:pt>
                <c:pt idx="2392">
                  <c:v>140.8800204655922</c:v>
                </c:pt>
                <c:pt idx="2393">
                  <c:v>139.6179756118359</c:v>
                </c:pt>
                <c:pt idx="2394">
                  <c:v>139.6179756118359</c:v>
                </c:pt>
                <c:pt idx="2395">
                  <c:v>139.6179756118359</c:v>
                </c:pt>
                <c:pt idx="2396">
                  <c:v>137.0953071260055</c:v>
                </c:pt>
                <c:pt idx="2397">
                  <c:v>132.8899121685</c:v>
                </c:pt>
                <c:pt idx="2398">
                  <c:v>132.8899121685</c:v>
                </c:pt>
                <c:pt idx="2399">
                  <c:v>132.0485489326625</c:v>
                </c:pt>
                <c:pt idx="2400">
                  <c:v>132.0485489326625</c:v>
                </c:pt>
                <c:pt idx="2401">
                  <c:v>132.0485489326625</c:v>
                </c:pt>
                <c:pt idx="2402">
                  <c:v>131.207185696825</c:v>
                </c:pt>
                <c:pt idx="2403">
                  <c:v>131.207185696825</c:v>
                </c:pt>
                <c:pt idx="2404">
                  <c:v>131.207185696825</c:v>
                </c:pt>
                <c:pt idx="2405">
                  <c:v>131.207185696825</c:v>
                </c:pt>
                <c:pt idx="2406">
                  <c:v>132.0485489326625</c:v>
                </c:pt>
                <c:pt idx="2407">
                  <c:v>132.8899121685</c:v>
                </c:pt>
                <c:pt idx="2408">
                  <c:v>132.8899121685</c:v>
                </c:pt>
                <c:pt idx="2409">
                  <c:v>132.8899121685</c:v>
                </c:pt>
                <c:pt idx="2410">
                  <c:v>135.4125806543305</c:v>
                </c:pt>
                <c:pt idx="2411">
                  <c:v>137.0114550467582</c:v>
                </c:pt>
                <c:pt idx="2412">
                  <c:v>137.2630112845002</c:v>
                </c:pt>
                <c:pt idx="2413">
                  <c:v>134.571217418493</c:v>
                </c:pt>
                <c:pt idx="2414">
                  <c:v>135.4125806543305</c:v>
                </c:pt>
                <c:pt idx="2415">
                  <c:v>135.4125806543305</c:v>
                </c:pt>
                <c:pt idx="2416">
                  <c:v>135.4125806543305</c:v>
                </c:pt>
                <c:pt idx="2417">
                  <c:v>135.4125806543305</c:v>
                </c:pt>
                <c:pt idx="2418">
                  <c:v>131.207185696825</c:v>
                </c:pt>
                <c:pt idx="2419">
                  <c:v>131.207185696825</c:v>
                </c:pt>
                <c:pt idx="2420">
                  <c:v>130.8703561581536</c:v>
                </c:pt>
                <c:pt idx="2421">
                  <c:v>130.8703561581536</c:v>
                </c:pt>
                <c:pt idx="2422">
                  <c:v>130.4510957619169</c:v>
                </c:pt>
                <c:pt idx="2423">
                  <c:v>130.4510957619169</c:v>
                </c:pt>
                <c:pt idx="2424">
                  <c:v>130.3658224609875</c:v>
                </c:pt>
                <c:pt idx="2425">
                  <c:v>130.3658224609875</c:v>
                </c:pt>
                <c:pt idx="2426">
                  <c:v>134.571217418493</c:v>
                </c:pt>
                <c:pt idx="2427">
                  <c:v>134.571217418493</c:v>
                </c:pt>
                <c:pt idx="2428">
                  <c:v>137.5159887439243</c:v>
                </c:pt>
                <c:pt idx="2429">
                  <c:v>137.5159887439243</c:v>
                </c:pt>
                <c:pt idx="2430">
                  <c:v>138.7766123759984</c:v>
                </c:pt>
                <c:pt idx="2431">
                  <c:v>138.7766123759984</c:v>
                </c:pt>
                <c:pt idx="2432">
                  <c:v>138.7766123759984</c:v>
                </c:pt>
                <c:pt idx="2433">
                  <c:v>138.7766123759984</c:v>
                </c:pt>
                <c:pt idx="2434">
                  <c:v>139.7018276910833</c:v>
                </c:pt>
                <c:pt idx="2435">
                  <c:v>139.7018276910833</c:v>
                </c:pt>
                <c:pt idx="2436">
                  <c:v>139.7018276910833</c:v>
                </c:pt>
                <c:pt idx="2437">
                  <c:v>139.6179756118359</c:v>
                </c:pt>
                <c:pt idx="2438">
                  <c:v>141.3845541627583</c:v>
                </c:pt>
                <c:pt idx="2439">
                  <c:v>141.3845541627583</c:v>
                </c:pt>
                <c:pt idx="2440">
                  <c:v>142.9820073335039</c:v>
                </c:pt>
                <c:pt idx="2441">
                  <c:v>142.9820073335039</c:v>
                </c:pt>
                <c:pt idx="2442">
                  <c:v>141.300702083511</c:v>
                </c:pt>
                <c:pt idx="2443">
                  <c:v>141.300702083511</c:v>
                </c:pt>
                <c:pt idx="2444">
                  <c:v>141.300702083511</c:v>
                </c:pt>
                <c:pt idx="2445">
                  <c:v>138.6927602967511</c:v>
                </c:pt>
                <c:pt idx="2446">
                  <c:v>136.6746255080868</c:v>
                </c:pt>
                <c:pt idx="2447">
                  <c:v>141.300702083511</c:v>
                </c:pt>
                <c:pt idx="2448">
                  <c:v>141.300702083511</c:v>
                </c:pt>
                <c:pt idx="2449">
                  <c:v>141.300702083511</c:v>
                </c:pt>
                <c:pt idx="2450">
                  <c:v>136.6746255080868</c:v>
                </c:pt>
                <c:pt idx="2451">
                  <c:v>136.6746255080868</c:v>
                </c:pt>
                <c:pt idx="2452">
                  <c:v>138.7766123759984</c:v>
                </c:pt>
                <c:pt idx="2453">
                  <c:v>132.4692305505813</c:v>
                </c:pt>
                <c:pt idx="2454">
                  <c:v>131.6278673147438</c:v>
                </c:pt>
                <c:pt idx="2455">
                  <c:v>134.571217418493</c:v>
                </c:pt>
                <c:pt idx="2456">
                  <c:v>134.571217418493</c:v>
                </c:pt>
                <c:pt idx="2457">
                  <c:v>132.4692305505813</c:v>
                </c:pt>
                <c:pt idx="2458">
                  <c:v>132.4692305505813</c:v>
                </c:pt>
                <c:pt idx="2459">
                  <c:v>132.4692305505813</c:v>
                </c:pt>
                <c:pt idx="2460">
                  <c:v>132.4692305505813</c:v>
                </c:pt>
                <c:pt idx="2461">
                  <c:v>132.4692305505813</c:v>
                </c:pt>
                <c:pt idx="2462">
                  <c:v>121.9550325459765</c:v>
                </c:pt>
                <c:pt idx="2463">
                  <c:v>121.9550325459765</c:v>
                </c:pt>
                <c:pt idx="2464">
                  <c:v>132.4692305505813</c:v>
                </c:pt>
                <c:pt idx="2465">
                  <c:v>132.4692305505813</c:v>
                </c:pt>
                <c:pt idx="2466">
                  <c:v>131.207185696825</c:v>
                </c:pt>
                <c:pt idx="2467">
                  <c:v>131.207185696825</c:v>
                </c:pt>
                <c:pt idx="2468">
                  <c:v>129.9579318382081</c:v>
                </c:pt>
                <c:pt idx="2469">
                  <c:v>129.9579318382081</c:v>
                </c:pt>
                <c:pt idx="2470">
                  <c:v>129.1250959324635</c:v>
                </c:pt>
                <c:pt idx="2471">
                  <c:v>127.4580028992922</c:v>
                </c:pt>
                <c:pt idx="2472">
                  <c:v>127.0415849464199</c:v>
                </c:pt>
                <c:pt idx="2473">
                  <c:v>124.9594951820585</c:v>
                </c:pt>
                <c:pt idx="2474">
                  <c:v>129.1250959324635</c:v>
                </c:pt>
                <c:pt idx="2475">
                  <c:v>129.1250959324635</c:v>
                </c:pt>
                <c:pt idx="2476">
                  <c:v>129.1250959324635</c:v>
                </c:pt>
                <c:pt idx="2477">
                  <c:v>130.7907677439527</c:v>
                </c:pt>
                <c:pt idx="2478">
                  <c:v>129.1250959324635</c:v>
                </c:pt>
                <c:pt idx="2479">
                  <c:v>129.9579318382081</c:v>
                </c:pt>
                <c:pt idx="2480">
                  <c:v>129.1250959324635</c:v>
                </c:pt>
                <c:pt idx="2481">
                  <c:v>128.292260026719</c:v>
                </c:pt>
                <c:pt idx="2482">
                  <c:v>129.0412438532162</c:v>
                </c:pt>
                <c:pt idx="2483">
                  <c:v>124.9594951820585</c:v>
                </c:pt>
                <c:pt idx="2484">
                  <c:v>124.9594951820585</c:v>
                </c:pt>
                <c:pt idx="2485">
                  <c:v>127.4580028992922</c:v>
                </c:pt>
                <c:pt idx="2486">
                  <c:v>125.7923310878031</c:v>
                </c:pt>
                <c:pt idx="2487">
                  <c:v>129.1250959324635</c:v>
                </c:pt>
                <c:pt idx="2488">
                  <c:v>124.9594951820585</c:v>
                </c:pt>
                <c:pt idx="2489">
                  <c:v>124.9594951820585</c:v>
                </c:pt>
                <c:pt idx="2490">
                  <c:v>124.9594951820585</c:v>
                </c:pt>
                <c:pt idx="2491">
                  <c:v>127.8758420738467</c:v>
                </c:pt>
                <c:pt idx="2492">
                  <c:v>126.6251669935477</c:v>
                </c:pt>
                <c:pt idx="2493">
                  <c:v>127.8758420738467</c:v>
                </c:pt>
                <c:pt idx="2494">
                  <c:v>127.8758420738467</c:v>
                </c:pt>
                <c:pt idx="2495">
                  <c:v>128.292260026719</c:v>
                </c:pt>
                <c:pt idx="2496">
                  <c:v>128.292260026719</c:v>
                </c:pt>
                <c:pt idx="2497">
                  <c:v>124.9594951820585</c:v>
                </c:pt>
                <c:pt idx="2498">
                  <c:v>131.6236036496973</c:v>
                </c:pt>
                <c:pt idx="2499">
                  <c:v>127.0415849464199</c:v>
                </c:pt>
                <c:pt idx="2500">
                  <c:v>125.7923310878031</c:v>
                </c:pt>
                <c:pt idx="2501">
                  <c:v>124.9594951820585</c:v>
                </c:pt>
                <c:pt idx="2502">
                  <c:v>127.0415849464199</c:v>
                </c:pt>
                <c:pt idx="2503">
                  <c:v>127.0415849464199</c:v>
                </c:pt>
                <c:pt idx="2504">
                  <c:v>127.0415849464199</c:v>
                </c:pt>
                <c:pt idx="2505">
                  <c:v>133.2906966828686</c:v>
                </c:pt>
                <c:pt idx="2506">
                  <c:v>133.3731275404337</c:v>
                </c:pt>
                <c:pt idx="2507">
                  <c:v>133.2906966828686</c:v>
                </c:pt>
                <c:pt idx="2508">
                  <c:v>134.1235325886132</c:v>
                </c:pt>
                <c:pt idx="2509">
                  <c:v>130.7907677439527</c:v>
                </c:pt>
                <c:pt idx="2510">
                  <c:v>130.7907677439527</c:v>
                </c:pt>
                <c:pt idx="2511">
                  <c:v>126.7914499303601</c:v>
                </c:pt>
                <c:pt idx="2512">
                  <c:v>123.2938233705693</c:v>
                </c:pt>
                <c:pt idx="2513">
                  <c:v>123.2938233705693</c:v>
                </c:pt>
                <c:pt idx="2514">
                  <c:v>122.4595662431426</c:v>
                </c:pt>
                <c:pt idx="2515">
                  <c:v>121.2103123845257</c:v>
                </c:pt>
                <c:pt idx="2516">
                  <c:v>122.0431482902703</c:v>
                </c:pt>
                <c:pt idx="2517">
                  <c:v>122.877405417697</c:v>
                </c:pt>
                <c:pt idx="2518">
                  <c:v>124.1266592763139</c:v>
                </c:pt>
                <c:pt idx="2519">
                  <c:v>124.1266592763139</c:v>
                </c:pt>
                <c:pt idx="2520">
                  <c:v>124.5430772291862</c:v>
                </c:pt>
                <c:pt idx="2521">
                  <c:v>124.5430772291862</c:v>
                </c:pt>
                <c:pt idx="2522">
                  <c:v>124.9594951820585</c:v>
                </c:pt>
                <c:pt idx="2523">
                  <c:v>124.9594951820585</c:v>
                </c:pt>
                <c:pt idx="2524">
                  <c:v>129.1250959324635</c:v>
                </c:pt>
                <c:pt idx="2525">
                  <c:v>125.3759131349308</c:v>
                </c:pt>
                <c:pt idx="2526">
                  <c:v>125.3759131349308</c:v>
                </c:pt>
                <c:pt idx="2527">
                  <c:v>124.9594951820585</c:v>
                </c:pt>
                <c:pt idx="2528">
                  <c:v>124.8756431028112</c:v>
                </c:pt>
                <c:pt idx="2529">
                  <c:v>123.2938233705693</c:v>
                </c:pt>
                <c:pt idx="2530">
                  <c:v>123.2938233705693</c:v>
                </c:pt>
                <c:pt idx="2531">
                  <c:v>120.7938944316534</c:v>
                </c:pt>
                <c:pt idx="2532">
                  <c:v>120.7938944316534</c:v>
                </c:pt>
                <c:pt idx="2533">
                  <c:v>119.1282226201643</c:v>
                </c:pt>
                <c:pt idx="2534">
                  <c:v>120.7938944316534</c:v>
                </c:pt>
                <c:pt idx="2535">
                  <c:v>119.1282226201643</c:v>
                </c:pt>
                <c:pt idx="2536">
                  <c:v>120.7938944316534</c:v>
                </c:pt>
                <c:pt idx="2537">
                  <c:v>121.626730337398</c:v>
                </c:pt>
                <c:pt idx="2538">
                  <c:v>122.877405417697</c:v>
                </c:pt>
                <c:pt idx="2539">
                  <c:v>122.877405417697</c:v>
                </c:pt>
                <c:pt idx="2540">
                  <c:v>123.2938233705693</c:v>
                </c:pt>
                <c:pt idx="2541">
                  <c:v>122.877405417697</c:v>
                </c:pt>
                <c:pt idx="2542">
                  <c:v>122.877405417697</c:v>
                </c:pt>
                <c:pt idx="2543">
                  <c:v>124.8756431028112</c:v>
                </c:pt>
                <c:pt idx="2544">
                  <c:v>124.9594951820585</c:v>
                </c:pt>
                <c:pt idx="2545">
                  <c:v>125.0433472613058</c:v>
                </c:pt>
                <c:pt idx="2546">
                  <c:v>125.0433472613058</c:v>
                </c:pt>
                <c:pt idx="2547">
                  <c:v>124.9594951820585</c:v>
                </c:pt>
                <c:pt idx="2548">
                  <c:v>129.1250959324635</c:v>
                </c:pt>
                <c:pt idx="2549">
                  <c:v>127.0415849464199</c:v>
                </c:pt>
                <c:pt idx="2550">
                  <c:v>128.292260026719</c:v>
                </c:pt>
                <c:pt idx="2551">
                  <c:v>129.1250959324635</c:v>
                </c:pt>
                <c:pt idx="2552">
                  <c:v>129.1250959324635</c:v>
                </c:pt>
                <c:pt idx="2553">
                  <c:v>131.207185696825</c:v>
                </c:pt>
                <c:pt idx="2554">
                  <c:v>131.6236036496973</c:v>
                </c:pt>
                <c:pt idx="2555">
                  <c:v>131.207185696825</c:v>
                </c:pt>
                <c:pt idx="2556">
                  <c:v>126.6251669935477</c:v>
                </c:pt>
                <c:pt idx="2557">
                  <c:v>129.0412438532162</c:v>
                </c:pt>
                <c:pt idx="2558">
                  <c:v>127.4580028992922</c:v>
                </c:pt>
                <c:pt idx="2559">
                  <c:v>127.4580028992922</c:v>
                </c:pt>
                <c:pt idx="2560">
                  <c:v>127.4580028992922</c:v>
                </c:pt>
                <c:pt idx="2561">
                  <c:v>129.1250959324635</c:v>
                </c:pt>
                <c:pt idx="2562">
                  <c:v>127.0415849464199</c:v>
                </c:pt>
                <c:pt idx="2563">
                  <c:v>127.0415849464199</c:v>
                </c:pt>
                <c:pt idx="2564">
                  <c:v>125.7923310878031</c:v>
                </c:pt>
                <c:pt idx="2565">
                  <c:v>129.1250959324635</c:v>
                </c:pt>
                <c:pt idx="2566">
                  <c:v>129.1250959324635</c:v>
                </c:pt>
                <c:pt idx="2567">
                  <c:v>128.292260026719</c:v>
                </c:pt>
                <c:pt idx="2568">
                  <c:v>125.7923310878031</c:v>
                </c:pt>
                <c:pt idx="2569">
                  <c:v>125.7923310878031</c:v>
                </c:pt>
                <c:pt idx="2570">
                  <c:v>126.6251669935477</c:v>
                </c:pt>
                <c:pt idx="2571">
                  <c:v>126.6251669935477</c:v>
                </c:pt>
                <c:pt idx="2572">
                  <c:v>124.9594951820585</c:v>
                </c:pt>
                <c:pt idx="2573">
                  <c:v>126.6251669935477</c:v>
                </c:pt>
                <c:pt idx="2574">
                  <c:v>130.3743497910804</c:v>
                </c:pt>
                <c:pt idx="2575">
                  <c:v>130.3743497910804</c:v>
                </c:pt>
                <c:pt idx="2576">
                  <c:v>130.3743497910804</c:v>
                </c:pt>
                <c:pt idx="2577">
                  <c:v>130.7907677439527</c:v>
                </c:pt>
                <c:pt idx="2578">
                  <c:v>130.7907677439527</c:v>
                </c:pt>
                <c:pt idx="2579">
                  <c:v>128.3746908842841</c:v>
                </c:pt>
                <c:pt idx="2580">
                  <c:v>128.3746908842841</c:v>
                </c:pt>
                <c:pt idx="2581">
                  <c:v>124.7647878116028</c:v>
                </c:pt>
                <c:pt idx="2582">
                  <c:v>124.7647878116028</c:v>
                </c:pt>
                <c:pt idx="2583">
                  <c:v>124.7647878116028</c:v>
                </c:pt>
                <c:pt idx="2584">
                  <c:v>124.7647878116028</c:v>
                </c:pt>
                <c:pt idx="2585">
                  <c:v>124.7647878116028</c:v>
                </c:pt>
                <c:pt idx="2586">
                  <c:v>126.7701316051278</c:v>
                </c:pt>
                <c:pt idx="2587">
                  <c:v>126.7701316051278</c:v>
                </c:pt>
                <c:pt idx="2588">
                  <c:v>127.9739063699156</c:v>
                </c:pt>
                <c:pt idx="2589">
                  <c:v>126.7701316051278</c:v>
                </c:pt>
                <c:pt idx="2590">
                  <c:v>128.3746908842841</c:v>
                </c:pt>
                <c:pt idx="2591">
                  <c:v>128.3746908842841</c:v>
                </c:pt>
                <c:pt idx="2592">
                  <c:v>128.3746908842841</c:v>
                </c:pt>
                <c:pt idx="2593">
                  <c:v>128.3746908842841</c:v>
                </c:pt>
                <c:pt idx="2594">
                  <c:v>131.5838094425969</c:v>
                </c:pt>
                <c:pt idx="2595">
                  <c:v>127.9739063699156</c:v>
                </c:pt>
                <c:pt idx="2596">
                  <c:v>127.9739063699156</c:v>
                </c:pt>
                <c:pt idx="2597">
                  <c:v>126.3693470907592</c:v>
                </c:pt>
                <c:pt idx="2598">
                  <c:v>124.3625820755521</c:v>
                </c:pt>
                <c:pt idx="2599">
                  <c:v>124.3625820755521</c:v>
                </c:pt>
                <c:pt idx="2600">
                  <c:v>125.1655723259714</c:v>
                </c:pt>
                <c:pt idx="2601">
                  <c:v>124.3625820755521</c:v>
                </c:pt>
                <c:pt idx="2602">
                  <c:v>124.3625820755521</c:v>
                </c:pt>
                <c:pt idx="2603">
                  <c:v>124.3625820755521</c:v>
                </c:pt>
                <c:pt idx="2604">
                  <c:v>125.1655723259714</c:v>
                </c:pt>
                <c:pt idx="2605">
                  <c:v>125.2451607401723</c:v>
                </c:pt>
                <c:pt idx="2606">
                  <c:v>125.2451607401723</c:v>
                </c:pt>
                <c:pt idx="2607">
                  <c:v>125.1655723259714</c:v>
                </c:pt>
                <c:pt idx="2608">
                  <c:v>125.1655723259714</c:v>
                </c:pt>
                <c:pt idx="2609">
                  <c:v>124.3625820755521</c:v>
                </c:pt>
                <c:pt idx="2610">
                  <c:v>125.4867684261391</c:v>
                </c:pt>
                <c:pt idx="2611">
                  <c:v>124.7647878116028</c:v>
                </c:pt>
                <c:pt idx="2612">
                  <c:v>124.3625820755521</c:v>
                </c:pt>
                <c:pt idx="2613">
                  <c:v>124.3625820755521</c:v>
                </c:pt>
                <c:pt idx="2614">
                  <c:v>124.3625820755521</c:v>
                </c:pt>
                <c:pt idx="2615">
                  <c:v>123.9617975611836</c:v>
                </c:pt>
                <c:pt idx="2616">
                  <c:v>124.3625820755521</c:v>
                </c:pt>
                <c:pt idx="2617">
                  <c:v>120.3518944885023</c:v>
                </c:pt>
                <c:pt idx="2618">
                  <c:v>119.548904238083</c:v>
                </c:pt>
                <c:pt idx="2619">
                  <c:v>119.548904238083</c:v>
                </c:pt>
                <c:pt idx="2620">
                  <c:v>117.5435604445581</c:v>
                </c:pt>
                <c:pt idx="2621">
                  <c:v>117.1427759301896</c:v>
                </c:pt>
                <c:pt idx="2622">
                  <c:v>116.3397856797703</c:v>
                </c:pt>
                <c:pt idx="2623">
                  <c:v>116.3397856797703</c:v>
                </c:pt>
                <c:pt idx="2624">
                  <c:v>113.5314516358262</c:v>
                </c:pt>
                <c:pt idx="2625">
                  <c:v>112.3276768710383</c:v>
                </c:pt>
                <c:pt idx="2626">
                  <c:v>117.1427759301896</c:v>
                </c:pt>
                <c:pt idx="2627">
                  <c:v>117.1427759301896</c:v>
                </c:pt>
                <c:pt idx="2628">
                  <c:v>116.3397856797703</c:v>
                </c:pt>
                <c:pt idx="2629">
                  <c:v>116.3397856797703</c:v>
                </c:pt>
                <c:pt idx="2630">
                  <c:v>116.3397856797703</c:v>
                </c:pt>
                <c:pt idx="2631">
                  <c:v>116.3397856797703</c:v>
                </c:pt>
                <c:pt idx="2632">
                  <c:v>116.3397856797703</c:v>
                </c:pt>
                <c:pt idx="2633">
                  <c:v>120.3518944885023</c:v>
                </c:pt>
                <c:pt idx="2634">
                  <c:v>115.1360109149825</c:v>
                </c:pt>
                <c:pt idx="2635">
                  <c:v>115.1360109149825</c:v>
                </c:pt>
                <c:pt idx="2636">
                  <c:v>115.1360109149825</c:v>
                </c:pt>
                <c:pt idx="2637">
                  <c:v>118.1845314232114</c:v>
                </c:pt>
                <c:pt idx="2638">
                  <c:v>120.3518944885023</c:v>
                </c:pt>
                <c:pt idx="2639">
                  <c:v>120.3518944885023</c:v>
                </c:pt>
                <c:pt idx="2640">
                  <c:v>120.3518944885023</c:v>
                </c:pt>
                <c:pt idx="2641">
                  <c:v>120.3518944885023</c:v>
                </c:pt>
                <c:pt idx="2642">
                  <c:v>120.3518944885023</c:v>
                </c:pt>
                <c:pt idx="2643">
                  <c:v>120.3518944885023</c:v>
                </c:pt>
                <c:pt idx="2644">
                  <c:v>120.3518944885023</c:v>
                </c:pt>
                <c:pt idx="2645">
                  <c:v>120.3518944885023</c:v>
                </c:pt>
                <c:pt idx="2646">
                  <c:v>121.9564537676587</c:v>
                </c:pt>
                <c:pt idx="2647">
                  <c:v>123.561013046815</c:v>
                </c:pt>
                <c:pt idx="2648">
                  <c:v>123.561013046815</c:v>
                </c:pt>
                <c:pt idx="2649">
                  <c:v>123.561013046815</c:v>
                </c:pt>
                <c:pt idx="2650">
                  <c:v>123.1602285324465</c:v>
                </c:pt>
                <c:pt idx="2651">
                  <c:v>123.1602285324465</c:v>
                </c:pt>
                <c:pt idx="2652">
                  <c:v>124.6837781757199</c:v>
                </c:pt>
                <c:pt idx="2653">
                  <c:v>125.9685625763907</c:v>
                </c:pt>
                <c:pt idx="2654">
                  <c:v>125.9685625763907</c:v>
                </c:pt>
                <c:pt idx="2655">
                  <c:v>125.1655723259714</c:v>
                </c:pt>
                <c:pt idx="2656">
                  <c:v>125.9685625763907</c:v>
                </c:pt>
                <c:pt idx="2657">
                  <c:v>123.561013046815</c:v>
                </c:pt>
                <c:pt idx="2658">
                  <c:v>123.1602285324465</c:v>
                </c:pt>
                <c:pt idx="2659">
                  <c:v>122.3572382820272</c:v>
                </c:pt>
                <c:pt idx="2660">
                  <c:v>120.4314829027032</c:v>
                </c:pt>
                <c:pt idx="2661">
                  <c:v>120.4314829027032</c:v>
                </c:pt>
                <c:pt idx="2662">
                  <c:v>120.4314829027032</c:v>
                </c:pt>
                <c:pt idx="2663">
                  <c:v>122.3572382820272</c:v>
                </c:pt>
                <c:pt idx="2664">
                  <c:v>124.4435917114351</c:v>
                </c:pt>
                <c:pt idx="2665">
                  <c:v>128.3746908842841</c:v>
                </c:pt>
                <c:pt idx="2666">
                  <c:v>128.3746908842841</c:v>
                </c:pt>
                <c:pt idx="2667">
                  <c:v>128.3746908842841</c:v>
                </c:pt>
                <c:pt idx="2668">
                  <c:v>128.3746908842841</c:v>
                </c:pt>
                <c:pt idx="2669">
                  <c:v>128.3746908842841</c:v>
                </c:pt>
                <c:pt idx="2670">
                  <c:v>128.3746908842841</c:v>
                </c:pt>
                <c:pt idx="2671">
                  <c:v>128.3746908842841</c:v>
                </c:pt>
                <c:pt idx="2672">
                  <c:v>128.3746908842841</c:v>
                </c:pt>
                <c:pt idx="2673">
                  <c:v>129.2572695489042</c:v>
                </c:pt>
                <c:pt idx="2674">
                  <c:v>128.3746908842841</c:v>
                </c:pt>
                <c:pt idx="2675">
                  <c:v>128.3746908842841</c:v>
                </c:pt>
                <c:pt idx="2676">
                  <c:v>124.3625820755521</c:v>
                </c:pt>
                <c:pt idx="2677">
                  <c:v>124.3625820755521</c:v>
                </c:pt>
                <c:pt idx="2678">
                  <c:v>129.1776811347034</c:v>
                </c:pt>
                <c:pt idx="2679">
                  <c:v>128.3746908842841</c:v>
                </c:pt>
                <c:pt idx="2680">
                  <c:v>128.3746908842841</c:v>
                </c:pt>
                <c:pt idx="2681">
                  <c:v>128.3746908842841</c:v>
                </c:pt>
                <c:pt idx="2682">
                  <c:v>121.9564537676587</c:v>
                </c:pt>
                <c:pt idx="2683">
                  <c:v>120.3518944885023</c:v>
                </c:pt>
                <c:pt idx="2684">
                  <c:v>120.3518944885023</c:v>
                </c:pt>
                <c:pt idx="2685">
                  <c:v>120.3518944885023</c:v>
                </c:pt>
                <c:pt idx="2686">
                  <c:v>120.3518944885023</c:v>
                </c:pt>
                <c:pt idx="2687">
                  <c:v>120.3518944885023</c:v>
                </c:pt>
                <c:pt idx="2688">
                  <c:v>118.3451294732953</c:v>
                </c:pt>
                <c:pt idx="2689">
                  <c:v>116.7405701941389</c:v>
                </c:pt>
                <c:pt idx="2690">
                  <c:v>116.7405701941389</c:v>
                </c:pt>
                <c:pt idx="2691">
                  <c:v>116.7405701941389</c:v>
                </c:pt>
                <c:pt idx="2692">
                  <c:v>116.3397856797703</c:v>
                </c:pt>
                <c:pt idx="2693">
                  <c:v>116.3397856797703</c:v>
                </c:pt>
                <c:pt idx="2694">
                  <c:v>116.3397856797703</c:v>
                </c:pt>
                <c:pt idx="2695">
                  <c:v>116.3397856797703</c:v>
                </c:pt>
                <c:pt idx="2696">
                  <c:v>113.5314516358262</c:v>
                </c:pt>
                <c:pt idx="2697">
                  <c:v>113.9322361501947</c:v>
                </c:pt>
                <c:pt idx="2698">
                  <c:v>113.9322361501947</c:v>
                </c:pt>
                <c:pt idx="2699">
                  <c:v>114.3344418862454</c:v>
                </c:pt>
                <c:pt idx="2700">
                  <c:v>114.3344418862454</c:v>
                </c:pt>
                <c:pt idx="2701">
                  <c:v>112.3276768710383</c:v>
                </c:pt>
                <c:pt idx="2702">
                  <c:v>112.3276768710383</c:v>
                </c:pt>
                <c:pt idx="2703">
                  <c:v>106.71100878315</c:v>
                </c:pt>
                <c:pt idx="2704">
                  <c:v>106.71100878315</c:v>
                </c:pt>
                <c:pt idx="2705">
                  <c:v>106.71100878315</c:v>
                </c:pt>
                <c:pt idx="2706">
                  <c:v>106.71100878315</c:v>
                </c:pt>
                <c:pt idx="2707">
                  <c:v>106.71100878315</c:v>
                </c:pt>
                <c:pt idx="2708">
                  <c:v>108.3169892839885</c:v>
                </c:pt>
                <c:pt idx="2709">
                  <c:v>108.2359796481055</c:v>
                </c:pt>
                <c:pt idx="2710">
                  <c:v>108.3169892839885</c:v>
                </c:pt>
                <c:pt idx="2711">
                  <c:v>108.3169892839885</c:v>
                </c:pt>
                <c:pt idx="2712">
                  <c:v>108.3169892839885</c:v>
                </c:pt>
                <c:pt idx="2713">
                  <c:v>108.3169892839885</c:v>
                </c:pt>
                <c:pt idx="2714">
                  <c:v>108.3169892839885</c:v>
                </c:pt>
                <c:pt idx="2715">
                  <c:v>109.9215485631449</c:v>
                </c:pt>
                <c:pt idx="2716">
                  <c:v>109.1270856428186</c:v>
                </c:pt>
                <c:pt idx="2717">
                  <c:v>109.1270856428186</c:v>
                </c:pt>
                <c:pt idx="2718">
                  <c:v>109.445439299622</c:v>
                </c:pt>
                <c:pt idx="2719">
                  <c:v>109.9215485631449</c:v>
                </c:pt>
                <c:pt idx="2720">
                  <c:v>111.1111111111111</c:v>
                </c:pt>
                <c:pt idx="2721">
                  <c:v>111.1111111111111</c:v>
                </c:pt>
                <c:pt idx="2722">
                  <c:v>111.1111111111111</c:v>
                </c:pt>
                <c:pt idx="2723">
                  <c:v>107.143060174526</c:v>
                </c:pt>
                <c:pt idx="2724">
                  <c:v>105.5555555555556</c:v>
                </c:pt>
                <c:pt idx="2725">
                  <c:v>105.5555555555556</c:v>
                </c:pt>
                <c:pt idx="2726">
                  <c:v>105.5555555555556</c:v>
                </c:pt>
                <c:pt idx="2727">
                  <c:v>107.4614138313294</c:v>
                </c:pt>
                <c:pt idx="2728">
                  <c:v>107.9375230948523</c:v>
                </c:pt>
                <c:pt idx="2729">
                  <c:v>107.9375230948523</c:v>
                </c:pt>
                <c:pt idx="2730">
                  <c:v>107.9375230948523</c:v>
                </c:pt>
                <c:pt idx="2731">
                  <c:v>106.3500184758819</c:v>
                </c:pt>
                <c:pt idx="2732">
                  <c:v>104.8421022711123</c:v>
                </c:pt>
                <c:pt idx="2733">
                  <c:v>107.9375230948523</c:v>
                </c:pt>
                <c:pt idx="2734">
                  <c:v>108.4136323583753</c:v>
                </c:pt>
                <c:pt idx="2735">
                  <c:v>108.4136323583753</c:v>
                </c:pt>
                <c:pt idx="2736">
                  <c:v>107.143060174526</c:v>
                </c:pt>
                <c:pt idx="2737">
                  <c:v>107.143060174526</c:v>
                </c:pt>
                <c:pt idx="2738">
                  <c:v>107.143060174526</c:v>
                </c:pt>
                <c:pt idx="2739">
                  <c:v>107.143060174526</c:v>
                </c:pt>
                <c:pt idx="2740">
                  <c:v>107.143060174526</c:v>
                </c:pt>
                <c:pt idx="2741">
                  <c:v>107.143060174526</c:v>
                </c:pt>
                <c:pt idx="2742">
                  <c:v>107.143060174526</c:v>
                </c:pt>
                <c:pt idx="2743">
                  <c:v>103.1750092379409</c:v>
                </c:pt>
                <c:pt idx="2744">
                  <c:v>104.3659930075893</c:v>
                </c:pt>
                <c:pt idx="2745">
                  <c:v>103.1750092379409</c:v>
                </c:pt>
                <c:pt idx="2746">
                  <c:v>101.5875046189705</c:v>
                </c:pt>
                <c:pt idx="2747">
                  <c:v>103.1750092379409</c:v>
                </c:pt>
                <c:pt idx="2748">
                  <c:v>103.1750092379409</c:v>
                </c:pt>
                <c:pt idx="2749">
                  <c:v>103.1750092379409</c:v>
                </c:pt>
                <c:pt idx="2750" formatCode="0">
                  <c:v>100.0</c:v>
                </c:pt>
              </c:numCache>
            </c:numRef>
          </c:val>
          <c:smooth val="0"/>
        </c:ser>
        <c:dLbls>
          <c:showLegendKey val="0"/>
          <c:showVal val="0"/>
          <c:showCatName val="0"/>
          <c:showSerName val="0"/>
          <c:showPercent val="0"/>
          <c:showBubbleSize val="0"/>
        </c:dLbls>
        <c:marker val="1"/>
        <c:smooth val="0"/>
        <c:axId val="2141850248"/>
        <c:axId val="2141804360"/>
      </c:lineChart>
      <c:dateAx>
        <c:axId val="2141850248"/>
        <c:scaling>
          <c:orientation val="minMax"/>
        </c:scaling>
        <c:delete val="0"/>
        <c:axPos val="b"/>
        <c:numFmt formatCode="m/d/yy" sourceLinked="1"/>
        <c:majorTickMark val="out"/>
        <c:minorTickMark val="none"/>
        <c:tickLblPos val="nextTo"/>
        <c:crossAx val="2141804360"/>
        <c:crosses val="autoZero"/>
        <c:auto val="1"/>
        <c:lblOffset val="100"/>
        <c:baseTimeUnit val="days"/>
      </c:dateAx>
      <c:valAx>
        <c:axId val="2141804360"/>
        <c:scaling>
          <c:orientation val="minMax"/>
        </c:scaling>
        <c:delete val="0"/>
        <c:axPos val="l"/>
        <c:majorGridlines/>
        <c:numFmt formatCode="0" sourceLinked="1"/>
        <c:majorTickMark val="out"/>
        <c:minorTickMark val="none"/>
        <c:tickLblPos val="nextTo"/>
        <c:crossAx val="2141850248"/>
        <c:crosses val="autoZero"/>
        <c:crossBetween val="between"/>
      </c:valAx>
    </c:plotArea>
    <c:legend>
      <c:legendPos val="r"/>
      <c:overlay val="0"/>
    </c:legend>
    <c:plotVisOnly val="1"/>
    <c:dispBlanksAs val="gap"/>
    <c:showDLblsOverMax val="0"/>
  </c:chart>
  <c:printSettings>
    <c:headerFooter/>
    <c:pageMargins b="1.0" l="0.75" r="0.75" t="1.0"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2000"/>
            </a:pPr>
            <a:r>
              <a:rPr lang="en-US" sz="2000"/>
              <a:t>Oceana</a:t>
            </a:r>
            <a:r>
              <a:rPr lang="en-US" sz="2000" baseline="0"/>
              <a:t> vs. Jalsh Returns (base 100 April 5, 2013)</a:t>
            </a:r>
            <a:endParaRPr lang="en-US" sz="2000"/>
          </a:p>
        </c:rich>
      </c:tx>
      <c:layout/>
      <c:overlay val="0"/>
    </c:title>
    <c:autoTitleDeleted val="0"/>
    <c:plotArea>
      <c:layout/>
      <c:lineChart>
        <c:grouping val="standard"/>
        <c:varyColors val="0"/>
        <c:ser>
          <c:idx val="1"/>
          <c:order val="0"/>
          <c:tx>
            <c:v>JALSH</c:v>
          </c:tx>
          <c:spPr>
            <a:ln>
              <a:solidFill>
                <a:schemeClr val="accent1">
                  <a:lumMod val="40000"/>
                  <a:lumOff val="60000"/>
                </a:schemeClr>
              </a:solidFill>
            </a:ln>
          </c:spPr>
          <c:marker>
            <c:symbol val="none"/>
          </c:marker>
          <c:cat>
            <c:numRef>
              <c:f>'4f. JALSH vs Oceana Prices'!$B$9:$B$757</c:f>
              <c:numCache>
                <c:formatCode>m/d/yy</c:formatCode>
                <c:ptCount val="749"/>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numCache>
            </c:numRef>
          </c:cat>
          <c:val>
            <c:numRef>
              <c:f>'4f. JALSH vs Oceana Prices'!$D$9:$D$757</c:f>
              <c:numCache>
                <c:formatCode>0.00</c:formatCode>
                <c:ptCount val="749"/>
                <c:pt idx="0">
                  <c:v>130.2406590581326</c:v>
                </c:pt>
                <c:pt idx="1">
                  <c:v>130.3375985714917</c:v>
                </c:pt>
                <c:pt idx="2">
                  <c:v>132.9618448485725</c:v>
                </c:pt>
                <c:pt idx="3">
                  <c:v>133.6313576854631</c:v>
                </c:pt>
                <c:pt idx="4">
                  <c:v>133.2270538824012</c:v>
                </c:pt>
                <c:pt idx="5">
                  <c:v>133.0321203466021</c:v>
                </c:pt>
                <c:pt idx="6">
                  <c:v>132.8825809159968</c:v>
                </c:pt>
                <c:pt idx="7">
                  <c:v>133.881426981774</c:v>
                </c:pt>
                <c:pt idx="8">
                  <c:v>135.0518567394178</c:v>
                </c:pt>
                <c:pt idx="9">
                  <c:v>134.0254427933845</c:v>
                </c:pt>
                <c:pt idx="10">
                  <c:v>133.4872665517754</c:v>
                </c:pt>
                <c:pt idx="11">
                  <c:v>133.1666957912032</c:v>
                </c:pt>
                <c:pt idx="12">
                  <c:v>132.687371199248</c:v>
                </c:pt>
                <c:pt idx="13">
                  <c:v>132.913940007472</c:v>
                </c:pt>
                <c:pt idx="14">
                  <c:v>130.7083087281214</c:v>
                </c:pt>
                <c:pt idx="15">
                  <c:v>129.1223270705537</c:v>
                </c:pt>
                <c:pt idx="16">
                  <c:v>129.1132884212894</c:v>
                </c:pt>
                <c:pt idx="17">
                  <c:v>128.4161574894248</c:v>
                </c:pt>
                <c:pt idx="18">
                  <c:v>128.5103100859274</c:v>
                </c:pt>
                <c:pt idx="19">
                  <c:v>128.6151835247518</c:v>
                </c:pt>
                <c:pt idx="20">
                  <c:v>130.2949913831544</c:v>
                </c:pt>
                <c:pt idx="21">
                  <c:v>129.5141274088</c:v>
                </c:pt>
                <c:pt idx="22">
                  <c:v>131.186654133073</c:v>
                </c:pt>
                <c:pt idx="23">
                  <c:v>131.8022363626868</c:v>
                </c:pt>
                <c:pt idx="24">
                  <c:v>130.0239825493811</c:v>
                </c:pt>
                <c:pt idx="25">
                  <c:v>131.3711932222182</c:v>
                </c:pt>
                <c:pt idx="26">
                  <c:v>131.988256786017</c:v>
                </c:pt>
                <c:pt idx="27">
                  <c:v>134.0553707653928</c:v>
                </c:pt>
                <c:pt idx="28">
                  <c:v>135.1385524502774</c:v>
                </c:pt>
                <c:pt idx="29">
                  <c:v>133.5474488914599</c:v>
                </c:pt>
                <c:pt idx="30">
                  <c:v>132.2798787615845</c:v>
                </c:pt>
                <c:pt idx="31">
                  <c:v>131.1954668161057</c:v>
                </c:pt>
                <c:pt idx="32">
                  <c:v>131.7426314922609</c:v>
                </c:pt>
                <c:pt idx="33">
                  <c:v>129.905048989479</c:v>
                </c:pt>
                <c:pt idx="34">
                  <c:v>129.3877118558958</c:v>
                </c:pt>
                <c:pt idx="35">
                  <c:v>129.2638823609755</c:v>
                </c:pt>
                <c:pt idx="36">
                  <c:v>131.1805279374606</c:v>
                </c:pt>
                <c:pt idx="37">
                  <c:v>132.2499758969353</c:v>
                </c:pt>
                <c:pt idx="38">
                  <c:v>131.062196954176</c:v>
                </c:pt>
                <c:pt idx="39">
                  <c:v>130.0235055095589</c:v>
                </c:pt>
                <c:pt idx="40">
                  <c:v>127.9645012071618</c:v>
                </c:pt>
                <c:pt idx="41">
                  <c:v>126.3279031137142</c:v>
                </c:pt>
                <c:pt idx="42">
                  <c:v>124.0687931595502</c:v>
                </c:pt>
                <c:pt idx="43">
                  <c:v>124.1041694284762</c:v>
                </c:pt>
                <c:pt idx="44">
                  <c:v>121.4522548417031</c:v>
                </c:pt>
                <c:pt idx="45">
                  <c:v>120.5048286472958</c:v>
                </c:pt>
                <c:pt idx="46">
                  <c:v>121.57482896867</c:v>
                </c:pt>
                <c:pt idx="47">
                  <c:v>123.3092704404032</c:v>
                </c:pt>
                <c:pt idx="48">
                  <c:v>122.8764948921589</c:v>
                </c:pt>
                <c:pt idx="49">
                  <c:v>125.1795176173317</c:v>
                </c:pt>
                <c:pt idx="50">
                  <c:v>125.6354923653543</c:v>
                </c:pt>
                <c:pt idx="51">
                  <c:v>123.9979652996212</c:v>
                </c:pt>
                <c:pt idx="52">
                  <c:v>125.165080885868</c:v>
                </c:pt>
                <c:pt idx="53">
                  <c:v>121.9958793802299</c:v>
                </c:pt>
                <c:pt idx="54">
                  <c:v>119.0379311937846</c:v>
                </c:pt>
                <c:pt idx="55">
                  <c:v>121.2013570025429</c:v>
                </c:pt>
                <c:pt idx="56">
                  <c:v>121.3808997272337</c:v>
                </c:pt>
                <c:pt idx="57">
                  <c:v>124.1046464682984</c:v>
                </c:pt>
                <c:pt idx="58">
                  <c:v>124.9173716813093</c:v>
                </c:pt>
                <c:pt idx="59">
                  <c:v>124.601621533678</c:v>
                </c:pt>
                <c:pt idx="60">
                  <c:v>121.8597723867257</c:v>
                </c:pt>
                <c:pt idx="61">
                  <c:v>120.588737441299</c:v>
                </c:pt>
                <c:pt idx="62">
                  <c:v>123.1655057023834</c:v>
                </c:pt>
                <c:pt idx="63">
                  <c:v>123.3824332847255</c:v>
                </c:pt>
                <c:pt idx="64">
                  <c:v>122.2793916788186</c:v>
                </c:pt>
                <c:pt idx="65">
                  <c:v>120.3243067356014</c:v>
                </c:pt>
                <c:pt idx="66">
                  <c:v>119.3413034133957</c:v>
                </c:pt>
                <c:pt idx="67">
                  <c:v>118.5328966661444</c:v>
                </c:pt>
                <c:pt idx="68">
                  <c:v>119.666368391241</c:v>
                </c:pt>
                <c:pt idx="69">
                  <c:v>116.2019294503296</c:v>
                </c:pt>
                <c:pt idx="70">
                  <c:v>116.3218421972354</c:v>
                </c:pt>
                <c:pt idx="71">
                  <c:v>119.5807271894622</c:v>
                </c:pt>
                <c:pt idx="72">
                  <c:v>117.6948130204755</c:v>
                </c:pt>
                <c:pt idx="73">
                  <c:v>117.9050871526648</c:v>
                </c:pt>
                <c:pt idx="74">
                  <c:v>119.7559012336752</c:v>
                </c:pt>
                <c:pt idx="75">
                  <c:v>121.5517553056871</c:v>
                </c:pt>
                <c:pt idx="76">
                  <c:v>121.5100268749171</c:v>
                </c:pt>
                <c:pt idx="77">
                  <c:v>121.325487785772</c:v>
                </c:pt>
                <c:pt idx="78">
                  <c:v>120.7781473581033</c:v>
                </c:pt>
                <c:pt idx="79">
                  <c:v>120.6478401645436</c:v>
                </c:pt>
                <c:pt idx="80">
                  <c:v>123.2326678878886</c:v>
                </c:pt>
                <c:pt idx="81">
                  <c:v>124.5317979681116</c:v>
                </c:pt>
                <c:pt idx="82">
                  <c:v>123.8209835255553</c:v>
                </c:pt>
                <c:pt idx="83">
                  <c:v>127.2786434795184</c:v>
                </c:pt>
                <c:pt idx="84">
                  <c:v>127.5582641374517</c:v>
                </c:pt>
                <c:pt idx="85">
                  <c:v>127.9582494747541</c:v>
                </c:pt>
                <c:pt idx="86">
                  <c:v>128.5213573239171</c:v>
                </c:pt>
                <c:pt idx="87">
                  <c:v>128.8610347847396</c:v>
                </c:pt>
                <c:pt idx="88">
                  <c:v>127.6453364586974</c:v>
                </c:pt>
                <c:pt idx="89">
                  <c:v>124.9852619802275</c:v>
                </c:pt>
                <c:pt idx="90">
                  <c:v>123.5030741450442</c:v>
                </c:pt>
                <c:pt idx="91">
                  <c:v>122.3162241745705</c:v>
                </c:pt>
                <c:pt idx="92">
                  <c:v>124.7993670936926</c:v>
                </c:pt>
                <c:pt idx="93">
                  <c:v>121.5918517581177</c:v>
                </c:pt>
                <c:pt idx="94">
                  <c:v>120.7204757543255</c:v>
                </c:pt>
                <c:pt idx="95">
                  <c:v>120.684873519168</c:v>
                </c:pt>
                <c:pt idx="96">
                  <c:v>122.987218345646</c:v>
                </c:pt>
                <c:pt idx="97">
                  <c:v>124.3405803214545</c:v>
                </c:pt>
                <c:pt idx="98">
                  <c:v>123.2364590991078</c:v>
                </c:pt>
                <c:pt idx="99">
                  <c:v>125.1871502544882</c:v>
                </c:pt>
                <c:pt idx="100">
                  <c:v>123.7403386882309</c:v>
                </c:pt>
                <c:pt idx="101">
                  <c:v>126.603581916274</c:v>
                </c:pt>
                <c:pt idx="102">
                  <c:v>128.4470144337186</c:v>
                </c:pt>
                <c:pt idx="103">
                  <c:v>129.3928337571456</c:v>
                </c:pt>
                <c:pt idx="104">
                  <c:v>129.5736318497897</c:v>
                </c:pt>
                <c:pt idx="105">
                  <c:v>129.6475730222431</c:v>
                </c:pt>
                <c:pt idx="106">
                  <c:v>131.1355355500118</c:v>
                </c:pt>
                <c:pt idx="107">
                  <c:v>130.3437247671041</c:v>
                </c:pt>
                <c:pt idx="108">
                  <c:v>130.1009114975636</c:v>
                </c:pt>
                <c:pt idx="109">
                  <c:v>131.0503211733372</c:v>
                </c:pt>
                <c:pt idx="110">
                  <c:v>131.1622999947777</c:v>
                </c:pt>
                <c:pt idx="111">
                  <c:v>130.8501653068521</c:v>
                </c:pt>
                <c:pt idx="112">
                  <c:v>129.6909083239934</c:v>
                </c:pt>
                <c:pt idx="113">
                  <c:v>130.5121951464462</c:v>
                </c:pt>
                <c:pt idx="114">
                  <c:v>129.4218578642274</c:v>
                </c:pt>
                <c:pt idx="115">
                  <c:v>128.5480213392466</c:v>
                </c:pt>
                <c:pt idx="116">
                  <c:v>130.7005505541696</c:v>
                </c:pt>
                <c:pt idx="117">
                  <c:v>132.0498953525274</c:v>
                </c:pt>
                <c:pt idx="118">
                  <c:v>131.9780883055947</c:v>
                </c:pt>
                <c:pt idx="119">
                  <c:v>134.0010635477301</c:v>
                </c:pt>
                <c:pt idx="120">
                  <c:v>132.978792315943</c:v>
                </c:pt>
                <c:pt idx="121">
                  <c:v>135.7630477923601</c:v>
                </c:pt>
                <c:pt idx="122">
                  <c:v>137.1088022383713</c:v>
                </c:pt>
                <c:pt idx="123">
                  <c:v>135.7707306442348</c:v>
                </c:pt>
                <c:pt idx="124">
                  <c:v>135.2288887282018</c:v>
                </c:pt>
                <c:pt idx="125">
                  <c:v>135.0618745756856</c:v>
                </c:pt>
                <c:pt idx="126">
                  <c:v>134.0891652706975</c:v>
                </c:pt>
                <c:pt idx="127">
                  <c:v>134.9664415038706</c:v>
                </c:pt>
                <c:pt idx="128">
                  <c:v>135.0029978186726</c:v>
                </c:pt>
                <c:pt idx="129">
                  <c:v>135.9581068649545</c:v>
                </c:pt>
                <c:pt idx="130">
                  <c:v>136.3289676657387</c:v>
                </c:pt>
                <c:pt idx="131">
                  <c:v>133.8070840915756</c:v>
                </c:pt>
                <c:pt idx="132">
                  <c:v>133.0639062631814</c:v>
                </c:pt>
                <c:pt idx="133">
                  <c:v>132.7681164660086</c:v>
                </c:pt>
                <c:pt idx="134">
                  <c:v>133.5311542154252</c:v>
                </c:pt>
                <c:pt idx="135">
                  <c:v>132.9311887631513</c:v>
                </c:pt>
                <c:pt idx="136">
                  <c:v>132.9846925453238</c:v>
                </c:pt>
                <c:pt idx="137">
                  <c:v>133.2172871197239</c:v>
                </c:pt>
                <c:pt idx="138">
                  <c:v>133.2273300633509</c:v>
                </c:pt>
                <c:pt idx="139">
                  <c:v>132.4604006732789</c:v>
                </c:pt>
                <c:pt idx="140">
                  <c:v>133.8112770205398</c:v>
                </c:pt>
                <c:pt idx="141">
                  <c:v>132.3825678601701</c:v>
                </c:pt>
                <c:pt idx="142">
                  <c:v>131.9778874467222</c:v>
                </c:pt>
                <c:pt idx="143">
                  <c:v>130.7343952741925</c:v>
                </c:pt>
                <c:pt idx="144">
                  <c:v>130.7373077278443</c:v>
                </c:pt>
                <c:pt idx="145">
                  <c:v>127.9367826827514</c:v>
                </c:pt>
                <c:pt idx="146">
                  <c:v>126.8337912915627</c:v>
                </c:pt>
                <c:pt idx="147">
                  <c:v>125.7598993295331</c:v>
                </c:pt>
                <c:pt idx="148">
                  <c:v>123.9900062667968</c:v>
                </c:pt>
                <c:pt idx="149">
                  <c:v>124.2583537205089</c:v>
                </c:pt>
                <c:pt idx="150">
                  <c:v>126.3681502102993</c:v>
                </c:pt>
                <c:pt idx="151">
                  <c:v>126.4949674809485</c:v>
                </c:pt>
                <c:pt idx="152">
                  <c:v>125.1679431248016</c:v>
                </c:pt>
                <c:pt idx="153">
                  <c:v>127.3875592031527</c:v>
                </c:pt>
                <c:pt idx="154">
                  <c:v>128.15945985032</c:v>
                </c:pt>
                <c:pt idx="155">
                  <c:v>129.4876140376249</c:v>
                </c:pt>
                <c:pt idx="156">
                  <c:v>128.1209451615106</c:v>
                </c:pt>
                <c:pt idx="157">
                  <c:v>124.2605380607478</c:v>
                </c:pt>
                <c:pt idx="158">
                  <c:v>123.9464952135331</c:v>
                </c:pt>
                <c:pt idx="159">
                  <c:v>122.8519147876319</c:v>
                </c:pt>
                <c:pt idx="160">
                  <c:v>124.3520543845483</c:v>
                </c:pt>
                <c:pt idx="161">
                  <c:v>124.8427023954429</c:v>
                </c:pt>
                <c:pt idx="162">
                  <c:v>124.4659413652779</c:v>
                </c:pt>
                <c:pt idx="163">
                  <c:v>122.6420423731878</c:v>
                </c:pt>
                <c:pt idx="164">
                  <c:v>123.2834098605638</c:v>
                </c:pt>
                <c:pt idx="165">
                  <c:v>126.568933760761</c:v>
                </c:pt>
                <c:pt idx="166">
                  <c:v>123.6004404835075</c:v>
                </c:pt>
                <c:pt idx="167">
                  <c:v>121.8086789110235</c:v>
                </c:pt>
                <c:pt idx="168">
                  <c:v>125.467323274321</c:v>
                </c:pt>
                <c:pt idx="169">
                  <c:v>125.4534389047568</c:v>
                </c:pt>
                <c:pt idx="170">
                  <c:v>123.3401022773379</c:v>
                </c:pt>
                <c:pt idx="171">
                  <c:v>121.4172802905223</c:v>
                </c:pt>
                <c:pt idx="172">
                  <c:v>122.9779537301501</c:v>
                </c:pt>
                <c:pt idx="173">
                  <c:v>119.5893390136223</c:v>
                </c:pt>
                <c:pt idx="174">
                  <c:v>123.0972639004383</c:v>
                </c:pt>
                <c:pt idx="175">
                  <c:v>124.9384116482077</c:v>
                </c:pt>
                <c:pt idx="176">
                  <c:v>125.8905580261197</c:v>
                </c:pt>
                <c:pt idx="177">
                  <c:v>127.9898596398199</c:v>
                </c:pt>
                <c:pt idx="178">
                  <c:v>127.4226090764107</c:v>
                </c:pt>
                <c:pt idx="179">
                  <c:v>127.5985614487549</c:v>
                </c:pt>
                <c:pt idx="180">
                  <c:v>128.9901619324231</c:v>
                </c:pt>
                <c:pt idx="181">
                  <c:v>126.9694212452447</c:v>
                </c:pt>
                <c:pt idx="182">
                  <c:v>131.1135666108279</c:v>
                </c:pt>
                <c:pt idx="183">
                  <c:v>130.5958277594996</c:v>
                </c:pt>
                <c:pt idx="184">
                  <c:v>131.7247299452459</c:v>
                </c:pt>
                <c:pt idx="185">
                  <c:v>132.5021039966898</c:v>
                </c:pt>
                <c:pt idx="186">
                  <c:v>131.6575677597407</c:v>
                </c:pt>
                <c:pt idx="187">
                  <c:v>129.6284663219928</c:v>
                </c:pt>
                <c:pt idx="188">
                  <c:v>130.6920140520867</c:v>
                </c:pt>
                <c:pt idx="189">
                  <c:v>129.991870237134</c:v>
                </c:pt>
                <c:pt idx="190">
                  <c:v>129.5503071132161</c:v>
                </c:pt>
                <c:pt idx="191">
                  <c:v>127.4409876632481</c:v>
                </c:pt>
                <c:pt idx="192">
                  <c:v>128.8046436562742</c:v>
                </c:pt>
                <c:pt idx="193">
                  <c:v>128.9415540852686</c:v>
                </c:pt>
                <c:pt idx="194">
                  <c:v>131.1533617749497</c:v>
                </c:pt>
                <c:pt idx="195">
                  <c:v>130.5019262365877</c:v>
                </c:pt>
                <c:pt idx="196">
                  <c:v>132.8214947113859</c:v>
                </c:pt>
                <c:pt idx="197">
                  <c:v>133.0396776616813</c:v>
                </c:pt>
                <c:pt idx="198">
                  <c:v>132.3753369407587</c:v>
                </c:pt>
                <c:pt idx="199">
                  <c:v>132.6901832234635</c:v>
                </c:pt>
                <c:pt idx="200">
                  <c:v>131.8917943124801</c:v>
                </c:pt>
                <c:pt idx="201">
                  <c:v>130.8332429468407</c:v>
                </c:pt>
                <c:pt idx="202">
                  <c:v>131.7504147735718</c:v>
                </c:pt>
                <c:pt idx="203">
                  <c:v>130.0578774841221</c:v>
                </c:pt>
                <c:pt idx="204">
                  <c:v>129.1832877383693</c:v>
                </c:pt>
                <c:pt idx="205">
                  <c:v>126.1287264342328</c:v>
                </c:pt>
                <c:pt idx="206">
                  <c:v>125.5312466105065</c:v>
                </c:pt>
                <c:pt idx="207">
                  <c:v>129.004673985964</c:v>
                </c:pt>
                <c:pt idx="208">
                  <c:v>130.475613724285</c:v>
                </c:pt>
                <c:pt idx="209">
                  <c:v>131.0992554161595</c:v>
                </c:pt>
                <c:pt idx="210">
                  <c:v>130.2771651582165</c:v>
                </c:pt>
                <c:pt idx="211">
                  <c:v>130.0735695835392</c:v>
                </c:pt>
                <c:pt idx="212">
                  <c:v>130.5580662914623</c:v>
                </c:pt>
                <c:pt idx="213">
                  <c:v>132.2398325238721</c:v>
                </c:pt>
                <c:pt idx="214">
                  <c:v>132.7084362735055</c:v>
                </c:pt>
                <c:pt idx="215">
                  <c:v>132.5263074908308</c:v>
                </c:pt>
                <c:pt idx="216">
                  <c:v>132.0446228071233</c:v>
                </c:pt>
                <c:pt idx="217">
                  <c:v>131.0335996721983</c:v>
                </c:pt>
                <c:pt idx="218">
                  <c:v>130.0729670069216</c:v>
                </c:pt>
                <c:pt idx="219">
                  <c:v>130.3085242496917</c:v>
                </c:pt>
                <c:pt idx="220">
                  <c:v>129.5430761938047</c:v>
                </c:pt>
                <c:pt idx="221">
                  <c:v>128.7954292554965</c:v>
                </c:pt>
                <c:pt idx="222">
                  <c:v>130.1283287336651</c:v>
                </c:pt>
                <c:pt idx="223">
                  <c:v>130.2606194085911</c:v>
                </c:pt>
                <c:pt idx="224">
                  <c:v>130.4534941409467</c:v>
                </c:pt>
                <c:pt idx="225">
                  <c:v>128.2490429074724</c:v>
                </c:pt>
                <c:pt idx="226">
                  <c:v>129.6124729342669</c:v>
                </c:pt>
                <c:pt idx="227">
                  <c:v>129.7906096468499</c:v>
                </c:pt>
                <c:pt idx="228">
                  <c:v>128.8602062418903</c:v>
                </c:pt>
                <c:pt idx="229">
                  <c:v>130.1833389573818</c:v>
                </c:pt>
                <c:pt idx="230">
                  <c:v>131.0242848419844</c:v>
                </c:pt>
                <c:pt idx="231">
                  <c:v>130.7437603191246</c:v>
                </c:pt>
                <c:pt idx="232">
                  <c:v>131.2383250780337</c:v>
                </c:pt>
                <c:pt idx="233">
                  <c:v>132.5928670997184</c:v>
                </c:pt>
                <c:pt idx="234">
                  <c:v>132.9016374015289</c:v>
                </c:pt>
                <c:pt idx="235">
                  <c:v>132.9770850155264</c:v>
                </c:pt>
                <c:pt idx="236">
                  <c:v>135.5437350109066</c:v>
                </c:pt>
                <c:pt idx="237">
                  <c:v>135.7187835183244</c:v>
                </c:pt>
                <c:pt idx="238">
                  <c:v>135.890794035295</c:v>
                </c:pt>
                <c:pt idx="239">
                  <c:v>136.0619760094163</c:v>
                </c:pt>
                <c:pt idx="240">
                  <c:v>136.4010760009802</c:v>
                </c:pt>
                <c:pt idx="241">
                  <c:v>136.6077095661047</c:v>
                </c:pt>
                <c:pt idx="242">
                  <c:v>135.650466394302</c:v>
                </c:pt>
                <c:pt idx="243">
                  <c:v>135.2648675737453</c:v>
                </c:pt>
                <c:pt idx="244">
                  <c:v>135.7151178439005</c:v>
                </c:pt>
                <c:pt idx="245">
                  <c:v>135.4150597956864</c:v>
                </c:pt>
                <c:pt idx="246">
                  <c:v>135.9840929815893</c:v>
                </c:pt>
                <c:pt idx="247">
                  <c:v>135.0539155428613</c:v>
                </c:pt>
                <c:pt idx="248">
                  <c:v>133.6669850279796</c:v>
                </c:pt>
                <c:pt idx="249">
                  <c:v>135.1999650505562</c:v>
                </c:pt>
                <c:pt idx="250">
                  <c:v>137.0233870028241</c:v>
                </c:pt>
                <c:pt idx="251">
                  <c:v>137.1862584410941</c:v>
                </c:pt>
                <c:pt idx="252">
                  <c:v>136.6855423792135</c:v>
                </c:pt>
                <c:pt idx="253">
                  <c:v>136.9399050339251</c:v>
                </c:pt>
                <c:pt idx="254">
                  <c:v>138.1891216843221</c:v>
                </c:pt>
                <c:pt idx="255">
                  <c:v>138.5633468712213</c:v>
                </c:pt>
                <c:pt idx="256">
                  <c:v>137.3034595932206</c:v>
                </c:pt>
                <c:pt idx="257">
                  <c:v>136.2866617657102</c:v>
                </c:pt>
                <c:pt idx="258">
                  <c:v>135.9335769751457</c:v>
                </c:pt>
                <c:pt idx="259">
                  <c:v>135.1772931053183</c:v>
                </c:pt>
                <c:pt idx="260">
                  <c:v>134.9119836420534</c:v>
                </c:pt>
                <c:pt idx="261">
                  <c:v>136.2382296700692</c:v>
                </c:pt>
                <c:pt idx="262">
                  <c:v>134.8781640293897</c:v>
                </c:pt>
                <c:pt idx="263">
                  <c:v>133.8509968625844</c:v>
                </c:pt>
                <c:pt idx="264">
                  <c:v>134.5486048342713</c:v>
                </c:pt>
                <c:pt idx="265">
                  <c:v>134.1254705119089</c:v>
                </c:pt>
                <c:pt idx="266">
                  <c:v>133.030212187313</c:v>
                </c:pt>
                <c:pt idx="267">
                  <c:v>132.581920291165</c:v>
                </c:pt>
                <c:pt idx="268">
                  <c:v>132.0538874226191</c:v>
                </c:pt>
                <c:pt idx="269">
                  <c:v>131.1340291084678</c:v>
                </c:pt>
                <c:pt idx="270">
                  <c:v>131.2641354431549</c:v>
                </c:pt>
                <c:pt idx="271">
                  <c:v>131.0150955485657</c:v>
                </c:pt>
                <c:pt idx="272">
                  <c:v>131.7015558528267</c:v>
                </c:pt>
                <c:pt idx="273">
                  <c:v>130.0816290457998</c:v>
                </c:pt>
                <c:pt idx="274">
                  <c:v>129.5638399797534</c:v>
                </c:pt>
                <c:pt idx="275">
                  <c:v>131.3441777038617</c:v>
                </c:pt>
                <c:pt idx="276">
                  <c:v>132.7127798466242</c:v>
                </c:pt>
                <c:pt idx="277">
                  <c:v>131.9626472797683</c:v>
                </c:pt>
                <c:pt idx="278">
                  <c:v>132.1444998814933</c:v>
                </c:pt>
                <c:pt idx="279">
                  <c:v>132.4187726719452</c:v>
                </c:pt>
                <c:pt idx="280">
                  <c:v>131.02897991813</c:v>
                </c:pt>
                <c:pt idx="281">
                  <c:v>131.3120904989736</c:v>
                </c:pt>
                <c:pt idx="282">
                  <c:v>130.9076360517573</c:v>
                </c:pt>
                <c:pt idx="283">
                  <c:v>130.0529564417449</c:v>
                </c:pt>
                <c:pt idx="284">
                  <c:v>131.1609944121062</c:v>
                </c:pt>
                <c:pt idx="285">
                  <c:v>129.9382911328842</c:v>
                </c:pt>
                <c:pt idx="286">
                  <c:v>130.7805677075173</c:v>
                </c:pt>
                <c:pt idx="287">
                  <c:v>132.100059855944</c:v>
                </c:pt>
                <c:pt idx="288">
                  <c:v>133.9402033093508</c:v>
                </c:pt>
                <c:pt idx="289">
                  <c:v>133.7860692320362</c:v>
                </c:pt>
                <c:pt idx="290">
                  <c:v>132.7960860640097</c:v>
                </c:pt>
                <c:pt idx="291">
                  <c:v>133.3962523751562</c:v>
                </c:pt>
                <c:pt idx="292">
                  <c:v>132.9507725032238</c:v>
                </c:pt>
                <c:pt idx="293">
                  <c:v>133.933198356171</c:v>
                </c:pt>
                <c:pt idx="294">
                  <c:v>133.9004583599472</c:v>
                </c:pt>
                <c:pt idx="295">
                  <c:v>133.6157158007641</c:v>
                </c:pt>
                <c:pt idx="296">
                  <c:v>134.0102277337897</c:v>
                </c:pt>
                <c:pt idx="297">
                  <c:v>133.9137652602529</c:v>
                </c:pt>
                <c:pt idx="298">
                  <c:v>133.1575316051436</c:v>
                </c:pt>
                <c:pt idx="299">
                  <c:v>132.6561125372091</c:v>
                </c:pt>
                <c:pt idx="300">
                  <c:v>131.9046241729636</c:v>
                </c:pt>
                <c:pt idx="301">
                  <c:v>132.6509153138822</c:v>
                </c:pt>
                <c:pt idx="302">
                  <c:v>133.0586839324954</c:v>
                </c:pt>
                <c:pt idx="303">
                  <c:v>132.987730535771</c:v>
                </c:pt>
                <c:pt idx="304">
                  <c:v>131.8335452394439</c:v>
                </c:pt>
                <c:pt idx="305">
                  <c:v>130.7322611486717</c:v>
                </c:pt>
                <c:pt idx="306">
                  <c:v>130.8332931615588</c:v>
                </c:pt>
                <c:pt idx="307">
                  <c:v>130.8228485001868</c:v>
                </c:pt>
                <c:pt idx="308">
                  <c:v>130.5540491140115</c:v>
                </c:pt>
                <c:pt idx="309">
                  <c:v>129.7766750625675</c:v>
                </c:pt>
                <c:pt idx="310">
                  <c:v>129.6313536682856</c:v>
                </c:pt>
                <c:pt idx="311">
                  <c:v>130.4310481619405</c:v>
                </c:pt>
                <c:pt idx="312">
                  <c:v>129.0381420956008</c:v>
                </c:pt>
                <c:pt idx="313">
                  <c:v>128.7174206908742</c:v>
                </c:pt>
                <c:pt idx="314">
                  <c:v>127.9108467808348</c:v>
                </c:pt>
                <c:pt idx="315">
                  <c:v>128.551109544412</c:v>
                </c:pt>
                <c:pt idx="316">
                  <c:v>127.3221545327822</c:v>
                </c:pt>
                <c:pt idx="317">
                  <c:v>126.3853738586195</c:v>
                </c:pt>
                <c:pt idx="318">
                  <c:v>125.0762510494876</c:v>
                </c:pt>
                <c:pt idx="319">
                  <c:v>125.2171535485737</c:v>
                </c:pt>
                <c:pt idx="320">
                  <c:v>124.504355624651</c:v>
                </c:pt>
                <c:pt idx="321">
                  <c:v>123.3393239492068</c:v>
                </c:pt>
                <c:pt idx="322">
                  <c:v>123.0183765782486</c:v>
                </c:pt>
                <c:pt idx="323">
                  <c:v>121.6658682526483</c:v>
                </c:pt>
                <c:pt idx="324">
                  <c:v>121.831576822493</c:v>
                </c:pt>
                <c:pt idx="325">
                  <c:v>120.6595904085871</c:v>
                </c:pt>
                <c:pt idx="326">
                  <c:v>124.1132080777404</c:v>
                </c:pt>
                <c:pt idx="327">
                  <c:v>121.6913271147426</c:v>
                </c:pt>
                <c:pt idx="328">
                  <c:v>122.9017780027397</c:v>
                </c:pt>
                <c:pt idx="329">
                  <c:v>124.5210520184308</c:v>
                </c:pt>
                <c:pt idx="330">
                  <c:v>122.9282913739149</c:v>
                </c:pt>
                <c:pt idx="331">
                  <c:v>122.0172206354371</c:v>
                </c:pt>
                <c:pt idx="332">
                  <c:v>120.0911095845837</c:v>
                </c:pt>
                <c:pt idx="333">
                  <c:v>124.3278257830483</c:v>
                </c:pt>
                <c:pt idx="334">
                  <c:v>124.9608325198549</c:v>
                </c:pt>
                <c:pt idx="335">
                  <c:v>124.923196588613</c:v>
                </c:pt>
                <c:pt idx="336">
                  <c:v>126.1747231160442</c:v>
                </c:pt>
                <c:pt idx="337">
                  <c:v>124.2276223130104</c:v>
                </c:pt>
                <c:pt idx="338">
                  <c:v>124.4521574251499</c:v>
                </c:pt>
                <c:pt idx="339">
                  <c:v>123.8780023379973</c:v>
                </c:pt>
                <c:pt idx="340">
                  <c:v>123.9969861126176</c:v>
                </c:pt>
                <c:pt idx="341">
                  <c:v>123.7555788551848</c:v>
                </c:pt>
                <c:pt idx="342">
                  <c:v>118.7138202955839</c:v>
                </c:pt>
                <c:pt idx="343">
                  <c:v>119.0024544954224</c:v>
                </c:pt>
                <c:pt idx="344">
                  <c:v>120.623762207198</c:v>
                </c:pt>
                <c:pt idx="345">
                  <c:v>120.7928100557986</c:v>
                </c:pt>
                <c:pt idx="346">
                  <c:v>122.3869013903451</c:v>
                </c:pt>
                <c:pt idx="347">
                  <c:v>121.9126735922806</c:v>
                </c:pt>
                <c:pt idx="348">
                  <c:v>124.5078957622795</c:v>
                </c:pt>
                <c:pt idx="349">
                  <c:v>124.2979731331172</c:v>
                </c:pt>
                <c:pt idx="350">
                  <c:v>124.0117492397492</c:v>
                </c:pt>
                <c:pt idx="351">
                  <c:v>125.1782120346602</c:v>
                </c:pt>
                <c:pt idx="352">
                  <c:v>124.5109839674448</c:v>
                </c:pt>
                <c:pt idx="353">
                  <c:v>122.6714430906557</c:v>
                </c:pt>
                <c:pt idx="354">
                  <c:v>125.3142688134463</c:v>
                </c:pt>
                <c:pt idx="355">
                  <c:v>126.9373591477156</c:v>
                </c:pt>
                <c:pt idx="356">
                  <c:v>126.4300649577594</c:v>
                </c:pt>
                <c:pt idx="357">
                  <c:v>126.8112197757611</c:v>
                </c:pt>
                <c:pt idx="358">
                  <c:v>127.3626527029579</c:v>
                </c:pt>
                <c:pt idx="359">
                  <c:v>127.6837005033523</c:v>
                </c:pt>
                <c:pt idx="360">
                  <c:v>123.7091051335511</c:v>
                </c:pt>
                <c:pt idx="361">
                  <c:v>125.9146108761063</c:v>
                </c:pt>
                <c:pt idx="362">
                  <c:v>126.470914630962</c:v>
                </c:pt>
                <c:pt idx="363">
                  <c:v>126.8210869678746</c:v>
                </c:pt>
                <c:pt idx="364">
                  <c:v>127.0382656238074</c:v>
                </c:pt>
                <c:pt idx="365">
                  <c:v>127.0141123443846</c:v>
                </c:pt>
                <c:pt idx="366">
                  <c:v>126.4779446915009</c:v>
                </c:pt>
                <c:pt idx="367">
                  <c:v>126.4290606633967</c:v>
                </c:pt>
                <c:pt idx="368">
                  <c:v>126.7522174819528</c:v>
                </c:pt>
                <c:pt idx="369">
                  <c:v>125.7362481972916</c:v>
                </c:pt>
                <c:pt idx="370">
                  <c:v>124.5004639839956</c:v>
                </c:pt>
                <c:pt idx="371">
                  <c:v>124.8264328267673</c:v>
                </c:pt>
                <c:pt idx="372">
                  <c:v>125.0053227601223</c:v>
                </c:pt>
                <c:pt idx="373">
                  <c:v>125.5936383977889</c:v>
                </c:pt>
                <c:pt idx="374">
                  <c:v>124.8410202023854</c:v>
                </c:pt>
                <c:pt idx="375">
                  <c:v>122.1735139456315</c:v>
                </c:pt>
                <c:pt idx="376">
                  <c:v>123.3192129545939</c:v>
                </c:pt>
                <c:pt idx="377">
                  <c:v>121.6725970248784</c:v>
                </c:pt>
                <c:pt idx="378">
                  <c:v>120.6434965914249</c:v>
                </c:pt>
                <c:pt idx="379">
                  <c:v>120.2126543098288</c:v>
                </c:pt>
                <c:pt idx="380">
                  <c:v>120.7780971433851</c:v>
                </c:pt>
                <c:pt idx="381">
                  <c:v>121.0247769462221</c:v>
                </c:pt>
                <c:pt idx="382">
                  <c:v>121.8471935998329</c:v>
                </c:pt>
                <c:pt idx="383">
                  <c:v>119.5091461087611</c:v>
                </c:pt>
                <c:pt idx="384">
                  <c:v>120.1052952424567</c:v>
                </c:pt>
                <c:pt idx="385">
                  <c:v>117.7061113320559</c:v>
                </c:pt>
                <c:pt idx="386">
                  <c:v>117.1845310547903</c:v>
                </c:pt>
                <c:pt idx="387">
                  <c:v>119.7290865741912</c:v>
                </c:pt>
                <c:pt idx="388">
                  <c:v>118.9293920805364</c:v>
                </c:pt>
                <c:pt idx="389">
                  <c:v>118.2361778966862</c:v>
                </c:pt>
                <c:pt idx="390">
                  <c:v>120.8505569816535</c:v>
                </c:pt>
                <c:pt idx="391">
                  <c:v>120.5997344645705</c:v>
                </c:pt>
                <c:pt idx="392">
                  <c:v>122.3040973201409</c:v>
                </c:pt>
                <c:pt idx="393">
                  <c:v>123.4433437378229</c:v>
                </c:pt>
                <c:pt idx="394">
                  <c:v>122.0548816740382</c:v>
                </c:pt>
                <c:pt idx="395">
                  <c:v>120.9900032539137</c:v>
                </c:pt>
                <c:pt idx="396">
                  <c:v>122.7122927638583</c:v>
                </c:pt>
                <c:pt idx="397">
                  <c:v>123.870445022918</c:v>
                </c:pt>
                <c:pt idx="398">
                  <c:v>123.9578437398315</c:v>
                </c:pt>
                <c:pt idx="399">
                  <c:v>124.6922842072703</c:v>
                </c:pt>
                <c:pt idx="400">
                  <c:v>124.2903404959607</c:v>
                </c:pt>
                <c:pt idx="401">
                  <c:v>125.6721491095926</c:v>
                </c:pt>
                <c:pt idx="402">
                  <c:v>126.7558329416585</c:v>
                </c:pt>
                <c:pt idx="403">
                  <c:v>129.2085457415911</c:v>
                </c:pt>
                <c:pt idx="404">
                  <c:v>129.420953999301</c:v>
                </c:pt>
                <c:pt idx="405">
                  <c:v>128.4819638775404</c:v>
                </c:pt>
                <c:pt idx="406">
                  <c:v>128.4946179865103</c:v>
                </c:pt>
                <c:pt idx="407">
                  <c:v>128.9929990639977</c:v>
                </c:pt>
                <c:pt idx="408">
                  <c:v>128.6694656350555</c:v>
                </c:pt>
                <c:pt idx="409">
                  <c:v>128.6272350571042</c:v>
                </c:pt>
                <c:pt idx="410">
                  <c:v>128.7090599403047</c:v>
                </c:pt>
                <c:pt idx="411">
                  <c:v>129.8232492136375</c:v>
                </c:pt>
                <c:pt idx="412">
                  <c:v>129.5794065423752</c:v>
                </c:pt>
                <c:pt idx="413">
                  <c:v>130.029506168376</c:v>
                </c:pt>
                <c:pt idx="414">
                  <c:v>130.76218912068</c:v>
                </c:pt>
                <c:pt idx="415">
                  <c:v>130.0401767959796</c:v>
                </c:pt>
                <c:pt idx="416">
                  <c:v>129.208922351977</c:v>
                </c:pt>
                <c:pt idx="417">
                  <c:v>128.3334287412978</c:v>
                </c:pt>
                <c:pt idx="418">
                  <c:v>127.9446412861395</c:v>
                </c:pt>
                <c:pt idx="419">
                  <c:v>128.3817855148615</c:v>
                </c:pt>
                <c:pt idx="420">
                  <c:v>129.5801346557882</c:v>
                </c:pt>
                <c:pt idx="421">
                  <c:v>129.8795650200256</c:v>
                </c:pt>
                <c:pt idx="422">
                  <c:v>129.1461790616677</c:v>
                </c:pt>
                <c:pt idx="423">
                  <c:v>128.5425479349699</c:v>
                </c:pt>
                <c:pt idx="424">
                  <c:v>129.1608668667221</c:v>
                </c:pt>
                <c:pt idx="425">
                  <c:v>129.14369343312</c:v>
                </c:pt>
                <c:pt idx="426">
                  <c:v>128.9598573500287</c:v>
                </c:pt>
                <c:pt idx="427">
                  <c:v>129.4841492220736</c:v>
                </c:pt>
                <c:pt idx="428">
                  <c:v>128.6945981014819</c:v>
                </c:pt>
                <c:pt idx="429">
                  <c:v>128.2330746271055</c:v>
                </c:pt>
                <c:pt idx="430">
                  <c:v>128.7166674701022</c:v>
                </c:pt>
                <c:pt idx="431">
                  <c:v>129.1748767730817</c:v>
                </c:pt>
                <c:pt idx="432">
                  <c:v>129.361324021516</c:v>
                </c:pt>
                <c:pt idx="433">
                  <c:v>127.218862857579</c:v>
                </c:pt>
                <c:pt idx="434">
                  <c:v>127.2305628869044</c:v>
                </c:pt>
                <c:pt idx="435">
                  <c:v>128.2780167998361</c:v>
                </c:pt>
                <c:pt idx="436">
                  <c:v>128.9240542559986</c:v>
                </c:pt>
                <c:pt idx="437">
                  <c:v>128.6490031374156</c:v>
                </c:pt>
                <c:pt idx="438">
                  <c:v>127.8410985373457</c:v>
                </c:pt>
                <c:pt idx="439">
                  <c:v>129.041958414179</c:v>
                </c:pt>
                <c:pt idx="440">
                  <c:v>129.9822792259702</c:v>
                </c:pt>
                <c:pt idx="441">
                  <c:v>131.1661665280741</c:v>
                </c:pt>
                <c:pt idx="442">
                  <c:v>130.3764145486099</c:v>
                </c:pt>
                <c:pt idx="443">
                  <c:v>129.4288628174072</c:v>
                </c:pt>
                <c:pt idx="444">
                  <c:v>129.6080038243529</c:v>
                </c:pt>
                <c:pt idx="445">
                  <c:v>130.3346107957627</c:v>
                </c:pt>
                <c:pt idx="446">
                  <c:v>130.3858549156192</c:v>
                </c:pt>
                <c:pt idx="447">
                  <c:v>129.1040740205117</c:v>
                </c:pt>
                <c:pt idx="448">
                  <c:v>129.7926182355753</c:v>
                </c:pt>
                <c:pt idx="449">
                  <c:v>130.0303598185843</c:v>
                </c:pt>
                <c:pt idx="450">
                  <c:v>130.7513427415629</c:v>
                </c:pt>
                <c:pt idx="451">
                  <c:v>129.8936502484624</c:v>
                </c:pt>
                <c:pt idx="452">
                  <c:v>129.4055380808337</c:v>
                </c:pt>
                <c:pt idx="453">
                  <c:v>128.4525882674315</c:v>
                </c:pt>
                <c:pt idx="454">
                  <c:v>128.0336217666743</c:v>
                </c:pt>
                <c:pt idx="455">
                  <c:v>129.0554912807164</c:v>
                </c:pt>
                <c:pt idx="456">
                  <c:v>129.5748872177431</c:v>
                </c:pt>
                <c:pt idx="457">
                  <c:v>130.2497228147559</c:v>
                </c:pt>
                <c:pt idx="458">
                  <c:v>130.7089866268163</c:v>
                </c:pt>
                <c:pt idx="459">
                  <c:v>130.3534915297814</c:v>
                </c:pt>
                <c:pt idx="460">
                  <c:v>130.2662936717404</c:v>
                </c:pt>
                <c:pt idx="461">
                  <c:v>129.2531615186538</c:v>
                </c:pt>
                <c:pt idx="462">
                  <c:v>127.9100935600628</c:v>
                </c:pt>
                <c:pt idx="463">
                  <c:v>127.1069342508567</c:v>
                </c:pt>
                <c:pt idx="464">
                  <c:v>127.449524165331</c:v>
                </c:pt>
                <c:pt idx="465">
                  <c:v>126.4170844531215</c:v>
                </c:pt>
                <c:pt idx="466">
                  <c:v>127.7736601708907</c:v>
                </c:pt>
                <c:pt idx="467">
                  <c:v>128.1938318248832</c:v>
                </c:pt>
                <c:pt idx="468">
                  <c:v>128.8576703986245</c:v>
                </c:pt>
                <c:pt idx="469">
                  <c:v>128.7091101550229</c:v>
                </c:pt>
                <c:pt idx="470">
                  <c:v>127.2791205193407</c:v>
                </c:pt>
                <c:pt idx="471">
                  <c:v>127.8242012846934</c:v>
                </c:pt>
                <c:pt idx="472">
                  <c:v>127.4542694561947</c:v>
                </c:pt>
                <c:pt idx="473">
                  <c:v>127.0336207623799</c:v>
                </c:pt>
                <c:pt idx="474">
                  <c:v>127.1924750231992</c:v>
                </c:pt>
                <c:pt idx="475">
                  <c:v>127.3857514732998</c:v>
                </c:pt>
                <c:pt idx="476">
                  <c:v>125.8745646383938</c:v>
                </c:pt>
                <c:pt idx="477">
                  <c:v>125.3710616596567</c:v>
                </c:pt>
                <c:pt idx="478">
                  <c:v>125.5378749533003</c:v>
                </c:pt>
                <c:pt idx="479">
                  <c:v>125.4368931551313</c:v>
                </c:pt>
                <c:pt idx="480">
                  <c:v>125.3774640362189</c:v>
                </c:pt>
                <c:pt idx="481">
                  <c:v>125.0795652208845</c:v>
                </c:pt>
                <c:pt idx="482">
                  <c:v>124.6146020383158</c:v>
                </c:pt>
                <c:pt idx="483">
                  <c:v>124.8504605693947</c:v>
                </c:pt>
                <c:pt idx="484">
                  <c:v>124.7599234325978</c:v>
                </c:pt>
                <c:pt idx="485">
                  <c:v>125.0960356484327</c:v>
                </c:pt>
                <c:pt idx="486">
                  <c:v>125.5913285207548</c:v>
                </c:pt>
                <c:pt idx="487">
                  <c:v>125.4180124211127</c:v>
                </c:pt>
                <c:pt idx="488">
                  <c:v>125.2640289879525</c:v>
                </c:pt>
                <c:pt idx="489">
                  <c:v>124.6533175859977</c:v>
                </c:pt>
                <c:pt idx="490">
                  <c:v>124.5751834845801</c:v>
                </c:pt>
                <c:pt idx="491">
                  <c:v>124.3002076880742</c:v>
                </c:pt>
                <c:pt idx="492">
                  <c:v>123.4271997059426</c:v>
                </c:pt>
                <c:pt idx="493">
                  <c:v>124.1674148659669</c:v>
                </c:pt>
                <c:pt idx="494">
                  <c:v>124.6134219924397</c:v>
                </c:pt>
                <c:pt idx="495">
                  <c:v>123.5274533906986</c:v>
                </c:pt>
                <c:pt idx="496">
                  <c:v>123.6268534252464</c:v>
                </c:pt>
                <c:pt idx="497">
                  <c:v>122.6556003470841</c:v>
                </c:pt>
                <c:pt idx="498">
                  <c:v>123.0937237628098</c:v>
                </c:pt>
                <c:pt idx="499">
                  <c:v>122.8804869622506</c:v>
                </c:pt>
                <c:pt idx="500">
                  <c:v>122.7268048173992</c:v>
                </c:pt>
                <c:pt idx="501">
                  <c:v>123.2549381153814</c:v>
                </c:pt>
                <c:pt idx="502">
                  <c:v>122.699914835838</c:v>
                </c:pt>
                <c:pt idx="503">
                  <c:v>122.8637654611117</c:v>
                </c:pt>
                <c:pt idx="504">
                  <c:v>122.8023528608329</c:v>
                </c:pt>
                <c:pt idx="505">
                  <c:v>122.861631335591</c:v>
                </c:pt>
                <c:pt idx="506">
                  <c:v>122.1413263113072</c:v>
                </c:pt>
                <c:pt idx="507">
                  <c:v>122.1305050395491</c:v>
                </c:pt>
                <c:pt idx="508">
                  <c:v>121.4247622835243</c:v>
                </c:pt>
                <c:pt idx="509">
                  <c:v>120.8660482221981</c:v>
                </c:pt>
                <c:pt idx="510">
                  <c:v>119.9874664063536</c:v>
                </c:pt>
                <c:pt idx="511">
                  <c:v>121.0507630628568</c:v>
                </c:pt>
                <c:pt idx="512">
                  <c:v>120.5966964741234</c:v>
                </c:pt>
                <c:pt idx="513">
                  <c:v>121.845712265648</c:v>
                </c:pt>
                <c:pt idx="514">
                  <c:v>121.2481571198444</c:v>
                </c:pt>
                <c:pt idx="515">
                  <c:v>120.6898949909814</c:v>
                </c:pt>
                <c:pt idx="516">
                  <c:v>120.158673487834</c:v>
                </c:pt>
                <c:pt idx="517">
                  <c:v>121.3884319349539</c:v>
                </c:pt>
                <c:pt idx="518">
                  <c:v>121.0962827048459</c:v>
                </c:pt>
                <c:pt idx="519">
                  <c:v>121.5344312279306</c:v>
                </c:pt>
                <c:pt idx="520">
                  <c:v>120.7789005788753</c:v>
                </c:pt>
                <c:pt idx="521">
                  <c:v>119.9401641418706</c:v>
                </c:pt>
                <c:pt idx="522">
                  <c:v>120.3396473319916</c:v>
                </c:pt>
                <c:pt idx="523">
                  <c:v>118.9611277823975</c:v>
                </c:pt>
                <c:pt idx="524">
                  <c:v>119.6438219827984</c:v>
                </c:pt>
                <c:pt idx="525">
                  <c:v>118.9776484246639</c:v>
                </c:pt>
                <c:pt idx="526">
                  <c:v>117.6916746005921</c:v>
                </c:pt>
                <c:pt idx="527">
                  <c:v>116.7699834492289</c:v>
                </c:pt>
                <c:pt idx="528">
                  <c:v>117.1673576211882</c:v>
                </c:pt>
                <c:pt idx="529">
                  <c:v>118.1531980749686</c:v>
                </c:pt>
                <c:pt idx="530">
                  <c:v>117.5442441881485</c:v>
                </c:pt>
                <c:pt idx="531">
                  <c:v>116.52927919785</c:v>
                </c:pt>
                <c:pt idx="532">
                  <c:v>117.5665144156413</c:v>
                </c:pt>
                <c:pt idx="533">
                  <c:v>118.4787149852771</c:v>
                </c:pt>
                <c:pt idx="534">
                  <c:v>119.5431916876564</c:v>
                </c:pt>
                <c:pt idx="535">
                  <c:v>118.8141995171353</c:v>
                </c:pt>
                <c:pt idx="536">
                  <c:v>119.9799593059924</c:v>
                </c:pt>
                <c:pt idx="537">
                  <c:v>120.0622110142971</c:v>
                </c:pt>
                <c:pt idx="538">
                  <c:v>119.2971144614371</c:v>
                </c:pt>
                <c:pt idx="539">
                  <c:v>119.5177830402802</c:v>
                </c:pt>
                <c:pt idx="540">
                  <c:v>118.3518726072687</c:v>
                </c:pt>
                <c:pt idx="541">
                  <c:v>118.8304188710928</c:v>
                </c:pt>
                <c:pt idx="542">
                  <c:v>118.1295971574452</c:v>
                </c:pt>
                <c:pt idx="543">
                  <c:v>118.0477471668856</c:v>
                </c:pt>
                <c:pt idx="544">
                  <c:v>117.8959982886824</c:v>
                </c:pt>
                <c:pt idx="545">
                  <c:v>118.9938175639033</c:v>
                </c:pt>
                <c:pt idx="546">
                  <c:v>119.1400428231116</c:v>
                </c:pt>
                <c:pt idx="547">
                  <c:v>118.37956602432</c:v>
                </c:pt>
                <c:pt idx="548">
                  <c:v>119.1050682719308</c:v>
                </c:pt>
                <c:pt idx="549">
                  <c:v>118.2868696546433</c:v>
                </c:pt>
                <c:pt idx="550">
                  <c:v>118.0737332835203</c:v>
                </c:pt>
                <c:pt idx="551">
                  <c:v>117.0724518039135</c:v>
                </c:pt>
                <c:pt idx="552">
                  <c:v>116.1259796891508</c:v>
                </c:pt>
                <c:pt idx="553">
                  <c:v>116.5611906512246</c:v>
                </c:pt>
                <c:pt idx="554">
                  <c:v>115.1574633131269</c:v>
                </c:pt>
                <c:pt idx="555">
                  <c:v>115.2951771776115</c:v>
                </c:pt>
                <c:pt idx="556">
                  <c:v>113.8386741707541</c:v>
                </c:pt>
                <c:pt idx="557">
                  <c:v>112.9463084147816</c:v>
                </c:pt>
                <c:pt idx="558">
                  <c:v>111.670452856414</c:v>
                </c:pt>
                <c:pt idx="559">
                  <c:v>111.6061529098425</c:v>
                </c:pt>
                <c:pt idx="560">
                  <c:v>112.8749281929531</c:v>
                </c:pt>
                <c:pt idx="561">
                  <c:v>113.3147840164544</c:v>
                </c:pt>
                <c:pt idx="562">
                  <c:v>113.4306544785503</c:v>
                </c:pt>
                <c:pt idx="563">
                  <c:v>114.4007275108363</c:v>
                </c:pt>
                <c:pt idx="564">
                  <c:v>114.8026461147868</c:v>
                </c:pt>
                <c:pt idx="565">
                  <c:v>114.867925248362</c:v>
                </c:pt>
                <c:pt idx="566">
                  <c:v>116.6541632018511</c:v>
                </c:pt>
                <c:pt idx="567">
                  <c:v>118.1186754562509</c:v>
                </c:pt>
                <c:pt idx="568">
                  <c:v>118.0069728157602</c:v>
                </c:pt>
                <c:pt idx="569">
                  <c:v>117.7275028019813</c:v>
                </c:pt>
                <c:pt idx="570">
                  <c:v>117.8403603809891</c:v>
                </c:pt>
                <c:pt idx="571">
                  <c:v>117.1908078945571</c:v>
                </c:pt>
                <c:pt idx="572">
                  <c:v>117.3228223885334</c:v>
                </c:pt>
                <c:pt idx="573">
                  <c:v>116.6047268118475</c:v>
                </c:pt>
                <c:pt idx="574">
                  <c:v>115.4488342151038</c:v>
                </c:pt>
                <c:pt idx="575">
                  <c:v>115.5698014710904</c:v>
                </c:pt>
                <c:pt idx="576">
                  <c:v>114.3593756904524</c:v>
                </c:pt>
                <c:pt idx="577">
                  <c:v>114.0993638799507</c:v>
                </c:pt>
                <c:pt idx="578">
                  <c:v>114.733023408093</c:v>
                </c:pt>
                <c:pt idx="579">
                  <c:v>115.161229416987</c:v>
                </c:pt>
                <c:pt idx="580">
                  <c:v>115.2363506353166</c:v>
                </c:pt>
                <c:pt idx="581">
                  <c:v>116.0112892729311</c:v>
                </c:pt>
                <c:pt idx="582">
                  <c:v>116.9744326741145</c:v>
                </c:pt>
                <c:pt idx="583">
                  <c:v>116.1371775712949</c:v>
                </c:pt>
                <c:pt idx="584">
                  <c:v>115.8234862271071</c:v>
                </c:pt>
                <c:pt idx="585">
                  <c:v>114.829159485962</c:v>
                </c:pt>
                <c:pt idx="586">
                  <c:v>112.764179632107</c:v>
                </c:pt>
                <c:pt idx="587">
                  <c:v>112.3634410740326</c:v>
                </c:pt>
                <c:pt idx="588">
                  <c:v>111.914169990881</c:v>
                </c:pt>
                <c:pt idx="589">
                  <c:v>111.2954995561019</c:v>
                </c:pt>
                <c:pt idx="590">
                  <c:v>110.2850287830764</c:v>
                </c:pt>
                <c:pt idx="591">
                  <c:v>110.0931332377245</c:v>
                </c:pt>
                <c:pt idx="592">
                  <c:v>108.4279629696583</c:v>
                </c:pt>
                <c:pt idx="593">
                  <c:v>108.5947762633019</c:v>
                </c:pt>
                <c:pt idx="594">
                  <c:v>111.5692199846544</c:v>
                </c:pt>
                <c:pt idx="595">
                  <c:v>112.0817113979376</c:v>
                </c:pt>
                <c:pt idx="596">
                  <c:v>112.3112930892496</c:v>
                </c:pt>
                <c:pt idx="597">
                  <c:v>112.0195204695277</c:v>
                </c:pt>
                <c:pt idx="598">
                  <c:v>111.2197255464366</c:v>
                </c:pt>
                <c:pt idx="599">
                  <c:v>110.4381585660283</c:v>
                </c:pt>
                <c:pt idx="600">
                  <c:v>110.3790558427838</c:v>
                </c:pt>
                <c:pt idx="601">
                  <c:v>112.1278838312625</c:v>
                </c:pt>
                <c:pt idx="602">
                  <c:v>112.9220295985635</c:v>
                </c:pt>
                <c:pt idx="603">
                  <c:v>113.1292908476646</c:v>
                </c:pt>
                <c:pt idx="604">
                  <c:v>111.888460055196</c:v>
                </c:pt>
                <c:pt idx="605">
                  <c:v>110.4426025685833</c:v>
                </c:pt>
                <c:pt idx="606">
                  <c:v>111.8595865922686</c:v>
                </c:pt>
                <c:pt idx="607">
                  <c:v>111.566081564771</c:v>
                </c:pt>
                <c:pt idx="608">
                  <c:v>112.3342161080781</c:v>
                </c:pt>
                <c:pt idx="609">
                  <c:v>113.4879745793011</c:v>
                </c:pt>
                <c:pt idx="610">
                  <c:v>113.329923753972</c:v>
                </c:pt>
                <c:pt idx="611">
                  <c:v>114.0598448967786</c:v>
                </c:pt>
                <c:pt idx="612">
                  <c:v>113.4204357834099</c:v>
                </c:pt>
                <c:pt idx="613">
                  <c:v>112.7417085457416</c:v>
                </c:pt>
                <c:pt idx="614">
                  <c:v>112.041589838148</c:v>
                </c:pt>
                <c:pt idx="615">
                  <c:v>114.1086284954465</c:v>
                </c:pt>
                <c:pt idx="616">
                  <c:v>114.2088068581254</c:v>
                </c:pt>
                <c:pt idx="617">
                  <c:v>114.1912568141373</c:v>
                </c:pt>
                <c:pt idx="618">
                  <c:v>115.6657617974459</c:v>
                </c:pt>
                <c:pt idx="619">
                  <c:v>115.9781977736803</c:v>
                </c:pt>
                <c:pt idx="620">
                  <c:v>114.8667452024858</c:v>
                </c:pt>
                <c:pt idx="621">
                  <c:v>114.668924320394</c:v>
                </c:pt>
                <c:pt idx="622">
                  <c:v>114.3918395057265</c:v>
                </c:pt>
                <c:pt idx="623">
                  <c:v>114.2825722790653</c:v>
                </c:pt>
                <c:pt idx="624">
                  <c:v>114.5194602118659</c:v>
                </c:pt>
                <c:pt idx="625">
                  <c:v>114.0975812574569</c:v>
                </c:pt>
                <c:pt idx="626">
                  <c:v>113.9916030948335</c:v>
                </c:pt>
                <c:pt idx="627">
                  <c:v>113.2945474850461</c:v>
                </c:pt>
                <c:pt idx="628">
                  <c:v>113.1425224258931</c:v>
                </c:pt>
                <c:pt idx="629">
                  <c:v>113.0729499339174</c:v>
                </c:pt>
                <c:pt idx="630">
                  <c:v>113.881482217964</c:v>
                </c:pt>
                <c:pt idx="631">
                  <c:v>112.7991039685696</c:v>
                </c:pt>
                <c:pt idx="632">
                  <c:v>112.2030050495921</c:v>
                </c:pt>
                <c:pt idx="633">
                  <c:v>111.763199440809</c:v>
                </c:pt>
                <c:pt idx="634">
                  <c:v>111.5218926128124</c:v>
                </c:pt>
                <c:pt idx="635">
                  <c:v>111.2184952858423</c:v>
                </c:pt>
                <c:pt idx="636">
                  <c:v>109.777307768016</c:v>
                </c:pt>
                <c:pt idx="637">
                  <c:v>109.5197313713439</c:v>
                </c:pt>
                <c:pt idx="638">
                  <c:v>108.768494080689</c:v>
                </c:pt>
                <c:pt idx="639">
                  <c:v>107.4089556945499</c:v>
                </c:pt>
                <c:pt idx="640">
                  <c:v>108.5983917230076</c:v>
                </c:pt>
                <c:pt idx="641">
                  <c:v>109.7836850372191</c:v>
                </c:pt>
                <c:pt idx="642">
                  <c:v>110.2857820038485</c:v>
                </c:pt>
                <c:pt idx="643">
                  <c:v>110.4896035447574</c:v>
                </c:pt>
                <c:pt idx="644">
                  <c:v>110.3916346296765</c:v>
                </c:pt>
                <c:pt idx="645">
                  <c:v>110.3381308475039</c:v>
                </c:pt>
                <c:pt idx="646">
                  <c:v>110.5522966203486</c:v>
                </c:pt>
                <c:pt idx="647">
                  <c:v>111.3730812956201</c:v>
                </c:pt>
                <c:pt idx="648">
                  <c:v>111.3519157919263</c:v>
                </c:pt>
                <c:pt idx="649">
                  <c:v>111.6119527097871</c:v>
                </c:pt>
                <c:pt idx="650">
                  <c:v>110.5168952440636</c:v>
                </c:pt>
                <c:pt idx="651">
                  <c:v>110.7091673998015</c:v>
                </c:pt>
                <c:pt idx="652">
                  <c:v>111.2329822320241</c:v>
                </c:pt>
                <c:pt idx="653">
                  <c:v>108.8942317348984</c:v>
                </c:pt>
                <c:pt idx="654">
                  <c:v>109.8770090908726</c:v>
                </c:pt>
                <c:pt idx="655">
                  <c:v>109.4553309953361</c:v>
                </c:pt>
                <c:pt idx="656">
                  <c:v>109.4747138765361</c:v>
                </c:pt>
                <c:pt idx="657">
                  <c:v>109.8504706123384</c:v>
                </c:pt>
                <c:pt idx="658">
                  <c:v>109.014445770113</c:v>
                </c:pt>
                <c:pt idx="659">
                  <c:v>109.3320789696743</c:v>
                </c:pt>
                <c:pt idx="660">
                  <c:v>107.3832206515059</c:v>
                </c:pt>
                <c:pt idx="661">
                  <c:v>107.5541766593956</c:v>
                </c:pt>
                <c:pt idx="662">
                  <c:v>107.4524918551727</c:v>
                </c:pt>
                <c:pt idx="663">
                  <c:v>106.763520815005</c:v>
                </c:pt>
                <c:pt idx="664">
                  <c:v>107.691112195749</c:v>
                </c:pt>
                <c:pt idx="665">
                  <c:v>107.2729491304819</c:v>
                </c:pt>
                <c:pt idx="666">
                  <c:v>106.0242095199071</c:v>
                </c:pt>
                <c:pt idx="667">
                  <c:v>106.5289176518794</c:v>
                </c:pt>
                <c:pt idx="668">
                  <c:v>106.231746949958</c:v>
                </c:pt>
                <c:pt idx="669">
                  <c:v>108.169608244855</c:v>
                </c:pt>
                <c:pt idx="670">
                  <c:v>108.6911383074025</c:v>
                </c:pt>
                <c:pt idx="671">
                  <c:v>107.9488894512937</c:v>
                </c:pt>
                <c:pt idx="672">
                  <c:v>107.9978990161933</c:v>
                </c:pt>
                <c:pt idx="673">
                  <c:v>107.365017816182</c:v>
                </c:pt>
                <c:pt idx="674">
                  <c:v>107.3721734135162</c:v>
                </c:pt>
                <c:pt idx="675">
                  <c:v>107.7613374790605</c:v>
                </c:pt>
                <c:pt idx="676">
                  <c:v>108.0673710787326</c:v>
                </c:pt>
                <c:pt idx="677">
                  <c:v>106.7306301746267</c:v>
                </c:pt>
                <c:pt idx="678">
                  <c:v>108.0098752264684</c:v>
                </c:pt>
                <c:pt idx="679">
                  <c:v>107.1716409366451</c:v>
                </c:pt>
                <c:pt idx="680">
                  <c:v>106.6994970493832</c:v>
                </c:pt>
                <c:pt idx="681">
                  <c:v>104.8160936163033</c:v>
                </c:pt>
                <c:pt idx="682">
                  <c:v>104.4466890423451</c:v>
                </c:pt>
                <c:pt idx="683">
                  <c:v>104.3806064732797</c:v>
                </c:pt>
                <c:pt idx="684">
                  <c:v>104.9586280937288</c:v>
                </c:pt>
                <c:pt idx="685">
                  <c:v>104.6981643507639</c:v>
                </c:pt>
                <c:pt idx="686">
                  <c:v>105.2234103024533</c:v>
                </c:pt>
                <c:pt idx="687">
                  <c:v>103.6754160791544</c:v>
                </c:pt>
                <c:pt idx="688">
                  <c:v>102.9183287738369</c:v>
                </c:pt>
                <c:pt idx="689">
                  <c:v>102.4881894982947</c:v>
                </c:pt>
                <c:pt idx="690">
                  <c:v>101.6793057112212</c:v>
                </c:pt>
                <c:pt idx="691">
                  <c:v>102.2872553036785</c:v>
                </c:pt>
                <c:pt idx="692">
                  <c:v>102.6554798317606</c:v>
                </c:pt>
                <c:pt idx="693">
                  <c:v>103.3834928152781</c:v>
                </c:pt>
                <c:pt idx="694">
                  <c:v>102.6741597069067</c:v>
                </c:pt>
                <c:pt idx="695">
                  <c:v>101.8088345766498</c:v>
                </c:pt>
                <c:pt idx="696">
                  <c:v>103.3107567960599</c:v>
                </c:pt>
                <c:pt idx="697">
                  <c:v>102.804692866698</c:v>
                </c:pt>
                <c:pt idx="698">
                  <c:v>101.3969232437904</c:v>
                </c:pt>
                <c:pt idx="699">
                  <c:v>102.2877323435008</c:v>
                </c:pt>
                <c:pt idx="700">
                  <c:v>102.2745509799904</c:v>
                </c:pt>
                <c:pt idx="701">
                  <c:v>101.7927658668467</c:v>
                </c:pt>
                <c:pt idx="702">
                  <c:v>99.5219056686391</c:v>
                </c:pt>
                <c:pt idx="703">
                  <c:v>99.84965713390459</c:v>
                </c:pt>
                <c:pt idx="704">
                  <c:v>99.91516223371135</c:v>
                </c:pt>
                <c:pt idx="705">
                  <c:v>98.3450986417923</c:v>
                </c:pt>
                <c:pt idx="706">
                  <c:v>100.5052353865127</c:v>
                </c:pt>
                <c:pt idx="707">
                  <c:v>98.78066110689308</c:v>
                </c:pt>
                <c:pt idx="708">
                  <c:v>100.039518983172</c:v>
                </c:pt>
                <c:pt idx="709">
                  <c:v>100.2607901386328</c:v>
                </c:pt>
                <c:pt idx="710">
                  <c:v>99.3701567904359</c:v>
                </c:pt>
                <c:pt idx="711">
                  <c:v>98.1278697711414</c:v>
                </c:pt>
                <c:pt idx="712">
                  <c:v>97.7832963753008</c:v>
                </c:pt>
                <c:pt idx="713">
                  <c:v>96.62363767469702</c:v>
                </c:pt>
                <c:pt idx="714">
                  <c:v>95.59682201091868</c:v>
                </c:pt>
                <c:pt idx="715">
                  <c:v>97.9604287935211</c:v>
                </c:pt>
                <c:pt idx="716">
                  <c:v>99.2646556676348</c:v>
                </c:pt>
                <c:pt idx="717">
                  <c:v>102.3986315485014</c:v>
                </c:pt>
                <c:pt idx="718">
                  <c:v>102.9483320679225</c:v>
                </c:pt>
                <c:pt idx="719">
                  <c:v>101.2419606236266</c:v>
                </c:pt>
                <c:pt idx="720">
                  <c:v>99.95686555712225</c:v>
                </c:pt>
                <c:pt idx="721">
                  <c:v>99.8432547573424</c:v>
                </c:pt>
                <c:pt idx="722">
                  <c:v>99.47786736083494</c:v>
                </c:pt>
                <c:pt idx="723">
                  <c:v>102.7741623180721</c:v>
                </c:pt>
                <c:pt idx="724">
                  <c:v>102.4714931045149</c:v>
                </c:pt>
                <c:pt idx="725">
                  <c:v>101.2861997903033</c:v>
                </c:pt>
                <c:pt idx="726">
                  <c:v>102.4224835396154</c:v>
                </c:pt>
                <c:pt idx="727">
                  <c:v>102.6832736782482</c:v>
                </c:pt>
                <c:pt idx="728">
                  <c:v>102.833742081139</c:v>
                </c:pt>
                <c:pt idx="729">
                  <c:v>105.4922096886286</c:v>
                </c:pt>
                <c:pt idx="730">
                  <c:v>105.3049841120632</c:v>
                </c:pt>
                <c:pt idx="731">
                  <c:v>103.5253493940088</c:v>
                </c:pt>
                <c:pt idx="732">
                  <c:v>105.3785235667715</c:v>
                </c:pt>
                <c:pt idx="733">
                  <c:v>104.0259650264531</c:v>
                </c:pt>
                <c:pt idx="734">
                  <c:v>102.936606931238</c:v>
                </c:pt>
                <c:pt idx="735">
                  <c:v>102.5783500247056</c:v>
                </c:pt>
                <c:pt idx="736">
                  <c:v>105.039197608976</c:v>
                </c:pt>
                <c:pt idx="737">
                  <c:v>104.9873258051428</c:v>
                </c:pt>
                <c:pt idx="738">
                  <c:v>103.1399012176065</c:v>
                </c:pt>
                <c:pt idx="739">
                  <c:v>103.978210829507</c:v>
                </c:pt>
                <c:pt idx="740">
                  <c:v>104.0141645676915</c:v>
                </c:pt>
                <c:pt idx="741">
                  <c:v>102.9777830001085</c:v>
                </c:pt>
                <c:pt idx="742">
                  <c:v>102.2153729346687</c:v>
                </c:pt>
                <c:pt idx="743">
                  <c:v>101.4519836822252</c:v>
                </c:pt>
                <c:pt idx="744">
                  <c:v>101.0120525366467</c:v>
                </c:pt>
                <c:pt idx="745">
                  <c:v>101.2775879661432</c:v>
                </c:pt>
                <c:pt idx="746">
                  <c:v>101.5758884992227</c:v>
                </c:pt>
                <c:pt idx="747">
                  <c:v>99.9812196954176</c:v>
                </c:pt>
                <c:pt idx="748">
                  <c:v>100.0</c:v>
                </c:pt>
              </c:numCache>
            </c:numRef>
          </c:val>
          <c:smooth val="0"/>
        </c:ser>
        <c:ser>
          <c:idx val="3"/>
          <c:order val="1"/>
          <c:tx>
            <c:v>OCEANA</c:v>
          </c:tx>
          <c:spPr>
            <a:ln>
              <a:solidFill>
                <a:schemeClr val="tx2">
                  <a:lumMod val="50000"/>
                </a:schemeClr>
              </a:solidFill>
            </a:ln>
          </c:spPr>
          <c:marker>
            <c:symbol val="none"/>
          </c:marker>
          <c:cat>
            <c:numRef>
              <c:f>'4f. JALSH vs Oceana Prices'!$B$9:$B$757</c:f>
              <c:numCache>
                <c:formatCode>m/d/yy</c:formatCode>
                <c:ptCount val="749"/>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numCache>
            </c:numRef>
          </c:cat>
          <c:val>
            <c:numRef>
              <c:f>'4f. JALSH vs Oceana Prices'!$F$9:$F$757</c:f>
              <c:numCache>
                <c:formatCode>0.00</c:formatCode>
                <c:ptCount val="749"/>
                <c:pt idx="0">
                  <c:v>172.4776444245665</c:v>
                </c:pt>
                <c:pt idx="1">
                  <c:v>179.1864536180565</c:v>
                </c:pt>
                <c:pt idx="2">
                  <c:v>171.4236064621074</c:v>
                </c:pt>
                <c:pt idx="3">
                  <c:v>175.1982018682111</c:v>
                </c:pt>
                <c:pt idx="4">
                  <c:v>165.2275724935974</c:v>
                </c:pt>
                <c:pt idx="5">
                  <c:v>172.5061319370654</c:v>
                </c:pt>
                <c:pt idx="6">
                  <c:v>169.5006993684318</c:v>
                </c:pt>
                <c:pt idx="7">
                  <c:v>173.7738262432663</c:v>
                </c:pt>
                <c:pt idx="8">
                  <c:v>163.8031968686526</c:v>
                </c:pt>
                <c:pt idx="9">
                  <c:v>164.0738282373921</c:v>
                </c:pt>
                <c:pt idx="10">
                  <c:v>164.8572348311118</c:v>
                </c:pt>
                <c:pt idx="11">
                  <c:v>162.3788212437078</c:v>
                </c:pt>
                <c:pt idx="12">
                  <c:v>163.3331529124208</c:v>
                </c:pt>
                <c:pt idx="13">
                  <c:v>164.5723597061228</c:v>
                </c:pt>
                <c:pt idx="14">
                  <c:v>163.8031968686526</c:v>
                </c:pt>
                <c:pt idx="15">
                  <c:v>166.0109790873171</c:v>
                </c:pt>
                <c:pt idx="16">
                  <c:v>171.7797003683435</c:v>
                </c:pt>
                <c:pt idx="17">
                  <c:v>173.0616384307939</c:v>
                </c:pt>
                <c:pt idx="18">
                  <c:v>171.4948252433546</c:v>
                </c:pt>
                <c:pt idx="19">
                  <c:v>171.4948252433546</c:v>
                </c:pt>
                <c:pt idx="20">
                  <c:v>176.6083337369064</c:v>
                </c:pt>
                <c:pt idx="21">
                  <c:v>172.8479820870521</c:v>
                </c:pt>
                <c:pt idx="22">
                  <c:v>178.0469531181007</c:v>
                </c:pt>
                <c:pt idx="23">
                  <c:v>179.200697374306</c:v>
                </c:pt>
                <c:pt idx="24">
                  <c:v>176.9929151556415</c:v>
                </c:pt>
                <c:pt idx="25">
                  <c:v>176.6225774931559</c:v>
                </c:pt>
                <c:pt idx="26">
                  <c:v>170.2128871809043</c:v>
                </c:pt>
                <c:pt idx="27">
                  <c:v>183.0322678054075</c:v>
                </c:pt>
                <c:pt idx="28">
                  <c:v>183.6020180553854</c:v>
                </c:pt>
                <c:pt idx="29">
                  <c:v>169.5006993684318</c:v>
                </c:pt>
                <c:pt idx="30">
                  <c:v>164.1308032623899</c:v>
                </c:pt>
                <c:pt idx="31">
                  <c:v>159.8291888750566</c:v>
                </c:pt>
                <c:pt idx="32">
                  <c:v>158.8891009625931</c:v>
                </c:pt>
                <c:pt idx="33">
                  <c:v>158.8178821813458</c:v>
                </c:pt>
                <c:pt idx="34">
                  <c:v>166.6519481185422</c:v>
                </c:pt>
                <c:pt idx="35">
                  <c:v>168.0763237434871</c:v>
                </c:pt>
                <c:pt idx="36">
                  <c:v>170.9250749933767</c:v>
                </c:pt>
                <c:pt idx="37">
                  <c:v>173.9732388307586</c:v>
                </c:pt>
                <c:pt idx="38">
                  <c:v>174.4717702994892</c:v>
                </c:pt>
                <c:pt idx="39">
                  <c:v>170.2128871809043</c:v>
                </c:pt>
                <c:pt idx="40">
                  <c:v>178.0469531181007</c:v>
                </c:pt>
                <c:pt idx="41">
                  <c:v>164.5723597061228</c:v>
                </c:pt>
                <c:pt idx="42">
                  <c:v>163.8031968686526</c:v>
                </c:pt>
                <c:pt idx="43">
                  <c:v>162.6921838811957</c:v>
                </c:pt>
                <c:pt idx="44">
                  <c:v>163.8031968686526</c:v>
                </c:pt>
                <c:pt idx="45">
                  <c:v>163.8031968686526</c:v>
                </c:pt>
                <c:pt idx="46">
                  <c:v>164.1450470186394</c:v>
                </c:pt>
                <c:pt idx="47">
                  <c:v>163.9456344311471</c:v>
                </c:pt>
                <c:pt idx="48">
                  <c:v>163.8031968686526</c:v>
                </c:pt>
                <c:pt idx="49">
                  <c:v>163.8031968686526</c:v>
                </c:pt>
                <c:pt idx="50">
                  <c:v>162.3788212437078</c:v>
                </c:pt>
                <c:pt idx="51">
                  <c:v>159.5158262375688</c:v>
                </c:pt>
                <c:pt idx="52">
                  <c:v>162.4073087562067</c:v>
                </c:pt>
                <c:pt idx="53">
                  <c:v>159.5300699938182</c:v>
                </c:pt>
                <c:pt idx="54">
                  <c:v>154.1886614002752</c:v>
                </c:pt>
                <c:pt idx="55">
                  <c:v>156.6813187439286</c:v>
                </c:pt>
                <c:pt idx="56">
                  <c:v>157.4504815813988</c:v>
                </c:pt>
                <c:pt idx="57">
                  <c:v>159.302169893827</c:v>
                </c:pt>
                <c:pt idx="58">
                  <c:v>162.5924775874495</c:v>
                </c:pt>
                <c:pt idx="59">
                  <c:v>166.0964416248138</c:v>
                </c:pt>
                <c:pt idx="60">
                  <c:v>168.0763237434871</c:v>
                </c:pt>
                <c:pt idx="61">
                  <c:v>156.6955625001781</c:v>
                </c:pt>
                <c:pt idx="62">
                  <c:v>158.1056943688734</c:v>
                </c:pt>
                <c:pt idx="63">
                  <c:v>159.3306574063259</c:v>
                </c:pt>
                <c:pt idx="64">
                  <c:v>162.3503337312089</c:v>
                </c:pt>
                <c:pt idx="65">
                  <c:v>163.9313906748977</c:v>
                </c:pt>
                <c:pt idx="66">
                  <c:v>163.5468092561626</c:v>
                </c:pt>
                <c:pt idx="67">
                  <c:v>161.5669271374893</c:v>
                </c:pt>
                <c:pt idx="68">
                  <c:v>160.954445618763</c:v>
                </c:pt>
                <c:pt idx="69">
                  <c:v>158.091450612624</c:v>
                </c:pt>
                <c:pt idx="70">
                  <c:v>156.6813187439286</c:v>
                </c:pt>
                <c:pt idx="71">
                  <c:v>158.1056943688734</c:v>
                </c:pt>
                <c:pt idx="72">
                  <c:v>157.5929191438933</c:v>
                </c:pt>
                <c:pt idx="73">
                  <c:v>156.6813187439286</c:v>
                </c:pt>
                <c:pt idx="74">
                  <c:v>156.6813187439286</c:v>
                </c:pt>
                <c:pt idx="75">
                  <c:v>156.6813187439286</c:v>
                </c:pt>
                <c:pt idx="76">
                  <c:v>153.832567494039</c:v>
                </c:pt>
                <c:pt idx="77">
                  <c:v>151.5678102503768</c:v>
                </c:pt>
                <c:pt idx="78">
                  <c:v>152.9921858753216</c:v>
                </c:pt>
                <c:pt idx="79">
                  <c:v>152.9921858753216</c:v>
                </c:pt>
                <c:pt idx="80">
                  <c:v>151.6014255151254</c:v>
                </c:pt>
                <c:pt idx="81">
                  <c:v>152.9921858753216</c:v>
                </c:pt>
                <c:pt idx="82">
                  <c:v>157.5124419210839</c:v>
                </c:pt>
                <c:pt idx="83">
                  <c:v>162.7280781469443</c:v>
                </c:pt>
                <c:pt idx="84">
                  <c:v>159.278810133578</c:v>
                </c:pt>
                <c:pt idx="85">
                  <c:v>156.4692292133743</c:v>
                </c:pt>
                <c:pt idx="86">
                  <c:v>154.5221077340748</c:v>
                </c:pt>
                <c:pt idx="87">
                  <c:v>154.7307787631292</c:v>
                </c:pt>
                <c:pt idx="88">
                  <c:v>154.7307787631292</c:v>
                </c:pt>
                <c:pt idx="89">
                  <c:v>154.619535026821</c:v>
                </c:pt>
                <c:pt idx="90">
                  <c:v>156.246741740758</c:v>
                </c:pt>
                <c:pt idx="91">
                  <c:v>157.818397805322</c:v>
                </c:pt>
                <c:pt idx="92">
                  <c:v>157.1647518310349</c:v>
                </c:pt>
                <c:pt idx="93">
                  <c:v>158.6667559275392</c:v>
                </c:pt>
                <c:pt idx="94">
                  <c:v>155.7738490332763</c:v>
                </c:pt>
                <c:pt idx="95">
                  <c:v>155.7738490332763</c:v>
                </c:pt>
                <c:pt idx="96">
                  <c:v>166.6502388677923</c:v>
                </c:pt>
                <c:pt idx="97">
                  <c:v>163.1452777674906</c:v>
                </c:pt>
                <c:pt idx="98">
                  <c:v>164.8143611248009</c:v>
                </c:pt>
                <c:pt idx="99">
                  <c:v>156.1215391233253</c:v>
                </c:pt>
                <c:pt idx="100">
                  <c:v>154.5778008210101</c:v>
                </c:pt>
                <c:pt idx="101">
                  <c:v>157.8601320111329</c:v>
                </c:pt>
                <c:pt idx="102">
                  <c:v>157.1647518310349</c:v>
                </c:pt>
                <c:pt idx="103">
                  <c:v>157.6097267762676</c:v>
                </c:pt>
                <c:pt idx="104">
                  <c:v>157.1647518310349</c:v>
                </c:pt>
                <c:pt idx="105">
                  <c:v>157.1647518310349</c:v>
                </c:pt>
                <c:pt idx="106">
                  <c:v>159.1675663972698</c:v>
                </c:pt>
                <c:pt idx="107">
                  <c:v>156.5526976249961</c:v>
                </c:pt>
                <c:pt idx="108">
                  <c:v>157.1647518310349</c:v>
                </c:pt>
                <c:pt idx="109">
                  <c:v>159.9324561078651</c:v>
                </c:pt>
                <c:pt idx="110">
                  <c:v>159.9464149889896</c:v>
                </c:pt>
                <c:pt idx="111">
                  <c:v>159.9464149889896</c:v>
                </c:pt>
                <c:pt idx="112">
                  <c:v>159.8629465773678</c:v>
                </c:pt>
                <c:pt idx="113">
                  <c:v>159.4595634003834</c:v>
                </c:pt>
                <c:pt idx="114">
                  <c:v>159.9464149889896</c:v>
                </c:pt>
                <c:pt idx="115">
                  <c:v>157.8601320111329</c:v>
                </c:pt>
                <c:pt idx="116">
                  <c:v>155.7738490332763</c:v>
                </c:pt>
                <c:pt idx="117">
                  <c:v>149.6541615982634</c:v>
                </c:pt>
                <c:pt idx="118">
                  <c:v>150.9059028974649</c:v>
                </c:pt>
                <c:pt idx="119">
                  <c:v>148.8196199196082</c:v>
                </c:pt>
                <c:pt idx="120">
                  <c:v>145.3425765815555</c:v>
                </c:pt>
                <c:pt idx="121">
                  <c:v>148.8196199196082</c:v>
                </c:pt>
                <c:pt idx="122">
                  <c:v>146.9699257330549</c:v>
                </c:pt>
                <c:pt idx="123">
                  <c:v>145.857203494848</c:v>
                </c:pt>
                <c:pt idx="124">
                  <c:v>141.6568622144483</c:v>
                </c:pt>
                <c:pt idx="125">
                  <c:v>143.4510057516288</c:v>
                </c:pt>
                <c:pt idx="126">
                  <c:v>143.2562936036988</c:v>
                </c:pt>
                <c:pt idx="127">
                  <c:v>146.0379567616535</c:v>
                </c:pt>
                <c:pt idx="128">
                  <c:v>146.0379567616535</c:v>
                </c:pt>
                <c:pt idx="129">
                  <c:v>146.0379567616535</c:v>
                </c:pt>
                <c:pt idx="130">
                  <c:v>143.2562936036988</c:v>
                </c:pt>
                <c:pt idx="131">
                  <c:v>144.1881201375377</c:v>
                </c:pt>
                <c:pt idx="132">
                  <c:v>146.0379567616535</c:v>
                </c:pt>
                <c:pt idx="133">
                  <c:v>148.8058034760463</c:v>
                </c:pt>
                <c:pt idx="134">
                  <c:v>148.9170472123544</c:v>
                </c:pt>
                <c:pt idx="135">
                  <c:v>147.7208565625258</c:v>
                </c:pt>
                <c:pt idx="136">
                  <c:v>152.2968056952235</c:v>
                </c:pt>
                <c:pt idx="137">
                  <c:v>151.6014255151254</c:v>
                </c:pt>
                <c:pt idx="138">
                  <c:v>150.2105227173668</c:v>
                </c:pt>
                <c:pt idx="139">
                  <c:v>152.9921858753216</c:v>
                </c:pt>
                <c:pt idx="140">
                  <c:v>146.7334793793141</c:v>
                </c:pt>
                <c:pt idx="141">
                  <c:v>145.3425765815555</c:v>
                </c:pt>
                <c:pt idx="142">
                  <c:v>145.898937700659</c:v>
                </c:pt>
                <c:pt idx="143">
                  <c:v>142.1157960408055</c:v>
                </c:pt>
                <c:pt idx="144">
                  <c:v>139.5010697060943</c:v>
                </c:pt>
                <c:pt idx="145">
                  <c:v>135.857089544798</c:v>
                </c:pt>
                <c:pt idx="146">
                  <c:v>132.825021151978</c:v>
                </c:pt>
                <c:pt idx="147">
                  <c:v>134.0767624511795</c:v>
                </c:pt>
                <c:pt idx="148">
                  <c:v>134.8417945993374</c:v>
                </c:pt>
                <c:pt idx="149">
                  <c:v>132.825021151978</c:v>
                </c:pt>
                <c:pt idx="150">
                  <c:v>132.12964097188</c:v>
                </c:pt>
                <c:pt idx="151">
                  <c:v>132.7555116214807</c:v>
                </c:pt>
                <c:pt idx="152">
                  <c:v>129.083756135498</c:v>
                </c:pt>
                <c:pt idx="153">
                  <c:v>130.0433579940233</c:v>
                </c:pt>
                <c:pt idx="154">
                  <c:v>131.0726118206084</c:v>
                </c:pt>
                <c:pt idx="155">
                  <c:v>128.6525976338272</c:v>
                </c:pt>
                <c:pt idx="156">
                  <c:v>126.3436847457917</c:v>
                </c:pt>
                <c:pt idx="157">
                  <c:v>127.7485464246747</c:v>
                </c:pt>
                <c:pt idx="158">
                  <c:v>130.2520290230777</c:v>
                </c:pt>
                <c:pt idx="159">
                  <c:v>132.12964097188</c:v>
                </c:pt>
                <c:pt idx="160">
                  <c:v>129.4174873444226</c:v>
                </c:pt>
                <c:pt idx="161">
                  <c:v>139.0699112044235</c:v>
                </c:pt>
                <c:pt idx="162">
                  <c:v>132.3938626503073</c:v>
                </c:pt>
                <c:pt idx="163">
                  <c:v>129.973848463526</c:v>
                </c:pt>
                <c:pt idx="164">
                  <c:v>128.3882335178374</c:v>
                </c:pt>
                <c:pt idx="165">
                  <c:v>128.7638413701354</c:v>
                </c:pt>
                <c:pt idx="166">
                  <c:v>134.9530383356456</c:v>
                </c:pt>
                <c:pt idx="167">
                  <c:v>130.0433579940233</c:v>
                </c:pt>
                <c:pt idx="168">
                  <c:v>134.633123570283</c:v>
                </c:pt>
                <c:pt idx="169">
                  <c:v>137.331318316616</c:v>
                </c:pt>
                <c:pt idx="170">
                  <c:v>132.477331061929</c:v>
                </c:pt>
                <c:pt idx="171">
                  <c:v>133.6317875059468</c:v>
                </c:pt>
                <c:pt idx="172">
                  <c:v>132.3243531198099</c:v>
                </c:pt>
                <c:pt idx="173">
                  <c:v>129.3479778139253</c:v>
                </c:pt>
                <c:pt idx="174">
                  <c:v>133.8427375360011</c:v>
                </c:pt>
                <c:pt idx="175">
                  <c:v>136.1364096048497</c:v>
                </c:pt>
                <c:pt idx="176">
                  <c:v>132.8983764966627</c:v>
                </c:pt>
                <c:pt idx="177">
                  <c:v>132.6284573157356</c:v>
                </c:pt>
                <c:pt idx="178">
                  <c:v>131.1442579145432</c:v>
                </c:pt>
                <c:pt idx="179">
                  <c:v>136.6221216929559</c:v>
                </c:pt>
                <c:pt idx="180">
                  <c:v>134.9896447892067</c:v>
                </c:pt>
                <c:pt idx="181">
                  <c:v>136.0150528016044</c:v>
                </c:pt>
                <c:pt idx="182">
                  <c:v>134.9221293845843</c:v>
                </c:pt>
                <c:pt idx="183">
                  <c:v>134.9221293845843</c:v>
                </c:pt>
                <c:pt idx="184">
                  <c:v>136.2308457087836</c:v>
                </c:pt>
                <c:pt idx="185">
                  <c:v>136.0690366377898</c:v>
                </c:pt>
                <c:pt idx="186">
                  <c:v>137.5126413336714</c:v>
                </c:pt>
                <c:pt idx="187">
                  <c:v>134.9221293845843</c:v>
                </c:pt>
                <c:pt idx="188">
                  <c:v>134.517321831975</c:v>
                </c:pt>
                <c:pt idx="189">
                  <c:v>133.5729607926365</c:v>
                </c:pt>
                <c:pt idx="190">
                  <c:v>134.787241012902</c:v>
                </c:pt>
                <c:pt idx="191">
                  <c:v>130.941996575801</c:v>
                </c:pt>
                <c:pt idx="192">
                  <c:v>133.7078491643188</c:v>
                </c:pt>
                <c:pt idx="193">
                  <c:v>133.5729607926365</c:v>
                </c:pt>
                <c:pt idx="194">
                  <c:v>134.1126567169282</c:v>
                </c:pt>
                <c:pt idx="195">
                  <c:v>134.9221293845843</c:v>
                </c:pt>
                <c:pt idx="196">
                  <c:v>134.5308534004119</c:v>
                </c:pt>
                <c:pt idx="197">
                  <c:v>134.3824334602927</c:v>
                </c:pt>
                <c:pt idx="198">
                  <c:v>134.9221293845843</c:v>
                </c:pt>
                <c:pt idx="199">
                  <c:v>134.2475450886104</c:v>
                </c:pt>
                <c:pt idx="200">
                  <c:v>134.9221293845843</c:v>
                </c:pt>
                <c:pt idx="201">
                  <c:v>134.9221293845843</c:v>
                </c:pt>
                <c:pt idx="202">
                  <c:v>133.1681532400272</c:v>
                </c:pt>
                <c:pt idx="203">
                  <c:v>134.3555127609812</c:v>
                </c:pt>
                <c:pt idx="204">
                  <c:v>134.9221293845843</c:v>
                </c:pt>
                <c:pt idx="205">
                  <c:v>132.9792810321595</c:v>
                </c:pt>
                <c:pt idx="206">
                  <c:v>133.5729607926365</c:v>
                </c:pt>
                <c:pt idx="207">
                  <c:v>131.8189846480795</c:v>
                </c:pt>
                <c:pt idx="208">
                  <c:v>131.5490654671524</c:v>
                </c:pt>
                <c:pt idx="209">
                  <c:v>131.5490654671524</c:v>
                </c:pt>
                <c:pt idx="210">
                  <c:v>130.7935766356818</c:v>
                </c:pt>
                <c:pt idx="211">
                  <c:v>130.8744811711786</c:v>
                </c:pt>
                <c:pt idx="212">
                  <c:v>126.476009241349</c:v>
                </c:pt>
                <c:pt idx="213">
                  <c:v>126.6108976130313</c:v>
                </c:pt>
                <c:pt idx="214">
                  <c:v>124.0760787508796</c:v>
                </c:pt>
                <c:pt idx="215">
                  <c:v>124.0760787508796</c:v>
                </c:pt>
                <c:pt idx="216">
                  <c:v>123.409043645718</c:v>
                </c:pt>
                <c:pt idx="217">
                  <c:v>121.74124222647</c:v>
                </c:pt>
                <c:pt idx="218">
                  <c:v>118.7395130344614</c:v>
                </c:pt>
                <c:pt idx="219">
                  <c:v>117.4053003865755</c:v>
                </c:pt>
                <c:pt idx="220">
                  <c:v>116.5647763302956</c:v>
                </c:pt>
                <c:pt idx="221">
                  <c:v>116.3380157308044</c:v>
                </c:pt>
                <c:pt idx="222">
                  <c:v>117.4053003865755</c:v>
                </c:pt>
                <c:pt idx="223">
                  <c:v>117.4053003865755</c:v>
                </c:pt>
                <c:pt idx="224">
                  <c:v>117.4053003865755</c:v>
                </c:pt>
                <c:pt idx="225">
                  <c:v>119.5398696981178</c:v>
                </c:pt>
                <c:pt idx="226">
                  <c:v>119.406548139623</c:v>
                </c:pt>
                <c:pt idx="227">
                  <c:v>124.0760787508796</c:v>
                </c:pt>
                <c:pt idx="228">
                  <c:v>121.7546313573445</c:v>
                </c:pt>
                <c:pt idx="229">
                  <c:v>123.7424899795175</c:v>
                </c:pt>
                <c:pt idx="230">
                  <c:v>124.0760787508796</c:v>
                </c:pt>
                <c:pt idx="231">
                  <c:v>123.409043645718</c:v>
                </c:pt>
                <c:pt idx="232">
                  <c:v>125.7837626876259</c:v>
                </c:pt>
                <c:pt idx="233">
                  <c:v>124.0760787508796</c:v>
                </c:pt>
                <c:pt idx="234">
                  <c:v>121.4077958926704</c:v>
                </c:pt>
                <c:pt idx="235">
                  <c:v>126.7443616090887</c:v>
                </c:pt>
                <c:pt idx="236">
                  <c:v>128.0918209502864</c:v>
                </c:pt>
                <c:pt idx="237">
                  <c:v>131.8407775951412</c:v>
                </c:pt>
                <c:pt idx="238">
                  <c:v>130.7468571151836</c:v>
                </c:pt>
                <c:pt idx="239">
                  <c:v>132.8948155576003</c:v>
                </c:pt>
                <c:pt idx="240">
                  <c:v>137.2173682666204</c:v>
                </c:pt>
                <c:pt idx="241">
                  <c:v>133.3350900632708</c:v>
                </c:pt>
                <c:pt idx="242">
                  <c:v>128.412020590774</c:v>
                </c:pt>
                <c:pt idx="243">
                  <c:v>150.025353886124</c:v>
                </c:pt>
                <c:pt idx="244">
                  <c:v>150.8925137665904</c:v>
                </c:pt>
                <c:pt idx="245">
                  <c:v>150.0920146653714</c:v>
                </c:pt>
                <c:pt idx="246">
                  <c:v>139.4054941016605</c:v>
                </c:pt>
                <c:pt idx="247">
                  <c:v>141.9136771396258</c:v>
                </c:pt>
                <c:pt idx="248">
                  <c:v>138.7650948206854</c:v>
                </c:pt>
                <c:pt idx="249">
                  <c:v>142.7542011959058</c:v>
                </c:pt>
                <c:pt idx="250">
                  <c:v>152.0932624184189</c:v>
                </c:pt>
                <c:pt idx="251">
                  <c:v>144.7554489489532</c:v>
                </c:pt>
                <c:pt idx="252">
                  <c:v>141.8468739228159</c:v>
                </c:pt>
                <c:pt idx="253">
                  <c:v>132.4145160968689</c:v>
                </c:pt>
                <c:pt idx="254">
                  <c:v>135.536462591623</c:v>
                </c:pt>
                <c:pt idx="255">
                  <c:v>134.5624745392857</c:v>
                </c:pt>
                <c:pt idx="256">
                  <c:v>134.749210183716</c:v>
                </c:pt>
                <c:pt idx="257">
                  <c:v>133.6285114420094</c:v>
                </c:pt>
                <c:pt idx="258">
                  <c:v>134.6158886252211</c:v>
                </c:pt>
                <c:pt idx="259">
                  <c:v>133.935464389185</c:v>
                </c:pt>
                <c:pt idx="260">
                  <c:v>133.4151399733927</c:v>
                </c:pt>
                <c:pt idx="261">
                  <c:v>133.1616011121525</c:v>
                </c:pt>
                <c:pt idx="262">
                  <c:v>133.6152647486974</c:v>
                </c:pt>
                <c:pt idx="263">
                  <c:v>134.0821750785543</c:v>
                </c:pt>
                <c:pt idx="264">
                  <c:v>134.5090604533503</c:v>
                </c:pt>
                <c:pt idx="265">
                  <c:v>132.6146408721737</c:v>
                </c:pt>
                <c:pt idx="266">
                  <c:v>136.8038720226988</c:v>
                </c:pt>
                <c:pt idx="267">
                  <c:v>136.5103082063977</c:v>
                </c:pt>
                <c:pt idx="268">
                  <c:v>137.8977925026565</c:v>
                </c:pt>
                <c:pt idx="269">
                  <c:v>138.7517056898109</c:v>
                </c:pt>
                <c:pt idx="270">
                  <c:v>138.0178673678393</c:v>
                </c:pt>
                <c:pt idx="271">
                  <c:v>134.2156390746117</c:v>
                </c:pt>
                <c:pt idx="272">
                  <c:v>134.8826741797733</c:v>
                </c:pt>
                <c:pt idx="273">
                  <c:v>131.4805529995926</c:v>
                </c:pt>
                <c:pt idx="274">
                  <c:v>132.1477305423168</c:v>
                </c:pt>
                <c:pt idx="275">
                  <c:v>135.2295096444474</c:v>
                </c:pt>
                <c:pt idx="276">
                  <c:v>133.6552897037584</c:v>
                </c:pt>
                <c:pt idx="277">
                  <c:v>128.0785742569745</c:v>
                </c:pt>
                <c:pt idx="278">
                  <c:v>125.4101489612029</c:v>
                </c:pt>
                <c:pt idx="279">
                  <c:v>130.2131435685168</c:v>
                </c:pt>
                <c:pt idx="280">
                  <c:v>136.4970615130857</c:v>
                </c:pt>
                <c:pt idx="281">
                  <c:v>139.4455190567215</c:v>
                </c:pt>
                <c:pt idx="282">
                  <c:v>140.7529534428583</c:v>
                </c:pt>
                <c:pt idx="283">
                  <c:v>135.4564126815011</c:v>
                </c:pt>
                <c:pt idx="284">
                  <c:v>138.7517056898109</c:v>
                </c:pt>
                <c:pt idx="285">
                  <c:v>140.5928536226145</c:v>
                </c:pt>
                <c:pt idx="286">
                  <c:v>146.0228583800291</c:v>
                </c:pt>
                <c:pt idx="287">
                  <c:v>140.0859183376966</c:v>
                </c:pt>
                <c:pt idx="288">
                  <c:v>145.2489951029966</c:v>
                </c:pt>
                <c:pt idx="289">
                  <c:v>145.9561976007817</c:v>
                </c:pt>
                <c:pt idx="290">
                  <c:v>144.0882714062291</c:v>
                </c:pt>
                <c:pt idx="291">
                  <c:v>144.0616355820426</c:v>
                </c:pt>
                <c:pt idx="292">
                  <c:v>145.4224840541149</c:v>
                </c:pt>
                <c:pt idx="293">
                  <c:v>146.7565542644382</c:v>
                </c:pt>
                <c:pt idx="294">
                  <c:v>148.090766912324</c:v>
                </c:pt>
                <c:pt idx="295">
                  <c:v>148.9713159236649</c:v>
                </c:pt>
                <c:pt idx="296">
                  <c:v>149.4115904293353</c:v>
                </c:pt>
                <c:pt idx="297">
                  <c:v>152.0932624184189</c:v>
                </c:pt>
                <c:pt idx="298">
                  <c:v>153.4273326287422</c:v>
                </c:pt>
                <c:pt idx="299">
                  <c:v>152.0932624184189</c:v>
                </c:pt>
                <c:pt idx="300">
                  <c:v>151.3860599206338</c:v>
                </c:pt>
                <c:pt idx="301">
                  <c:v>151.7596736470568</c:v>
                </c:pt>
                <c:pt idx="302">
                  <c:v>144.7554489489532</c:v>
                </c:pt>
                <c:pt idx="303">
                  <c:v>146.0895191592765</c:v>
                </c:pt>
                <c:pt idx="304">
                  <c:v>148.5576772421809</c:v>
                </c:pt>
                <c:pt idx="305">
                  <c:v>146.156179938524</c:v>
                </c:pt>
                <c:pt idx="306">
                  <c:v>148.7311661932992</c:v>
                </c:pt>
                <c:pt idx="307">
                  <c:v>149.0247300096003</c:v>
                </c:pt>
                <c:pt idx="308">
                  <c:v>147.5570533656572</c:v>
                </c:pt>
                <c:pt idx="309">
                  <c:v>150.4256034367335</c:v>
                </c:pt>
                <c:pt idx="310">
                  <c:v>150.4256034367335</c:v>
                </c:pt>
                <c:pt idx="311">
                  <c:v>150.0920146653714</c:v>
                </c:pt>
                <c:pt idx="312">
                  <c:v>147.0901430358003</c:v>
                </c:pt>
                <c:pt idx="313">
                  <c:v>144.0882714062291</c:v>
                </c:pt>
                <c:pt idx="314">
                  <c:v>145.4224840541149</c:v>
                </c:pt>
                <c:pt idx="315">
                  <c:v>145.4224840541149</c:v>
                </c:pt>
                <c:pt idx="316">
                  <c:v>145.4224840541149</c:v>
                </c:pt>
                <c:pt idx="317">
                  <c:v>145.4224840541149</c:v>
                </c:pt>
                <c:pt idx="318">
                  <c:v>146.0895191592765</c:v>
                </c:pt>
                <c:pt idx="319">
                  <c:v>142.7542011959058</c:v>
                </c:pt>
                <c:pt idx="320">
                  <c:v>146.7299184402517</c:v>
                </c:pt>
                <c:pt idx="321">
                  <c:v>144.0882714062291</c:v>
                </c:pt>
                <c:pt idx="322">
                  <c:v>145.4224840541149</c:v>
                </c:pt>
                <c:pt idx="323">
                  <c:v>145.4224840541149</c:v>
                </c:pt>
                <c:pt idx="324">
                  <c:v>144.0082214961072</c:v>
                </c:pt>
                <c:pt idx="325">
                  <c:v>143.9549498477342</c:v>
                </c:pt>
                <c:pt idx="326">
                  <c:v>141.3533277687725</c:v>
                </c:pt>
                <c:pt idx="327">
                  <c:v>140.619489446801</c:v>
                </c:pt>
                <c:pt idx="328">
                  <c:v>143.1410616156408</c:v>
                </c:pt>
                <c:pt idx="329">
                  <c:v>142.490406830166</c:v>
                </c:pt>
                <c:pt idx="330">
                  <c:v>141.9699399768112</c:v>
                </c:pt>
                <c:pt idx="331">
                  <c:v>142.490406830166</c:v>
                </c:pt>
                <c:pt idx="332">
                  <c:v>141.1890972592164</c:v>
                </c:pt>
                <c:pt idx="333">
                  <c:v>137.4804504445476</c:v>
                </c:pt>
                <c:pt idx="334">
                  <c:v>136.452478556025</c:v>
                </c:pt>
                <c:pt idx="335">
                  <c:v>135.3333466275058</c:v>
                </c:pt>
                <c:pt idx="336">
                  <c:v>139.1200492264216</c:v>
                </c:pt>
                <c:pt idx="337">
                  <c:v>140.0309374385738</c:v>
                </c:pt>
                <c:pt idx="338">
                  <c:v>137.5716104845441</c:v>
                </c:pt>
                <c:pt idx="339">
                  <c:v>137.6106383766676</c:v>
                </c:pt>
                <c:pt idx="340">
                  <c:v>137.3113770578667</c:v>
                </c:pt>
                <c:pt idx="341">
                  <c:v>137.6757323427276</c:v>
                </c:pt>
                <c:pt idx="342">
                  <c:v>132.7308699231692</c:v>
                </c:pt>
                <c:pt idx="343">
                  <c:v>130.12825078127</c:v>
                </c:pt>
                <c:pt idx="344">
                  <c:v>130.12825078127</c:v>
                </c:pt>
                <c:pt idx="345">
                  <c:v>130.8179334588683</c:v>
                </c:pt>
                <c:pt idx="346">
                  <c:v>131.4295603522196</c:v>
                </c:pt>
                <c:pt idx="347">
                  <c:v>134.6957960977805</c:v>
                </c:pt>
                <c:pt idx="348">
                  <c:v>136.6476180166424</c:v>
                </c:pt>
                <c:pt idx="349">
                  <c:v>134.2273189547362</c:v>
                </c:pt>
                <c:pt idx="350">
                  <c:v>130.115288963083</c:v>
                </c:pt>
                <c:pt idx="351">
                  <c:v>129.1522686030578</c:v>
                </c:pt>
                <c:pt idx="352">
                  <c:v>128.1762864248457</c:v>
                </c:pt>
                <c:pt idx="353">
                  <c:v>130.12825078127</c:v>
                </c:pt>
                <c:pt idx="354">
                  <c:v>135.8538134808607</c:v>
                </c:pt>
                <c:pt idx="355">
                  <c:v>136.6346561984554</c:v>
                </c:pt>
                <c:pt idx="356">
                  <c:v>131.4295603522196</c:v>
                </c:pt>
                <c:pt idx="357">
                  <c:v>131.4295603522196</c:v>
                </c:pt>
                <c:pt idx="358">
                  <c:v>128.8269412103205</c:v>
                </c:pt>
                <c:pt idx="359">
                  <c:v>128.1762864248457</c:v>
                </c:pt>
                <c:pt idx="360">
                  <c:v>122.3334976113221</c:v>
                </c:pt>
                <c:pt idx="361">
                  <c:v>121.6698810076603</c:v>
                </c:pt>
                <c:pt idx="362">
                  <c:v>117.1154399468993</c:v>
                </c:pt>
                <c:pt idx="363">
                  <c:v>112.5478946303888</c:v>
                </c:pt>
                <c:pt idx="364">
                  <c:v>114.5128208050001</c:v>
                </c:pt>
                <c:pt idx="365">
                  <c:v>114.864214271674</c:v>
                </c:pt>
                <c:pt idx="366">
                  <c:v>112.7040061988827</c:v>
                </c:pt>
                <c:pt idx="367">
                  <c:v>111.2987172073122</c:v>
                </c:pt>
                <c:pt idx="368">
                  <c:v>111.2336232412522</c:v>
                </c:pt>
                <c:pt idx="369">
                  <c:v>111.9233059188505</c:v>
                </c:pt>
                <c:pt idx="370">
                  <c:v>107.4078927502129</c:v>
                </c:pt>
                <c:pt idx="371">
                  <c:v>101.6951494312468</c:v>
                </c:pt>
                <c:pt idx="372">
                  <c:v>101.4870481524424</c:v>
                </c:pt>
                <c:pt idx="373">
                  <c:v>98.50711190749535</c:v>
                </c:pt>
                <c:pt idx="374">
                  <c:v>98.63715740205281</c:v>
                </c:pt>
                <c:pt idx="375">
                  <c:v>97.4399696892867</c:v>
                </c:pt>
                <c:pt idx="376">
                  <c:v>97.27089630260576</c:v>
                </c:pt>
                <c:pt idx="377">
                  <c:v>97.5962236953431</c:v>
                </c:pt>
                <c:pt idx="378">
                  <c:v>98.24687848081794</c:v>
                </c:pt>
                <c:pt idx="379">
                  <c:v>98.23377422506844</c:v>
                </c:pt>
                <c:pt idx="380">
                  <c:v>97.80432497414757</c:v>
                </c:pt>
                <c:pt idx="381">
                  <c:v>98.18178451475796</c:v>
                </c:pt>
                <c:pt idx="382">
                  <c:v>97.36191390503972</c:v>
                </c:pt>
                <c:pt idx="383">
                  <c:v>97.20580233654577</c:v>
                </c:pt>
                <c:pt idx="384">
                  <c:v>96.2298201583336</c:v>
                </c:pt>
                <c:pt idx="385">
                  <c:v>91.48009719939264</c:v>
                </c:pt>
                <c:pt idx="386">
                  <c:v>91.08981827815776</c:v>
                </c:pt>
                <c:pt idx="387">
                  <c:v>91.74047306363254</c:v>
                </c:pt>
                <c:pt idx="388">
                  <c:v>93.27594998732305</c:v>
                </c:pt>
                <c:pt idx="389">
                  <c:v>93.17182812913958</c:v>
                </c:pt>
                <c:pt idx="390">
                  <c:v>94.993604553444</c:v>
                </c:pt>
                <c:pt idx="391">
                  <c:v>97.85645712202057</c:v>
                </c:pt>
                <c:pt idx="392">
                  <c:v>100.4589338263572</c:v>
                </c:pt>
                <c:pt idx="393">
                  <c:v>100.8493551851546</c:v>
                </c:pt>
                <c:pt idx="394">
                  <c:v>99.9384669730024</c:v>
                </c:pt>
                <c:pt idx="395">
                  <c:v>96.34690383470405</c:v>
                </c:pt>
                <c:pt idx="396">
                  <c:v>96.490053585011</c:v>
                </c:pt>
                <c:pt idx="397">
                  <c:v>96.29491412439357</c:v>
                </c:pt>
                <c:pt idx="398">
                  <c:v>95.72231512316577</c:v>
                </c:pt>
                <c:pt idx="399">
                  <c:v>94.993604553444</c:v>
                </c:pt>
                <c:pt idx="400">
                  <c:v>93.70539923824391</c:v>
                </c:pt>
                <c:pt idx="401">
                  <c:v>96.32098019833006</c:v>
                </c:pt>
                <c:pt idx="402">
                  <c:v>97.27089630260576</c:v>
                </c:pt>
                <c:pt idx="403">
                  <c:v>96.29491412439357</c:v>
                </c:pt>
                <c:pt idx="404">
                  <c:v>93.30201606125955</c:v>
                </c:pt>
                <c:pt idx="405">
                  <c:v>91.74047306363254</c:v>
                </c:pt>
                <c:pt idx="406">
                  <c:v>93.60127738006045</c:v>
                </c:pt>
                <c:pt idx="407">
                  <c:v>94.64221108677011</c:v>
                </c:pt>
                <c:pt idx="408">
                  <c:v>93.69229498249442</c:v>
                </c:pt>
                <c:pt idx="409">
                  <c:v>93.69229498249442</c:v>
                </c:pt>
                <c:pt idx="410">
                  <c:v>92.39098541154486</c:v>
                </c:pt>
                <c:pt idx="411">
                  <c:v>92.96358441277266</c:v>
                </c:pt>
                <c:pt idx="412">
                  <c:v>93.497155521877</c:v>
                </c:pt>
                <c:pt idx="413">
                  <c:v>92.13075198486743</c:v>
                </c:pt>
                <c:pt idx="414">
                  <c:v>97.5962236953431</c:v>
                </c:pt>
                <c:pt idx="415">
                  <c:v>101.3699644760719</c:v>
                </c:pt>
                <c:pt idx="416">
                  <c:v>101.5260760445659</c:v>
                </c:pt>
                <c:pt idx="417">
                  <c:v>102.0465428979207</c:v>
                </c:pt>
                <c:pt idx="418">
                  <c:v>101.9294592215502</c:v>
                </c:pt>
                <c:pt idx="419">
                  <c:v>102.9184032179494</c:v>
                </c:pt>
                <c:pt idx="420">
                  <c:v>103.0745147864434</c:v>
                </c:pt>
                <c:pt idx="421">
                  <c:v>104.7662457161903</c:v>
                </c:pt>
                <c:pt idx="422">
                  <c:v>105.794217604713</c:v>
                </c:pt>
                <c:pt idx="423">
                  <c:v>106.8482555671721</c:v>
                </c:pt>
                <c:pt idx="424">
                  <c:v>105.846349752586</c:v>
                </c:pt>
                <c:pt idx="425">
                  <c:v>107.5640043187069</c:v>
                </c:pt>
                <c:pt idx="426">
                  <c:v>106.015423139267</c:v>
                </c:pt>
                <c:pt idx="427">
                  <c:v>106.7051058168652</c:v>
                </c:pt>
                <c:pt idx="428">
                  <c:v>104.7532838980033</c:v>
                </c:pt>
                <c:pt idx="429">
                  <c:v>106.0544510313904</c:v>
                </c:pt>
                <c:pt idx="430">
                  <c:v>106.7051058168652</c:v>
                </c:pt>
                <c:pt idx="431">
                  <c:v>108.6570701732895</c:v>
                </c:pt>
                <c:pt idx="432">
                  <c:v>111.9103441006635</c:v>
                </c:pt>
                <c:pt idx="433">
                  <c:v>110.6090345297139</c:v>
                </c:pt>
                <c:pt idx="434">
                  <c:v>109.3206867769513</c:v>
                </c:pt>
                <c:pt idx="435">
                  <c:v>109.3077249587643</c:v>
                </c:pt>
                <c:pt idx="436">
                  <c:v>107.6941922508269</c:v>
                </c:pt>
                <c:pt idx="437">
                  <c:v>107.35576060234</c:v>
                </c:pt>
                <c:pt idx="438">
                  <c:v>104.297768573146</c:v>
                </c:pt>
                <c:pt idx="439">
                  <c:v>108.0324814617512</c:v>
                </c:pt>
                <c:pt idx="440">
                  <c:v>111.9103441006635</c:v>
                </c:pt>
                <c:pt idx="441">
                  <c:v>113.2115112340506</c:v>
                </c:pt>
                <c:pt idx="442">
                  <c:v>110.6090345297139</c:v>
                </c:pt>
                <c:pt idx="443">
                  <c:v>113.0293335916201</c:v>
                </c:pt>
                <c:pt idx="444">
                  <c:v>113.2115112340506</c:v>
                </c:pt>
                <c:pt idx="445">
                  <c:v>113.2115112340506</c:v>
                </c:pt>
                <c:pt idx="446">
                  <c:v>113.8621660195253</c:v>
                </c:pt>
                <c:pt idx="447">
                  <c:v>112.2225672376514</c:v>
                </c:pt>
                <c:pt idx="448">
                  <c:v>112.5608564485758</c:v>
                </c:pt>
                <c:pt idx="449">
                  <c:v>113.1985494158636</c:v>
                </c:pt>
                <c:pt idx="450">
                  <c:v>113.2115112340506</c:v>
                </c:pt>
                <c:pt idx="451">
                  <c:v>113.2115112340506</c:v>
                </c:pt>
                <c:pt idx="452">
                  <c:v>112.8341941310027</c:v>
                </c:pt>
                <c:pt idx="453">
                  <c:v>114.0443436619558</c:v>
                </c:pt>
                <c:pt idx="454">
                  <c:v>114.5128208050001</c:v>
                </c:pt>
                <c:pt idx="455">
                  <c:v>115.8141303759497</c:v>
                </c:pt>
                <c:pt idx="456">
                  <c:v>113.2115112340506</c:v>
                </c:pt>
                <c:pt idx="457">
                  <c:v>114.5128208050001</c:v>
                </c:pt>
                <c:pt idx="458">
                  <c:v>114.5128208050001</c:v>
                </c:pt>
                <c:pt idx="459">
                  <c:v>112.3006230218984</c:v>
                </c:pt>
                <c:pt idx="460">
                  <c:v>111.9103441006635</c:v>
                </c:pt>
                <c:pt idx="461">
                  <c:v>110.6090345297139</c:v>
                </c:pt>
                <c:pt idx="462">
                  <c:v>113.2115112340506</c:v>
                </c:pt>
                <c:pt idx="463">
                  <c:v>112.2356714934009</c:v>
                </c:pt>
                <c:pt idx="464">
                  <c:v>108.9433696739035</c:v>
                </c:pt>
                <c:pt idx="465">
                  <c:v>109.3077249587643</c:v>
                </c:pt>
                <c:pt idx="466">
                  <c:v>109.0735576060234</c:v>
                </c:pt>
                <c:pt idx="467">
                  <c:v>106.0544510313904</c:v>
                </c:pt>
                <c:pt idx="468">
                  <c:v>104.0245733282815</c:v>
                </c:pt>
                <c:pt idx="469">
                  <c:v>102.7531756454558</c:v>
                </c:pt>
                <c:pt idx="470">
                  <c:v>106.593007455182</c:v>
                </c:pt>
                <c:pt idx="471">
                  <c:v>107.5561702527697</c:v>
                </c:pt>
                <c:pt idx="472">
                  <c:v>108.5193330503574</c:v>
                </c:pt>
                <c:pt idx="473">
                  <c:v>112.6931809441331</c:v>
                </c:pt>
                <c:pt idx="474">
                  <c:v>111.7300181465455</c:v>
                </c:pt>
                <c:pt idx="475">
                  <c:v>111.7300181465455</c:v>
                </c:pt>
                <c:pt idx="476">
                  <c:v>112.3721266782706</c:v>
                </c:pt>
                <c:pt idx="477">
                  <c:v>111.5116613632414</c:v>
                </c:pt>
                <c:pt idx="478">
                  <c:v>111.7300181465455</c:v>
                </c:pt>
                <c:pt idx="479">
                  <c:v>116.2763402662443</c:v>
                </c:pt>
                <c:pt idx="480">
                  <c:v>113.0142352099957</c:v>
                </c:pt>
                <c:pt idx="481">
                  <c:v>113.0142352099957</c:v>
                </c:pt>
                <c:pt idx="482">
                  <c:v>115.7112904558287</c:v>
                </c:pt>
                <c:pt idx="483">
                  <c:v>109.161584019645</c:v>
                </c:pt>
                <c:pt idx="484">
                  <c:v>108.8533491344069</c:v>
                </c:pt>
                <c:pt idx="485">
                  <c:v>108.1982787844948</c:v>
                </c:pt>
                <c:pt idx="486">
                  <c:v>108.7762904130974</c:v>
                </c:pt>
                <c:pt idx="487">
                  <c:v>109.161584019645</c:v>
                </c:pt>
                <c:pt idx="488">
                  <c:v>109.161584019645</c:v>
                </c:pt>
                <c:pt idx="489">
                  <c:v>109.4568570866961</c:v>
                </c:pt>
                <c:pt idx="490">
                  <c:v>106.6957049377405</c:v>
                </c:pt>
                <c:pt idx="491">
                  <c:v>109.0459247188995</c:v>
                </c:pt>
                <c:pt idx="492">
                  <c:v>105.0005555064937</c:v>
                </c:pt>
                <c:pt idx="493">
                  <c:v>108.7762904130974</c:v>
                </c:pt>
                <c:pt idx="494">
                  <c:v>108.5193330503574</c:v>
                </c:pt>
                <c:pt idx="495">
                  <c:v>109.7908731707456</c:v>
                </c:pt>
                <c:pt idx="496">
                  <c:v>106.9783010617296</c:v>
                </c:pt>
                <c:pt idx="497">
                  <c:v>110.0090875164871</c:v>
                </c:pt>
                <c:pt idx="498">
                  <c:v>115.5828117744587</c:v>
                </c:pt>
                <c:pt idx="499">
                  <c:v>115.5828117744587</c:v>
                </c:pt>
                <c:pt idx="500">
                  <c:v>114.9407032427335</c:v>
                </c:pt>
                <c:pt idx="501">
                  <c:v>115.5828117744587</c:v>
                </c:pt>
                <c:pt idx="502">
                  <c:v>115.5828117744587</c:v>
                </c:pt>
                <c:pt idx="503">
                  <c:v>113.6564861792833</c:v>
                </c:pt>
                <c:pt idx="504">
                  <c:v>111.986833071723</c:v>
                </c:pt>
                <c:pt idx="505">
                  <c:v>111.408963880683</c:v>
                </c:pt>
                <c:pt idx="506">
                  <c:v>110.6383766675877</c:v>
                </c:pt>
                <c:pt idx="507">
                  <c:v>110.5999185257142</c:v>
                </c:pt>
                <c:pt idx="508">
                  <c:v>112.3721266782706</c:v>
                </c:pt>
                <c:pt idx="509">
                  <c:v>112.3721266782706</c:v>
                </c:pt>
                <c:pt idx="510">
                  <c:v>113.4765875378528</c:v>
                </c:pt>
                <c:pt idx="511">
                  <c:v>112.3721266782706</c:v>
                </c:pt>
                <c:pt idx="512">
                  <c:v>113.4765875378528</c:v>
                </c:pt>
                <c:pt idx="513">
                  <c:v>112.6161222228236</c:v>
                </c:pt>
                <c:pt idx="514">
                  <c:v>112.269429195712</c:v>
                </c:pt>
                <c:pt idx="515">
                  <c:v>115.1975181679111</c:v>
                </c:pt>
                <c:pt idx="516">
                  <c:v>115.9038660403212</c:v>
                </c:pt>
                <c:pt idx="517">
                  <c:v>117.8301916354966</c:v>
                </c:pt>
                <c:pt idx="518">
                  <c:v>116.7000920146654</c:v>
                </c:pt>
                <c:pt idx="519">
                  <c:v>118.1512459013591</c:v>
                </c:pt>
                <c:pt idx="520">
                  <c:v>118.1512459013591</c:v>
                </c:pt>
                <c:pt idx="521">
                  <c:v>116.2891596468688</c:v>
                </c:pt>
                <c:pt idx="522">
                  <c:v>112.6931809441331</c:v>
                </c:pt>
                <c:pt idx="523">
                  <c:v>110.4458010830952</c:v>
                </c:pt>
                <c:pt idx="524">
                  <c:v>110.4458010830952</c:v>
                </c:pt>
                <c:pt idx="525">
                  <c:v>111.3705057388094</c:v>
                </c:pt>
                <c:pt idx="526">
                  <c:v>113.0142352099957</c:v>
                </c:pt>
                <c:pt idx="527">
                  <c:v>115.5699923938342</c:v>
                </c:pt>
                <c:pt idx="528">
                  <c:v>110.4458010830952</c:v>
                </c:pt>
                <c:pt idx="529">
                  <c:v>105.9508989234569</c:v>
                </c:pt>
                <c:pt idx="530">
                  <c:v>105.3087903917318</c:v>
                </c:pt>
                <c:pt idx="531">
                  <c:v>105.5912440781583</c:v>
                </c:pt>
                <c:pt idx="532">
                  <c:v>105.2060929091733</c:v>
                </c:pt>
                <c:pt idx="533">
                  <c:v>104.0245733282815</c:v>
                </c:pt>
                <c:pt idx="534">
                  <c:v>105.5013659762243</c:v>
                </c:pt>
                <c:pt idx="535">
                  <c:v>102.7273944466443</c:v>
                </c:pt>
                <c:pt idx="536">
                  <c:v>102.7402138272688</c:v>
                </c:pt>
                <c:pt idx="537">
                  <c:v>103.639279721734</c:v>
                </c:pt>
                <c:pt idx="538">
                  <c:v>103.1641080132524</c:v>
                </c:pt>
                <c:pt idx="539">
                  <c:v>103.7676159655415</c:v>
                </c:pt>
                <c:pt idx="540">
                  <c:v>105.4500884537263</c:v>
                </c:pt>
                <c:pt idx="541">
                  <c:v>106.593007455182</c:v>
                </c:pt>
                <c:pt idx="542">
                  <c:v>106.2975919505685</c:v>
                </c:pt>
                <c:pt idx="543">
                  <c:v>104.7950181038142</c:v>
                </c:pt>
                <c:pt idx="544">
                  <c:v>107.8772245186323</c:v>
                </c:pt>
                <c:pt idx="545">
                  <c:v>107.4919309120847</c:v>
                </c:pt>
                <c:pt idx="546">
                  <c:v>107.6846489341397</c:v>
                </c:pt>
                <c:pt idx="547">
                  <c:v>107.1324185043486</c:v>
                </c:pt>
                <c:pt idx="548">
                  <c:v>108.0057032000023</c:v>
                </c:pt>
                <c:pt idx="549">
                  <c:v>108.4936942891084</c:v>
                </c:pt>
                <c:pt idx="550">
                  <c:v>106.9397004822936</c:v>
                </c:pt>
                <c:pt idx="551">
                  <c:v>106.7214861365521</c:v>
                </c:pt>
                <c:pt idx="552">
                  <c:v>107.6204095934547</c:v>
                </c:pt>
                <c:pt idx="553">
                  <c:v>108.4936942891084</c:v>
                </c:pt>
                <c:pt idx="554">
                  <c:v>108.3395768464893</c:v>
                </c:pt>
                <c:pt idx="555">
                  <c:v>106.9526623004806</c:v>
                </c:pt>
                <c:pt idx="556">
                  <c:v>107.5561702527697</c:v>
                </c:pt>
                <c:pt idx="557">
                  <c:v>106.593007455182</c:v>
                </c:pt>
                <c:pt idx="558">
                  <c:v>106.9268811016691</c:v>
                </c:pt>
                <c:pt idx="559">
                  <c:v>106.593007455182</c:v>
                </c:pt>
                <c:pt idx="560">
                  <c:v>108.5193330503574</c:v>
                </c:pt>
                <c:pt idx="561">
                  <c:v>107.3635946682772</c:v>
                </c:pt>
                <c:pt idx="562">
                  <c:v>106.657246795867</c:v>
                </c:pt>
                <c:pt idx="563">
                  <c:v>109.161584019645</c:v>
                </c:pt>
                <c:pt idx="564">
                  <c:v>108.6864123111634</c:v>
                </c:pt>
                <c:pt idx="565">
                  <c:v>105.8224202420869</c:v>
                </c:pt>
                <c:pt idx="566">
                  <c:v>107.5151482347713</c:v>
                </c:pt>
                <c:pt idx="567">
                  <c:v>108.1982787844948</c:v>
                </c:pt>
                <c:pt idx="568">
                  <c:v>109.161584019645</c:v>
                </c:pt>
                <c:pt idx="569">
                  <c:v>106.593007455182</c:v>
                </c:pt>
                <c:pt idx="570">
                  <c:v>106.1832145878854</c:v>
                </c:pt>
                <c:pt idx="571">
                  <c:v>106.593007455182</c:v>
                </c:pt>
                <c:pt idx="572">
                  <c:v>106.259133808695</c:v>
                </c:pt>
                <c:pt idx="573">
                  <c:v>107.2351159869071</c:v>
                </c:pt>
                <c:pt idx="574">
                  <c:v>106.631608034618</c:v>
                </c:pt>
                <c:pt idx="575">
                  <c:v>107.7617076554492</c:v>
                </c:pt>
                <c:pt idx="576">
                  <c:v>104.5638419398857</c:v>
                </c:pt>
                <c:pt idx="577">
                  <c:v>102.4319789420308</c:v>
                </c:pt>
                <c:pt idx="578">
                  <c:v>102.7402138272688</c:v>
                </c:pt>
                <c:pt idx="579">
                  <c:v>102.5860963846498</c:v>
                </c:pt>
                <c:pt idx="580">
                  <c:v>102.2908233175987</c:v>
                </c:pt>
                <c:pt idx="581">
                  <c:v>102.4577601408423</c:v>
                </c:pt>
                <c:pt idx="582">
                  <c:v>102.620138962086</c:v>
                </c:pt>
                <c:pt idx="583">
                  <c:v>102.4577601408423</c:v>
                </c:pt>
                <c:pt idx="584">
                  <c:v>102.9075779631998</c:v>
                </c:pt>
                <c:pt idx="585">
                  <c:v>102.9075779631998</c:v>
                </c:pt>
                <c:pt idx="586">
                  <c:v>102.0204768239842</c:v>
                </c:pt>
                <c:pt idx="587">
                  <c:v>102.2077822186644</c:v>
                </c:pt>
                <c:pt idx="588">
                  <c:v>99.9588355444391</c:v>
                </c:pt>
                <c:pt idx="589">
                  <c:v>98.47192982955921</c:v>
                </c:pt>
                <c:pt idx="590">
                  <c:v>96.21030621227186</c:v>
                </c:pt>
                <c:pt idx="591">
                  <c:v>95.96047072765654</c:v>
                </c:pt>
                <c:pt idx="592">
                  <c:v>97.45976851047344</c:v>
                </c:pt>
                <c:pt idx="593">
                  <c:v>97.73467300608777</c:v>
                </c:pt>
                <c:pt idx="594">
                  <c:v>102.4577601408423</c:v>
                </c:pt>
                <c:pt idx="595">
                  <c:v>100.8583287515918</c:v>
                </c:pt>
                <c:pt idx="596">
                  <c:v>99.82138329663192</c:v>
                </c:pt>
                <c:pt idx="597">
                  <c:v>97.92212083833051</c:v>
                </c:pt>
                <c:pt idx="598">
                  <c:v>99.20904421546815</c:v>
                </c:pt>
                <c:pt idx="599">
                  <c:v>100.0212231968117</c:v>
                </c:pt>
                <c:pt idx="600">
                  <c:v>103.6822958656073</c:v>
                </c:pt>
                <c:pt idx="601">
                  <c:v>106.9183348479194</c:v>
                </c:pt>
                <c:pt idx="602">
                  <c:v>108.7176061373497</c:v>
                </c:pt>
                <c:pt idx="603">
                  <c:v>109.3299452185135</c:v>
                </c:pt>
                <c:pt idx="604">
                  <c:v>109.9546763676143</c:v>
                </c:pt>
                <c:pt idx="605">
                  <c:v>109.8921462776792</c:v>
                </c:pt>
                <c:pt idx="606">
                  <c:v>109.9546763676143</c:v>
                </c:pt>
                <c:pt idx="607">
                  <c:v>109.9546763676143</c:v>
                </c:pt>
                <c:pt idx="608">
                  <c:v>110.5794075167151</c:v>
                </c:pt>
                <c:pt idx="609">
                  <c:v>109.9546763676143</c:v>
                </c:pt>
                <c:pt idx="610">
                  <c:v>108.7176061373497</c:v>
                </c:pt>
                <c:pt idx="611">
                  <c:v>108.7052140694127</c:v>
                </c:pt>
                <c:pt idx="612">
                  <c:v>107.0808561067256</c:v>
                </c:pt>
                <c:pt idx="613">
                  <c:v>104.9566847372454</c:v>
                </c:pt>
                <c:pt idx="614">
                  <c:v>104.3319535881446</c:v>
                </c:pt>
                <c:pt idx="615">
                  <c:v>105.5814158863462</c:v>
                </c:pt>
                <c:pt idx="616">
                  <c:v>105.768863718589</c:v>
                </c:pt>
                <c:pt idx="617">
                  <c:v>103.7072224390438</c:v>
                </c:pt>
                <c:pt idx="618">
                  <c:v>108.0804829203119</c:v>
                </c:pt>
                <c:pt idx="619">
                  <c:v>106.1437593830744</c:v>
                </c:pt>
                <c:pt idx="620">
                  <c:v>105.7937902920255</c:v>
                </c:pt>
                <c:pt idx="621">
                  <c:v>104.9566847372454</c:v>
                </c:pt>
                <c:pt idx="622">
                  <c:v>107.0933906122251</c:v>
                </c:pt>
                <c:pt idx="623">
                  <c:v>104.9566847372454</c:v>
                </c:pt>
                <c:pt idx="624">
                  <c:v>107.8305049981341</c:v>
                </c:pt>
                <c:pt idx="625">
                  <c:v>108.0804829203119</c:v>
                </c:pt>
                <c:pt idx="626">
                  <c:v>108.0804829203119</c:v>
                </c:pt>
                <c:pt idx="627">
                  <c:v>107.1432437590982</c:v>
                </c:pt>
                <c:pt idx="628">
                  <c:v>108.1428705726845</c:v>
                </c:pt>
                <c:pt idx="629">
                  <c:v>107.4556093336486</c:v>
                </c:pt>
                <c:pt idx="630">
                  <c:v>107.4556093336486</c:v>
                </c:pt>
                <c:pt idx="631">
                  <c:v>108.3303184049272</c:v>
                </c:pt>
                <c:pt idx="632">
                  <c:v>107.8430395036336</c:v>
                </c:pt>
                <c:pt idx="633">
                  <c:v>106.593577205432</c:v>
                </c:pt>
                <c:pt idx="634">
                  <c:v>108.7052140694127</c:v>
                </c:pt>
                <c:pt idx="635">
                  <c:v>108.7052140694127</c:v>
                </c:pt>
                <c:pt idx="636">
                  <c:v>108.7052140694127</c:v>
                </c:pt>
                <c:pt idx="637">
                  <c:v>106.206147035447</c:v>
                </c:pt>
                <c:pt idx="638">
                  <c:v>107.368152670277</c:v>
                </c:pt>
                <c:pt idx="639">
                  <c:v>107.509878044959</c:v>
                </c:pt>
                <c:pt idx="640">
                  <c:v>110.2045118522296</c:v>
                </c:pt>
                <c:pt idx="641">
                  <c:v>110.5794075167151</c:v>
                </c:pt>
                <c:pt idx="642">
                  <c:v>108.3803139893628</c:v>
                </c:pt>
                <c:pt idx="643">
                  <c:v>107.2057738490333</c:v>
                </c:pt>
                <c:pt idx="644">
                  <c:v>106.8308781845478</c:v>
                </c:pt>
                <c:pt idx="645">
                  <c:v>105.8937814608966</c:v>
                </c:pt>
                <c:pt idx="646">
                  <c:v>105.2565158062963</c:v>
                </c:pt>
                <c:pt idx="647">
                  <c:v>105.2066626594232</c:v>
                </c:pt>
                <c:pt idx="648">
                  <c:v>104.644319162695</c:v>
                </c:pt>
                <c:pt idx="649">
                  <c:v>104.3319535881446</c:v>
                </c:pt>
                <c:pt idx="650">
                  <c:v>101.2206899105777</c:v>
                </c:pt>
                <c:pt idx="651">
                  <c:v>98.70923080867501</c:v>
                </c:pt>
                <c:pt idx="652">
                  <c:v>101.2082978426407</c:v>
                </c:pt>
                <c:pt idx="653">
                  <c:v>102.4577601408423</c:v>
                </c:pt>
                <c:pt idx="654">
                  <c:v>104.0695835980298</c:v>
                </c:pt>
                <c:pt idx="655">
                  <c:v>105.2066626594232</c:v>
                </c:pt>
                <c:pt idx="656">
                  <c:v>107.6930527503269</c:v>
                </c:pt>
                <c:pt idx="657">
                  <c:v>108.5677618216055</c:v>
                </c:pt>
                <c:pt idx="658">
                  <c:v>109.4548629608211</c:v>
                </c:pt>
                <c:pt idx="659">
                  <c:v>111.0541519125092</c:v>
                </c:pt>
                <c:pt idx="660">
                  <c:v>110.554338505716</c:v>
                </c:pt>
                <c:pt idx="661">
                  <c:v>109.4548629608211</c:v>
                </c:pt>
                <c:pt idx="662">
                  <c:v>107.4681438391481</c:v>
                </c:pt>
                <c:pt idx="663">
                  <c:v>109.5297851186932</c:v>
                </c:pt>
                <c:pt idx="664">
                  <c:v>109.9546763676143</c:v>
                </c:pt>
                <c:pt idx="665">
                  <c:v>109.4548629608211</c:v>
                </c:pt>
                <c:pt idx="666">
                  <c:v>109.9546763676143</c:v>
                </c:pt>
                <c:pt idx="667">
                  <c:v>109.6297762875643</c:v>
                </c:pt>
                <c:pt idx="668">
                  <c:v>109.7046984454364</c:v>
                </c:pt>
                <c:pt idx="669">
                  <c:v>110.904307596765</c:v>
                </c:pt>
                <c:pt idx="670">
                  <c:v>111.1041474969447</c:v>
                </c:pt>
                <c:pt idx="671">
                  <c:v>111.3541254191225</c:v>
                </c:pt>
                <c:pt idx="672">
                  <c:v>110.5794075167151</c:v>
                </c:pt>
                <c:pt idx="673">
                  <c:v>109.2799496340779</c:v>
                </c:pt>
                <c:pt idx="674">
                  <c:v>107.5806695135187</c:v>
                </c:pt>
                <c:pt idx="675">
                  <c:v>109.9670684355513</c:v>
                </c:pt>
                <c:pt idx="676">
                  <c:v>109.6048497141278</c:v>
                </c:pt>
                <c:pt idx="677">
                  <c:v>111.1916041603163</c:v>
                </c:pt>
                <c:pt idx="678">
                  <c:v>111.4539741504312</c:v>
                </c:pt>
                <c:pt idx="679">
                  <c:v>112.3910708740824</c:v>
                </c:pt>
                <c:pt idx="680">
                  <c:v>112.4536009640174</c:v>
                </c:pt>
                <c:pt idx="681">
                  <c:v>115.5772567095214</c:v>
                </c:pt>
                <c:pt idx="682">
                  <c:v>117.0392358509647</c:v>
                </c:pt>
                <c:pt idx="683">
                  <c:v>114.5777723334976</c:v>
                </c:pt>
                <c:pt idx="684">
                  <c:v>120.2628827653398</c:v>
                </c:pt>
                <c:pt idx="685">
                  <c:v>121.199979488991</c:v>
                </c:pt>
                <c:pt idx="686">
                  <c:v>119.9505171907894</c:v>
                </c:pt>
                <c:pt idx="687">
                  <c:v>120.825226262068</c:v>
                </c:pt>
                <c:pt idx="688">
                  <c:v>116.8268614452854</c:v>
                </c:pt>
                <c:pt idx="689">
                  <c:v>116.0146824639419</c:v>
                </c:pt>
                <c:pt idx="690">
                  <c:v>115.9521523740069</c:v>
                </c:pt>
                <c:pt idx="691">
                  <c:v>116.7143357709148</c:v>
                </c:pt>
                <c:pt idx="692">
                  <c:v>115.7023168893915</c:v>
                </c:pt>
                <c:pt idx="693">
                  <c:v>115.5772567095214</c:v>
                </c:pt>
                <c:pt idx="694">
                  <c:v>115.3648823038421</c:v>
                </c:pt>
                <c:pt idx="695">
                  <c:v>115.252499067034</c:v>
                </c:pt>
                <c:pt idx="696">
                  <c:v>114.3277944113198</c:v>
                </c:pt>
                <c:pt idx="697">
                  <c:v>114.0779589267045</c:v>
                </c:pt>
                <c:pt idx="698">
                  <c:v>113.703063262219</c:v>
                </c:pt>
                <c:pt idx="699">
                  <c:v>114.9525255604206</c:v>
                </c:pt>
                <c:pt idx="700">
                  <c:v>114.9525255604206</c:v>
                </c:pt>
                <c:pt idx="701">
                  <c:v>114.502707738063</c:v>
                </c:pt>
                <c:pt idx="702">
                  <c:v>114.502707738063</c:v>
                </c:pt>
                <c:pt idx="703">
                  <c:v>115.3774168093416</c:v>
                </c:pt>
                <c:pt idx="704">
                  <c:v>115.264891134971</c:v>
                </c:pt>
                <c:pt idx="705">
                  <c:v>114.8276078181129</c:v>
                </c:pt>
                <c:pt idx="706">
                  <c:v>113.690671194282</c:v>
                </c:pt>
                <c:pt idx="707">
                  <c:v>113.2783144508605</c:v>
                </c:pt>
                <c:pt idx="708">
                  <c:v>114.9525255604206</c:v>
                </c:pt>
                <c:pt idx="709">
                  <c:v>112.3910708740824</c:v>
                </c:pt>
                <c:pt idx="710">
                  <c:v>105.2066626594232</c:v>
                </c:pt>
                <c:pt idx="711">
                  <c:v>102.4702946463418</c:v>
                </c:pt>
                <c:pt idx="712">
                  <c:v>99.9588355444391</c:v>
                </c:pt>
                <c:pt idx="713">
                  <c:v>99.33396195777581</c:v>
                </c:pt>
                <c:pt idx="714">
                  <c:v>99.4090265532104</c:v>
                </c:pt>
                <c:pt idx="715">
                  <c:v>103.407391369993</c:v>
                </c:pt>
                <c:pt idx="716">
                  <c:v>106.1604245778863</c:v>
                </c:pt>
                <c:pt idx="717">
                  <c:v>103.7036614999815</c:v>
                </c:pt>
                <c:pt idx="718">
                  <c:v>104.6913235583182</c:v>
                </c:pt>
                <c:pt idx="719">
                  <c:v>106.1604245778863</c:v>
                </c:pt>
                <c:pt idx="720">
                  <c:v>108.6419717916651</c:v>
                </c:pt>
                <c:pt idx="721">
                  <c:v>110.543085938279</c:v>
                </c:pt>
                <c:pt idx="722">
                  <c:v>110.9876335708242</c:v>
                </c:pt>
                <c:pt idx="723">
                  <c:v>113.5801396457863</c:v>
                </c:pt>
                <c:pt idx="724">
                  <c:v>112.024579025784</c:v>
                </c:pt>
                <c:pt idx="725">
                  <c:v>112.7159709541323</c:v>
                </c:pt>
                <c:pt idx="726">
                  <c:v>112.3456332916466</c:v>
                </c:pt>
                <c:pt idx="727">
                  <c:v>109.8764781458048</c:v>
                </c:pt>
                <c:pt idx="728">
                  <c:v>106.1728166458233</c:v>
                </c:pt>
                <c:pt idx="729">
                  <c:v>106.1728166458233</c:v>
                </c:pt>
                <c:pt idx="730">
                  <c:v>106.1728166458233</c:v>
                </c:pt>
                <c:pt idx="731">
                  <c:v>106.4196609416262</c:v>
                </c:pt>
                <c:pt idx="732">
                  <c:v>106.1604245778863</c:v>
                </c:pt>
                <c:pt idx="733">
                  <c:v>106.0493232791406</c:v>
                </c:pt>
                <c:pt idx="734">
                  <c:v>106.4196609416262</c:v>
                </c:pt>
                <c:pt idx="735">
                  <c:v>106.1728166458233</c:v>
                </c:pt>
                <c:pt idx="736">
                  <c:v>106.1728166458233</c:v>
                </c:pt>
                <c:pt idx="737">
                  <c:v>103.3333238374959</c:v>
                </c:pt>
                <c:pt idx="738">
                  <c:v>103.394999302056</c:v>
                </c:pt>
                <c:pt idx="739">
                  <c:v>102.4690127082793</c:v>
                </c:pt>
                <c:pt idx="740">
                  <c:v>102.4690127082793</c:v>
                </c:pt>
                <c:pt idx="741">
                  <c:v>101.8518307499907</c:v>
                </c:pt>
                <c:pt idx="742">
                  <c:v>101.8518307499907</c:v>
                </c:pt>
                <c:pt idx="743">
                  <c:v>101.987573747048</c:v>
                </c:pt>
                <c:pt idx="744">
                  <c:v>101.8394386820537</c:v>
                </c:pt>
                <c:pt idx="745">
                  <c:v>101.5431685520652</c:v>
                </c:pt>
                <c:pt idx="746">
                  <c:v>101.2345063541397</c:v>
                </c:pt>
                <c:pt idx="747">
                  <c:v>100.0</c:v>
                </c:pt>
                <c:pt idx="748">
                  <c:v>100.0</c:v>
                </c:pt>
              </c:numCache>
            </c:numRef>
          </c:val>
          <c:smooth val="0"/>
        </c:ser>
        <c:dLbls>
          <c:showLegendKey val="0"/>
          <c:showVal val="0"/>
          <c:showCatName val="0"/>
          <c:showSerName val="0"/>
          <c:showPercent val="0"/>
          <c:showBubbleSize val="0"/>
        </c:dLbls>
        <c:marker val="1"/>
        <c:smooth val="0"/>
        <c:axId val="2139964232"/>
        <c:axId val="2139990488"/>
      </c:lineChart>
      <c:dateAx>
        <c:axId val="2139964232"/>
        <c:scaling>
          <c:orientation val="minMax"/>
        </c:scaling>
        <c:delete val="0"/>
        <c:axPos val="b"/>
        <c:numFmt formatCode="m/d/yy" sourceLinked="1"/>
        <c:majorTickMark val="out"/>
        <c:minorTickMark val="none"/>
        <c:tickLblPos val="nextTo"/>
        <c:crossAx val="2139990488"/>
        <c:crossesAt val="80.0"/>
        <c:auto val="1"/>
        <c:lblOffset val="100"/>
        <c:baseTimeUnit val="days"/>
      </c:dateAx>
      <c:valAx>
        <c:axId val="2139990488"/>
        <c:scaling>
          <c:orientation val="minMax"/>
          <c:max val="200.0"/>
          <c:min val="80.0"/>
        </c:scaling>
        <c:delete val="0"/>
        <c:axPos val="l"/>
        <c:majorGridlines/>
        <c:numFmt formatCode="0.00" sourceLinked="1"/>
        <c:majorTickMark val="out"/>
        <c:minorTickMark val="none"/>
        <c:tickLblPos val="nextTo"/>
        <c:crossAx val="2139964232"/>
        <c:crosses val="autoZero"/>
        <c:crossBetween val="between"/>
        <c:majorUnit val="20.0"/>
        <c:minorUnit val="4.0"/>
      </c:valAx>
    </c:plotArea>
    <c:legend>
      <c:legendPos val="b"/>
      <c:layout/>
      <c:overlay val="0"/>
      <c:txPr>
        <a:bodyPr/>
        <a:lstStyle/>
        <a:p>
          <a:pPr>
            <a:defRPr sz="1200" b="1"/>
          </a:pPr>
          <a:endParaRPr lang="en-US"/>
        </a:p>
      </c:txPr>
    </c:legend>
    <c:plotVisOnly val="1"/>
    <c:dispBlanksAs val="gap"/>
    <c:showDLblsOverMax val="0"/>
  </c:chart>
  <c:spPr>
    <a:ln>
      <a:noFill/>
    </a:ln>
  </c:spPr>
  <c:printSettings>
    <c:headerFooter/>
    <c:pageMargins b="1.0" l="0.75" r="0.75" t="1.0"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Oceana Stock Performance </a:t>
            </a:r>
          </a:p>
        </c:rich>
      </c:tx>
      <c:overlay val="0"/>
    </c:title>
    <c:autoTitleDeleted val="0"/>
    <c:plotArea>
      <c:layout/>
      <c:lineChart>
        <c:grouping val="standard"/>
        <c:varyColors val="0"/>
        <c:ser>
          <c:idx val="0"/>
          <c:order val="0"/>
          <c:spPr>
            <a:ln w="12700">
              <a:solidFill>
                <a:schemeClr val="tx2">
                  <a:lumMod val="50000"/>
                </a:schemeClr>
              </a:solidFill>
            </a:ln>
          </c:spPr>
          <c:marker>
            <c:symbol val="none"/>
          </c:marker>
          <c:cat>
            <c:numRef>
              <c:f>'4g. Oceana Stock'!$A$9:$A$2757</c:f>
              <c:numCache>
                <c:formatCode>m/d/yy</c:formatCode>
                <c:ptCount val="2749"/>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49">
                  <c:v>41397.0</c:v>
                </c:pt>
                <c:pt idx="750">
                  <c:v>41396.0</c:v>
                </c:pt>
                <c:pt idx="751">
                  <c:v>41394.0</c:v>
                </c:pt>
                <c:pt idx="752">
                  <c:v>41393.0</c:v>
                </c:pt>
                <c:pt idx="753">
                  <c:v>41390.0</c:v>
                </c:pt>
                <c:pt idx="754">
                  <c:v>41389.0</c:v>
                </c:pt>
                <c:pt idx="755">
                  <c:v>41388.0</c:v>
                </c:pt>
                <c:pt idx="756">
                  <c:v>41387.0</c:v>
                </c:pt>
                <c:pt idx="757">
                  <c:v>41386.0</c:v>
                </c:pt>
                <c:pt idx="758">
                  <c:v>41383.0</c:v>
                </c:pt>
                <c:pt idx="759">
                  <c:v>41382.0</c:v>
                </c:pt>
                <c:pt idx="760">
                  <c:v>41381.0</c:v>
                </c:pt>
                <c:pt idx="761">
                  <c:v>41380.0</c:v>
                </c:pt>
                <c:pt idx="762">
                  <c:v>41379.0</c:v>
                </c:pt>
                <c:pt idx="763">
                  <c:v>41376.0</c:v>
                </c:pt>
                <c:pt idx="764">
                  <c:v>41375.0</c:v>
                </c:pt>
                <c:pt idx="765">
                  <c:v>41374.0</c:v>
                </c:pt>
                <c:pt idx="766">
                  <c:v>41373.0</c:v>
                </c:pt>
                <c:pt idx="767">
                  <c:v>41372.0</c:v>
                </c:pt>
                <c:pt idx="768">
                  <c:v>41369.0</c:v>
                </c:pt>
                <c:pt idx="769">
                  <c:v>41368.0</c:v>
                </c:pt>
                <c:pt idx="770">
                  <c:v>41367.0</c:v>
                </c:pt>
                <c:pt idx="771">
                  <c:v>41366.0</c:v>
                </c:pt>
                <c:pt idx="772">
                  <c:v>41361.0</c:v>
                </c:pt>
                <c:pt idx="773">
                  <c:v>41360.0</c:v>
                </c:pt>
                <c:pt idx="774">
                  <c:v>41359.0</c:v>
                </c:pt>
                <c:pt idx="775">
                  <c:v>41358.0</c:v>
                </c:pt>
                <c:pt idx="776">
                  <c:v>41355.0</c:v>
                </c:pt>
                <c:pt idx="777">
                  <c:v>41353.0</c:v>
                </c:pt>
                <c:pt idx="778">
                  <c:v>41352.0</c:v>
                </c:pt>
                <c:pt idx="779">
                  <c:v>41351.0</c:v>
                </c:pt>
                <c:pt idx="780">
                  <c:v>41348.0</c:v>
                </c:pt>
                <c:pt idx="781">
                  <c:v>41347.0</c:v>
                </c:pt>
                <c:pt idx="782">
                  <c:v>41346.0</c:v>
                </c:pt>
                <c:pt idx="783">
                  <c:v>41345.0</c:v>
                </c:pt>
                <c:pt idx="784">
                  <c:v>41344.0</c:v>
                </c:pt>
                <c:pt idx="785">
                  <c:v>41341.0</c:v>
                </c:pt>
                <c:pt idx="786">
                  <c:v>41340.0</c:v>
                </c:pt>
                <c:pt idx="787">
                  <c:v>41339.0</c:v>
                </c:pt>
                <c:pt idx="788">
                  <c:v>41338.0</c:v>
                </c:pt>
                <c:pt idx="789">
                  <c:v>41337.0</c:v>
                </c:pt>
                <c:pt idx="790">
                  <c:v>41334.0</c:v>
                </c:pt>
                <c:pt idx="791">
                  <c:v>41333.0</c:v>
                </c:pt>
                <c:pt idx="792">
                  <c:v>41332.0</c:v>
                </c:pt>
                <c:pt idx="793">
                  <c:v>41331.0</c:v>
                </c:pt>
                <c:pt idx="794">
                  <c:v>41330.0</c:v>
                </c:pt>
                <c:pt idx="795">
                  <c:v>41327.0</c:v>
                </c:pt>
                <c:pt idx="796">
                  <c:v>41326.0</c:v>
                </c:pt>
                <c:pt idx="797">
                  <c:v>41325.0</c:v>
                </c:pt>
                <c:pt idx="798">
                  <c:v>41324.0</c:v>
                </c:pt>
                <c:pt idx="799">
                  <c:v>41323.0</c:v>
                </c:pt>
                <c:pt idx="800">
                  <c:v>41320.0</c:v>
                </c:pt>
                <c:pt idx="801">
                  <c:v>41319.0</c:v>
                </c:pt>
                <c:pt idx="802">
                  <c:v>41318.0</c:v>
                </c:pt>
                <c:pt idx="803">
                  <c:v>41317.0</c:v>
                </c:pt>
                <c:pt idx="804">
                  <c:v>41316.0</c:v>
                </c:pt>
                <c:pt idx="805">
                  <c:v>41313.0</c:v>
                </c:pt>
                <c:pt idx="806">
                  <c:v>41312.0</c:v>
                </c:pt>
                <c:pt idx="807">
                  <c:v>41311.0</c:v>
                </c:pt>
                <c:pt idx="808">
                  <c:v>41310.0</c:v>
                </c:pt>
                <c:pt idx="809">
                  <c:v>41309.0</c:v>
                </c:pt>
                <c:pt idx="810">
                  <c:v>41306.0</c:v>
                </c:pt>
                <c:pt idx="811">
                  <c:v>41305.0</c:v>
                </c:pt>
                <c:pt idx="812">
                  <c:v>41304.0</c:v>
                </c:pt>
                <c:pt idx="813">
                  <c:v>41303.0</c:v>
                </c:pt>
                <c:pt idx="814">
                  <c:v>41302.0</c:v>
                </c:pt>
                <c:pt idx="815">
                  <c:v>41299.0</c:v>
                </c:pt>
                <c:pt idx="816">
                  <c:v>41298.0</c:v>
                </c:pt>
                <c:pt idx="817">
                  <c:v>41297.0</c:v>
                </c:pt>
                <c:pt idx="818">
                  <c:v>41296.0</c:v>
                </c:pt>
                <c:pt idx="819">
                  <c:v>41295.0</c:v>
                </c:pt>
                <c:pt idx="820">
                  <c:v>41292.0</c:v>
                </c:pt>
                <c:pt idx="821">
                  <c:v>41291.0</c:v>
                </c:pt>
                <c:pt idx="822">
                  <c:v>41290.0</c:v>
                </c:pt>
                <c:pt idx="823">
                  <c:v>41289.0</c:v>
                </c:pt>
                <c:pt idx="824">
                  <c:v>41288.0</c:v>
                </c:pt>
                <c:pt idx="825">
                  <c:v>41285.0</c:v>
                </c:pt>
                <c:pt idx="826">
                  <c:v>41284.0</c:v>
                </c:pt>
                <c:pt idx="827">
                  <c:v>41283.0</c:v>
                </c:pt>
                <c:pt idx="828">
                  <c:v>41282.0</c:v>
                </c:pt>
                <c:pt idx="829">
                  <c:v>41281.0</c:v>
                </c:pt>
                <c:pt idx="830">
                  <c:v>41278.0</c:v>
                </c:pt>
                <c:pt idx="831">
                  <c:v>41277.0</c:v>
                </c:pt>
                <c:pt idx="832">
                  <c:v>41276.0</c:v>
                </c:pt>
                <c:pt idx="833">
                  <c:v>41274.0</c:v>
                </c:pt>
                <c:pt idx="834">
                  <c:v>41271.0</c:v>
                </c:pt>
                <c:pt idx="835">
                  <c:v>41270.0</c:v>
                </c:pt>
                <c:pt idx="836">
                  <c:v>41267.0</c:v>
                </c:pt>
                <c:pt idx="837">
                  <c:v>41264.0</c:v>
                </c:pt>
                <c:pt idx="838">
                  <c:v>41263.0</c:v>
                </c:pt>
                <c:pt idx="839">
                  <c:v>41262.0</c:v>
                </c:pt>
                <c:pt idx="840">
                  <c:v>41261.0</c:v>
                </c:pt>
                <c:pt idx="841">
                  <c:v>41257.0</c:v>
                </c:pt>
                <c:pt idx="842">
                  <c:v>41256.0</c:v>
                </c:pt>
                <c:pt idx="843">
                  <c:v>41255.0</c:v>
                </c:pt>
                <c:pt idx="844">
                  <c:v>41254.0</c:v>
                </c:pt>
                <c:pt idx="845">
                  <c:v>41253.0</c:v>
                </c:pt>
                <c:pt idx="846">
                  <c:v>41250.0</c:v>
                </c:pt>
                <c:pt idx="847">
                  <c:v>41249.0</c:v>
                </c:pt>
                <c:pt idx="848">
                  <c:v>41248.0</c:v>
                </c:pt>
                <c:pt idx="849">
                  <c:v>41247.0</c:v>
                </c:pt>
                <c:pt idx="850">
                  <c:v>41246.0</c:v>
                </c:pt>
                <c:pt idx="851">
                  <c:v>41243.0</c:v>
                </c:pt>
                <c:pt idx="852">
                  <c:v>41242.0</c:v>
                </c:pt>
                <c:pt idx="853">
                  <c:v>41241.0</c:v>
                </c:pt>
                <c:pt idx="854">
                  <c:v>41240.0</c:v>
                </c:pt>
                <c:pt idx="855">
                  <c:v>41239.0</c:v>
                </c:pt>
                <c:pt idx="856">
                  <c:v>41236.0</c:v>
                </c:pt>
                <c:pt idx="857">
                  <c:v>41235.0</c:v>
                </c:pt>
                <c:pt idx="858">
                  <c:v>41234.0</c:v>
                </c:pt>
                <c:pt idx="859">
                  <c:v>41233.0</c:v>
                </c:pt>
                <c:pt idx="860">
                  <c:v>41232.0</c:v>
                </c:pt>
                <c:pt idx="861">
                  <c:v>41229.0</c:v>
                </c:pt>
                <c:pt idx="862">
                  <c:v>41228.0</c:v>
                </c:pt>
                <c:pt idx="863">
                  <c:v>41227.0</c:v>
                </c:pt>
                <c:pt idx="864">
                  <c:v>41226.0</c:v>
                </c:pt>
                <c:pt idx="865">
                  <c:v>41225.0</c:v>
                </c:pt>
                <c:pt idx="866">
                  <c:v>41222.0</c:v>
                </c:pt>
                <c:pt idx="867">
                  <c:v>41221.0</c:v>
                </c:pt>
                <c:pt idx="868">
                  <c:v>41220.0</c:v>
                </c:pt>
                <c:pt idx="869">
                  <c:v>41219.0</c:v>
                </c:pt>
                <c:pt idx="870">
                  <c:v>41218.0</c:v>
                </c:pt>
                <c:pt idx="871">
                  <c:v>41215.0</c:v>
                </c:pt>
                <c:pt idx="872">
                  <c:v>41214.0</c:v>
                </c:pt>
                <c:pt idx="873">
                  <c:v>41213.0</c:v>
                </c:pt>
                <c:pt idx="874">
                  <c:v>41212.0</c:v>
                </c:pt>
                <c:pt idx="875">
                  <c:v>41211.0</c:v>
                </c:pt>
                <c:pt idx="876">
                  <c:v>41208.0</c:v>
                </c:pt>
                <c:pt idx="877">
                  <c:v>41207.0</c:v>
                </c:pt>
                <c:pt idx="878">
                  <c:v>41206.0</c:v>
                </c:pt>
                <c:pt idx="879">
                  <c:v>41205.0</c:v>
                </c:pt>
                <c:pt idx="880">
                  <c:v>41204.0</c:v>
                </c:pt>
                <c:pt idx="881">
                  <c:v>41201.0</c:v>
                </c:pt>
                <c:pt idx="882">
                  <c:v>41200.0</c:v>
                </c:pt>
                <c:pt idx="883">
                  <c:v>41199.0</c:v>
                </c:pt>
                <c:pt idx="884">
                  <c:v>41198.0</c:v>
                </c:pt>
                <c:pt idx="885">
                  <c:v>41197.0</c:v>
                </c:pt>
                <c:pt idx="886">
                  <c:v>41194.0</c:v>
                </c:pt>
                <c:pt idx="887">
                  <c:v>41193.0</c:v>
                </c:pt>
                <c:pt idx="888">
                  <c:v>41192.0</c:v>
                </c:pt>
                <c:pt idx="889">
                  <c:v>41191.0</c:v>
                </c:pt>
                <c:pt idx="890">
                  <c:v>41190.0</c:v>
                </c:pt>
                <c:pt idx="891">
                  <c:v>41187.0</c:v>
                </c:pt>
                <c:pt idx="892">
                  <c:v>41186.0</c:v>
                </c:pt>
                <c:pt idx="893">
                  <c:v>41185.0</c:v>
                </c:pt>
                <c:pt idx="894">
                  <c:v>41184.0</c:v>
                </c:pt>
                <c:pt idx="895">
                  <c:v>41183.0</c:v>
                </c:pt>
                <c:pt idx="896">
                  <c:v>41180.0</c:v>
                </c:pt>
                <c:pt idx="897">
                  <c:v>41179.0</c:v>
                </c:pt>
                <c:pt idx="898">
                  <c:v>41178.0</c:v>
                </c:pt>
                <c:pt idx="899">
                  <c:v>41177.0</c:v>
                </c:pt>
                <c:pt idx="900">
                  <c:v>41173.0</c:v>
                </c:pt>
                <c:pt idx="901">
                  <c:v>41172.0</c:v>
                </c:pt>
                <c:pt idx="902">
                  <c:v>41171.0</c:v>
                </c:pt>
                <c:pt idx="903">
                  <c:v>41170.0</c:v>
                </c:pt>
                <c:pt idx="904">
                  <c:v>41169.0</c:v>
                </c:pt>
                <c:pt idx="905">
                  <c:v>41166.0</c:v>
                </c:pt>
                <c:pt idx="906">
                  <c:v>41165.0</c:v>
                </c:pt>
                <c:pt idx="907">
                  <c:v>41164.0</c:v>
                </c:pt>
                <c:pt idx="908">
                  <c:v>41163.0</c:v>
                </c:pt>
                <c:pt idx="909">
                  <c:v>41162.0</c:v>
                </c:pt>
                <c:pt idx="910">
                  <c:v>41159.0</c:v>
                </c:pt>
                <c:pt idx="911">
                  <c:v>41158.0</c:v>
                </c:pt>
                <c:pt idx="912">
                  <c:v>41157.0</c:v>
                </c:pt>
                <c:pt idx="913">
                  <c:v>41156.0</c:v>
                </c:pt>
                <c:pt idx="914">
                  <c:v>41155.0</c:v>
                </c:pt>
                <c:pt idx="915">
                  <c:v>41152.0</c:v>
                </c:pt>
                <c:pt idx="916">
                  <c:v>41151.0</c:v>
                </c:pt>
                <c:pt idx="917">
                  <c:v>41150.0</c:v>
                </c:pt>
                <c:pt idx="918">
                  <c:v>41149.0</c:v>
                </c:pt>
                <c:pt idx="919">
                  <c:v>41148.0</c:v>
                </c:pt>
                <c:pt idx="920">
                  <c:v>41145.0</c:v>
                </c:pt>
                <c:pt idx="921">
                  <c:v>41144.0</c:v>
                </c:pt>
                <c:pt idx="922">
                  <c:v>41143.0</c:v>
                </c:pt>
                <c:pt idx="923">
                  <c:v>41142.0</c:v>
                </c:pt>
                <c:pt idx="924">
                  <c:v>41141.0</c:v>
                </c:pt>
                <c:pt idx="925">
                  <c:v>41138.0</c:v>
                </c:pt>
                <c:pt idx="926">
                  <c:v>41137.0</c:v>
                </c:pt>
                <c:pt idx="927">
                  <c:v>41136.0</c:v>
                </c:pt>
                <c:pt idx="928">
                  <c:v>41135.0</c:v>
                </c:pt>
                <c:pt idx="929">
                  <c:v>41134.0</c:v>
                </c:pt>
                <c:pt idx="930">
                  <c:v>41131.0</c:v>
                </c:pt>
                <c:pt idx="931">
                  <c:v>41129.0</c:v>
                </c:pt>
                <c:pt idx="932">
                  <c:v>41128.0</c:v>
                </c:pt>
                <c:pt idx="933">
                  <c:v>41127.0</c:v>
                </c:pt>
                <c:pt idx="934">
                  <c:v>41124.0</c:v>
                </c:pt>
                <c:pt idx="935">
                  <c:v>41123.0</c:v>
                </c:pt>
                <c:pt idx="936">
                  <c:v>41122.0</c:v>
                </c:pt>
                <c:pt idx="937">
                  <c:v>41121.0</c:v>
                </c:pt>
                <c:pt idx="938">
                  <c:v>41120.0</c:v>
                </c:pt>
                <c:pt idx="939">
                  <c:v>41117.0</c:v>
                </c:pt>
                <c:pt idx="940">
                  <c:v>41116.0</c:v>
                </c:pt>
                <c:pt idx="941">
                  <c:v>41115.0</c:v>
                </c:pt>
                <c:pt idx="942">
                  <c:v>41114.0</c:v>
                </c:pt>
                <c:pt idx="943">
                  <c:v>41113.0</c:v>
                </c:pt>
                <c:pt idx="944">
                  <c:v>41110.0</c:v>
                </c:pt>
                <c:pt idx="945">
                  <c:v>41109.0</c:v>
                </c:pt>
                <c:pt idx="946">
                  <c:v>41108.0</c:v>
                </c:pt>
                <c:pt idx="947">
                  <c:v>41107.0</c:v>
                </c:pt>
                <c:pt idx="948">
                  <c:v>41106.0</c:v>
                </c:pt>
                <c:pt idx="949">
                  <c:v>41103.0</c:v>
                </c:pt>
                <c:pt idx="950">
                  <c:v>41102.0</c:v>
                </c:pt>
                <c:pt idx="951">
                  <c:v>41101.0</c:v>
                </c:pt>
                <c:pt idx="952">
                  <c:v>41100.0</c:v>
                </c:pt>
                <c:pt idx="953">
                  <c:v>41099.0</c:v>
                </c:pt>
                <c:pt idx="954">
                  <c:v>41096.0</c:v>
                </c:pt>
                <c:pt idx="955">
                  <c:v>41095.0</c:v>
                </c:pt>
                <c:pt idx="956">
                  <c:v>41094.0</c:v>
                </c:pt>
                <c:pt idx="957">
                  <c:v>41093.0</c:v>
                </c:pt>
                <c:pt idx="958">
                  <c:v>41092.0</c:v>
                </c:pt>
                <c:pt idx="959">
                  <c:v>41089.0</c:v>
                </c:pt>
                <c:pt idx="960">
                  <c:v>41088.0</c:v>
                </c:pt>
                <c:pt idx="961">
                  <c:v>41087.0</c:v>
                </c:pt>
                <c:pt idx="962">
                  <c:v>41086.0</c:v>
                </c:pt>
                <c:pt idx="963">
                  <c:v>41085.0</c:v>
                </c:pt>
                <c:pt idx="964">
                  <c:v>41082.0</c:v>
                </c:pt>
                <c:pt idx="965">
                  <c:v>41081.0</c:v>
                </c:pt>
                <c:pt idx="966">
                  <c:v>41080.0</c:v>
                </c:pt>
                <c:pt idx="967">
                  <c:v>41079.0</c:v>
                </c:pt>
                <c:pt idx="968">
                  <c:v>41078.0</c:v>
                </c:pt>
                <c:pt idx="969">
                  <c:v>41075.0</c:v>
                </c:pt>
                <c:pt idx="970">
                  <c:v>41074.0</c:v>
                </c:pt>
                <c:pt idx="971">
                  <c:v>41073.0</c:v>
                </c:pt>
                <c:pt idx="972">
                  <c:v>41072.0</c:v>
                </c:pt>
                <c:pt idx="973">
                  <c:v>41071.0</c:v>
                </c:pt>
                <c:pt idx="974">
                  <c:v>41068.0</c:v>
                </c:pt>
                <c:pt idx="975">
                  <c:v>41067.0</c:v>
                </c:pt>
                <c:pt idx="976">
                  <c:v>41066.0</c:v>
                </c:pt>
                <c:pt idx="977">
                  <c:v>41065.0</c:v>
                </c:pt>
                <c:pt idx="978">
                  <c:v>41064.0</c:v>
                </c:pt>
                <c:pt idx="979">
                  <c:v>41061.0</c:v>
                </c:pt>
                <c:pt idx="980">
                  <c:v>41060.0</c:v>
                </c:pt>
                <c:pt idx="981">
                  <c:v>41059.0</c:v>
                </c:pt>
                <c:pt idx="982">
                  <c:v>41058.0</c:v>
                </c:pt>
                <c:pt idx="983">
                  <c:v>41057.0</c:v>
                </c:pt>
                <c:pt idx="984">
                  <c:v>41054.0</c:v>
                </c:pt>
                <c:pt idx="985">
                  <c:v>41053.0</c:v>
                </c:pt>
                <c:pt idx="986">
                  <c:v>41052.0</c:v>
                </c:pt>
                <c:pt idx="987">
                  <c:v>41051.0</c:v>
                </c:pt>
                <c:pt idx="988">
                  <c:v>41050.0</c:v>
                </c:pt>
                <c:pt idx="989">
                  <c:v>41047.0</c:v>
                </c:pt>
                <c:pt idx="990">
                  <c:v>41046.0</c:v>
                </c:pt>
                <c:pt idx="991">
                  <c:v>41045.0</c:v>
                </c:pt>
                <c:pt idx="992">
                  <c:v>41044.0</c:v>
                </c:pt>
                <c:pt idx="993">
                  <c:v>41043.0</c:v>
                </c:pt>
                <c:pt idx="994">
                  <c:v>41040.0</c:v>
                </c:pt>
                <c:pt idx="995">
                  <c:v>41039.0</c:v>
                </c:pt>
                <c:pt idx="996">
                  <c:v>41038.0</c:v>
                </c:pt>
                <c:pt idx="997">
                  <c:v>41037.0</c:v>
                </c:pt>
                <c:pt idx="998">
                  <c:v>41036.0</c:v>
                </c:pt>
                <c:pt idx="999">
                  <c:v>41033.0</c:v>
                </c:pt>
                <c:pt idx="1000">
                  <c:v>41032.0</c:v>
                </c:pt>
                <c:pt idx="1001">
                  <c:v>41031.0</c:v>
                </c:pt>
                <c:pt idx="1002">
                  <c:v>41029.0</c:v>
                </c:pt>
                <c:pt idx="1003">
                  <c:v>41025.0</c:v>
                </c:pt>
                <c:pt idx="1004">
                  <c:v>41024.0</c:v>
                </c:pt>
                <c:pt idx="1005">
                  <c:v>41023.0</c:v>
                </c:pt>
                <c:pt idx="1006">
                  <c:v>41022.0</c:v>
                </c:pt>
                <c:pt idx="1007">
                  <c:v>41019.0</c:v>
                </c:pt>
                <c:pt idx="1008">
                  <c:v>41018.0</c:v>
                </c:pt>
                <c:pt idx="1009">
                  <c:v>41017.0</c:v>
                </c:pt>
                <c:pt idx="1010">
                  <c:v>41016.0</c:v>
                </c:pt>
                <c:pt idx="1011">
                  <c:v>41015.0</c:v>
                </c:pt>
                <c:pt idx="1012">
                  <c:v>41012.0</c:v>
                </c:pt>
                <c:pt idx="1013">
                  <c:v>41011.0</c:v>
                </c:pt>
                <c:pt idx="1014">
                  <c:v>41010.0</c:v>
                </c:pt>
                <c:pt idx="1015">
                  <c:v>41009.0</c:v>
                </c:pt>
                <c:pt idx="1016">
                  <c:v>41004.0</c:v>
                </c:pt>
                <c:pt idx="1017">
                  <c:v>41003.0</c:v>
                </c:pt>
                <c:pt idx="1018">
                  <c:v>41002.0</c:v>
                </c:pt>
                <c:pt idx="1019">
                  <c:v>41001.0</c:v>
                </c:pt>
                <c:pt idx="1020">
                  <c:v>40998.0</c:v>
                </c:pt>
                <c:pt idx="1021">
                  <c:v>40997.0</c:v>
                </c:pt>
                <c:pt idx="1022">
                  <c:v>40996.0</c:v>
                </c:pt>
                <c:pt idx="1023">
                  <c:v>40995.0</c:v>
                </c:pt>
                <c:pt idx="1024">
                  <c:v>40994.0</c:v>
                </c:pt>
                <c:pt idx="1025">
                  <c:v>40991.0</c:v>
                </c:pt>
                <c:pt idx="1026">
                  <c:v>40990.0</c:v>
                </c:pt>
                <c:pt idx="1027">
                  <c:v>40988.0</c:v>
                </c:pt>
                <c:pt idx="1028">
                  <c:v>40987.0</c:v>
                </c:pt>
                <c:pt idx="1029">
                  <c:v>40984.0</c:v>
                </c:pt>
                <c:pt idx="1030">
                  <c:v>40983.0</c:v>
                </c:pt>
                <c:pt idx="1031">
                  <c:v>40982.0</c:v>
                </c:pt>
                <c:pt idx="1032">
                  <c:v>40981.0</c:v>
                </c:pt>
                <c:pt idx="1033">
                  <c:v>40980.0</c:v>
                </c:pt>
                <c:pt idx="1034">
                  <c:v>40977.0</c:v>
                </c:pt>
                <c:pt idx="1035">
                  <c:v>40976.0</c:v>
                </c:pt>
                <c:pt idx="1036">
                  <c:v>40975.0</c:v>
                </c:pt>
                <c:pt idx="1037">
                  <c:v>40974.0</c:v>
                </c:pt>
                <c:pt idx="1038">
                  <c:v>40973.0</c:v>
                </c:pt>
                <c:pt idx="1039">
                  <c:v>40970.0</c:v>
                </c:pt>
                <c:pt idx="1040">
                  <c:v>40969.0</c:v>
                </c:pt>
                <c:pt idx="1041">
                  <c:v>40968.0</c:v>
                </c:pt>
                <c:pt idx="1042">
                  <c:v>40967.0</c:v>
                </c:pt>
                <c:pt idx="1043">
                  <c:v>40966.0</c:v>
                </c:pt>
                <c:pt idx="1044">
                  <c:v>40963.0</c:v>
                </c:pt>
                <c:pt idx="1045">
                  <c:v>40962.0</c:v>
                </c:pt>
                <c:pt idx="1046">
                  <c:v>40961.0</c:v>
                </c:pt>
                <c:pt idx="1047">
                  <c:v>40960.0</c:v>
                </c:pt>
                <c:pt idx="1048">
                  <c:v>40959.0</c:v>
                </c:pt>
                <c:pt idx="1049">
                  <c:v>40956.0</c:v>
                </c:pt>
                <c:pt idx="1050">
                  <c:v>40955.0</c:v>
                </c:pt>
                <c:pt idx="1051">
                  <c:v>40954.0</c:v>
                </c:pt>
                <c:pt idx="1052">
                  <c:v>40953.0</c:v>
                </c:pt>
                <c:pt idx="1053">
                  <c:v>40952.0</c:v>
                </c:pt>
                <c:pt idx="1054">
                  <c:v>40949.0</c:v>
                </c:pt>
                <c:pt idx="1055">
                  <c:v>40948.0</c:v>
                </c:pt>
                <c:pt idx="1056">
                  <c:v>40947.0</c:v>
                </c:pt>
                <c:pt idx="1057">
                  <c:v>40946.0</c:v>
                </c:pt>
                <c:pt idx="1058">
                  <c:v>40945.0</c:v>
                </c:pt>
                <c:pt idx="1059">
                  <c:v>40942.0</c:v>
                </c:pt>
                <c:pt idx="1060">
                  <c:v>40941.0</c:v>
                </c:pt>
                <c:pt idx="1061">
                  <c:v>40940.0</c:v>
                </c:pt>
                <c:pt idx="1062">
                  <c:v>40939.0</c:v>
                </c:pt>
                <c:pt idx="1063">
                  <c:v>40938.0</c:v>
                </c:pt>
                <c:pt idx="1064">
                  <c:v>40935.0</c:v>
                </c:pt>
                <c:pt idx="1065">
                  <c:v>40934.0</c:v>
                </c:pt>
                <c:pt idx="1066">
                  <c:v>40933.0</c:v>
                </c:pt>
                <c:pt idx="1067">
                  <c:v>40932.0</c:v>
                </c:pt>
                <c:pt idx="1068">
                  <c:v>40931.0</c:v>
                </c:pt>
                <c:pt idx="1069">
                  <c:v>40928.0</c:v>
                </c:pt>
                <c:pt idx="1070">
                  <c:v>40927.0</c:v>
                </c:pt>
                <c:pt idx="1071">
                  <c:v>40926.0</c:v>
                </c:pt>
                <c:pt idx="1072">
                  <c:v>40925.0</c:v>
                </c:pt>
                <c:pt idx="1073">
                  <c:v>40924.0</c:v>
                </c:pt>
                <c:pt idx="1074">
                  <c:v>40921.0</c:v>
                </c:pt>
                <c:pt idx="1075">
                  <c:v>40920.0</c:v>
                </c:pt>
                <c:pt idx="1076">
                  <c:v>40919.0</c:v>
                </c:pt>
                <c:pt idx="1077">
                  <c:v>40918.0</c:v>
                </c:pt>
                <c:pt idx="1078">
                  <c:v>40917.0</c:v>
                </c:pt>
                <c:pt idx="1079">
                  <c:v>40914.0</c:v>
                </c:pt>
                <c:pt idx="1080">
                  <c:v>40913.0</c:v>
                </c:pt>
                <c:pt idx="1081">
                  <c:v>40912.0</c:v>
                </c:pt>
                <c:pt idx="1082">
                  <c:v>40911.0</c:v>
                </c:pt>
                <c:pt idx="1083">
                  <c:v>40907.0</c:v>
                </c:pt>
                <c:pt idx="1084">
                  <c:v>40906.0</c:v>
                </c:pt>
                <c:pt idx="1085">
                  <c:v>40905.0</c:v>
                </c:pt>
                <c:pt idx="1086">
                  <c:v>40900.0</c:v>
                </c:pt>
                <c:pt idx="1087">
                  <c:v>40899.0</c:v>
                </c:pt>
                <c:pt idx="1088">
                  <c:v>40898.0</c:v>
                </c:pt>
                <c:pt idx="1089">
                  <c:v>40897.0</c:v>
                </c:pt>
                <c:pt idx="1090">
                  <c:v>40896.0</c:v>
                </c:pt>
                <c:pt idx="1091">
                  <c:v>40892.0</c:v>
                </c:pt>
                <c:pt idx="1092">
                  <c:v>40891.0</c:v>
                </c:pt>
                <c:pt idx="1093">
                  <c:v>40890.0</c:v>
                </c:pt>
                <c:pt idx="1094">
                  <c:v>40889.0</c:v>
                </c:pt>
                <c:pt idx="1095">
                  <c:v>40886.0</c:v>
                </c:pt>
                <c:pt idx="1096">
                  <c:v>40885.0</c:v>
                </c:pt>
                <c:pt idx="1097">
                  <c:v>40884.0</c:v>
                </c:pt>
                <c:pt idx="1098">
                  <c:v>40883.0</c:v>
                </c:pt>
                <c:pt idx="1099">
                  <c:v>40882.0</c:v>
                </c:pt>
                <c:pt idx="1100">
                  <c:v>40879.0</c:v>
                </c:pt>
                <c:pt idx="1101">
                  <c:v>40878.0</c:v>
                </c:pt>
                <c:pt idx="1102">
                  <c:v>40877.0</c:v>
                </c:pt>
                <c:pt idx="1103">
                  <c:v>40876.0</c:v>
                </c:pt>
                <c:pt idx="1104">
                  <c:v>40875.0</c:v>
                </c:pt>
                <c:pt idx="1105">
                  <c:v>40872.0</c:v>
                </c:pt>
                <c:pt idx="1106">
                  <c:v>40871.0</c:v>
                </c:pt>
                <c:pt idx="1107">
                  <c:v>40870.0</c:v>
                </c:pt>
                <c:pt idx="1108">
                  <c:v>40869.0</c:v>
                </c:pt>
                <c:pt idx="1109">
                  <c:v>40868.0</c:v>
                </c:pt>
                <c:pt idx="1110">
                  <c:v>40865.0</c:v>
                </c:pt>
                <c:pt idx="1111">
                  <c:v>40864.0</c:v>
                </c:pt>
                <c:pt idx="1112">
                  <c:v>40863.0</c:v>
                </c:pt>
                <c:pt idx="1113">
                  <c:v>40862.0</c:v>
                </c:pt>
                <c:pt idx="1114">
                  <c:v>40861.0</c:v>
                </c:pt>
                <c:pt idx="1115">
                  <c:v>40858.0</c:v>
                </c:pt>
                <c:pt idx="1116">
                  <c:v>40857.0</c:v>
                </c:pt>
                <c:pt idx="1117">
                  <c:v>40856.0</c:v>
                </c:pt>
                <c:pt idx="1118">
                  <c:v>40855.0</c:v>
                </c:pt>
                <c:pt idx="1119">
                  <c:v>40854.0</c:v>
                </c:pt>
                <c:pt idx="1120">
                  <c:v>40851.0</c:v>
                </c:pt>
                <c:pt idx="1121">
                  <c:v>40850.0</c:v>
                </c:pt>
                <c:pt idx="1122">
                  <c:v>40849.0</c:v>
                </c:pt>
                <c:pt idx="1123">
                  <c:v>40848.0</c:v>
                </c:pt>
                <c:pt idx="1124">
                  <c:v>40847.0</c:v>
                </c:pt>
                <c:pt idx="1125">
                  <c:v>40844.0</c:v>
                </c:pt>
                <c:pt idx="1126">
                  <c:v>40843.0</c:v>
                </c:pt>
                <c:pt idx="1127">
                  <c:v>40842.0</c:v>
                </c:pt>
                <c:pt idx="1128">
                  <c:v>40841.0</c:v>
                </c:pt>
                <c:pt idx="1129">
                  <c:v>40840.0</c:v>
                </c:pt>
                <c:pt idx="1130">
                  <c:v>40837.0</c:v>
                </c:pt>
                <c:pt idx="1131">
                  <c:v>40836.0</c:v>
                </c:pt>
                <c:pt idx="1132">
                  <c:v>40835.0</c:v>
                </c:pt>
                <c:pt idx="1133">
                  <c:v>40834.0</c:v>
                </c:pt>
                <c:pt idx="1134">
                  <c:v>40833.0</c:v>
                </c:pt>
                <c:pt idx="1135">
                  <c:v>40830.0</c:v>
                </c:pt>
                <c:pt idx="1136">
                  <c:v>40829.0</c:v>
                </c:pt>
                <c:pt idx="1137">
                  <c:v>40828.0</c:v>
                </c:pt>
                <c:pt idx="1138">
                  <c:v>40827.0</c:v>
                </c:pt>
                <c:pt idx="1139">
                  <c:v>40826.0</c:v>
                </c:pt>
                <c:pt idx="1140">
                  <c:v>40823.0</c:v>
                </c:pt>
                <c:pt idx="1141">
                  <c:v>40822.0</c:v>
                </c:pt>
                <c:pt idx="1142">
                  <c:v>40821.0</c:v>
                </c:pt>
                <c:pt idx="1143">
                  <c:v>40820.0</c:v>
                </c:pt>
                <c:pt idx="1144">
                  <c:v>40819.0</c:v>
                </c:pt>
                <c:pt idx="1145">
                  <c:v>40816.0</c:v>
                </c:pt>
                <c:pt idx="1146">
                  <c:v>40815.0</c:v>
                </c:pt>
                <c:pt idx="1147">
                  <c:v>40814.0</c:v>
                </c:pt>
                <c:pt idx="1148">
                  <c:v>40813.0</c:v>
                </c:pt>
                <c:pt idx="1149">
                  <c:v>40812.0</c:v>
                </c:pt>
                <c:pt idx="1150">
                  <c:v>40809.0</c:v>
                </c:pt>
                <c:pt idx="1151">
                  <c:v>40808.0</c:v>
                </c:pt>
                <c:pt idx="1152">
                  <c:v>40807.0</c:v>
                </c:pt>
                <c:pt idx="1153">
                  <c:v>40806.0</c:v>
                </c:pt>
                <c:pt idx="1154">
                  <c:v>40805.0</c:v>
                </c:pt>
                <c:pt idx="1155">
                  <c:v>40802.0</c:v>
                </c:pt>
                <c:pt idx="1156">
                  <c:v>40801.0</c:v>
                </c:pt>
                <c:pt idx="1157">
                  <c:v>40800.0</c:v>
                </c:pt>
                <c:pt idx="1158">
                  <c:v>40799.0</c:v>
                </c:pt>
                <c:pt idx="1159">
                  <c:v>40798.0</c:v>
                </c:pt>
                <c:pt idx="1160">
                  <c:v>40795.0</c:v>
                </c:pt>
                <c:pt idx="1161">
                  <c:v>40794.0</c:v>
                </c:pt>
                <c:pt idx="1162">
                  <c:v>40793.0</c:v>
                </c:pt>
                <c:pt idx="1163">
                  <c:v>40792.0</c:v>
                </c:pt>
                <c:pt idx="1164">
                  <c:v>40791.0</c:v>
                </c:pt>
                <c:pt idx="1165">
                  <c:v>40788.0</c:v>
                </c:pt>
                <c:pt idx="1166">
                  <c:v>40787.0</c:v>
                </c:pt>
                <c:pt idx="1167">
                  <c:v>40786.0</c:v>
                </c:pt>
                <c:pt idx="1168">
                  <c:v>40785.0</c:v>
                </c:pt>
                <c:pt idx="1169">
                  <c:v>40784.0</c:v>
                </c:pt>
                <c:pt idx="1170">
                  <c:v>40781.0</c:v>
                </c:pt>
                <c:pt idx="1171">
                  <c:v>40780.0</c:v>
                </c:pt>
                <c:pt idx="1172">
                  <c:v>40779.0</c:v>
                </c:pt>
                <c:pt idx="1173">
                  <c:v>40778.0</c:v>
                </c:pt>
                <c:pt idx="1174">
                  <c:v>40777.0</c:v>
                </c:pt>
                <c:pt idx="1175">
                  <c:v>40774.0</c:v>
                </c:pt>
                <c:pt idx="1176">
                  <c:v>40773.0</c:v>
                </c:pt>
                <c:pt idx="1177">
                  <c:v>40772.0</c:v>
                </c:pt>
                <c:pt idx="1178">
                  <c:v>40771.0</c:v>
                </c:pt>
                <c:pt idx="1179">
                  <c:v>40770.0</c:v>
                </c:pt>
                <c:pt idx="1180">
                  <c:v>40767.0</c:v>
                </c:pt>
                <c:pt idx="1181">
                  <c:v>40766.0</c:v>
                </c:pt>
                <c:pt idx="1182">
                  <c:v>40765.0</c:v>
                </c:pt>
                <c:pt idx="1183">
                  <c:v>40763.0</c:v>
                </c:pt>
                <c:pt idx="1184">
                  <c:v>40760.0</c:v>
                </c:pt>
                <c:pt idx="1185">
                  <c:v>40759.0</c:v>
                </c:pt>
                <c:pt idx="1186">
                  <c:v>40758.0</c:v>
                </c:pt>
                <c:pt idx="1187">
                  <c:v>40757.0</c:v>
                </c:pt>
                <c:pt idx="1188">
                  <c:v>40756.0</c:v>
                </c:pt>
                <c:pt idx="1189">
                  <c:v>40753.0</c:v>
                </c:pt>
                <c:pt idx="1190">
                  <c:v>40752.0</c:v>
                </c:pt>
                <c:pt idx="1191">
                  <c:v>40751.0</c:v>
                </c:pt>
                <c:pt idx="1192">
                  <c:v>40750.0</c:v>
                </c:pt>
                <c:pt idx="1193">
                  <c:v>40749.0</c:v>
                </c:pt>
                <c:pt idx="1194">
                  <c:v>40746.0</c:v>
                </c:pt>
                <c:pt idx="1195">
                  <c:v>40745.0</c:v>
                </c:pt>
                <c:pt idx="1196">
                  <c:v>40744.0</c:v>
                </c:pt>
                <c:pt idx="1197">
                  <c:v>40743.0</c:v>
                </c:pt>
                <c:pt idx="1198">
                  <c:v>40742.0</c:v>
                </c:pt>
                <c:pt idx="1199">
                  <c:v>40739.0</c:v>
                </c:pt>
                <c:pt idx="1200">
                  <c:v>40738.0</c:v>
                </c:pt>
                <c:pt idx="1201">
                  <c:v>40737.0</c:v>
                </c:pt>
                <c:pt idx="1202">
                  <c:v>40736.0</c:v>
                </c:pt>
                <c:pt idx="1203">
                  <c:v>40735.0</c:v>
                </c:pt>
                <c:pt idx="1204">
                  <c:v>40732.0</c:v>
                </c:pt>
                <c:pt idx="1205">
                  <c:v>40731.0</c:v>
                </c:pt>
                <c:pt idx="1206">
                  <c:v>40730.0</c:v>
                </c:pt>
                <c:pt idx="1207">
                  <c:v>40729.0</c:v>
                </c:pt>
                <c:pt idx="1208">
                  <c:v>40728.0</c:v>
                </c:pt>
                <c:pt idx="1209">
                  <c:v>40725.0</c:v>
                </c:pt>
                <c:pt idx="1210">
                  <c:v>40724.0</c:v>
                </c:pt>
                <c:pt idx="1211">
                  <c:v>40723.0</c:v>
                </c:pt>
                <c:pt idx="1212">
                  <c:v>40722.0</c:v>
                </c:pt>
                <c:pt idx="1213">
                  <c:v>40721.0</c:v>
                </c:pt>
                <c:pt idx="1214">
                  <c:v>40718.0</c:v>
                </c:pt>
                <c:pt idx="1215">
                  <c:v>40717.0</c:v>
                </c:pt>
                <c:pt idx="1216">
                  <c:v>40716.0</c:v>
                </c:pt>
                <c:pt idx="1217">
                  <c:v>40715.0</c:v>
                </c:pt>
                <c:pt idx="1218">
                  <c:v>40714.0</c:v>
                </c:pt>
                <c:pt idx="1219">
                  <c:v>40711.0</c:v>
                </c:pt>
                <c:pt idx="1220">
                  <c:v>40709.0</c:v>
                </c:pt>
                <c:pt idx="1221">
                  <c:v>40708.0</c:v>
                </c:pt>
                <c:pt idx="1222">
                  <c:v>40707.0</c:v>
                </c:pt>
                <c:pt idx="1223">
                  <c:v>40704.0</c:v>
                </c:pt>
                <c:pt idx="1224">
                  <c:v>40703.0</c:v>
                </c:pt>
                <c:pt idx="1225">
                  <c:v>40702.0</c:v>
                </c:pt>
                <c:pt idx="1226">
                  <c:v>40701.0</c:v>
                </c:pt>
                <c:pt idx="1227">
                  <c:v>40700.0</c:v>
                </c:pt>
                <c:pt idx="1228">
                  <c:v>40697.0</c:v>
                </c:pt>
                <c:pt idx="1229">
                  <c:v>40696.0</c:v>
                </c:pt>
                <c:pt idx="1230">
                  <c:v>40695.0</c:v>
                </c:pt>
                <c:pt idx="1231">
                  <c:v>40694.0</c:v>
                </c:pt>
                <c:pt idx="1232">
                  <c:v>40693.0</c:v>
                </c:pt>
                <c:pt idx="1233">
                  <c:v>40690.0</c:v>
                </c:pt>
                <c:pt idx="1234">
                  <c:v>40689.0</c:v>
                </c:pt>
                <c:pt idx="1235">
                  <c:v>40688.0</c:v>
                </c:pt>
                <c:pt idx="1236">
                  <c:v>40687.0</c:v>
                </c:pt>
                <c:pt idx="1237">
                  <c:v>40686.0</c:v>
                </c:pt>
                <c:pt idx="1238">
                  <c:v>40683.0</c:v>
                </c:pt>
                <c:pt idx="1239">
                  <c:v>40682.0</c:v>
                </c:pt>
                <c:pt idx="1240">
                  <c:v>40680.0</c:v>
                </c:pt>
                <c:pt idx="1241">
                  <c:v>40679.0</c:v>
                </c:pt>
                <c:pt idx="1242">
                  <c:v>40676.0</c:v>
                </c:pt>
                <c:pt idx="1243">
                  <c:v>40675.0</c:v>
                </c:pt>
                <c:pt idx="1244">
                  <c:v>40674.0</c:v>
                </c:pt>
                <c:pt idx="1245">
                  <c:v>40673.0</c:v>
                </c:pt>
                <c:pt idx="1246">
                  <c:v>40672.0</c:v>
                </c:pt>
                <c:pt idx="1247">
                  <c:v>40669.0</c:v>
                </c:pt>
                <c:pt idx="1248">
                  <c:v>40668.0</c:v>
                </c:pt>
                <c:pt idx="1249">
                  <c:v>40667.0</c:v>
                </c:pt>
                <c:pt idx="1250">
                  <c:v>40666.0</c:v>
                </c:pt>
                <c:pt idx="1251">
                  <c:v>40662.0</c:v>
                </c:pt>
                <c:pt idx="1252">
                  <c:v>40661.0</c:v>
                </c:pt>
                <c:pt idx="1253">
                  <c:v>40659.0</c:v>
                </c:pt>
                <c:pt idx="1254">
                  <c:v>40654.0</c:v>
                </c:pt>
                <c:pt idx="1255">
                  <c:v>40653.0</c:v>
                </c:pt>
                <c:pt idx="1256">
                  <c:v>40652.0</c:v>
                </c:pt>
                <c:pt idx="1257">
                  <c:v>40651.0</c:v>
                </c:pt>
                <c:pt idx="1258">
                  <c:v>40648.0</c:v>
                </c:pt>
                <c:pt idx="1259">
                  <c:v>40647.0</c:v>
                </c:pt>
                <c:pt idx="1260">
                  <c:v>40646.0</c:v>
                </c:pt>
                <c:pt idx="1261">
                  <c:v>40645.0</c:v>
                </c:pt>
                <c:pt idx="1262">
                  <c:v>40644.0</c:v>
                </c:pt>
                <c:pt idx="1263">
                  <c:v>40641.0</c:v>
                </c:pt>
                <c:pt idx="1264">
                  <c:v>40640.0</c:v>
                </c:pt>
                <c:pt idx="1265">
                  <c:v>40639.0</c:v>
                </c:pt>
                <c:pt idx="1266">
                  <c:v>40638.0</c:v>
                </c:pt>
                <c:pt idx="1267">
                  <c:v>40637.0</c:v>
                </c:pt>
                <c:pt idx="1268">
                  <c:v>40634.0</c:v>
                </c:pt>
                <c:pt idx="1269">
                  <c:v>40633.0</c:v>
                </c:pt>
                <c:pt idx="1270">
                  <c:v>40632.0</c:v>
                </c:pt>
                <c:pt idx="1271">
                  <c:v>40631.0</c:v>
                </c:pt>
                <c:pt idx="1272">
                  <c:v>40630.0</c:v>
                </c:pt>
                <c:pt idx="1273">
                  <c:v>40627.0</c:v>
                </c:pt>
                <c:pt idx="1274">
                  <c:v>40626.0</c:v>
                </c:pt>
                <c:pt idx="1275">
                  <c:v>40625.0</c:v>
                </c:pt>
                <c:pt idx="1276">
                  <c:v>40624.0</c:v>
                </c:pt>
                <c:pt idx="1277">
                  <c:v>40620.0</c:v>
                </c:pt>
                <c:pt idx="1278">
                  <c:v>40619.0</c:v>
                </c:pt>
                <c:pt idx="1279">
                  <c:v>40618.0</c:v>
                </c:pt>
                <c:pt idx="1280">
                  <c:v>40617.0</c:v>
                </c:pt>
                <c:pt idx="1281">
                  <c:v>40616.0</c:v>
                </c:pt>
                <c:pt idx="1282">
                  <c:v>40613.0</c:v>
                </c:pt>
                <c:pt idx="1283">
                  <c:v>40612.0</c:v>
                </c:pt>
                <c:pt idx="1284">
                  <c:v>40611.0</c:v>
                </c:pt>
                <c:pt idx="1285">
                  <c:v>40610.0</c:v>
                </c:pt>
                <c:pt idx="1286">
                  <c:v>40609.0</c:v>
                </c:pt>
                <c:pt idx="1287">
                  <c:v>40606.0</c:v>
                </c:pt>
                <c:pt idx="1288">
                  <c:v>40605.0</c:v>
                </c:pt>
                <c:pt idx="1289">
                  <c:v>40604.0</c:v>
                </c:pt>
                <c:pt idx="1290">
                  <c:v>40603.0</c:v>
                </c:pt>
                <c:pt idx="1291">
                  <c:v>40602.0</c:v>
                </c:pt>
                <c:pt idx="1292">
                  <c:v>40599.0</c:v>
                </c:pt>
                <c:pt idx="1293">
                  <c:v>40598.0</c:v>
                </c:pt>
                <c:pt idx="1294">
                  <c:v>40597.0</c:v>
                </c:pt>
                <c:pt idx="1295">
                  <c:v>40596.0</c:v>
                </c:pt>
                <c:pt idx="1296">
                  <c:v>40595.0</c:v>
                </c:pt>
                <c:pt idx="1297">
                  <c:v>40592.0</c:v>
                </c:pt>
                <c:pt idx="1298">
                  <c:v>40591.0</c:v>
                </c:pt>
                <c:pt idx="1299">
                  <c:v>40590.0</c:v>
                </c:pt>
                <c:pt idx="1300">
                  <c:v>40589.0</c:v>
                </c:pt>
                <c:pt idx="1301">
                  <c:v>40588.0</c:v>
                </c:pt>
                <c:pt idx="1302">
                  <c:v>40585.0</c:v>
                </c:pt>
                <c:pt idx="1303">
                  <c:v>40584.0</c:v>
                </c:pt>
                <c:pt idx="1304">
                  <c:v>40583.0</c:v>
                </c:pt>
                <c:pt idx="1305">
                  <c:v>40582.0</c:v>
                </c:pt>
                <c:pt idx="1306">
                  <c:v>40581.0</c:v>
                </c:pt>
                <c:pt idx="1307">
                  <c:v>40578.0</c:v>
                </c:pt>
                <c:pt idx="1308">
                  <c:v>40577.0</c:v>
                </c:pt>
                <c:pt idx="1309">
                  <c:v>40576.0</c:v>
                </c:pt>
                <c:pt idx="1310">
                  <c:v>40575.0</c:v>
                </c:pt>
                <c:pt idx="1311">
                  <c:v>40574.0</c:v>
                </c:pt>
                <c:pt idx="1312">
                  <c:v>40571.0</c:v>
                </c:pt>
                <c:pt idx="1313">
                  <c:v>40570.0</c:v>
                </c:pt>
                <c:pt idx="1314">
                  <c:v>40569.0</c:v>
                </c:pt>
                <c:pt idx="1315">
                  <c:v>40568.0</c:v>
                </c:pt>
                <c:pt idx="1316">
                  <c:v>40567.0</c:v>
                </c:pt>
                <c:pt idx="1317">
                  <c:v>40564.0</c:v>
                </c:pt>
                <c:pt idx="1318">
                  <c:v>40563.0</c:v>
                </c:pt>
                <c:pt idx="1319">
                  <c:v>40562.0</c:v>
                </c:pt>
                <c:pt idx="1320">
                  <c:v>40561.0</c:v>
                </c:pt>
                <c:pt idx="1321">
                  <c:v>40560.0</c:v>
                </c:pt>
                <c:pt idx="1322">
                  <c:v>40557.0</c:v>
                </c:pt>
                <c:pt idx="1323">
                  <c:v>40556.0</c:v>
                </c:pt>
                <c:pt idx="1324">
                  <c:v>40555.0</c:v>
                </c:pt>
                <c:pt idx="1325">
                  <c:v>40554.0</c:v>
                </c:pt>
                <c:pt idx="1326">
                  <c:v>40553.0</c:v>
                </c:pt>
                <c:pt idx="1327">
                  <c:v>40550.0</c:v>
                </c:pt>
                <c:pt idx="1328">
                  <c:v>40549.0</c:v>
                </c:pt>
                <c:pt idx="1329">
                  <c:v>40548.0</c:v>
                </c:pt>
                <c:pt idx="1330">
                  <c:v>40547.0</c:v>
                </c:pt>
                <c:pt idx="1331">
                  <c:v>40546.0</c:v>
                </c:pt>
                <c:pt idx="1332">
                  <c:v>40543.0</c:v>
                </c:pt>
                <c:pt idx="1333">
                  <c:v>40542.0</c:v>
                </c:pt>
                <c:pt idx="1334">
                  <c:v>40541.0</c:v>
                </c:pt>
                <c:pt idx="1335">
                  <c:v>40540.0</c:v>
                </c:pt>
                <c:pt idx="1336">
                  <c:v>40536.0</c:v>
                </c:pt>
                <c:pt idx="1337">
                  <c:v>40535.0</c:v>
                </c:pt>
                <c:pt idx="1338">
                  <c:v>40534.0</c:v>
                </c:pt>
                <c:pt idx="1339">
                  <c:v>40533.0</c:v>
                </c:pt>
                <c:pt idx="1340">
                  <c:v>40532.0</c:v>
                </c:pt>
                <c:pt idx="1341">
                  <c:v>40529.0</c:v>
                </c:pt>
                <c:pt idx="1342">
                  <c:v>40527.0</c:v>
                </c:pt>
                <c:pt idx="1343">
                  <c:v>40526.0</c:v>
                </c:pt>
                <c:pt idx="1344">
                  <c:v>40525.0</c:v>
                </c:pt>
                <c:pt idx="1345">
                  <c:v>40522.0</c:v>
                </c:pt>
                <c:pt idx="1346">
                  <c:v>40521.0</c:v>
                </c:pt>
                <c:pt idx="1347">
                  <c:v>40520.0</c:v>
                </c:pt>
                <c:pt idx="1348">
                  <c:v>40519.0</c:v>
                </c:pt>
                <c:pt idx="1349">
                  <c:v>40518.0</c:v>
                </c:pt>
                <c:pt idx="1350">
                  <c:v>40515.0</c:v>
                </c:pt>
                <c:pt idx="1351">
                  <c:v>40514.0</c:v>
                </c:pt>
                <c:pt idx="1352">
                  <c:v>40513.0</c:v>
                </c:pt>
                <c:pt idx="1353">
                  <c:v>40512.0</c:v>
                </c:pt>
                <c:pt idx="1354">
                  <c:v>40511.0</c:v>
                </c:pt>
                <c:pt idx="1355">
                  <c:v>40508.0</c:v>
                </c:pt>
                <c:pt idx="1356">
                  <c:v>40507.0</c:v>
                </c:pt>
                <c:pt idx="1357">
                  <c:v>40506.0</c:v>
                </c:pt>
                <c:pt idx="1358">
                  <c:v>40505.0</c:v>
                </c:pt>
                <c:pt idx="1359">
                  <c:v>40504.0</c:v>
                </c:pt>
                <c:pt idx="1360">
                  <c:v>40501.0</c:v>
                </c:pt>
                <c:pt idx="1361">
                  <c:v>40500.0</c:v>
                </c:pt>
                <c:pt idx="1362">
                  <c:v>40499.0</c:v>
                </c:pt>
                <c:pt idx="1363">
                  <c:v>40498.0</c:v>
                </c:pt>
                <c:pt idx="1364">
                  <c:v>40497.0</c:v>
                </c:pt>
                <c:pt idx="1365">
                  <c:v>40494.0</c:v>
                </c:pt>
                <c:pt idx="1366">
                  <c:v>40493.0</c:v>
                </c:pt>
                <c:pt idx="1367">
                  <c:v>40492.0</c:v>
                </c:pt>
                <c:pt idx="1368">
                  <c:v>40491.0</c:v>
                </c:pt>
                <c:pt idx="1369">
                  <c:v>40490.0</c:v>
                </c:pt>
                <c:pt idx="1370">
                  <c:v>40487.0</c:v>
                </c:pt>
                <c:pt idx="1371">
                  <c:v>40486.0</c:v>
                </c:pt>
                <c:pt idx="1372">
                  <c:v>40485.0</c:v>
                </c:pt>
                <c:pt idx="1373">
                  <c:v>40484.0</c:v>
                </c:pt>
                <c:pt idx="1374">
                  <c:v>40483.0</c:v>
                </c:pt>
                <c:pt idx="1375">
                  <c:v>40480.0</c:v>
                </c:pt>
                <c:pt idx="1376">
                  <c:v>40479.0</c:v>
                </c:pt>
                <c:pt idx="1377">
                  <c:v>40478.0</c:v>
                </c:pt>
                <c:pt idx="1378">
                  <c:v>40477.0</c:v>
                </c:pt>
                <c:pt idx="1379">
                  <c:v>40476.0</c:v>
                </c:pt>
                <c:pt idx="1380">
                  <c:v>40473.0</c:v>
                </c:pt>
                <c:pt idx="1381">
                  <c:v>40472.0</c:v>
                </c:pt>
                <c:pt idx="1382">
                  <c:v>40471.0</c:v>
                </c:pt>
                <c:pt idx="1383">
                  <c:v>40470.0</c:v>
                </c:pt>
                <c:pt idx="1384">
                  <c:v>40469.0</c:v>
                </c:pt>
                <c:pt idx="1385">
                  <c:v>40466.0</c:v>
                </c:pt>
                <c:pt idx="1386">
                  <c:v>40465.0</c:v>
                </c:pt>
                <c:pt idx="1387">
                  <c:v>40464.0</c:v>
                </c:pt>
                <c:pt idx="1388">
                  <c:v>40463.0</c:v>
                </c:pt>
                <c:pt idx="1389">
                  <c:v>40462.0</c:v>
                </c:pt>
                <c:pt idx="1390">
                  <c:v>40459.0</c:v>
                </c:pt>
                <c:pt idx="1391">
                  <c:v>40458.0</c:v>
                </c:pt>
                <c:pt idx="1392">
                  <c:v>40457.0</c:v>
                </c:pt>
                <c:pt idx="1393">
                  <c:v>40456.0</c:v>
                </c:pt>
                <c:pt idx="1394">
                  <c:v>40455.0</c:v>
                </c:pt>
                <c:pt idx="1395">
                  <c:v>40452.0</c:v>
                </c:pt>
                <c:pt idx="1396">
                  <c:v>40451.0</c:v>
                </c:pt>
                <c:pt idx="1397">
                  <c:v>40450.0</c:v>
                </c:pt>
                <c:pt idx="1398">
                  <c:v>40449.0</c:v>
                </c:pt>
                <c:pt idx="1399">
                  <c:v>40448.0</c:v>
                </c:pt>
                <c:pt idx="1400">
                  <c:v>40444.0</c:v>
                </c:pt>
                <c:pt idx="1401">
                  <c:v>40443.0</c:v>
                </c:pt>
                <c:pt idx="1402">
                  <c:v>40442.0</c:v>
                </c:pt>
                <c:pt idx="1403">
                  <c:v>40441.0</c:v>
                </c:pt>
                <c:pt idx="1404">
                  <c:v>40438.0</c:v>
                </c:pt>
                <c:pt idx="1405">
                  <c:v>40437.0</c:v>
                </c:pt>
                <c:pt idx="1406">
                  <c:v>40436.0</c:v>
                </c:pt>
                <c:pt idx="1407">
                  <c:v>40435.0</c:v>
                </c:pt>
                <c:pt idx="1408">
                  <c:v>40434.0</c:v>
                </c:pt>
                <c:pt idx="1409">
                  <c:v>40431.0</c:v>
                </c:pt>
                <c:pt idx="1410">
                  <c:v>40430.0</c:v>
                </c:pt>
                <c:pt idx="1411">
                  <c:v>40429.0</c:v>
                </c:pt>
                <c:pt idx="1412">
                  <c:v>40428.0</c:v>
                </c:pt>
                <c:pt idx="1413">
                  <c:v>40427.0</c:v>
                </c:pt>
                <c:pt idx="1414">
                  <c:v>40424.0</c:v>
                </c:pt>
                <c:pt idx="1415">
                  <c:v>40423.0</c:v>
                </c:pt>
                <c:pt idx="1416">
                  <c:v>40422.0</c:v>
                </c:pt>
                <c:pt idx="1417">
                  <c:v>40421.0</c:v>
                </c:pt>
                <c:pt idx="1418">
                  <c:v>40420.0</c:v>
                </c:pt>
                <c:pt idx="1419">
                  <c:v>40417.0</c:v>
                </c:pt>
                <c:pt idx="1420">
                  <c:v>40416.0</c:v>
                </c:pt>
                <c:pt idx="1421">
                  <c:v>40415.0</c:v>
                </c:pt>
                <c:pt idx="1422">
                  <c:v>40414.0</c:v>
                </c:pt>
                <c:pt idx="1423">
                  <c:v>40413.0</c:v>
                </c:pt>
                <c:pt idx="1424">
                  <c:v>40410.0</c:v>
                </c:pt>
                <c:pt idx="1425">
                  <c:v>40409.0</c:v>
                </c:pt>
                <c:pt idx="1426">
                  <c:v>40408.0</c:v>
                </c:pt>
                <c:pt idx="1427">
                  <c:v>40407.0</c:v>
                </c:pt>
                <c:pt idx="1428">
                  <c:v>40406.0</c:v>
                </c:pt>
                <c:pt idx="1429">
                  <c:v>40403.0</c:v>
                </c:pt>
                <c:pt idx="1430">
                  <c:v>40402.0</c:v>
                </c:pt>
                <c:pt idx="1431">
                  <c:v>40401.0</c:v>
                </c:pt>
                <c:pt idx="1432">
                  <c:v>40400.0</c:v>
                </c:pt>
                <c:pt idx="1433">
                  <c:v>40396.0</c:v>
                </c:pt>
                <c:pt idx="1434">
                  <c:v>40395.0</c:v>
                </c:pt>
                <c:pt idx="1435">
                  <c:v>40394.0</c:v>
                </c:pt>
                <c:pt idx="1436">
                  <c:v>40393.0</c:v>
                </c:pt>
                <c:pt idx="1437">
                  <c:v>40392.0</c:v>
                </c:pt>
                <c:pt idx="1438">
                  <c:v>40389.0</c:v>
                </c:pt>
                <c:pt idx="1439">
                  <c:v>40388.0</c:v>
                </c:pt>
                <c:pt idx="1440">
                  <c:v>40387.0</c:v>
                </c:pt>
                <c:pt idx="1441">
                  <c:v>40386.0</c:v>
                </c:pt>
                <c:pt idx="1442">
                  <c:v>40385.0</c:v>
                </c:pt>
                <c:pt idx="1443">
                  <c:v>40382.0</c:v>
                </c:pt>
                <c:pt idx="1444">
                  <c:v>40381.0</c:v>
                </c:pt>
                <c:pt idx="1445">
                  <c:v>40380.0</c:v>
                </c:pt>
                <c:pt idx="1446">
                  <c:v>40379.0</c:v>
                </c:pt>
                <c:pt idx="1447">
                  <c:v>40378.0</c:v>
                </c:pt>
                <c:pt idx="1448">
                  <c:v>40375.0</c:v>
                </c:pt>
                <c:pt idx="1449">
                  <c:v>40374.0</c:v>
                </c:pt>
                <c:pt idx="1450">
                  <c:v>40373.0</c:v>
                </c:pt>
                <c:pt idx="1451">
                  <c:v>40372.0</c:v>
                </c:pt>
                <c:pt idx="1452">
                  <c:v>40371.0</c:v>
                </c:pt>
                <c:pt idx="1453">
                  <c:v>40368.0</c:v>
                </c:pt>
                <c:pt idx="1454">
                  <c:v>40367.0</c:v>
                </c:pt>
                <c:pt idx="1455">
                  <c:v>40366.0</c:v>
                </c:pt>
                <c:pt idx="1456">
                  <c:v>40365.0</c:v>
                </c:pt>
                <c:pt idx="1457">
                  <c:v>40364.0</c:v>
                </c:pt>
                <c:pt idx="1458">
                  <c:v>40361.0</c:v>
                </c:pt>
                <c:pt idx="1459">
                  <c:v>40360.0</c:v>
                </c:pt>
                <c:pt idx="1460">
                  <c:v>40359.0</c:v>
                </c:pt>
                <c:pt idx="1461">
                  <c:v>40358.0</c:v>
                </c:pt>
                <c:pt idx="1462">
                  <c:v>40357.0</c:v>
                </c:pt>
                <c:pt idx="1463">
                  <c:v>40354.0</c:v>
                </c:pt>
                <c:pt idx="1464">
                  <c:v>40353.0</c:v>
                </c:pt>
                <c:pt idx="1465">
                  <c:v>40352.0</c:v>
                </c:pt>
                <c:pt idx="1466">
                  <c:v>40351.0</c:v>
                </c:pt>
                <c:pt idx="1467">
                  <c:v>40350.0</c:v>
                </c:pt>
                <c:pt idx="1468">
                  <c:v>40347.0</c:v>
                </c:pt>
                <c:pt idx="1469">
                  <c:v>40346.0</c:v>
                </c:pt>
                <c:pt idx="1470">
                  <c:v>40344.0</c:v>
                </c:pt>
                <c:pt idx="1471">
                  <c:v>40343.0</c:v>
                </c:pt>
                <c:pt idx="1472">
                  <c:v>40340.0</c:v>
                </c:pt>
                <c:pt idx="1473">
                  <c:v>40339.0</c:v>
                </c:pt>
                <c:pt idx="1474">
                  <c:v>40338.0</c:v>
                </c:pt>
                <c:pt idx="1475">
                  <c:v>40337.0</c:v>
                </c:pt>
                <c:pt idx="1476">
                  <c:v>40336.0</c:v>
                </c:pt>
                <c:pt idx="1477">
                  <c:v>40333.0</c:v>
                </c:pt>
                <c:pt idx="1478">
                  <c:v>40332.0</c:v>
                </c:pt>
                <c:pt idx="1479">
                  <c:v>40331.0</c:v>
                </c:pt>
                <c:pt idx="1480">
                  <c:v>40330.0</c:v>
                </c:pt>
                <c:pt idx="1481">
                  <c:v>40329.0</c:v>
                </c:pt>
                <c:pt idx="1482">
                  <c:v>40326.0</c:v>
                </c:pt>
                <c:pt idx="1483">
                  <c:v>40325.0</c:v>
                </c:pt>
                <c:pt idx="1484">
                  <c:v>40324.0</c:v>
                </c:pt>
                <c:pt idx="1485">
                  <c:v>40323.0</c:v>
                </c:pt>
                <c:pt idx="1486">
                  <c:v>40322.0</c:v>
                </c:pt>
                <c:pt idx="1487">
                  <c:v>40319.0</c:v>
                </c:pt>
                <c:pt idx="1488">
                  <c:v>40318.0</c:v>
                </c:pt>
                <c:pt idx="1489">
                  <c:v>40317.0</c:v>
                </c:pt>
                <c:pt idx="1490">
                  <c:v>40316.0</c:v>
                </c:pt>
                <c:pt idx="1491">
                  <c:v>40315.0</c:v>
                </c:pt>
                <c:pt idx="1492">
                  <c:v>40312.0</c:v>
                </c:pt>
                <c:pt idx="1493">
                  <c:v>40311.0</c:v>
                </c:pt>
                <c:pt idx="1494">
                  <c:v>40310.0</c:v>
                </c:pt>
                <c:pt idx="1495">
                  <c:v>40309.0</c:v>
                </c:pt>
                <c:pt idx="1496">
                  <c:v>40308.0</c:v>
                </c:pt>
                <c:pt idx="1497">
                  <c:v>40305.0</c:v>
                </c:pt>
                <c:pt idx="1498">
                  <c:v>40304.0</c:v>
                </c:pt>
                <c:pt idx="1499">
                  <c:v>40303.0</c:v>
                </c:pt>
                <c:pt idx="1500">
                  <c:v>40302.0</c:v>
                </c:pt>
                <c:pt idx="1501">
                  <c:v>40301.0</c:v>
                </c:pt>
                <c:pt idx="1502">
                  <c:v>40298.0</c:v>
                </c:pt>
                <c:pt idx="1503">
                  <c:v>40297.0</c:v>
                </c:pt>
                <c:pt idx="1504">
                  <c:v>40296.0</c:v>
                </c:pt>
                <c:pt idx="1505">
                  <c:v>40294.0</c:v>
                </c:pt>
                <c:pt idx="1506">
                  <c:v>40291.0</c:v>
                </c:pt>
                <c:pt idx="1507">
                  <c:v>40290.0</c:v>
                </c:pt>
                <c:pt idx="1508">
                  <c:v>40289.0</c:v>
                </c:pt>
                <c:pt idx="1509">
                  <c:v>40288.0</c:v>
                </c:pt>
                <c:pt idx="1510">
                  <c:v>40287.0</c:v>
                </c:pt>
                <c:pt idx="1511">
                  <c:v>40284.0</c:v>
                </c:pt>
                <c:pt idx="1512">
                  <c:v>40283.0</c:v>
                </c:pt>
                <c:pt idx="1513">
                  <c:v>40282.0</c:v>
                </c:pt>
                <c:pt idx="1514">
                  <c:v>40281.0</c:v>
                </c:pt>
                <c:pt idx="1515">
                  <c:v>40280.0</c:v>
                </c:pt>
                <c:pt idx="1516">
                  <c:v>40277.0</c:v>
                </c:pt>
                <c:pt idx="1517">
                  <c:v>40276.0</c:v>
                </c:pt>
                <c:pt idx="1518">
                  <c:v>40275.0</c:v>
                </c:pt>
                <c:pt idx="1519">
                  <c:v>40274.0</c:v>
                </c:pt>
                <c:pt idx="1520">
                  <c:v>40269.0</c:v>
                </c:pt>
                <c:pt idx="1521">
                  <c:v>40268.0</c:v>
                </c:pt>
                <c:pt idx="1522">
                  <c:v>40267.0</c:v>
                </c:pt>
                <c:pt idx="1523">
                  <c:v>40266.0</c:v>
                </c:pt>
                <c:pt idx="1524">
                  <c:v>40263.0</c:v>
                </c:pt>
                <c:pt idx="1525">
                  <c:v>40262.0</c:v>
                </c:pt>
                <c:pt idx="1526">
                  <c:v>40261.0</c:v>
                </c:pt>
                <c:pt idx="1527">
                  <c:v>40260.0</c:v>
                </c:pt>
                <c:pt idx="1528">
                  <c:v>40256.0</c:v>
                </c:pt>
                <c:pt idx="1529">
                  <c:v>40255.0</c:v>
                </c:pt>
                <c:pt idx="1530">
                  <c:v>40254.0</c:v>
                </c:pt>
                <c:pt idx="1531">
                  <c:v>40253.0</c:v>
                </c:pt>
                <c:pt idx="1532">
                  <c:v>40252.0</c:v>
                </c:pt>
                <c:pt idx="1533">
                  <c:v>40249.0</c:v>
                </c:pt>
                <c:pt idx="1534">
                  <c:v>40248.0</c:v>
                </c:pt>
                <c:pt idx="1535">
                  <c:v>40247.0</c:v>
                </c:pt>
                <c:pt idx="1536">
                  <c:v>40246.0</c:v>
                </c:pt>
                <c:pt idx="1537">
                  <c:v>40245.0</c:v>
                </c:pt>
                <c:pt idx="1538">
                  <c:v>40242.0</c:v>
                </c:pt>
                <c:pt idx="1539">
                  <c:v>40241.0</c:v>
                </c:pt>
                <c:pt idx="1540">
                  <c:v>40240.0</c:v>
                </c:pt>
                <c:pt idx="1541">
                  <c:v>40239.0</c:v>
                </c:pt>
                <c:pt idx="1542">
                  <c:v>40238.0</c:v>
                </c:pt>
                <c:pt idx="1543">
                  <c:v>40235.0</c:v>
                </c:pt>
                <c:pt idx="1544">
                  <c:v>40234.0</c:v>
                </c:pt>
                <c:pt idx="1545">
                  <c:v>40233.0</c:v>
                </c:pt>
                <c:pt idx="1546">
                  <c:v>40232.0</c:v>
                </c:pt>
                <c:pt idx="1547">
                  <c:v>40231.0</c:v>
                </c:pt>
                <c:pt idx="1548">
                  <c:v>40228.0</c:v>
                </c:pt>
                <c:pt idx="1549">
                  <c:v>40227.0</c:v>
                </c:pt>
                <c:pt idx="1550">
                  <c:v>40226.0</c:v>
                </c:pt>
                <c:pt idx="1551">
                  <c:v>40225.0</c:v>
                </c:pt>
                <c:pt idx="1552">
                  <c:v>40224.0</c:v>
                </c:pt>
                <c:pt idx="1553">
                  <c:v>40221.0</c:v>
                </c:pt>
                <c:pt idx="1554">
                  <c:v>40220.0</c:v>
                </c:pt>
                <c:pt idx="1555">
                  <c:v>40219.0</c:v>
                </c:pt>
                <c:pt idx="1556">
                  <c:v>40218.0</c:v>
                </c:pt>
                <c:pt idx="1557">
                  <c:v>40217.0</c:v>
                </c:pt>
                <c:pt idx="1558">
                  <c:v>40214.0</c:v>
                </c:pt>
                <c:pt idx="1559">
                  <c:v>40213.0</c:v>
                </c:pt>
                <c:pt idx="1560">
                  <c:v>40212.0</c:v>
                </c:pt>
                <c:pt idx="1561">
                  <c:v>40211.0</c:v>
                </c:pt>
                <c:pt idx="1562">
                  <c:v>40210.0</c:v>
                </c:pt>
                <c:pt idx="1563">
                  <c:v>40207.0</c:v>
                </c:pt>
                <c:pt idx="1564">
                  <c:v>40206.0</c:v>
                </c:pt>
                <c:pt idx="1565">
                  <c:v>40205.0</c:v>
                </c:pt>
                <c:pt idx="1566">
                  <c:v>40204.0</c:v>
                </c:pt>
                <c:pt idx="1567">
                  <c:v>40203.0</c:v>
                </c:pt>
                <c:pt idx="1568">
                  <c:v>40200.0</c:v>
                </c:pt>
                <c:pt idx="1569">
                  <c:v>40199.0</c:v>
                </c:pt>
                <c:pt idx="1570">
                  <c:v>40198.0</c:v>
                </c:pt>
                <c:pt idx="1571">
                  <c:v>40197.0</c:v>
                </c:pt>
                <c:pt idx="1572">
                  <c:v>40196.0</c:v>
                </c:pt>
                <c:pt idx="1573">
                  <c:v>40193.0</c:v>
                </c:pt>
                <c:pt idx="1574">
                  <c:v>40192.0</c:v>
                </c:pt>
                <c:pt idx="1575">
                  <c:v>40191.0</c:v>
                </c:pt>
                <c:pt idx="1576">
                  <c:v>40190.0</c:v>
                </c:pt>
                <c:pt idx="1577">
                  <c:v>40189.0</c:v>
                </c:pt>
                <c:pt idx="1578">
                  <c:v>40186.0</c:v>
                </c:pt>
                <c:pt idx="1579">
                  <c:v>40185.0</c:v>
                </c:pt>
                <c:pt idx="1580">
                  <c:v>40184.0</c:v>
                </c:pt>
                <c:pt idx="1581">
                  <c:v>40183.0</c:v>
                </c:pt>
                <c:pt idx="1582">
                  <c:v>40182.0</c:v>
                </c:pt>
                <c:pt idx="1583">
                  <c:v>40178.0</c:v>
                </c:pt>
                <c:pt idx="1584">
                  <c:v>40177.0</c:v>
                </c:pt>
                <c:pt idx="1585">
                  <c:v>40176.0</c:v>
                </c:pt>
                <c:pt idx="1586">
                  <c:v>40175.0</c:v>
                </c:pt>
                <c:pt idx="1587">
                  <c:v>40171.0</c:v>
                </c:pt>
                <c:pt idx="1588">
                  <c:v>40170.0</c:v>
                </c:pt>
                <c:pt idx="1589">
                  <c:v>40169.0</c:v>
                </c:pt>
                <c:pt idx="1590">
                  <c:v>40168.0</c:v>
                </c:pt>
                <c:pt idx="1591">
                  <c:v>40165.0</c:v>
                </c:pt>
                <c:pt idx="1592">
                  <c:v>40164.0</c:v>
                </c:pt>
                <c:pt idx="1593">
                  <c:v>40162.0</c:v>
                </c:pt>
                <c:pt idx="1594">
                  <c:v>40161.0</c:v>
                </c:pt>
                <c:pt idx="1595">
                  <c:v>40158.0</c:v>
                </c:pt>
                <c:pt idx="1596">
                  <c:v>40157.0</c:v>
                </c:pt>
                <c:pt idx="1597">
                  <c:v>40156.0</c:v>
                </c:pt>
                <c:pt idx="1598">
                  <c:v>40155.0</c:v>
                </c:pt>
                <c:pt idx="1599">
                  <c:v>40154.0</c:v>
                </c:pt>
                <c:pt idx="1600">
                  <c:v>40151.0</c:v>
                </c:pt>
                <c:pt idx="1601">
                  <c:v>40150.0</c:v>
                </c:pt>
                <c:pt idx="1602">
                  <c:v>40149.0</c:v>
                </c:pt>
                <c:pt idx="1603">
                  <c:v>40148.0</c:v>
                </c:pt>
                <c:pt idx="1604">
                  <c:v>40147.0</c:v>
                </c:pt>
                <c:pt idx="1605">
                  <c:v>40144.0</c:v>
                </c:pt>
                <c:pt idx="1606">
                  <c:v>40143.0</c:v>
                </c:pt>
                <c:pt idx="1607">
                  <c:v>40142.0</c:v>
                </c:pt>
                <c:pt idx="1608">
                  <c:v>40141.0</c:v>
                </c:pt>
                <c:pt idx="1609">
                  <c:v>40140.0</c:v>
                </c:pt>
                <c:pt idx="1610">
                  <c:v>40137.0</c:v>
                </c:pt>
                <c:pt idx="1611">
                  <c:v>40136.0</c:v>
                </c:pt>
                <c:pt idx="1612">
                  <c:v>40135.0</c:v>
                </c:pt>
                <c:pt idx="1613">
                  <c:v>40134.0</c:v>
                </c:pt>
                <c:pt idx="1614">
                  <c:v>40133.0</c:v>
                </c:pt>
                <c:pt idx="1615">
                  <c:v>40130.0</c:v>
                </c:pt>
                <c:pt idx="1616">
                  <c:v>40129.0</c:v>
                </c:pt>
                <c:pt idx="1617">
                  <c:v>40128.0</c:v>
                </c:pt>
                <c:pt idx="1618">
                  <c:v>40127.0</c:v>
                </c:pt>
                <c:pt idx="1619">
                  <c:v>40126.0</c:v>
                </c:pt>
                <c:pt idx="1620">
                  <c:v>40123.0</c:v>
                </c:pt>
                <c:pt idx="1621">
                  <c:v>40122.0</c:v>
                </c:pt>
                <c:pt idx="1622">
                  <c:v>40121.0</c:v>
                </c:pt>
                <c:pt idx="1623">
                  <c:v>40120.0</c:v>
                </c:pt>
                <c:pt idx="1624">
                  <c:v>40119.0</c:v>
                </c:pt>
                <c:pt idx="1625">
                  <c:v>40116.0</c:v>
                </c:pt>
                <c:pt idx="1626">
                  <c:v>40115.0</c:v>
                </c:pt>
                <c:pt idx="1627">
                  <c:v>40114.0</c:v>
                </c:pt>
                <c:pt idx="1628">
                  <c:v>40113.0</c:v>
                </c:pt>
                <c:pt idx="1629">
                  <c:v>40112.0</c:v>
                </c:pt>
                <c:pt idx="1630">
                  <c:v>40109.0</c:v>
                </c:pt>
                <c:pt idx="1631">
                  <c:v>40108.0</c:v>
                </c:pt>
                <c:pt idx="1632">
                  <c:v>40107.0</c:v>
                </c:pt>
                <c:pt idx="1633">
                  <c:v>40106.0</c:v>
                </c:pt>
                <c:pt idx="1634">
                  <c:v>40105.0</c:v>
                </c:pt>
                <c:pt idx="1635">
                  <c:v>40102.0</c:v>
                </c:pt>
                <c:pt idx="1636">
                  <c:v>40101.0</c:v>
                </c:pt>
                <c:pt idx="1637">
                  <c:v>40100.0</c:v>
                </c:pt>
                <c:pt idx="1638">
                  <c:v>40099.0</c:v>
                </c:pt>
                <c:pt idx="1639">
                  <c:v>40098.0</c:v>
                </c:pt>
                <c:pt idx="1640">
                  <c:v>40095.0</c:v>
                </c:pt>
                <c:pt idx="1641">
                  <c:v>40094.0</c:v>
                </c:pt>
                <c:pt idx="1642">
                  <c:v>40093.0</c:v>
                </c:pt>
                <c:pt idx="1643">
                  <c:v>40092.0</c:v>
                </c:pt>
                <c:pt idx="1644">
                  <c:v>40091.0</c:v>
                </c:pt>
                <c:pt idx="1645">
                  <c:v>40088.0</c:v>
                </c:pt>
                <c:pt idx="1646">
                  <c:v>40087.0</c:v>
                </c:pt>
                <c:pt idx="1647">
                  <c:v>40086.0</c:v>
                </c:pt>
                <c:pt idx="1648">
                  <c:v>40085.0</c:v>
                </c:pt>
                <c:pt idx="1649">
                  <c:v>40084.0</c:v>
                </c:pt>
                <c:pt idx="1650">
                  <c:v>40081.0</c:v>
                </c:pt>
                <c:pt idx="1651">
                  <c:v>40079.0</c:v>
                </c:pt>
                <c:pt idx="1652">
                  <c:v>40078.0</c:v>
                </c:pt>
                <c:pt idx="1653">
                  <c:v>40077.0</c:v>
                </c:pt>
                <c:pt idx="1654">
                  <c:v>40074.0</c:v>
                </c:pt>
                <c:pt idx="1655">
                  <c:v>40073.0</c:v>
                </c:pt>
                <c:pt idx="1656">
                  <c:v>40072.0</c:v>
                </c:pt>
                <c:pt idx="1657">
                  <c:v>40071.0</c:v>
                </c:pt>
                <c:pt idx="1658">
                  <c:v>40070.0</c:v>
                </c:pt>
                <c:pt idx="1659">
                  <c:v>40067.0</c:v>
                </c:pt>
                <c:pt idx="1660">
                  <c:v>40066.0</c:v>
                </c:pt>
                <c:pt idx="1661">
                  <c:v>40065.0</c:v>
                </c:pt>
                <c:pt idx="1662">
                  <c:v>40064.0</c:v>
                </c:pt>
                <c:pt idx="1663">
                  <c:v>40063.0</c:v>
                </c:pt>
                <c:pt idx="1664">
                  <c:v>40060.0</c:v>
                </c:pt>
                <c:pt idx="1665">
                  <c:v>40059.0</c:v>
                </c:pt>
                <c:pt idx="1666">
                  <c:v>40058.0</c:v>
                </c:pt>
                <c:pt idx="1667">
                  <c:v>40057.0</c:v>
                </c:pt>
                <c:pt idx="1668">
                  <c:v>40056.0</c:v>
                </c:pt>
                <c:pt idx="1669">
                  <c:v>40053.0</c:v>
                </c:pt>
                <c:pt idx="1670">
                  <c:v>40052.0</c:v>
                </c:pt>
                <c:pt idx="1671">
                  <c:v>40051.0</c:v>
                </c:pt>
                <c:pt idx="1672">
                  <c:v>40050.0</c:v>
                </c:pt>
                <c:pt idx="1673">
                  <c:v>40049.0</c:v>
                </c:pt>
                <c:pt idx="1674">
                  <c:v>40046.0</c:v>
                </c:pt>
                <c:pt idx="1675">
                  <c:v>40045.0</c:v>
                </c:pt>
                <c:pt idx="1676">
                  <c:v>40044.0</c:v>
                </c:pt>
                <c:pt idx="1677">
                  <c:v>40043.0</c:v>
                </c:pt>
                <c:pt idx="1678">
                  <c:v>40042.0</c:v>
                </c:pt>
                <c:pt idx="1679">
                  <c:v>40039.0</c:v>
                </c:pt>
                <c:pt idx="1680">
                  <c:v>40038.0</c:v>
                </c:pt>
                <c:pt idx="1681">
                  <c:v>40037.0</c:v>
                </c:pt>
                <c:pt idx="1682">
                  <c:v>40036.0</c:v>
                </c:pt>
                <c:pt idx="1683">
                  <c:v>40032.0</c:v>
                </c:pt>
                <c:pt idx="1684">
                  <c:v>40031.0</c:v>
                </c:pt>
                <c:pt idx="1685">
                  <c:v>40030.0</c:v>
                </c:pt>
                <c:pt idx="1686">
                  <c:v>40029.0</c:v>
                </c:pt>
                <c:pt idx="1687">
                  <c:v>40028.0</c:v>
                </c:pt>
                <c:pt idx="1688">
                  <c:v>40025.0</c:v>
                </c:pt>
                <c:pt idx="1689">
                  <c:v>40024.0</c:v>
                </c:pt>
                <c:pt idx="1690">
                  <c:v>40023.0</c:v>
                </c:pt>
                <c:pt idx="1691">
                  <c:v>40022.0</c:v>
                </c:pt>
                <c:pt idx="1692">
                  <c:v>40021.0</c:v>
                </c:pt>
                <c:pt idx="1693">
                  <c:v>40018.0</c:v>
                </c:pt>
                <c:pt idx="1694">
                  <c:v>40017.0</c:v>
                </c:pt>
                <c:pt idx="1695">
                  <c:v>40016.0</c:v>
                </c:pt>
                <c:pt idx="1696">
                  <c:v>40015.0</c:v>
                </c:pt>
                <c:pt idx="1697">
                  <c:v>40014.0</c:v>
                </c:pt>
                <c:pt idx="1698">
                  <c:v>40011.0</c:v>
                </c:pt>
                <c:pt idx="1699">
                  <c:v>40010.0</c:v>
                </c:pt>
                <c:pt idx="1700">
                  <c:v>40009.0</c:v>
                </c:pt>
                <c:pt idx="1701">
                  <c:v>40008.0</c:v>
                </c:pt>
                <c:pt idx="1702">
                  <c:v>40007.0</c:v>
                </c:pt>
                <c:pt idx="1703">
                  <c:v>40004.0</c:v>
                </c:pt>
                <c:pt idx="1704">
                  <c:v>40003.0</c:v>
                </c:pt>
                <c:pt idx="1705">
                  <c:v>40002.0</c:v>
                </c:pt>
                <c:pt idx="1706">
                  <c:v>40001.0</c:v>
                </c:pt>
                <c:pt idx="1707">
                  <c:v>40000.0</c:v>
                </c:pt>
                <c:pt idx="1708">
                  <c:v>39997.0</c:v>
                </c:pt>
                <c:pt idx="1709">
                  <c:v>39996.0</c:v>
                </c:pt>
                <c:pt idx="1710">
                  <c:v>39995.0</c:v>
                </c:pt>
                <c:pt idx="1711">
                  <c:v>39994.0</c:v>
                </c:pt>
                <c:pt idx="1712">
                  <c:v>39993.0</c:v>
                </c:pt>
                <c:pt idx="1713">
                  <c:v>39990.0</c:v>
                </c:pt>
                <c:pt idx="1714">
                  <c:v>39989.0</c:v>
                </c:pt>
                <c:pt idx="1715">
                  <c:v>39988.0</c:v>
                </c:pt>
                <c:pt idx="1716">
                  <c:v>39987.0</c:v>
                </c:pt>
                <c:pt idx="1717">
                  <c:v>39986.0</c:v>
                </c:pt>
                <c:pt idx="1718">
                  <c:v>39983.0</c:v>
                </c:pt>
                <c:pt idx="1719">
                  <c:v>39982.0</c:v>
                </c:pt>
                <c:pt idx="1720">
                  <c:v>39981.0</c:v>
                </c:pt>
                <c:pt idx="1721">
                  <c:v>39979.0</c:v>
                </c:pt>
                <c:pt idx="1722">
                  <c:v>39976.0</c:v>
                </c:pt>
                <c:pt idx="1723">
                  <c:v>39975.0</c:v>
                </c:pt>
                <c:pt idx="1724">
                  <c:v>39974.0</c:v>
                </c:pt>
                <c:pt idx="1725">
                  <c:v>39973.0</c:v>
                </c:pt>
                <c:pt idx="1726">
                  <c:v>39972.0</c:v>
                </c:pt>
                <c:pt idx="1727">
                  <c:v>39969.0</c:v>
                </c:pt>
                <c:pt idx="1728">
                  <c:v>39968.0</c:v>
                </c:pt>
                <c:pt idx="1729">
                  <c:v>39967.0</c:v>
                </c:pt>
                <c:pt idx="1730">
                  <c:v>39966.0</c:v>
                </c:pt>
                <c:pt idx="1731">
                  <c:v>39965.0</c:v>
                </c:pt>
                <c:pt idx="1732">
                  <c:v>39962.0</c:v>
                </c:pt>
                <c:pt idx="1733">
                  <c:v>39961.0</c:v>
                </c:pt>
                <c:pt idx="1734">
                  <c:v>39960.0</c:v>
                </c:pt>
                <c:pt idx="1735">
                  <c:v>39959.0</c:v>
                </c:pt>
                <c:pt idx="1736">
                  <c:v>39958.0</c:v>
                </c:pt>
                <c:pt idx="1737">
                  <c:v>39955.0</c:v>
                </c:pt>
                <c:pt idx="1738">
                  <c:v>39954.0</c:v>
                </c:pt>
                <c:pt idx="1739">
                  <c:v>39953.0</c:v>
                </c:pt>
                <c:pt idx="1740">
                  <c:v>39952.0</c:v>
                </c:pt>
                <c:pt idx="1741">
                  <c:v>39951.0</c:v>
                </c:pt>
                <c:pt idx="1742">
                  <c:v>39948.0</c:v>
                </c:pt>
                <c:pt idx="1743">
                  <c:v>39947.0</c:v>
                </c:pt>
                <c:pt idx="1744">
                  <c:v>39946.0</c:v>
                </c:pt>
                <c:pt idx="1745">
                  <c:v>39945.0</c:v>
                </c:pt>
                <c:pt idx="1746">
                  <c:v>39944.0</c:v>
                </c:pt>
                <c:pt idx="1747">
                  <c:v>39941.0</c:v>
                </c:pt>
                <c:pt idx="1748">
                  <c:v>39940.0</c:v>
                </c:pt>
                <c:pt idx="1749">
                  <c:v>39939.0</c:v>
                </c:pt>
                <c:pt idx="1750">
                  <c:v>39938.0</c:v>
                </c:pt>
                <c:pt idx="1751">
                  <c:v>39937.0</c:v>
                </c:pt>
                <c:pt idx="1752">
                  <c:v>39933.0</c:v>
                </c:pt>
                <c:pt idx="1753">
                  <c:v>39932.0</c:v>
                </c:pt>
                <c:pt idx="1754">
                  <c:v>39931.0</c:v>
                </c:pt>
                <c:pt idx="1755">
                  <c:v>39927.0</c:v>
                </c:pt>
                <c:pt idx="1756">
                  <c:v>39926.0</c:v>
                </c:pt>
                <c:pt idx="1757">
                  <c:v>39924.0</c:v>
                </c:pt>
                <c:pt idx="1758">
                  <c:v>39923.0</c:v>
                </c:pt>
                <c:pt idx="1759">
                  <c:v>39920.0</c:v>
                </c:pt>
                <c:pt idx="1760">
                  <c:v>39919.0</c:v>
                </c:pt>
                <c:pt idx="1761">
                  <c:v>39918.0</c:v>
                </c:pt>
                <c:pt idx="1762">
                  <c:v>39917.0</c:v>
                </c:pt>
                <c:pt idx="1763">
                  <c:v>39912.0</c:v>
                </c:pt>
                <c:pt idx="1764">
                  <c:v>39911.0</c:v>
                </c:pt>
                <c:pt idx="1765">
                  <c:v>39910.0</c:v>
                </c:pt>
                <c:pt idx="1766">
                  <c:v>39909.0</c:v>
                </c:pt>
                <c:pt idx="1767">
                  <c:v>39906.0</c:v>
                </c:pt>
                <c:pt idx="1768">
                  <c:v>39905.0</c:v>
                </c:pt>
                <c:pt idx="1769">
                  <c:v>39904.0</c:v>
                </c:pt>
                <c:pt idx="1770">
                  <c:v>39903.0</c:v>
                </c:pt>
                <c:pt idx="1771">
                  <c:v>39902.0</c:v>
                </c:pt>
                <c:pt idx="1772">
                  <c:v>39899.0</c:v>
                </c:pt>
                <c:pt idx="1773">
                  <c:v>39898.0</c:v>
                </c:pt>
                <c:pt idx="1774">
                  <c:v>39897.0</c:v>
                </c:pt>
                <c:pt idx="1775">
                  <c:v>39896.0</c:v>
                </c:pt>
                <c:pt idx="1776">
                  <c:v>39895.0</c:v>
                </c:pt>
                <c:pt idx="1777">
                  <c:v>39892.0</c:v>
                </c:pt>
                <c:pt idx="1778">
                  <c:v>39891.0</c:v>
                </c:pt>
                <c:pt idx="1779">
                  <c:v>39890.0</c:v>
                </c:pt>
                <c:pt idx="1780">
                  <c:v>39889.0</c:v>
                </c:pt>
                <c:pt idx="1781">
                  <c:v>39888.0</c:v>
                </c:pt>
                <c:pt idx="1782">
                  <c:v>39885.0</c:v>
                </c:pt>
                <c:pt idx="1783">
                  <c:v>39884.0</c:v>
                </c:pt>
                <c:pt idx="1784">
                  <c:v>39883.0</c:v>
                </c:pt>
                <c:pt idx="1785">
                  <c:v>39882.0</c:v>
                </c:pt>
                <c:pt idx="1786">
                  <c:v>39881.0</c:v>
                </c:pt>
                <c:pt idx="1787">
                  <c:v>39878.0</c:v>
                </c:pt>
                <c:pt idx="1788">
                  <c:v>39877.0</c:v>
                </c:pt>
                <c:pt idx="1789">
                  <c:v>39876.0</c:v>
                </c:pt>
                <c:pt idx="1790">
                  <c:v>39875.0</c:v>
                </c:pt>
                <c:pt idx="1791">
                  <c:v>39874.0</c:v>
                </c:pt>
                <c:pt idx="1792">
                  <c:v>39871.0</c:v>
                </c:pt>
                <c:pt idx="1793">
                  <c:v>39870.0</c:v>
                </c:pt>
                <c:pt idx="1794">
                  <c:v>39869.0</c:v>
                </c:pt>
                <c:pt idx="1795">
                  <c:v>39868.0</c:v>
                </c:pt>
                <c:pt idx="1796">
                  <c:v>39867.0</c:v>
                </c:pt>
                <c:pt idx="1797">
                  <c:v>39864.0</c:v>
                </c:pt>
                <c:pt idx="1798">
                  <c:v>39863.0</c:v>
                </c:pt>
                <c:pt idx="1799">
                  <c:v>39862.0</c:v>
                </c:pt>
                <c:pt idx="1800">
                  <c:v>39861.0</c:v>
                </c:pt>
                <c:pt idx="1801">
                  <c:v>39860.0</c:v>
                </c:pt>
                <c:pt idx="1802">
                  <c:v>39857.0</c:v>
                </c:pt>
                <c:pt idx="1803">
                  <c:v>39856.0</c:v>
                </c:pt>
                <c:pt idx="1804">
                  <c:v>39855.0</c:v>
                </c:pt>
                <c:pt idx="1805">
                  <c:v>39854.0</c:v>
                </c:pt>
                <c:pt idx="1806">
                  <c:v>39853.0</c:v>
                </c:pt>
                <c:pt idx="1807">
                  <c:v>39850.0</c:v>
                </c:pt>
                <c:pt idx="1808">
                  <c:v>39849.0</c:v>
                </c:pt>
                <c:pt idx="1809">
                  <c:v>39848.0</c:v>
                </c:pt>
                <c:pt idx="1810">
                  <c:v>39847.0</c:v>
                </c:pt>
                <c:pt idx="1811">
                  <c:v>39846.0</c:v>
                </c:pt>
                <c:pt idx="1812">
                  <c:v>39843.0</c:v>
                </c:pt>
                <c:pt idx="1813">
                  <c:v>39842.0</c:v>
                </c:pt>
                <c:pt idx="1814">
                  <c:v>39841.0</c:v>
                </c:pt>
                <c:pt idx="1815">
                  <c:v>39840.0</c:v>
                </c:pt>
                <c:pt idx="1816">
                  <c:v>39839.0</c:v>
                </c:pt>
                <c:pt idx="1817">
                  <c:v>39836.0</c:v>
                </c:pt>
                <c:pt idx="1818">
                  <c:v>39835.0</c:v>
                </c:pt>
                <c:pt idx="1819">
                  <c:v>39834.0</c:v>
                </c:pt>
                <c:pt idx="1820">
                  <c:v>39833.0</c:v>
                </c:pt>
                <c:pt idx="1821">
                  <c:v>39832.0</c:v>
                </c:pt>
                <c:pt idx="1822">
                  <c:v>39829.0</c:v>
                </c:pt>
                <c:pt idx="1823">
                  <c:v>39828.0</c:v>
                </c:pt>
                <c:pt idx="1824">
                  <c:v>39827.0</c:v>
                </c:pt>
                <c:pt idx="1825">
                  <c:v>39826.0</c:v>
                </c:pt>
                <c:pt idx="1826">
                  <c:v>39825.0</c:v>
                </c:pt>
                <c:pt idx="1827">
                  <c:v>39822.0</c:v>
                </c:pt>
                <c:pt idx="1828">
                  <c:v>39821.0</c:v>
                </c:pt>
                <c:pt idx="1829">
                  <c:v>39820.0</c:v>
                </c:pt>
                <c:pt idx="1830">
                  <c:v>39819.0</c:v>
                </c:pt>
                <c:pt idx="1831">
                  <c:v>39818.0</c:v>
                </c:pt>
                <c:pt idx="1832">
                  <c:v>39815.0</c:v>
                </c:pt>
                <c:pt idx="1833">
                  <c:v>39813.0</c:v>
                </c:pt>
                <c:pt idx="1834">
                  <c:v>39812.0</c:v>
                </c:pt>
                <c:pt idx="1835">
                  <c:v>39811.0</c:v>
                </c:pt>
                <c:pt idx="1836">
                  <c:v>39806.0</c:v>
                </c:pt>
                <c:pt idx="1837">
                  <c:v>39805.0</c:v>
                </c:pt>
                <c:pt idx="1838">
                  <c:v>39804.0</c:v>
                </c:pt>
                <c:pt idx="1839">
                  <c:v>39801.0</c:v>
                </c:pt>
                <c:pt idx="1840">
                  <c:v>39800.0</c:v>
                </c:pt>
                <c:pt idx="1841">
                  <c:v>39799.0</c:v>
                </c:pt>
                <c:pt idx="1842">
                  <c:v>39797.0</c:v>
                </c:pt>
                <c:pt idx="1843">
                  <c:v>39794.0</c:v>
                </c:pt>
                <c:pt idx="1844">
                  <c:v>39793.0</c:v>
                </c:pt>
                <c:pt idx="1845">
                  <c:v>39792.0</c:v>
                </c:pt>
                <c:pt idx="1846">
                  <c:v>39791.0</c:v>
                </c:pt>
                <c:pt idx="1847">
                  <c:v>39790.0</c:v>
                </c:pt>
                <c:pt idx="1848">
                  <c:v>39787.0</c:v>
                </c:pt>
                <c:pt idx="1849">
                  <c:v>39786.0</c:v>
                </c:pt>
                <c:pt idx="1850">
                  <c:v>39785.0</c:v>
                </c:pt>
                <c:pt idx="1851">
                  <c:v>39784.0</c:v>
                </c:pt>
                <c:pt idx="1852">
                  <c:v>39783.0</c:v>
                </c:pt>
                <c:pt idx="1853">
                  <c:v>39780.0</c:v>
                </c:pt>
                <c:pt idx="1854">
                  <c:v>39779.0</c:v>
                </c:pt>
                <c:pt idx="1855">
                  <c:v>39778.0</c:v>
                </c:pt>
                <c:pt idx="1856">
                  <c:v>39777.0</c:v>
                </c:pt>
                <c:pt idx="1857">
                  <c:v>39776.0</c:v>
                </c:pt>
                <c:pt idx="1858">
                  <c:v>39773.0</c:v>
                </c:pt>
                <c:pt idx="1859">
                  <c:v>39772.0</c:v>
                </c:pt>
                <c:pt idx="1860">
                  <c:v>39771.0</c:v>
                </c:pt>
                <c:pt idx="1861">
                  <c:v>39769.0</c:v>
                </c:pt>
                <c:pt idx="1862">
                  <c:v>39766.0</c:v>
                </c:pt>
                <c:pt idx="1863">
                  <c:v>39765.0</c:v>
                </c:pt>
                <c:pt idx="1864">
                  <c:v>39764.0</c:v>
                </c:pt>
                <c:pt idx="1865">
                  <c:v>39763.0</c:v>
                </c:pt>
                <c:pt idx="1866">
                  <c:v>39762.0</c:v>
                </c:pt>
                <c:pt idx="1867">
                  <c:v>39759.0</c:v>
                </c:pt>
                <c:pt idx="1868">
                  <c:v>39758.0</c:v>
                </c:pt>
                <c:pt idx="1869">
                  <c:v>39757.0</c:v>
                </c:pt>
                <c:pt idx="1870">
                  <c:v>39756.0</c:v>
                </c:pt>
                <c:pt idx="1871">
                  <c:v>39755.0</c:v>
                </c:pt>
                <c:pt idx="1872">
                  <c:v>39752.0</c:v>
                </c:pt>
                <c:pt idx="1873">
                  <c:v>39751.0</c:v>
                </c:pt>
                <c:pt idx="1874">
                  <c:v>39750.0</c:v>
                </c:pt>
                <c:pt idx="1875">
                  <c:v>39749.0</c:v>
                </c:pt>
                <c:pt idx="1876">
                  <c:v>39748.0</c:v>
                </c:pt>
                <c:pt idx="1877">
                  <c:v>39745.0</c:v>
                </c:pt>
                <c:pt idx="1878">
                  <c:v>39744.0</c:v>
                </c:pt>
                <c:pt idx="1879">
                  <c:v>39743.0</c:v>
                </c:pt>
                <c:pt idx="1880">
                  <c:v>39742.0</c:v>
                </c:pt>
                <c:pt idx="1881">
                  <c:v>39741.0</c:v>
                </c:pt>
                <c:pt idx="1882">
                  <c:v>39738.0</c:v>
                </c:pt>
                <c:pt idx="1883">
                  <c:v>39737.0</c:v>
                </c:pt>
                <c:pt idx="1884">
                  <c:v>39736.0</c:v>
                </c:pt>
                <c:pt idx="1885">
                  <c:v>39735.0</c:v>
                </c:pt>
                <c:pt idx="1886">
                  <c:v>39734.0</c:v>
                </c:pt>
                <c:pt idx="1887">
                  <c:v>39731.0</c:v>
                </c:pt>
                <c:pt idx="1888">
                  <c:v>39730.0</c:v>
                </c:pt>
                <c:pt idx="1889">
                  <c:v>39729.0</c:v>
                </c:pt>
                <c:pt idx="1890">
                  <c:v>39728.0</c:v>
                </c:pt>
                <c:pt idx="1891">
                  <c:v>39727.0</c:v>
                </c:pt>
                <c:pt idx="1892">
                  <c:v>39724.0</c:v>
                </c:pt>
                <c:pt idx="1893">
                  <c:v>39723.0</c:v>
                </c:pt>
                <c:pt idx="1894">
                  <c:v>39722.0</c:v>
                </c:pt>
                <c:pt idx="1895">
                  <c:v>39721.0</c:v>
                </c:pt>
                <c:pt idx="1896">
                  <c:v>39720.0</c:v>
                </c:pt>
                <c:pt idx="1897">
                  <c:v>39717.0</c:v>
                </c:pt>
                <c:pt idx="1898">
                  <c:v>39716.0</c:v>
                </c:pt>
                <c:pt idx="1899">
                  <c:v>39714.0</c:v>
                </c:pt>
                <c:pt idx="1900">
                  <c:v>39713.0</c:v>
                </c:pt>
                <c:pt idx="1901">
                  <c:v>39710.0</c:v>
                </c:pt>
                <c:pt idx="1902">
                  <c:v>39709.0</c:v>
                </c:pt>
                <c:pt idx="1903">
                  <c:v>39708.0</c:v>
                </c:pt>
                <c:pt idx="1904">
                  <c:v>39707.0</c:v>
                </c:pt>
                <c:pt idx="1905">
                  <c:v>39706.0</c:v>
                </c:pt>
                <c:pt idx="1906">
                  <c:v>39703.0</c:v>
                </c:pt>
                <c:pt idx="1907">
                  <c:v>39702.0</c:v>
                </c:pt>
                <c:pt idx="1908">
                  <c:v>39701.0</c:v>
                </c:pt>
                <c:pt idx="1909">
                  <c:v>39700.0</c:v>
                </c:pt>
                <c:pt idx="1910">
                  <c:v>39699.0</c:v>
                </c:pt>
                <c:pt idx="1911">
                  <c:v>39696.0</c:v>
                </c:pt>
                <c:pt idx="1912">
                  <c:v>39695.0</c:v>
                </c:pt>
                <c:pt idx="1913">
                  <c:v>39694.0</c:v>
                </c:pt>
                <c:pt idx="1914">
                  <c:v>39693.0</c:v>
                </c:pt>
                <c:pt idx="1915">
                  <c:v>39692.0</c:v>
                </c:pt>
                <c:pt idx="1916">
                  <c:v>39689.0</c:v>
                </c:pt>
                <c:pt idx="1917">
                  <c:v>39688.0</c:v>
                </c:pt>
                <c:pt idx="1918">
                  <c:v>39687.0</c:v>
                </c:pt>
                <c:pt idx="1919">
                  <c:v>39686.0</c:v>
                </c:pt>
                <c:pt idx="1920">
                  <c:v>39685.0</c:v>
                </c:pt>
                <c:pt idx="1921">
                  <c:v>39682.0</c:v>
                </c:pt>
                <c:pt idx="1922">
                  <c:v>39681.0</c:v>
                </c:pt>
                <c:pt idx="1923">
                  <c:v>39680.0</c:v>
                </c:pt>
                <c:pt idx="1924">
                  <c:v>39679.0</c:v>
                </c:pt>
                <c:pt idx="1925">
                  <c:v>39678.0</c:v>
                </c:pt>
                <c:pt idx="1926">
                  <c:v>39675.0</c:v>
                </c:pt>
                <c:pt idx="1927">
                  <c:v>39674.0</c:v>
                </c:pt>
                <c:pt idx="1928">
                  <c:v>39673.0</c:v>
                </c:pt>
                <c:pt idx="1929">
                  <c:v>39672.0</c:v>
                </c:pt>
                <c:pt idx="1930">
                  <c:v>39671.0</c:v>
                </c:pt>
                <c:pt idx="1931">
                  <c:v>39668.0</c:v>
                </c:pt>
                <c:pt idx="1932">
                  <c:v>39667.0</c:v>
                </c:pt>
                <c:pt idx="1933">
                  <c:v>39666.0</c:v>
                </c:pt>
                <c:pt idx="1934">
                  <c:v>39665.0</c:v>
                </c:pt>
                <c:pt idx="1935">
                  <c:v>39664.0</c:v>
                </c:pt>
                <c:pt idx="1936">
                  <c:v>39661.0</c:v>
                </c:pt>
                <c:pt idx="1937">
                  <c:v>39660.0</c:v>
                </c:pt>
                <c:pt idx="1938">
                  <c:v>39659.0</c:v>
                </c:pt>
                <c:pt idx="1939">
                  <c:v>39658.0</c:v>
                </c:pt>
                <c:pt idx="1940">
                  <c:v>39657.0</c:v>
                </c:pt>
                <c:pt idx="1941">
                  <c:v>39654.0</c:v>
                </c:pt>
                <c:pt idx="1942">
                  <c:v>39653.0</c:v>
                </c:pt>
                <c:pt idx="1943">
                  <c:v>39652.0</c:v>
                </c:pt>
                <c:pt idx="1944">
                  <c:v>39651.0</c:v>
                </c:pt>
                <c:pt idx="1945">
                  <c:v>39650.0</c:v>
                </c:pt>
                <c:pt idx="1946">
                  <c:v>39647.0</c:v>
                </c:pt>
                <c:pt idx="1947">
                  <c:v>39646.0</c:v>
                </c:pt>
                <c:pt idx="1948">
                  <c:v>39645.0</c:v>
                </c:pt>
                <c:pt idx="1949">
                  <c:v>39644.0</c:v>
                </c:pt>
                <c:pt idx="1950">
                  <c:v>39643.0</c:v>
                </c:pt>
                <c:pt idx="1951">
                  <c:v>39640.0</c:v>
                </c:pt>
                <c:pt idx="1952">
                  <c:v>39639.0</c:v>
                </c:pt>
                <c:pt idx="1953">
                  <c:v>39638.0</c:v>
                </c:pt>
                <c:pt idx="1954">
                  <c:v>39637.0</c:v>
                </c:pt>
                <c:pt idx="1955">
                  <c:v>39636.0</c:v>
                </c:pt>
                <c:pt idx="1956">
                  <c:v>39633.0</c:v>
                </c:pt>
                <c:pt idx="1957">
                  <c:v>39632.0</c:v>
                </c:pt>
                <c:pt idx="1958">
                  <c:v>39631.0</c:v>
                </c:pt>
                <c:pt idx="1959">
                  <c:v>39630.0</c:v>
                </c:pt>
                <c:pt idx="1960">
                  <c:v>39629.0</c:v>
                </c:pt>
                <c:pt idx="1961">
                  <c:v>39626.0</c:v>
                </c:pt>
                <c:pt idx="1962">
                  <c:v>39625.0</c:v>
                </c:pt>
                <c:pt idx="1963">
                  <c:v>39624.0</c:v>
                </c:pt>
                <c:pt idx="1964">
                  <c:v>39623.0</c:v>
                </c:pt>
                <c:pt idx="1965">
                  <c:v>39622.0</c:v>
                </c:pt>
                <c:pt idx="1966">
                  <c:v>39619.0</c:v>
                </c:pt>
                <c:pt idx="1967">
                  <c:v>39618.0</c:v>
                </c:pt>
                <c:pt idx="1968">
                  <c:v>39617.0</c:v>
                </c:pt>
                <c:pt idx="1969">
                  <c:v>39616.0</c:v>
                </c:pt>
                <c:pt idx="1970">
                  <c:v>39612.0</c:v>
                </c:pt>
                <c:pt idx="1971">
                  <c:v>39611.0</c:v>
                </c:pt>
                <c:pt idx="1972">
                  <c:v>39610.0</c:v>
                </c:pt>
                <c:pt idx="1973">
                  <c:v>39609.0</c:v>
                </c:pt>
                <c:pt idx="1974">
                  <c:v>39608.0</c:v>
                </c:pt>
                <c:pt idx="1975">
                  <c:v>39605.0</c:v>
                </c:pt>
                <c:pt idx="1976">
                  <c:v>39604.0</c:v>
                </c:pt>
                <c:pt idx="1977">
                  <c:v>39603.0</c:v>
                </c:pt>
                <c:pt idx="1978">
                  <c:v>39602.0</c:v>
                </c:pt>
                <c:pt idx="1979">
                  <c:v>39601.0</c:v>
                </c:pt>
                <c:pt idx="1980">
                  <c:v>39598.0</c:v>
                </c:pt>
                <c:pt idx="1981">
                  <c:v>39597.0</c:v>
                </c:pt>
                <c:pt idx="1982">
                  <c:v>39596.0</c:v>
                </c:pt>
                <c:pt idx="1983">
                  <c:v>39595.0</c:v>
                </c:pt>
                <c:pt idx="1984">
                  <c:v>39594.0</c:v>
                </c:pt>
                <c:pt idx="1985">
                  <c:v>39591.0</c:v>
                </c:pt>
                <c:pt idx="1986">
                  <c:v>39590.0</c:v>
                </c:pt>
                <c:pt idx="1987">
                  <c:v>39589.0</c:v>
                </c:pt>
                <c:pt idx="1988">
                  <c:v>39588.0</c:v>
                </c:pt>
                <c:pt idx="1989">
                  <c:v>39587.0</c:v>
                </c:pt>
                <c:pt idx="1990">
                  <c:v>39584.0</c:v>
                </c:pt>
                <c:pt idx="1991">
                  <c:v>39583.0</c:v>
                </c:pt>
                <c:pt idx="1992">
                  <c:v>39582.0</c:v>
                </c:pt>
                <c:pt idx="1993">
                  <c:v>39581.0</c:v>
                </c:pt>
                <c:pt idx="1994">
                  <c:v>39580.0</c:v>
                </c:pt>
                <c:pt idx="1995">
                  <c:v>39577.0</c:v>
                </c:pt>
                <c:pt idx="1996">
                  <c:v>39576.0</c:v>
                </c:pt>
                <c:pt idx="1997">
                  <c:v>39575.0</c:v>
                </c:pt>
                <c:pt idx="1998">
                  <c:v>39574.0</c:v>
                </c:pt>
                <c:pt idx="1999">
                  <c:v>39573.0</c:v>
                </c:pt>
                <c:pt idx="2000">
                  <c:v>39568.0</c:v>
                </c:pt>
                <c:pt idx="2001">
                  <c:v>39567.0</c:v>
                </c:pt>
                <c:pt idx="2002">
                  <c:v>39563.0</c:v>
                </c:pt>
                <c:pt idx="2003">
                  <c:v>39562.0</c:v>
                </c:pt>
                <c:pt idx="2004">
                  <c:v>39561.0</c:v>
                </c:pt>
                <c:pt idx="2005">
                  <c:v>39560.0</c:v>
                </c:pt>
                <c:pt idx="2006">
                  <c:v>39559.0</c:v>
                </c:pt>
                <c:pt idx="2007">
                  <c:v>39556.0</c:v>
                </c:pt>
                <c:pt idx="2008">
                  <c:v>39555.0</c:v>
                </c:pt>
                <c:pt idx="2009">
                  <c:v>39554.0</c:v>
                </c:pt>
                <c:pt idx="2010">
                  <c:v>39553.0</c:v>
                </c:pt>
                <c:pt idx="2011">
                  <c:v>39552.0</c:v>
                </c:pt>
                <c:pt idx="2012">
                  <c:v>39549.0</c:v>
                </c:pt>
                <c:pt idx="2013">
                  <c:v>39548.0</c:v>
                </c:pt>
                <c:pt idx="2014">
                  <c:v>39547.0</c:v>
                </c:pt>
                <c:pt idx="2015">
                  <c:v>39546.0</c:v>
                </c:pt>
                <c:pt idx="2016">
                  <c:v>39545.0</c:v>
                </c:pt>
                <c:pt idx="2017">
                  <c:v>39542.0</c:v>
                </c:pt>
                <c:pt idx="2018">
                  <c:v>39541.0</c:v>
                </c:pt>
                <c:pt idx="2019">
                  <c:v>39540.0</c:v>
                </c:pt>
                <c:pt idx="2020">
                  <c:v>39539.0</c:v>
                </c:pt>
                <c:pt idx="2021">
                  <c:v>39538.0</c:v>
                </c:pt>
                <c:pt idx="2022">
                  <c:v>39535.0</c:v>
                </c:pt>
                <c:pt idx="2023">
                  <c:v>39534.0</c:v>
                </c:pt>
                <c:pt idx="2024">
                  <c:v>39533.0</c:v>
                </c:pt>
                <c:pt idx="2025">
                  <c:v>39532.0</c:v>
                </c:pt>
                <c:pt idx="2026">
                  <c:v>39527.0</c:v>
                </c:pt>
                <c:pt idx="2027">
                  <c:v>39526.0</c:v>
                </c:pt>
                <c:pt idx="2028">
                  <c:v>39525.0</c:v>
                </c:pt>
                <c:pt idx="2029">
                  <c:v>39524.0</c:v>
                </c:pt>
                <c:pt idx="2030">
                  <c:v>39521.0</c:v>
                </c:pt>
                <c:pt idx="2031">
                  <c:v>39520.0</c:v>
                </c:pt>
                <c:pt idx="2032">
                  <c:v>39519.0</c:v>
                </c:pt>
                <c:pt idx="2033">
                  <c:v>39518.0</c:v>
                </c:pt>
                <c:pt idx="2034">
                  <c:v>39517.0</c:v>
                </c:pt>
                <c:pt idx="2035">
                  <c:v>39514.0</c:v>
                </c:pt>
                <c:pt idx="2036">
                  <c:v>39513.0</c:v>
                </c:pt>
                <c:pt idx="2037">
                  <c:v>39512.0</c:v>
                </c:pt>
                <c:pt idx="2038">
                  <c:v>39511.0</c:v>
                </c:pt>
                <c:pt idx="2039">
                  <c:v>39510.0</c:v>
                </c:pt>
                <c:pt idx="2040">
                  <c:v>39507.0</c:v>
                </c:pt>
                <c:pt idx="2041">
                  <c:v>39506.0</c:v>
                </c:pt>
                <c:pt idx="2042">
                  <c:v>39505.0</c:v>
                </c:pt>
                <c:pt idx="2043">
                  <c:v>39504.0</c:v>
                </c:pt>
                <c:pt idx="2044">
                  <c:v>39503.0</c:v>
                </c:pt>
                <c:pt idx="2045">
                  <c:v>39500.0</c:v>
                </c:pt>
                <c:pt idx="2046">
                  <c:v>39499.0</c:v>
                </c:pt>
                <c:pt idx="2047">
                  <c:v>39498.0</c:v>
                </c:pt>
                <c:pt idx="2048">
                  <c:v>39497.0</c:v>
                </c:pt>
                <c:pt idx="2049">
                  <c:v>39496.0</c:v>
                </c:pt>
                <c:pt idx="2050">
                  <c:v>39493.0</c:v>
                </c:pt>
                <c:pt idx="2051">
                  <c:v>39492.0</c:v>
                </c:pt>
                <c:pt idx="2052">
                  <c:v>39491.0</c:v>
                </c:pt>
                <c:pt idx="2053">
                  <c:v>39490.0</c:v>
                </c:pt>
                <c:pt idx="2054">
                  <c:v>39489.0</c:v>
                </c:pt>
                <c:pt idx="2055">
                  <c:v>39486.0</c:v>
                </c:pt>
                <c:pt idx="2056">
                  <c:v>39485.0</c:v>
                </c:pt>
                <c:pt idx="2057">
                  <c:v>39484.0</c:v>
                </c:pt>
                <c:pt idx="2058">
                  <c:v>39483.0</c:v>
                </c:pt>
                <c:pt idx="2059">
                  <c:v>39482.0</c:v>
                </c:pt>
                <c:pt idx="2060">
                  <c:v>39479.0</c:v>
                </c:pt>
                <c:pt idx="2061">
                  <c:v>39478.0</c:v>
                </c:pt>
                <c:pt idx="2062">
                  <c:v>39477.0</c:v>
                </c:pt>
                <c:pt idx="2063">
                  <c:v>39476.0</c:v>
                </c:pt>
                <c:pt idx="2064">
                  <c:v>39475.0</c:v>
                </c:pt>
                <c:pt idx="2065">
                  <c:v>39472.0</c:v>
                </c:pt>
                <c:pt idx="2066">
                  <c:v>39471.0</c:v>
                </c:pt>
                <c:pt idx="2067">
                  <c:v>39470.0</c:v>
                </c:pt>
                <c:pt idx="2068">
                  <c:v>39469.0</c:v>
                </c:pt>
                <c:pt idx="2069">
                  <c:v>39468.0</c:v>
                </c:pt>
                <c:pt idx="2070">
                  <c:v>39465.0</c:v>
                </c:pt>
                <c:pt idx="2071">
                  <c:v>39464.0</c:v>
                </c:pt>
                <c:pt idx="2072">
                  <c:v>39463.0</c:v>
                </c:pt>
                <c:pt idx="2073">
                  <c:v>39462.0</c:v>
                </c:pt>
                <c:pt idx="2074">
                  <c:v>39461.0</c:v>
                </c:pt>
                <c:pt idx="2075">
                  <c:v>39458.0</c:v>
                </c:pt>
                <c:pt idx="2076">
                  <c:v>39457.0</c:v>
                </c:pt>
                <c:pt idx="2077">
                  <c:v>39456.0</c:v>
                </c:pt>
                <c:pt idx="2078">
                  <c:v>39455.0</c:v>
                </c:pt>
                <c:pt idx="2079">
                  <c:v>39454.0</c:v>
                </c:pt>
                <c:pt idx="2080">
                  <c:v>39451.0</c:v>
                </c:pt>
                <c:pt idx="2081">
                  <c:v>39450.0</c:v>
                </c:pt>
                <c:pt idx="2082">
                  <c:v>39449.0</c:v>
                </c:pt>
                <c:pt idx="2083">
                  <c:v>39447.0</c:v>
                </c:pt>
                <c:pt idx="2084">
                  <c:v>39444.0</c:v>
                </c:pt>
                <c:pt idx="2085">
                  <c:v>39443.0</c:v>
                </c:pt>
                <c:pt idx="2086">
                  <c:v>39440.0</c:v>
                </c:pt>
                <c:pt idx="2087">
                  <c:v>39437.0</c:v>
                </c:pt>
                <c:pt idx="2088">
                  <c:v>39436.0</c:v>
                </c:pt>
                <c:pt idx="2089">
                  <c:v>39435.0</c:v>
                </c:pt>
                <c:pt idx="2090">
                  <c:v>39434.0</c:v>
                </c:pt>
                <c:pt idx="2091">
                  <c:v>39430.0</c:v>
                </c:pt>
                <c:pt idx="2092">
                  <c:v>39429.0</c:v>
                </c:pt>
                <c:pt idx="2093">
                  <c:v>39428.0</c:v>
                </c:pt>
                <c:pt idx="2094">
                  <c:v>39427.0</c:v>
                </c:pt>
                <c:pt idx="2095">
                  <c:v>39426.0</c:v>
                </c:pt>
                <c:pt idx="2096">
                  <c:v>39423.0</c:v>
                </c:pt>
                <c:pt idx="2097">
                  <c:v>39422.0</c:v>
                </c:pt>
                <c:pt idx="2098">
                  <c:v>39421.0</c:v>
                </c:pt>
                <c:pt idx="2099">
                  <c:v>39420.0</c:v>
                </c:pt>
                <c:pt idx="2100">
                  <c:v>39419.0</c:v>
                </c:pt>
                <c:pt idx="2101">
                  <c:v>39416.0</c:v>
                </c:pt>
                <c:pt idx="2102">
                  <c:v>39415.0</c:v>
                </c:pt>
                <c:pt idx="2103">
                  <c:v>39414.0</c:v>
                </c:pt>
                <c:pt idx="2104">
                  <c:v>39413.0</c:v>
                </c:pt>
                <c:pt idx="2105">
                  <c:v>39412.0</c:v>
                </c:pt>
                <c:pt idx="2106">
                  <c:v>39409.0</c:v>
                </c:pt>
                <c:pt idx="2107">
                  <c:v>39408.0</c:v>
                </c:pt>
                <c:pt idx="2108">
                  <c:v>39407.0</c:v>
                </c:pt>
                <c:pt idx="2109">
                  <c:v>39406.0</c:v>
                </c:pt>
                <c:pt idx="2110">
                  <c:v>39405.0</c:v>
                </c:pt>
                <c:pt idx="2111">
                  <c:v>39402.0</c:v>
                </c:pt>
                <c:pt idx="2112">
                  <c:v>39401.0</c:v>
                </c:pt>
                <c:pt idx="2113">
                  <c:v>39400.0</c:v>
                </c:pt>
                <c:pt idx="2114">
                  <c:v>39399.0</c:v>
                </c:pt>
                <c:pt idx="2115">
                  <c:v>39398.0</c:v>
                </c:pt>
                <c:pt idx="2116">
                  <c:v>39395.0</c:v>
                </c:pt>
                <c:pt idx="2117">
                  <c:v>39394.0</c:v>
                </c:pt>
                <c:pt idx="2118">
                  <c:v>39393.0</c:v>
                </c:pt>
                <c:pt idx="2119">
                  <c:v>39392.0</c:v>
                </c:pt>
                <c:pt idx="2120">
                  <c:v>39391.0</c:v>
                </c:pt>
                <c:pt idx="2121">
                  <c:v>39388.0</c:v>
                </c:pt>
                <c:pt idx="2122">
                  <c:v>39387.0</c:v>
                </c:pt>
                <c:pt idx="2123">
                  <c:v>39386.0</c:v>
                </c:pt>
                <c:pt idx="2124">
                  <c:v>39385.0</c:v>
                </c:pt>
                <c:pt idx="2125">
                  <c:v>39384.0</c:v>
                </c:pt>
                <c:pt idx="2126">
                  <c:v>39381.0</c:v>
                </c:pt>
                <c:pt idx="2127">
                  <c:v>39380.0</c:v>
                </c:pt>
                <c:pt idx="2128">
                  <c:v>39379.0</c:v>
                </c:pt>
                <c:pt idx="2129">
                  <c:v>39378.0</c:v>
                </c:pt>
                <c:pt idx="2130">
                  <c:v>39377.0</c:v>
                </c:pt>
                <c:pt idx="2131">
                  <c:v>39374.0</c:v>
                </c:pt>
                <c:pt idx="2132">
                  <c:v>39373.0</c:v>
                </c:pt>
                <c:pt idx="2133">
                  <c:v>39372.0</c:v>
                </c:pt>
                <c:pt idx="2134">
                  <c:v>39371.0</c:v>
                </c:pt>
                <c:pt idx="2135">
                  <c:v>39370.0</c:v>
                </c:pt>
                <c:pt idx="2136">
                  <c:v>39367.0</c:v>
                </c:pt>
                <c:pt idx="2137">
                  <c:v>39366.0</c:v>
                </c:pt>
                <c:pt idx="2138">
                  <c:v>39365.0</c:v>
                </c:pt>
                <c:pt idx="2139">
                  <c:v>39364.0</c:v>
                </c:pt>
                <c:pt idx="2140">
                  <c:v>39363.0</c:v>
                </c:pt>
                <c:pt idx="2141">
                  <c:v>39360.0</c:v>
                </c:pt>
                <c:pt idx="2142">
                  <c:v>39359.0</c:v>
                </c:pt>
                <c:pt idx="2143">
                  <c:v>39358.0</c:v>
                </c:pt>
                <c:pt idx="2144">
                  <c:v>39357.0</c:v>
                </c:pt>
                <c:pt idx="2145">
                  <c:v>39356.0</c:v>
                </c:pt>
                <c:pt idx="2146">
                  <c:v>39353.0</c:v>
                </c:pt>
                <c:pt idx="2147">
                  <c:v>39352.0</c:v>
                </c:pt>
                <c:pt idx="2148">
                  <c:v>39351.0</c:v>
                </c:pt>
                <c:pt idx="2149">
                  <c:v>39350.0</c:v>
                </c:pt>
                <c:pt idx="2150">
                  <c:v>39346.0</c:v>
                </c:pt>
                <c:pt idx="2151">
                  <c:v>39345.0</c:v>
                </c:pt>
                <c:pt idx="2152">
                  <c:v>39344.0</c:v>
                </c:pt>
                <c:pt idx="2153">
                  <c:v>39343.0</c:v>
                </c:pt>
                <c:pt idx="2154">
                  <c:v>39342.0</c:v>
                </c:pt>
                <c:pt idx="2155">
                  <c:v>39339.0</c:v>
                </c:pt>
                <c:pt idx="2156">
                  <c:v>39338.0</c:v>
                </c:pt>
                <c:pt idx="2157">
                  <c:v>39337.0</c:v>
                </c:pt>
                <c:pt idx="2158">
                  <c:v>39336.0</c:v>
                </c:pt>
                <c:pt idx="2159">
                  <c:v>39335.0</c:v>
                </c:pt>
                <c:pt idx="2160">
                  <c:v>39332.0</c:v>
                </c:pt>
                <c:pt idx="2161">
                  <c:v>39331.0</c:v>
                </c:pt>
                <c:pt idx="2162">
                  <c:v>39330.0</c:v>
                </c:pt>
                <c:pt idx="2163">
                  <c:v>39329.0</c:v>
                </c:pt>
                <c:pt idx="2164">
                  <c:v>39328.0</c:v>
                </c:pt>
                <c:pt idx="2165">
                  <c:v>39325.0</c:v>
                </c:pt>
                <c:pt idx="2166">
                  <c:v>39324.0</c:v>
                </c:pt>
                <c:pt idx="2167">
                  <c:v>39323.0</c:v>
                </c:pt>
                <c:pt idx="2168">
                  <c:v>39322.0</c:v>
                </c:pt>
                <c:pt idx="2169">
                  <c:v>39321.0</c:v>
                </c:pt>
                <c:pt idx="2170">
                  <c:v>39318.0</c:v>
                </c:pt>
                <c:pt idx="2171">
                  <c:v>39317.0</c:v>
                </c:pt>
                <c:pt idx="2172">
                  <c:v>39316.0</c:v>
                </c:pt>
                <c:pt idx="2173">
                  <c:v>39315.0</c:v>
                </c:pt>
                <c:pt idx="2174">
                  <c:v>39314.0</c:v>
                </c:pt>
                <c:pt idx="2175">
                  <c:v>39311.0</c:v>
                </c:pt>
                <c:pt idx="2176">
                  <c:v>39310.0</c:v>
                </c:pt>
                <c:pt idx="2177">
                  <c:v>39309.0</c:v>
                </c:pt>
                <c:pt idx="2178">
                  <c:v>39308.0</c:v>
                </c:pt>
                <c:pt idx="2179">
                  <c:v>39307.0</c:v>
                </c:pt>
                <c:pt idx="2180">
                  <c:v>39304.0</c:v>
                </c:pt>
                <c:pt idx="2181">
                  <c:v>39302.0</c:v>
                </c:pt>
                <c:pt idx="2182">
                  <c:v>39301.0</c:v>
                </c:pt>
                <c:pt idx="2183">
                  <c:v>39300.0</c:v>
                </c:pt>
                <c:pt idx="2184">
                  <c:v>39297.0</c:v>
                </c:pt>
                <c:pt idx="2185">
                  <c:v>39296.0</c:v>
                </c:pt>
                <c:pt idx="2186">
                  <c:v>39295.0</c:v>
                </c:pt>
                <c:pt idx="2187">
                  <c:v>39294.0</c:v>
                </c:pt>
                <c:pt idx="2188">
                  <c:v>39293.0</c:v>
                </c:pt>
                <c:pt idx="2189">
                  <c:v>39290.0</c:v>
                </c:pt>
                <c:pt idx="2190">
                  <c:v>39289.0</c:v>
                </c:pt>
                <c:pt idx="2191">
                  <c:v>39288.0</c:v>
                </c:pt>
                <c:pt idx="2192">
                  <c:v>39287.0</c:v>
                </c:pt>
                <c:pt idx="2193">
                  <c:v>39286.0</c:v>
                </c:pt>
                <c:pt idx="2194">
                  <c:v>39283.0</c:v>
                </c:pt>
                <c:pt idx="2195">
                  <c:v>39282.0</c:v>
                </c:pt>
                <c:pt idx="2196">
                  <c:v>39281.0</c:v>
                </c:pt>
                <c:pt idx="2197">
                  <c:v>39280.0</c:v>
                </c:pt>
                <c:pt idx="2198">
                  <c:v>39279.0</c:v>
                </c:pt>
                <c:pt idx="2199">
                  <c:v>39276.0</c:v>
                </c:pt>
                <c:pt idx="2200">
                  <c:v>39275.0</c:v>
                </c:pt>
                <c:pt idx="2201">
                  <c:v>39274.0</c:v>
                </c:pt>
                <c:pt idx="2202">
                  <c:v>39273.0</c:v>
                </c:pt>
                <c:pt idx="2203">
                  <c:v>39272.0</c:v>
                </c:pt>
                <c:pt idx="2204">
                  <c:v>39269.0</c:v>
                </c:pt>
                <c:pt idx="2205">
                  <c:v>39268.0</c:v>
                </c:pt>
                <c:pt idx="2206">
                  <c:v>39267.0</c:v>
                </c:pt>
                <c:pt idx="2207">
                  <c:v>39266.0</c:v>
                </c:pt>
                <c:pt idx="2208">
                  <c:v>39265.0</c:v>
                </c:pt>
                <c:pt idx="2209">
                  <c:v>39262.0</c:v>
                </c:pt>
                <c:pt idx="2210">
                  <c:v>39261.0</c:v>
                </c:pt>
                <c:pt idx="2211">
                  <c:v>39260.0</c:v>
                </c:pt>
                <c:pt idx="2212">
                  <c:v>39259.0</c:v>
                </c:pt>
                <c:pt idx="2213">
                  <c:v>39258.0</c:v>
                </c:pt>
                <c:pt idx="2214">
                  <c:v>39255.0</c:v>
                </c:pt>
                <c:pt idx="2215">
                  <c:v>39254.0</c:v>
                </c:pt>
                <c:pt idx="2216">
                  <c:v>39253.0</c:v>
                </c:pt>
                <c:pt idx="2217">
                  <c:v>39252.0</c:v>
                </c:pt>
                <c:pt idx="2218">
                  <c:v>39251.0</c:v>
                </c:pt>
                <c:pt idx="2219">
                  <c:v>39248.0</c:v>
                </c:pt>
                <c:pt idx="2220">
                  <c:v>39247.0</c:v>
                </c:pt>
                <c:pt idx="2221">
                  <c:v>39246.0</c:v>
                </c:pt>
                <c:pt idx="2222">
                  <c:v>39245.0</c:v>
                </c:pt>
                <c:pt idx="2223">
                  <c:v>39244.0</c:v>
                </c:pt>
                <c:pt idx="2224">
                  <c:v>39241.0</c:v>
                </c:pt>
                <c:pt idx="2225">
                  <c:v>39240.0</c:v>
                </c:pt>
                <c:pt idx="2226">
                  <c:v>39239.0</c:v>
                </c:pt>
                <c:pt idx="2227">
                  <c:v>39238.0</c:v>
                </c:pt>
                <c:pt idx="2228">
                  <c:v>39237.0</c:v>
                </c:pt>
                <c:pt idx="2229">
                  <c:v>39234.0</c:v>
                </c:pt>
                <c:pt idx="2230">
                  <c:v>39233.0</c:v>
                </c:pt>
                <c:pt idx="2231">
                  <c:v>39232.0</c:v>
                </c:pt>
                <c:pt idx="2232">
                  <c:v>39231.0</c:v>
                </c:pt>
                <c:pt idx="2233">
                  <c:v>39230.0</c:v>
                </c:pt>
                <c:pt idx="2234">
                  <c:v>39227.0</c:v>
                </c:pt>
                <c:pt idx="2235">
                  <c:v>39226.0</c:v>
                </c:pt>
                <c:pt idx="2236">
                  <c:v>39225.0</c:v>
                </c:pt>
                <c:pt idx="2237">
                  <c:v>39224.0</c:v>
                </c:pt>
                <c:pt idx="2238">
                  <c:v>39223.0</c:v>
                </c:pt>
                <c:pt idx="2239">
                  <c:v>39220.0</c:v>
                </c:pt>
                <c:pt idx="2240">
                  <c:v>39219.0</c:v>
                </c:pt>
                <c:pt idx="2241">
                  <c:v>39218.0</c:v>
                </c:pt>
                <c:pt idx="2242">
                  <c:v>39217.0</c:v>
                </c:pt>
                <c:pt idx="2243">
                  <c:v>39216.0</c:v>
                </c:pt>
                <c:pt idx="2244">
                  <c:v>39213.0</c:v>
                </c:pt>
                <c:pt idx="2245">
                  <c:v>39212.0</c:v>
                </c:pt>
                <c:pt idx="2246">
                  <c:v>39211.0</c:v>
                </c:pt>
                <c:pt idx="2247">
                  <c:v>39210.0</c:v>
                </c:pt>
                <c:pt idx="2248">
                  <c:v>39209.0</c:v>
                </c:pt>
                <c:pt idx="2249">
                  <c:v>39206.0</c:v>
                </c:pt>
                <c:pt idx="2250">
                  <c:v>39205.0</c:v>
                </c:pt>
                <c:pt idx="2251">
                  <c:v>39204.0</c:v>
                </c:pt>
                <c:pt idx="2252">
                  <c:v>39202.0</c:v>
                </c:pt>
                <c:pt idx="2253">
                  <c:v>39198.0</c:v>
                </c:pt>
                <c:pt idx="2254">
                  <c:v>39197.0</c:v>
                </c:pt>
                <c:pt idx="2255">
                  <c:v>39196.0</c:v>
                </c:pt>
                <c:pt idx="2256">
                  <c:v>39195.0</c:v>
                </c:pt>
                <c:pt idx="2257">
                  <c:v>39192.0</c:v>
                </c:pt>
                <c:pt idx="2258">
                  <c:v>39191.0</c:v>
                </c:pt>
                <c:pt idx="2259">
                  <c:v>39190.0</c:v>
                </c:pt>
                <c:pt idx="2260">
                  <c:v>39189.0</c:v>
                </c:pt>
                <c:pt idx="2261">
                  <c:v>39188.0</c:v>
                </c:pt>
                <c:pt idx="2262">
                  <c:v>39185.0</c:v>
                </c:pt>
                <c:pt idx="2263">
                  <c:v>39184.0</c:v>
                </c:pt>
                <c:pt idx="2264">
                  <c:v>39183.0</c:v>
                </c:pt>
                <c:pt idx="2265">
                  <c:v>39182.0</c:v>
                </c:pt>
                <c:pt idx="2266">
                  <c:v>39177.0</c:v>
                </c:pt>
                <c:pt idx="2267">
                  <c:v>39176.0</c:v>
                </c:pt>
                <c:pt idx="2268">
                  <c:v>39175.0</c:v>
                </c:pt>
                <c:pt idx="2269">
                  <c:v>39174.0</c:v>
                </c:pt>
                <c:pt idx="2270">
                  <c:v>39171.0</c:v>
                </c:pt>
                <c:pt idx="2271">
                  <c:v>39170.0</c:v>
                </c:pt>
                <c:pt idx="2272">
                  <c:v>39169.0</c:v>
                </c:pt>
                <c:pt idx="2273">
                  <c:v>39168.0</c:v>
                </c:pt>
                <c:pt idx="2274">
                  <c:v>39167.0</c:v>
                </c:pt>
                <c:pt idx="2275">
                  <c:v>39164.0</c:v>
                </c:pt>
                <c:pt idx="2276">
                  <c:v>39163.0</c:v>
                </c:pt>
                <c:pt idx="2277">
                  <c:v>39161.0</c:v>
                </c:pt>
                <c:pt idx="2278">
                  <c:v>39160.0</c:v>
                </c:pt>
                <c:pt idx="2279">
                  <c:v>39157.0</c:v>
                </c:pt>
                <c:pt idx="2280">
                  <c:v>39156.0</c:v>
                </c:pt>
                <c:pt idx="2281">
                  <c:v>39155.0</c:v>
                </c:pt>
                <c:pt idx="2282">
                  <c:v>39154.0</c:v>
                </c:pt>
                <c:pt idx="2283">
                  <c:v>39153.0</c:v>
                </c:pt>
                <c:pt idx="2284">
                  <c:v>39150.0</c:v>
                </c:pt>
                <c:pt idx="2285">
                  <c:v>39149.0</c:v>
                </c:pt>
                <c:pt idx="2286">
                  <c:v>39148.0</c:v>
                </c:pt>
                <c:pt idx="2287">
                  <c:v>39147.0</c:v>
                </c:pt>
                <c:pt idx="2288">
                  <c:v>39146.0</c:v>
                </c:pt>
                <c:pt idx="2289">
                  <c:v>39143.0</c:v>
                </c:pt>
                <c:pt idx="2290">
                  <c:v>39142.0</c:v>
                </c:pt>
                <c:pt idx="2291">
                  <c:v>39141.0</c:v>
                </c:pt>
                <c:pt idx="2292">
                  <c:v>39140.0</c:v>
                </c:pt>
                <c:pt idx="2293">
                  <c:v>39139.0</c:v>
                </c:pt>
                <c:pt idx="2294">
                  <c:v>39136.0</c:v>
                </c:pt>
                <c:pt idx="2295">
                  <c:v>39135.0</c:v>
                </c:pt>
                <c:pt idx="2296">
                  <c:v>39134.0</c:v>
                </c:pt>
                <c:pt idx="2297">
                  <c:v>39133.0</c:v>
                </c:pt>
                <c:pt idx="2298">
                  <c:v>39132.0</c:v>
                </c:pt>
                <c:pt idx="2299">
                  <c:v>39129.0</c:v>
                </c:pt>
                <c:pt idx="2300">
                  <c:v>39128.0</c:v>
                </c:pt>
                <c:pt idx="2301">
                  <c:v>39127.0</c:v>
                </c:pt>
                <c:pt idx="2302">
                  <c:v>39126.0</c:v>
                </c:pt>
                <c:pt idx="2303">
                  <c:v>39125.0</c:v>
                </c:pt>
                <c:pt idx="2304">
                  <c:v>39122.0</c:v>
                </c:pt>
                <c:pt idx="2305">
                  <c:v>39121.0</c:v>
                </c:pt>
                <c:pt idx="2306">
                  <c:v>39120.0</c:v>
                </c:pt>
                <c:pt idx="2307">
                  <c:v>39119.0</c:v>
                </c:pt>
                <c:pt idx="2308">
                  <c:v>39118.0</c:v>
                </c:pt>
                <c:pt idx="2309">
                  <c:v>39115.0</c:v>
                </c:pt>
                <c:pt idx="2310">
                  <c:v>39114.0</c:v>
                </c:pt>
                <c:pt idx="2311">
                  <c:v>39113.0</c:v>
                </c:pt>
                <c:pt idx="2312">
                  <c:v>39112.0</c:v>
                </c:pt>
                <c:pt idx="2313">
                  <c:v>39111.0</c:v>
                </c:pt>
                <c:pt idx="2314">
                  <c:v>39108.0</c:v>
                </c:pt>
                <c:pt idx="2315">
                  <c:v>39107.0</c:v>
                </c:pt>
                <c:pt idx="2316">
                  <c:v>39106.0</c:v>
                </c:pt>
                <c:pt idx="2317">
                  <c:v>39105.0</c:v>
                </c:pt>
                <c:pt idx="2318">
                  <c:v>39104.0</c:v>
                </c:pt>
                <c:pt idx="2319">
                  <c:v>39101.0</c:v>
                </c:pt>
                <c:pt idx="2320">
                  <c:v>39100.0</c:v>
                </c:pt>
                <c:pt idx="2321">
                  <c:v>39099.0</c:v>
                </c:pt>
                <c:pt idx="2322">
                  <c:v>39098.0</c:v>
                </c:pt>
                <c:pt idx="2323">
                  <c:v>39097.0</c:v>
                </c:pt>
                <c:pt idx="2324">
                  <c:v>39094.0</c:v>
                </c:pt>
                <c:pt idx="2325">
                  <c:v>39093.0</c:v>
                </c:pt>
                <c:pt idx="2326">
                  <c:v>39092.0</c:v>
                </c:pt>
                <c:pt idx="2327">
                  <c:v>39091.0</c:v>
                </c:pt>
                <c:pt idx="2328">
                  <c:v>39090.0</c:v>
                </c:pt>
                <c:pt idx="2329">
                  <c:v>39087.0</c:v>
                </c:pt>
                <c:pt idx="2330">
                  <c:v>39086.0</c:v>
                </c:pt>
                <c:pt idx="2331">
                  <c:v>39085.0</c:v>
                </c:pt>
                <c:pt idx="2332">
                  <c:v>39084.0</c:v>
                </c:pt>
                <c:pt idx="2333">
                  <c:v>39080.0</c:v>
                </c:pt>
                <c:pt idx="2334">
                  <c:v>39079.0</c:v>
                </c:pt>
                <c:pt idx="2335">
                  <c:v>39078.0</c:v>
                </c:pt>
                <c:pt idx="2336">
                  <c:v>39073.0</c:v>
                </c:pt>
                <c:pt idx="2337">
                  <c:v>39072.0</c:v>
                </c:pt>
                <c:pt idx="2338">
                  <c:v>39071.0</c:v>
                </c:pt>
                <c:pt idx="2339">
                  <c:v>39070.0</c:v>
                </c:pt>
                <c:pt idx="2340">
                  <c:v>39069.0</c:v>
                </c:pt>
                <c:pt idx="2341">
                  <c:v>39066.0</c:v>
                </c:pt>
                <c:pt idx="2342">
                  <c:v>39065.0</c:v>
                </c:pt>
                <c:pt idx="2343">
                  <c:v>39064.0</c:v>
                </c:pt>
                <c:pt idx="2344">
                  <c:v>39063.0</c:v>
                </c:pt>
                <c:pt idx="2345">
                  <c:v>39062.0</c:v>
                </c:pt>
                <c:pt idx="2346">
                  <c:v>39059.0</c:v>
                </c:pt>
                <c:pt idx="2347">
                  <c:v>39058.0</c:v>
                </c:pt>
                <c:pt idx="2348">
                  <c:v>39057.0</c:v>
                </c:pt>
                <c:pt idx="2349">
                  <c:v>39056.0</c:v>
                </c:pt>
                <c:pt idx="2350">
                  <c:v>39055.0</c:v>
                </c:pt>
                <c:pt idx="2351">
                  <c:v>39052.0</c:v>
                </c:pt>
                <c:pt idx="2352">
                  <c:v>39051.0</c:v>
                </c:pt>
                <c:pt idx="2353">
                  <c:v>39050.0</c:v>
                </c:pt>
                <c:pt idx="2354">
                  <c:v>39049.0</c:v>
                </c:pt>
                <c:pt idx="2355">
                  <c:v>39048.0</c:v>
                </c:pt>
                <c:pt idx="2356">
                  <c:v>39045.0</c:v>
                </c:pt>
                <c:pt idx="2357">
                  <c:v>39044.0</c:v>
                </c:pt>
                <c:pt idx="2358">
                  <c:v>39043.0</c:v>
                </c:pt>
                <c:pt idx="2359">
                  <c:v>39042.0</c:v>
                </c:pt>
                <c:pt idx="2360">
                  <c:v>39041.0</c:v>
                </c:pt>
                <c:pt idx="2361">
                  <c:v>39038.0</c:v>
                </c:pt>
                <c:pt idx="2362">
                  <c:v>39037.0</c:v>
                </c:pt>
                <c:pt idx="2363">
                  <c:v>39036.0</c:v>
                </c:pt>
                <c:pt idx="2364">
                  <c:v>39035.0</c:v>
                </c:pt>
                <c:pt idx="2365">
                  <c:v>39034.0</c:v>
                </c:pt>
                <c:pt idx="2366">
                  <c:v>39031.0</c:v>
                </c:pt>
                <c:pt idx="2367">
                  <c:v>39030.0</c:v>
                </c:pt>
                <c:pt idx="2368">
                  <c:v>39029.0</c:v>
                </c:pt>
                <c:pt idx="2369">
                  <c:v>39028.0</c:v>
                </c:pt>
                <c:pt idx="2370">
                  <c:v>39027.0</c:v>
                </c:pt>
                <c:pt idx="2371">
                  <c:v>39024.0</c:v>
                </c:pt>
                <c:pt idx="2372">
                  <c:v>39023.0</c:v>
                </c:pt>
                <c:pt idx="2373">
                  <c:v>39022.0</c:v>
                </c:pt>
                <c:pt idx="2374">
                  <c:v>39021.0</c:v>
                </c:pt>
                <c:pt idx="2375">
                  <c:v>39020.0</c:v>
                </c:pt>
                <c:pt idx="2376">
                  <c:v>39017.0</c:v>
                </c:pt>
                <c:pt idx="2377">
                  <c:v>39016.0</c:v>
                </c:pt>
                <c:pt idx="2378">
                  <c:v>39015.0</c:v>
                </c:pt>
                <c:pt idx="2379">
                  <c:v>39014.0</c:v>
                </c:pt>
                <c:pt idx="2380">
                  <c:v>39013.0</c:v>
                </c:pt>
                <c:pt idx="2381">
                  <c:v>39010.0</c:v>
                </c:pt>
                <c:pt idx="2382">
                  <c:v>39009.0</c:v>
                </c:pt>
                <c:pt idx="2383">
                  <c:v>39008.0</c:v>
                </c:pt>
                <c:pt idx="2384">
                  <c:v>39007.0</c:v>
                </c:pt>
                <c:pt idx="2385">
                  <c:v>39006.0</c:v>
                </c:pt>
                <c:pt idx="2386">
                  <c:v>39003.0</c:v>
                </c:pt>
                <c:pt idx="2387">
                  <c:v>39002.0</c:v>
                </c:pt>
                <c:pt idx="2388">
                  <c:v>39001.0</c:v>
                </c:pt>
                <c:pt idx="2389">
                  <c:v>39000.0</c:v>
                </c:pt>
                <c:pt idx="2390">
                  <c:v>38999.0</c:v>
                </c:pt>
                <c:pt idx="2391">
                  <c:v>38996.0</c:v>
                </c:pt>
                <c:pt idx="2392">
                  <c:v>38995.0</c:v>
                </c:pt>
                <c:pt idx="2393">
                  <c:v>38994.0</c:v>
                </c:pt>
                <c:pt idx="2394">
                  <c:v>38993.0</c:v>
                </c:pt>
                <c:pt idx="2395">
                  <c:v>38992.0</c:v>
                </c:pt>
                <c:pt idx="2396">
                  <c:v>38989.0</c:v>
                </c:pt>
                <c:pt idx="2397">
                  <c:v>38988.0</c:v>
                </c:pt>
                <c:pt idx="2398">
                  <c:v>38987.0</c:v>
                </c:pt>
                <c:pt idx="2399">
                  <c:v>38986.0</c:v>
                </c:pt>
                <c:pt idx="2400">
                  <c:v>38982.0</c:v>
                </c:pt>
                <c:pt idx="2401">
                  <c:v>38981.0</c:v>
                </c:pt>
                <c:pt idx="2402">
                  <c:v>38980.0</c:v>
                </c:pt>
                <c:pt idx="2403">
                  <c:v>38979.0</c:v>
                </c:pt>
                <c:pt idx="2404">
                  <c:v>38978.0</c:v>
                </c:pt>
                <c:pt idx="2405">
                  <c:v>38975.0</c:v>
                </c:pt>
                <c:pt idx="2406">
                  <c:v>38974.0</c:v>
                </c:pt>
                <c:pt idx="2407">
                  <c:v>38973.0</c:v>
                </c:pt>
                <c:pt idx="2408">
                  <c:v>38972.0</c:v>
                </c:pt>
                <c:pt idx="2409">
                  <c:v>38971.0</c:v>
                </c:pt>
                <c:pt idx="2410">
                  <c:v>38968.0</c:v>
                </c:pt>
                <c:pt idx="2411">
                  <c:v>38967.0</c:v>
                </c:pt>
                <c:pt idx="2412">
                  <c:v>38966.0</c:v>
                </c:pt>
                <c:pt idx="2413">
                  <c:v>38965.0</c:v>
                </c:pt>
                <c:pt idx="2414">
                  <c:v>38964.0</c:v>
                </c:pt>
                <c:pt idx="2415">
                  <c:v>38961.0</c:v>
                </c:pt>
                <c:pt idx="2416">
                  <c:v>38960.0</c:v>
                </c:pt>
                <c:pt idx="2417">
                  <c:v>38959.0</c:v>
                </c:pt>
                <c:pt idx="2418">
                  <c:v>38958.0</c:v>
                </c:pt>
                <c:pt idx="2419">
                  <c:v>38957.0</c:v>
                </c:pt>
                <c:pt idx="2420">
                  <c:v>38954.0</c:v>
                </c:pt>
                <c:pt idx="2421">
                  <c:v>38953.0</c:v>
                </c:pt>
                <c:pt idx="2422">
                  <c:v>38952.0</c:v>
                </c:pt>
                <c:pt idx="2423">
                  <c:v>38951.0</c:v>
                </c:pt>
                <c:pt idx="2424">
                  <c:v>38950.0</c:v>
                </c:pt>
                <c:pt idx="2425">
                  <c:v>38947.0</c:v>
                </c:pt>
                <c:pt idx="2426">
                  <c:v>38946.0</c:v>
                </c:pt>
                <c:pt idx="2427">
                  <c:v>38945.0</c:v>
                </c:pt>
                <c:pt idx="2428">
                  <c:v>38944.0</c:v>
                </c:pt>
                <c:pt idx="2429">
                  <c:v>38943.0</c:v>
                </c:pt>
                <c:pt idx="2430">
                  <c:v>38940.0</c:v>
                </c:pt>
                <c:pt idx="2431">
                  <c:v>38939.0</c:v>
                </c:pt>
                <c:pt idx="2432">
                  <c:v>38937.0</c:v>
                </c:pt>
                <c:pt idx="2433">
                  <c:v>38936.0</c:v>
                </c:pt>
                <c:pt idx="2434">
                  <c:v>38933.0</c:v>
                </c:pt>
                <c:pt idx="2435">
                  <c:v>38932.0</c:v>
                </c:pt>
                <c:pt idx="2436">
                  <c:v>38931.0</c:v>
                </c:pt>
                <c:pt idx="2437">
                  <c:v>38930.0</c:v>
                </c:pt>
                <c:pt idx="2438">
                  <c:v>38929.0</c:v>
                </c:pt>
                <c:pt idx="2439">
                  <c:v>38926.0</c:v>
                </c:pt>
                <c:pt idx="2440">
                  <c:v>38925.0</c:v>
                </c:pt>
                <c:pt idx="2441">
                  <c:v>38924.0</c:v>
                </c:pt>
                <c:pt idx="2442">
                  <c:v>38923.0</c:v>
                </c:pt>
                <c:pt idx="2443">
                  <c:v>38922.0</c:v>
                </c:pt>
                <c:pt idx="2444">
                  <c:v>38919.0</c:v>
                </c:pt>
                <c:pt idx="2445">
                  <c:v>38918.0</c:v>
                </c:pt>
                <c:pt idx="2446">
                  <c:v>38917.0</c:v>
                </c:pt>
                <c:pt idx="2447">
                  <c:v>38916.0</c:v>
                </c:pt>
                <c:pt idx="2448">
                  <c:v>38915.0</c:v>
                </c:pt>
                <c:pt idx="2449">
                  <c:v>38912.0</c:v>
                </c:pt>
                <c:pt idx="2450">
                  <c:v>38911.0</c:v>
                </c:pt>
                <c:pt idx="2451">
                  <c:v>38910.0</c:v>
                </c:pt>
                <c:pt idx="2452">
                  <c:v>38909.0</c:v>
                </c:pt>
                <c:pt idx="2453">
                  <c:v>38908.0</c:v>
                </c:pt>
                <c:pt idx="2454">
                  <c:v>38905.0</c:v>
                </c:pt>
                <c:pt idx="2455">
                  <c:v>38904.0</c:v>
                </c:pt>
                <c:pt idx="2456">
                  <c:v>38903.0</c:v>
                </c:pt>
                <c:pt idx="2457">
                  <c:v>38902.0</c:v>
                </c:pt>
                <c:pt idx="2458">
                  <c:v>38901.0</c:v>
                </c:pt>
                <c:pt idx="2459">
                  <c:v>38898.0</c:v>
                </c:pt>
                <c:pt idx="2460">
                  <c:v>38897.0</c:v>
                </c:pt>
                <c:pt idx="2461">
                  <c:v>38896.0</c:v>
                </c:pt>
                <c:pt idx="2462">
                  <c:v>38895.0</c:v>
                </c:pt>
                <c:pt idx="2463">
                  <c:v>38894.0</c:v>
                </c:pt>
                <c:pt idx="2464">
                  <c:v>38891.0</c:v>
                </c:pt>
                <c:pt idx="2465">
                  <c:v>38890.0</c:v>
                </c:pt>
                <c:pt idx="2466">
                  <c:v>38889.0</c:v>
                </c:pt>
                <c:pt idx="2467">
                  <c:v>38888.0</c:v>
                </c:pt>
                <c:pt idx="2468">
                  <c:v>38887.0</c:v>
                </c:pt>
                <c:pt idx="2469">
                  <c:v>38883.0</c:v>
                </c:pt>
                <c:pt idx="2470">
                  <c:v>38882.0</c:v>
                </c:pt>
                <c:pt idx="2471">
                  <c:v>38881.0</c:v>
                </c:pt>
                <c:pt idx="2472">
                  <c:v>38880.0</c:v>
                </c:pt>
                <c:pt idx="2473">
                  <c:v>38877.0</c:v>
                </c:pt>
                <c:pt idx="2474">
                  <c:v>38876.0</c:v>
                </c:pt>
                <c:pt idx="2475">
                  <c:v>38875.0</c:v>
                </c:pt>
                <c:pt idx="2476">
                  <c:v>38874.0</c:v>
                </c:pt>
                <c:pt idx="2477">
                  <c:v>38873.0</c:v>
                </c:pt>
                <c:pt idx="2478">
                  <c:v>38870.0</c:v>
                </c:pt>
                <c:pt idx="2479">
                  <c:v>38869.0</c:v>
                </c:pt>
                <c:pt idx="2480">
                  <c:v>38868.0</c:v>
                </c:pt>
                <c:pt idx="2481">
                  <c:v>38867.0</c:v>
                </c:pt>
                <c:pt idx="2482">
                  <c:v>38866.0</c:v>
                </c:pt>
                <c:pt idx="2483">
                  <c:v>38863.0</c:v>
                </c:pt>
                <c:pt idx="2484">
                  <c:v>38862.0</c:v>
                </c:pt>
                <c:pt idx="2485">
                  <c:v>38861.0</c:v>
                </c:pt>
                <c:pt idx="2486">
                  <c:v>38860.0</c:v>
                </c:pt>
                <c:pt idx="2487">
                  <c:v>38859.0</c:v>
                </c:pt>
                <c:pt idx="2488">
                  <c:v>38856.0</c:v>
                </c:pt>
                <c:pt idx="2489">
                  <c:v>38855.0</c:v>
                </c:pt>
                <c:pt idx="2490">
                  <c:v>38854.0</c:v>
                </c:pt>
                <c:pt idx="2491">
                  <c:v>38853.0</c:v>
                </c:pt>
                <c:pt idx="2492">
                  <c:v>38852.0</c:v>
                </c:pt>
                <c:pt idx="2493">
                  <c:v>38849.0</c:v>
                </c:pt>
                <c:pt idx="2494">
                  <c:v>38848.0</c:v>
                </c:pt>
                <c:pt idx="2495">
                  <c:v>38847.0</c:v>
                </c:pt>
                <c:pt idx="2496">
                  <c:v>38846.0</c:v>
                </c:pt>
                <c:pt idx="2497">
                  <c:v>38845.0</c:v>
                </c:pt>
                <c:pt idx="2498">
                  <c:v>38842.0</c:v>
                </c:pt>
                <c:pt idx="2499">
                  <c:v>38841.0</c:v>
                </c:pt>
                <c:pt idx="2500">
                  <c:v>38840.0</c:v>
                </c:pt>
                <c:pt idx="2501">
                  <c:v>38839.0</c:v>
                </c:pt>
                <c:pt idx="2502">
                  <c:v>38835.0</c:v>
                </c:pt>
                <c:pt idx="2503">
                  <c:v>38833.0</c:v>
                </c:pt>
                <c:pt idx="2504">
                  <c:v>38832.0</c:v>
                </c:pt>
                <c:pt idx="2505">
                  <c:v>38831.0</c:v>
                </c:pt>
                <c:pt idx="2506">
                  <c:v>38828.0</c:v>
                </c:pt>
                <c:pt idx="2507">
                  <c:v>38827.0</c:v>
                </c:pt>
                <c:pt idx="2508">
                  <c:v>38826.0</c:v>
                </c:pt>
                <c:pt idx="2509">
                  <c:v>38825.0</c:v>
                </c:pt>
                <c:pt idx="2510">
                  <c:v>38820.0</c:v>
                </c:pt>
                <c:pt idx="2511">
                  <c:v>38819.0</c:v>
                </c:pt>
                <c:pt idx="2512">
                  <c:v>38818.0</c:v>
                </c:pt>
                <c:pt idx="2513">
                  <c:v>38817.0</c:v>
                </c:pt>
                <c:pt idx="2514">
                  <c:v>38814.0</c:v>
                </c:pt>
                <c:pt idx="2515">
                  <c:v>38813.0</c:v>
                </c:pt>
                <c:pt idx="2516">
                  <c:v>38812.0</c:v>
                </c:pt>
                <c:pt idx="2517">
                  <c:v>38811.0</c:v>
                </c:pt>
                <c:pt idx="2518">
                  <c:v>38810.0</c:v>
                </c:pt>
                <c:pt idx="2519">
                  <c:v>38807.0</c:v>
                </c:pt>
                <c:pt idx="2520">
                  <c:v>38806.0</c:v>
                </c:pt>
                <c:pt idx="2521">
                  <c:v>38805.0</c:v>
                </c:pt>
                <c:pt idx="2522">
                  <c:v>38804.0</c:v>
                </c:pt>
                <c:pt idx="2523">
                  <c:v>38803.0</c:v>
                </c:pt>
                <c:pt idx="2524">
                  <c:v>38800.0</c:v>
                </c:pt>
                <c:pt idx="2525">
                  <c:v>38799.0</c:v>
                </c:pt>
                <c:pt idx="2526">
                  <c:v>38798.0</c:v>
                </c:pt>
                <c:pt idx="2527">
                  <c:v>38796.0</c:v>
                </c:pt>
                <c:pt idx="2528">
                  <c:v>38793.0</c:v>
                </c:pt>
                <c:pt idx="2529">
                  <c:v>38792.0</c:v>
                </c:pt>
                <c:pt idx="2530">
                  <c:v>38791.0</c:v>
                </c:pt>
                <c:pt idx="2531">
                  <c:v>38790.0</c:v>
                </c:pt>
                <c:pt idx="2532">
                  <c:v>38789.0</c:v>
                </c:pt>
                <c:pt idx="2533">
                  <c:v>38786.0</c:v>
                </c:pt>
                <c:pt idx="2534">
                  <c:v>38785.0</c:v>
                </c:pt>
                <c:pt idx="2535">
                  <c:v>38784.0</c:v>
                </c:pt>
                <c:pt idx="2536">
                  <c:v>38783.0</c:v>
                </c:pt>
                <c:pt idx="2537">
                  <c:v>38782.0</c:v>
                </c:pt>
                <c:pt idx="2538">
                  <c:v>38779.0</c:v>
                </c:pt>
                <c:pt idx="2539">
                  <c:v>38778.0</c:v>
                </c:pt>
                <c:pt idx="2540">
                  <c:v>38776.0</c:v>
                </c:pt>
                <c:pt idx="2541">
                  <c:v>38775.0</c:v>
                </c:pt>
                <c:pt idx="2542">
                  <c:v>38772.0</c:v>
                </c:pt>
                <c:pt idx="2543">
                  <c:v>38771.0</c:v>
                </c:pt>
                <c:pt idx="2544">
                  <c:v>38770.0</c:v>
                </c:pt>
                <c:pt idx="2545">
                  <c:v>38769.0</c:v>
                </c:pt>
                <c:pt idx="2546">
                  <c:v>38768.0</c:v>
                </c:pt>
                <c:pt idx="2547">
                  <c:v>38765.0</c:v>
                </c:pt>
                <c:pt idx="2548">
                  <c:v>38764.0</c:v>
                </c:pt>
                <c:pt idx="2549">
                  <c:v>38763.0</c:v>
                </c:pt>
                <c:pt idx="2550">
                  <c:v>38762.0</c:v>
                </c:pt>
                <c:pt idx="2551">
                  <c:v>38761.0</c:v>
                </c:pt>
                <c:pt idx="2552">
                  <c:v>38758.0</c:v>
                </c:pt>
                <c:pt idx="2553">
                  <c:v>38757.0</c:v>
                </c:pt>
                <c:pt idx="2554">
                  <c:v>38756.0</c:v>
                </c:pt>
                <c:pt idx="2555">
                  <c:v>38755.0</c:v>
                </c:pt>
                <c:pt idx="2556">
                  <c:v>38754.0</c:v>
                </c:pt>
                <c:pt idx="2557">
                  <c:v>38751.0</c:v>
                </c:pt>
                <c:pt idx="2558">
                  <c:v>38750.0</c:v>
                </c:pt>
                <c:pt idx="2559">
                  <c:v>38749.0</c:v>
                </c:pt>
                <c:pt idx="2560">
                  <c:v>38748.0</c:v>
                </c:pt>
                <c:pt idx="2561">
                  <c:v>38747.0</c:v>
                </c:pt>
                <c:pt idx="2562">
                  <c:v>38744.0</c:v>
                </c:pt>
                <c:pt idx="2563">
                  <c:v>38743.0</c:v>
                </c:pt>
                <c:pt idx="2564">
                  <c:v>38742.0</c:v>
                </c:pt>
                <c:pt idx="2565">
                  <c:v>38741.0</c:v>
                </c:pt>
                <c:pt idx="2566">
                  <c:v>38740.0</c:v>
                </c:pt>
                <c:pt idx="2567">
                  <c:v>38737.0</c:v>
                </c:pt>
                <c:pt idx="2568">
                  <c:v>38736.0</c:v>
                </c:pt>
                <c:pt idx="2569">
                  <c:v>38735.0</c:v>
                </c:pt>
                <c:pt idx="2570">
                  <c:v>38734.0</c:v>
                </c:pt>
                <c:pt idx="2571">
                  <c:v>38733.0</c:v>
                </c:pt>
                <c:pt idx="2572">
                  <c:v>38730.0</c:v>
                </c:pt>
                <c:pt idx="2573">
                  <c:v>38729.0</c:v>
                </c:pt>
                <c:pt idx="2574">
                  <c:v>38728.0</c:v>
                </c:pt>
                <c:pt idx="2575">
                  <c:v>38727.0</c:v>
                </c:pt>
                <c:pt idx="2576">
                  <c:v>38726.0</c:v>
                </c:pt>
                <c:pt idx="2577">
                  <c:v>38723.0</c:v>
                </c:pt>
                <c:pt idx="2578">
                  <c:v>38722.0</c:v>
                </c:pt>
                <c:pt idx="2579">
                  <c:v>38721.0</c:v>
                </c:pt>
                <c:pt idx="2580">
                  <c:v>38720.0</c:v>
                </c:pt>
                <c:pt idx="2581">
                  <c:v>38716.0</c:v>
                </c:pt>
                <c:pt idx="2582">
                  <c:v>38715.0</c:v>
                </c:pt>
                <c:pt idx="2583">
                  <c:v>38714.0</c:v>
                </c:pt>
                <c:pt idx="2584">
                  <c:v>38713.0</c:v>
                </c:pt>
                <c:pt idx="2585">
                  <c:v>38709.0</c:v>
                </c:pt>
                <c:pt idx="2586">
                  <c:v>38708.0</c:v>
                </c:pt>
                <c:pt idx="2587">
                  <c:v>38707.0</c:v>
                </c:pt>
                <c:pt idx="2588">
                  <c:v>38706.0</c:v>
                </c:pt>
                <c:pt idx="2589">
                  <c:v>38705.0</c:v>
                </c:pt>
                <c:pt idx="2590">
                  <c:v>38701.0</c:v>
                </c:pt>
                <c:pt idx="2591">
                  <c:v>38700.0</c:v>
                </c:pt>
                <c:pt idx="2592">
                  <c:v>38699.0</c:v>
                </c:pt>
                <c:pt idx="2593">
                  <c:v>38698.0</c:v>
                </c:pt>
                <c:pt idx="2594">
                  <c:v>38695.0</c:v>
                </c:pt>
                <c:pt idx="2595">
                  <c:v>38694.0</c:v>
                </c:pt>
                <c:pt idx="2596">
                  <c:v>38693.0</c:v>
                </c:pt>
                <c:pt idx="2597">
                  <c:v>38692.0</c:v>
                </c:pt>
                <c:pt idx="2598">
                  <c:v>38691.0</c:v>
                </c:pt>
                <c:pt idx="2599">
                  <c:v>38688.0</c:v>
                </c:pt>
                <c:pt idx="2600">
                  <c:v>38687.0</c:v>
                </c:pt>
                <c:pt idx="2601">
                  <c:v>38686.0</c:v>
                </c:pt>
                <c:pt idx="2602">
                  <c:v>38685.0</c:v>
                </c:pt>
                <c:pt idx="2603">
                  <c:v>38684.0</c:v>
                </c:pt>
                <c:pt idx="2604">
                  <c:v>38681.0</c:v>
                </c:pt>
                <c:pt idx="2605">
                  <c:v>38680.0</c:v>
                </c:pt>
                <c:pt idx="2606">
                  <c:v>38679.0</c:v>
                </c:pt>
                <c:pt idx="2607">
                  <c:v>38678.0</c:v>
                </c:pt>
                <c:pt idx="2608">
                  <c:v>38677.0</c:v>
                </c:pt>
                <c:pt idx="2609">
                  <c:v>38674.0</c:v>
                </c:pt>
                <c:pt idx="2610">
                  <c:v>38673.0</c:v>
                </c:pt>
                <c:pt idx="2611">
                  <c:v>38672.0</c:v>
                </c:pt>
                <c:pt idx="2612">
                  <c:v>38671.0</c:v>
                </c:pt>
                <c:pt idx="2613">
                  <c:v>38670.0</c:v>
                </c:pt>
                <c:pt idx="2614">
                  <c:v>38667.0</c:v>
                </c:pt>
                <c:pt idx="2615">
                  <c:v>38666.0</c:v>
                </c:pt>
                <c:pt idx="2616">
                  <c:v>38665.0</c:v>
                </c:pt>
                <c:pt idx="2617">
                  <c:v>38664.0</c:v>
                </c:pt>
                <c:pt idx="2618">
                  <c:v>38663.0</c:v>
                </c:pt>
                <c:pt idx="2619">
                  <c:v>38660.0</c:v>
                </c:pt>
                <c:pt idx="2620">
                  <c:v>38659.0</c:v>
                </c:pt>
                <c:pt idx="2621">
                  <c:v>38658.0</c:v>
                </c:pt>
                <c:pt idx="2622">
                  <c:v>38657.0</c:v>
                </c:pt>
                <c:pt idx="2623">
                  <c:v>38656.0</c:v>
                </c:pt>
                <c:pt idx="2624">
                  <c:v>38653.0</c:v>
                </c:pt>
                <c:pt idx="2625">
                  <c:v>38652.0</c:v>
                </c:pt>
                <c:pt idx="2626">
                  <c:v>38651.0</c:v>
                </c:pt>
                <c:pt idx="2627">
                  <c:v>38650.0</c:v>
                </c:pt>
                <c:pt idx="2628">
                  <c:v>38649.0</c:v>
                </c:pt>
                <c:pt idx="2629">
                  <c:v>38646.0</c:v>
                </c:pt>
                <c:pt idx="2630">
                  <c:v>38645.0</c:v>
                </c:pt>
                <c:pt idx="2631">
                  <c:v>38644.0</c:v>
                </c:pt>
                <c:pt idx="2632">
                  <c:v>38643.0</c:v>
                </c:pt>
                <c:pt idx="2633">
                  <c:v>38642.0</c:v>
                </c:pt>
                <c:pt idx="2634">
                  <c:v>38639.0</c:v>
                </c:pt>
                <c:pt idx="2635">
                  <c:v>38638.0</c:v>
                </c:pt>
                <c:pt idx="2636">
                  <c:v>38637.0</c:v>
                </c:pt>
                <c:pt idx="2637">
                  <c:v>38636.0</c:v>
                </c:pt>
                <c:pt idx="2638">
                  <c:v>38635.0</c:v>
                </c:pt>
                <c:pt idx="2639">
                  <c:v>38632.0</c:v>
                </c:pt>
                <c:pt idx="2640">
                  <c:v>38631.0</c:v>
                </c:pt>
                <c:pt idx="2641">
                  <c:v>38630.0</c:v>
                </c:pt>
                <c:pt idx="2642">
                  <c:v>38629.0</c:v>
                </c:pt>
                <c:pt idx="2643">
                  <c:v>38628.0</c:v>
                </c:pt>
                <c:pt idx="2644">
                  <c:v>38625.0</c:v>
                </c:pt>
                <c:pt idx="2645">
                  <c:v>38624.0</c:v>
                </c:pt>
                <c:pt idx="2646">
                  <c:v>38623.0</c:v>
                </c:pt>
                <c:pt idx="2647">
                  <c:v>38622.0</c:v>
                </c:pt>
                <c:pt idx="2648">
                  <c:v>38621.0</c:v>
                </c:pt>
                <c:pt idx="2649">
                  <c:v>38618.0</c:v>
                </c:pt>
                <c:pt idx="2650">
                  <c:v>38617.0</c:v>
                </c:pt>
                <c:pt idx="2651">
                  <c:v>38616.0</c:v>
                </c:pt>
                <c:pt idx="2652">
                  <c:v>38615.0</c:v>
                </c:pt>
                <c:pt idx="2653">
                  <c:v>38614.0</c:v>
                </c:pt>
                <c:pt idx="2654">
                  <c:v>38611.0</c:v>
                </c:pt>
                <c:pt idx="2655">
                  <c:v>38610.0</c:v>
                </c:pt>
                <c:pt idx="2656">
                  <c:v>38609.0</c:v>
                </c:pt>
                <c:pt idx="2657">
                  <c:v>38608.0</c:v>
                </c:pt>
                <c:pt idx="2658">
                  <c:v>38607.0</c:v>
                </c:pt>
                <c:pt idx="2659">
                  <c:v>38604.0</c:v>
                </c:pt>
                <c:pt idx="2660">
                  <c:v>38603.0</c:v>
                </c:pt>
                <c:pt idx="2661">
                  <c:v>38602.0</c:v>
                </c:pt>
                <c:pt idx="2662">
                  <c:v>38601.0</c:v>
                </c:pt>
                <c:pt idx="2663">
                  <c:v>38600.0</c:v>
                </c:pt>
                <c:pt idx="2664">
                  <c:v>38597.0</c:v>
                </c:pt>
                <c:pt idx="2665">
                  <c:v>38596.0</c:v>
                </c:pt>
                <c:pt idx="2666">
                  <c:v>38595.0</c:v>
                </c:pt>
                <c:pt idx="2667">
                  <c:v>38594.0</c:v>
                </c:pt>
                <c:pt idx="2668">
                  <c:v>38593.0</c:v>
                </c:pt>
                <c:pt idx="2669">
                  <c:v>38590.0</c:v>
                </c:pt>
                <c:pt idx="2670">
                  <c:v>38589.0</c:v>
                </c:pt>
                <c:pt idx="2671">
                  <c:v>38588.0</c:v>
                </c:pt>
                <c:pt idx="2672">
                  <c:v>38587.0</c:v>
                </c:pt>
                <c:pt idx="2673">
                  <c:v>38586.0</c:v>
                </c:pt>
                <c:pt idx="2674">
                  <c:v>38583.0</c:v>
                </c:pt>
                <c:pt idx="2675">
                  <c:v>38582.0</c:v>
                </c:pt>
                <c:pt idx="2676">
                  <c:v>38581.0</c:v>
                </c:pt>
                <c:pt idx="2677">
                  <c:v>38580.0</c:v>
                </c:pt>
                <c:pt idx="2678">
                  <c:v>38579.0</c:v>
                </c:pt>
                <c:pt idx="2679">
                  <c:v>38576.0</c:v>
                </c:pt>
                <c:pt idx="2680">
                  <c:v>38575.0</c:v>
                </c:pt>
                <c:pt idx="2681">
                  <c:v>38574.0</c:v>
                </c:pt>
                <c:pt idx="2682">
                  <c:v>38572.0</c:v>
                </c:pt>
                <c:pt idx="2683">
                  <c:v>38569.0</c:v>
                </c:pt>
                <c:pt idx="2684">
                  <c:v>38568.0</c:v>
                </c:pt>
                <c:pt idx="2685">
                  <c:v>38567.0</c:v>
                </c:pt>
                <c:pt idx="2686">
                  <c:v>38566.0</c:v>
                </c:pt>
                <c:pt idx="2687">
                  <c:v>38565.0</c:v>
                </c:pt>
                <c:pt idx="2688">
                  <c:v>38562.0</c:v>
                </c:pt>
                <c:pt idx="2689">
                  <c:v>38561.0</c:v>
                </c:pt>
                <c:pt idx="2690">
                  <c:v>38560.0</c:v>
                </c:pt>
                <c:pt idx="2691">
                  <c:v>38559.0</c:v>
                </c:pt>
                <c:pt idx="2692">
                  <c:v>38558.0</c:v>
                </c:pt>
                <c:pt idx="2693">
                  <c:v>38555.0</c:v>
                </c:pt>
                <c:pt idx="2694">
                  <c:v>38554.0</c:v>
                </c:pt>
                <c:pt idx="2695">
                  <c:v>38553.0</c:v>
                </c:pt>
                <c:pt idx="2696">
                  <c:v>38552.0</c:v>
                </c:pt>
                <c:pt idx="2697">
                  <c:v>38551.0</c:v>
                </c:pt>
                <c:pt idx="2698">
                  <c:v>38548.0</c:v>
                </c:pt>
                <c:pt idx="2699">
                  <c:v>38547.0</c:v>
                </c:pt>
                <c:pt idx="2700">
                  <c:v>38546.0</c:v>
                </c:pt>
                <c:pt idx="2701">
                  <c:v>38545.0</c:v>
                </c:pt>
                <c:pt idx="2702">
                  <c:v>38544.0</c:v>
                </c:pt>
                <c:pt idx="2703">
                  <c:v>38541.0</c:v>
                </c:pt>
                <c:pt idx="2704">
                  <c:v>38540.0</c:v>
                </c:pt>
                <c:pt idx="2705">
                  <c:v>38539.0</c:v>
                </c:pt>
                <c:pt idx="2706">
                  <c:v>38538.0</c:v>
                </c:pt>
                <c:pt idx="2707">
                  <c:v>38537.0</c:v>
                </c:pt>
                <c:pt idx="2708">
                  <c:v>38534.0</c:v>
                </c:pt>
                <c:pt idx="2709">
                  <c:v>38533.0</c:v>
                </c:pt>
                <c:pt idx="2710">
                  <c:v>38532.0</c:v>
                </c:pt>
                <c:pt idx="2711">
                  <c:v>38531.0</c:v>
                </c:pt>
                <c:pt idx="2712">
                  <c:v>38530.0</c:v>
                </c:pt>
                <c:pt idx="2713">
                  <c:v>38527.0</c:v>
                </c:pt>
                <c:pt idx="2714">
                  <c:v>38526.0</c:v>
                </c:pt>
                <c:pt idx="2715">
                  <c:v>38525.0</c:v>
                </c:pt>
                <c:pt idx="2716">
                  <c:v>38524.0</c:v>
                </c:pt>
                <c:pt idx="2717">
                  <c:v>38523.0</c:v>
                </c:pt>
                <c:pt idx="2718">
                  <c:v>38520.0</c:v>
                </c:pt>
                <c:pt idx="2719">
                  <c:v>38518.0</c:v>
                </c:pt>
                <c:pt idx="2720">
                  <c:v>38517.0</c:v>
                </c:pt>
                <c:pt idx="2721">
                  <c:v>38516.0</c:v>
                </c:pt>
                <c:pt idx="2722">
                  <c:v>38513.0</c:v>
                </c:pt>
                <c:pt idx="2723">
                  <c:v>38512.0</c:v>
                </c:pt>
                <c:pt idx="2724">
                  <c:v>38511.0</c:v>
                </c:pt>
                <c:pt idx="2725">
                  <c:v>38510.0</c:v>
                </c:pt>
                <c:pt idx="2726">
                  <c:v>38509.0</c:v>
                </c:pt>
                <c:pt idx="2727">
                  <c:v>38506.0</c:v>
                </c:pt>
                <c:pt idx="2728">
                  <c:v>38505.0</c:v>
                </c:pt>
                <c:pt idx="2729">
                  <c:v>38504.0</c:v>
                </c:pt>
                <c:pt idx="2730">
                  <c:v>38503.0</c:v>
                </c:pt>
                <c:pt idx="2731">
                  <c:v>38502.0</c:v>
                </c:pt>
                <c:pt idx="2732">
                  <c:v>38499.0</c:v>
                </c:pt>
                <c:pt idx="2733">
                  <c:v>38498.0</c:v>
                </c:pt>
                <c:pt idx="2734">
                  <c:v>38497.0</c:v>
                </c:pt>
                <c:pt idx="2735">
                  <c:v>38496.0</c:v>
                </c:pt>
                <c:pt idx="2736">
                  <c:v>38495.0</c:v>
                </c:pt>
                <c:pt idx="2737">
                  <c:v>38492.0</c:v>
                </c:pt>
                <c:pt idx="2738">
                  <c:v>38491.0</c:v>
                </c:pt>
                <c:pt idx="2739">
                  <c:v>38490.0</c:v>
                </c:pt>
                <c:pt idx="2740">
                  <c:v>38489.0</c:v>
                </c:pt>
                <c:pt idx="2741">
                  <c:v>38488.0</c:v>
                </c:pt>
                <c:pt idx="2742">
                  <c:v>38485.0</c:v>
                </c:pt>
                <c:pt idx="2743">
                  <c:v>38484.0</c:v>
                </c:pt>
                <c:pt idx="2744">
                  <c:v>38483.0</c:v>
                </c:pt>
                <c:pt idx="2745">
                  <c:v>38482.0</c:v>
                </c:pt>
                <c:pt idx="2746">
                  <c:v>38481.0</c:v>
                </c:pt>
                <c:pt idx="2747">
                  <c:v>38478.0</c:v>
                </c:pt>
                <c:pt idx="2748">
                  <c:v>38477.0</c:v>
                </c:pt>
              </c:numCache>
            </c:numRef>
          </c:cat>
          <c:val>
            <c:numRef>
              <c:f>'4g. Oceana Stock'!$B$9:$B$2757</c:f>
              <c:numCache>
                <c:formatCode>General</c:formatCode>
                <c:ptCount val="2749"/>
                <c:pt idx="0">
                  <c:v>12109.0</c:v>
                </c:pt>
                <c:pt idx="1">
                  <c:v>12580.0</c:v>
                </c:pt>
                <c:pt idx="2">
                  <c:v>12035.0</c:v>
                </c:pt>
                <c:pt idx="3">
                  <c:v>12300.0</c:v>
                </c:pt>
                <c:pt idx="4">
                  <c:v>11600.0</c:v>
                </c:pt>
                <c:pt idx="5">
                  <c:v>12111.0</c:v>
                </c:pt>
                <c:pt idx="6">
                  <c:v>11900.0</c:v>
                </c:pt>
                <c:pt idx="7">
                  <c:v>12200.0</c:v>
                </c:pt>
                <c:pt idx="8">
                  <c:v>11500.0</c:v>
                </c:pt>
                <c:pt idx="9">
                  <c:v>11519.0</c:v>
                </c:pt>
                <c:pt idx="10">
                  <c:v>11574.0</c:v>
                </c:pt>
                <c:pt idx="11">
                  <c:v>11400.0</c:v>
                </c:pt>
                <c:pt idx="12">
                  <c:v>11467.0</c:v>
                </c:pt>
                <c:pt idx="13">
                  <c:v>11554.0</c:v>
                </c:pt>
                <c:pt idx="14">
                  <c:v>11500.0</c:v>
                </c:pt>
                <c:pt idx="15">
                  <c:v>11655.0</c:v>
                </c:pt>
                <c:pt idx="16">
                  <c:v>12060.0</c:v>
                </c:pt>
                <c:pt idx="17">
                  <c:v>12150.0</c:v>
                </c:pt>
                <c:pt idx="18">
                  <c:v>12040.0</c:v>
                </c:pt>
                <c:pt idx="19">
                  <c:v>12040.0</c:v>
                </c:pt>
                <c:pt idx="20">
                  <c:v>12399.0</c:v>
                </c:pt>
                <c:pt idx="21">
                  <c:v>12135.0</c:v>
                </c:pt>
                <c:pt idx="22">
                  <c:v>12500.0</c:v>
                </c:pt>
                <c:pt idx="23">
                  <c:v>12581.0</c:v>
                </c:pt>
                <c:pt idx="24">
                  <c:v>12426.0</c:v>
                </c:pt>
                <c:pt idx="25">
                  <c:v>12400.0</c:v>
                </c:pt>
                <c:pt idx="26">
                  <c:v>11950.0</c:v>
                </c:pt>
                <c:pt idx="27">
                  <c:v>12850.0</c:v>
                </c:pt>
                <c:pt idx="28">
                  <c:v>12890.0</c:v>
                </c:pt>
                <c:pt idx="29">
                  <c:v>11900.0</c:v>
                </c:pt>
                <c:pt idx="30">
                  <c:v>11523.0</c:v>
                </c:pt>
                <c:pt idx="31">
                  <c:v>11221.0</c:v>
                </c:pt>
                <c:pt idx="32">
                  <c:v>11155.0</c:v>
                </c:pt>
                <c:pt idx="33">
                  <c:v>11150.0</c:v>
                </c:pt>
                <c:pt idx="34">
                  <c:v>11700.0</c:v>
                </c:pt>
                <c:pt idx="35">
                  <c:v>11800.0</c:v>
                </c:pt>
                <c:pt idx="36">
                  <c:v>12000.0</c:v>
                </c:pt>
                <c:pt idx="37">
                  <c:v>12214.0</c:v>
                </c:pt>
                <c:pt idx="38">
                  <c:v>12249.0</c:v>
                </c:pt>
                <c:pt idx="39">
                  <c:v>11950.0</c:v>
                </c:pt>
                <c:pt idx="40">
                  <c:v>12500.0</c:v>
                </c:pt>
                <c:pt idx="41">
                  <c:v>11554.0</c:v>
                </c:pt>
                <c:pt idx="42">
                  <c:v>11500.0</c:v>
                </c:pt>
                <c:pt idx="43">
                  <c:v>11422.0</c:v>
                </c:pt>
                <c:pt idx="44">
                  <c:v>11500.0</c:v>
                </c:pt>
                <c:pt idx="45">
                  <c:v>11500.0</c:v>
                </c:pt>
                <c:pt idx="46">
                  <c:v>11524.0</c:v>
                </c:pt>
                <c:pt idx="47">
                  <c:v>11510.0</c:v>
                </c:pt>
                <c:pt idx="48">
                  <c:v>11500.0</c:v>
                </c:pt>
                <c:pt idx="49">
                  <c:v>11500.0</c:v>
                </c:pt>
                <c:pt idx="50">
                  <c:v>11400.0</c:v>
                </c:pt>
                <c:pt idx="51">
                  <c:v>11199.0</c:v>
                </c:pt>
                <c:pt idx="52">
                  <c:v>11402.0</c:v>
                </c:pt>
                <c:pt idx="53">
                  <c:v>11200.0</c:v>
                </c:pt>
                <c:pt idx="54">
                  <c:v>10825.0</c:v>
                </c:pt>
                <c:pt idx="55">
                  <c:v>11000.0</c:v>
                </c:pt>
                <c:pt idx="56">
                  <c:v>11054.0</c:v>
                </c:pt>
                <c:pt idx="57">
                  <c:v>11184.0</c:v>
                </c:pt>
                <c:pt idx="58">
                  <c:v>11415.0</c:v>
                </c:pt>
                <c:pt idx="59">
                  <c:v>11661.0</c:v>
                </c:pt>
                <c:pt idx="60">
                  <c:v>11800.0</c:v>
                </c:pt>
                <c:pt idx="61">
                  <c:v>11001.0</c:v>
                </c:pt>
                <c:pt idx="62">
                  <c:v>11100.0</c:v>
                </c:pt>
                <c:pt idx="63">
                  <c:v>11186.0</c:v>
                </c:pt>
                <c:pt idx="64">
                  <c:v>11398.0</c:v>
                </c:pt>
                <c:pt idx="65">
                  <c:v>11509.0</c:v>
                </c:pt>
                <c:pt idx="66">
                  <c:v>11482.0</c:v>
                </c:pt>
                <c:pt idx="67">
                  <c:v>11343.0</c:v>
                </c:pt>
                <c:pt idx="68">
                  <c:v>11300.0</c:v>
                </c:pt>
                <c:pt idx="69">
                  <c:v>11099.0</c:v>
                </c:pt>
                <c:pt idx="70">
                  <c:v>11000.0</c:v>
                </c:pt>
                <c:pt idx="71">
                  <c:v>11100.0</c:v>
                </c:pt>
                <c:pt idx="72">
                  <c:v>11064.0</c:v>
                </c:pt>
                <c:pt idx="73">
                  <c:v>11000.0</c:v>
                </c:pt>
                <c:pt idx="74">
                  <c:v>11000.0</c:v>
                </c:pt>
                <c:pt idx="75">
                  <c:v>11000.0</c:v>
                </c:pt>
                <c:pt idx="76">
                  <c:v>10800.0</c:v>
                </c:pt>
                <c:pt idx="77">
                  <c:v>10641.0</c:v>
                </c:pt>
                <c:pt idx="78">
                  <c:v>10741.0</c:v>
                </c:pt>
                <c:pt idx="79">
                  <c:v>10741.0</c:v>
                </c:pt>
                <c:pt idx="80">
                  <c:v>10643.36</c:v>
                </c:pt>
                <c:pt idx="81">
                  <c:v>10741.0</c:v>
                </c:pt>
                <c:pt idx="82">
                  <c:v>11058.35</c:v>
                </c:pt>
                <c:pt idx="83">
                  <c:v>11424.52</c:v>
                </c:pt>
                <c:pt idx="84">
                  <c:v>11182.36</c:v>
                </c:pt>
                <c:pt idx="85">
                  <c:v>10985.11</c:v>
                </c:pt>
                <c:pt idx="86">
                  <c:v>10848.41</c:v>
                </c:pt>
                <c:pt idx="87">
                  <c:v>10863.06</c:v>
                </c:pt>
                <c:pt idx="88">
                  <c:v>10863.06</c:v>
                </c:pt>
                <c:pt idx="89">
                  <c:v>10855.25</c:v>
                </c:pt>
                <c:pt idx="90">
                  <c:v>10969.49</c:v>
                </c:pt>
                <c:pt idx="91">
                  <c:v>11079.83</c:v>
                </c:pt>
                <c:pt idx="92">
                  <c:v>11033.94</c:v>
                </c:pt>
                <c:pt idx="93">
                  <c:v>11139.39</c:v>
                </c:pt>
                <c:pt idx="94">
                  <c:v>10936.29</c:v>
                </c:pt>
                <c:pt idx="95">
                  <c:v>10936.29</c:v>
                </c:pt>
                <c:pt idx="96">
                  <c:v>11699.88</c:v>
                </c:pt>
                <c:pt idx="97">
                  <c:v>11453.81</c:v>
                </c:pt>
                <c:pt idx="98">
                  <c:v>11570.99</c:v>
                </c:pt>
                <c:pt idx="99">
                  <c:v>10960.7</c:v>
                </c:pt>
                <c:pt idx="100">
                  <c:v>10852.32</c:v>
                </c:pt>
                <c:pt idx="101">
                  <c:v>11082.76</c:v>
                </c:pt>
                <c:pt idx="102">
                  <c:v>11033.94</c:v>
                </c:pt>
                <c:pt idx="103">
                  <c:v>11065.18</c:v>
                </c:pt>
                <c:pt idx="104">
                  <c:v>11033.94</c:v>
                </c:pt>
                <c:pt idx="105">
                  <c:v>11033.94</c:v>
                </c:pt>
                <c:pt idx="106">
                  <c:v>11174.55</c:v>
                </c:pt>
                <c:pt idx="107">
                  <c:v>10990.97</c:v>
                </c:pt>
                <c:pt idx="108">
                  <c:v>11033.94</c:v>
                </c:pt>
                <c:pt idx="109">
                  <c:v>11228.25</c:v>
                </c:pt>
                <c:pt idx="110">
                  <c:v>11229.23</c:v>
                </c:pt>
                <c:pt idx="111">
                  <c:v>11229.23</c:v>
                </c:pt>
                <c:pt idx="112">
                  <c:v>11223.37</c:v>
                </c:pt>
                <c:pt idx="113">
                  <c:v>11195.05</c:v>
                </c:pt>
                <c:pt idx="114">
                  <c:v>11229.23</c:v>
                </c:pt>
                <c:pt idx="115">
                  <c:v>11082.76</c:v>
                </c:pt>
                <c:pt idx="116">
                  <c:v>10936.29</c:v>
                </c:pt>
                <c:pt idx="117">
                  <c:v>10506.65</c:v>
                </c:pt>
                <c:pt idx="118">
                  <c:v>10594.53</c:v>
                </c:pt>
                <c:pt idx="119">
                  <c:v>10448.06</c:v>
                </c:pt>
                <c:pt idx="120">
                  <c:v>10203.95</c:v>
                </c:pt>
                <c:pt idx="121">
                  <c:v>10448.06</c:v>
                </c:pt>
                <c:pt idx="122">
                  <c:v>10318.2</c:v>
                </c:pt>
                <c:pt idx="123">
                  <c:v>10240.08</c:v>
                </c:pt>
                <c:pt idx="124">
                  <c:v>9945.19</c:v>
                </c:pt>
                <c:pt idx="125">
                  <c:v>10071.15</c:v>
                </c:pt>
                <c:pt idx="126">
                  <c:v>10057.48</c:v>
                </c:pt>
                <c:pt idx="127">
                  <c:v>10252.77</c:v>
                </c:pt>
                <c:pt idx="128">
                  <c:v>10252.77</c:v>
                </c:pt>
                <c:pt idx="129">
                  <c:v>10252.77</c:v>
                </c:pt>
                <c:pt idx="130">
                  <c:v>10057.48</c:v>
                </c:pt>
                <c:pt idx="131">
                  <c:v>10122.9</c:v>
                </c:pt>
                <c:pt idx="132">
                  <c:v>10252.77</c:v>
                </c:pt>
                <c:pt idx="133">
                  <c:v>10447.09</c:v>
                </c:pt>
                <c:pt idx="134">
                  <c:v>10454.9</c:v>
                </c:pt>
                <c:pt idx="135">
                  <c:v>10370.92</c:v>
                </c:pt>
                <c:pt idx="136">
                  <c:v>10692.18</c:v>
                </c:pt>
                <c:pt idx="137">
                  <c:v>10643.36</c:v>
                </c:pt>
                <c:pt idx="138">
                  <c:v>10545.71</c:v>
                </c:pt>
                <c:pt idx="139">
                  <c:v>10741.0</c:v>
                </c:pt>
                <c:pt idx="140">
                  <c:v>10301.6</c:v>
                </c:pt>
                <c:pt idx="141">
                  <c:v>10203.95</c:v>
                </c:pt>
                <c:pt idx="142">
                  <c:v>10243.01</c:v>
                </c:pt>
                <c:pt idx="143">
                  <c:v>9977.41</c:v>
                </c:pt>
                <c:pt idx="144">
                  <c:v>9793.84</c:v>
                </c:pt>
                <c:pt idx="145">
                  <c:v>9538.01</c:v>
                </c:pt>
                <c:pt idx="146">
                  <c:v>9325.139999999999</c:v>
                </c:pt>
                <c:pt idx="147">
                  <c:v>9413.02</c:v>
                </c:pt>
                <c:pt idx="148">
                  <c:v>9466.73</c:v>
                </c:pt>
                <c:pt idx="149">
                  <c:v>9325.139999999999</c:v>
                </c:pt>
                <c:pt idx="150">
                  <c:v>9276.32</c:v>
                </c:pt>
                <c:pt idx="151">
                  <c:v>9320.26</c:v>
                </c:pt>
                <c:pt idx="152">
                  <c:v>9062.48</c:v>
                </c:pt>
                <c:pt idx="153">
                  <c:v>9129.85</c:v>
                </c:pt>
                <c:pt idx="154">
                  <c:v>9202.11</c:v>
                </c:pt>
                <c:pt idx="155">
                  <c:v>9032.209999999999</c:v>
                </c:pt>
                <c:pt idx="156">
                  <c:v>8870.11</c:v>
                </c:pt>
                <c:pt idx="157">
                  <c:v>8968.74</c:v>
                </c:pt>
                <c:pt idx="158">
                  <c:v>9144.5</c:v>
                </c:pt>
                <c:pt idx="159">
                  <c:v>9276.32</c:v>
                </c:pt>
                <c:pt idx="160">
                  <c:v>9085.91</c:v>
                </c:pt>
                <c:pt idx="161">
                  <c:v>9763.57</c:v>
                </c:pt>
                <c:pt idx="162">
                  <c:v>9294.870000000001</c:v>
                </c:pt>
                <c:pt idx="163">
                  <c:v>9124.969999999999</c:v>
                </c:pt>
                <c:pt idx="164">
                  <c:v>9013.65</c:v>
                </c:pt>
                <c:pt idx="165">
                  <c:v>9040.02</c:v>
                </c:pt>
                <c:pt idx="166">
                  <c:v>9474.54</c:v>
                </c:pt>
                <c:pt idx="167">
                  <c:v>9129.85</c:v>
                </c:pt>
                <c:pt idx="168">
                  <c:v>9452.08</c:v>
                </c:pt>
                <c:pt idx="169">
                  <c:v>9641.51</c:v>
                </c:pt>
                <c:pt idx="170">
                  <c:v>9300.73</c:v>
                </c:pt>
                <c:pt idx="171">
                  <c:v>9381.78</c:v>
                </c:pt>
                <c:pt idx="172">
                  <c:v>9289.99</c:v>
                </c:pt>
                <c:pt idx="173">
                  <c:v>9081.03</c:v>
                </c:pt>
                <c:pt idx="174">
                  <c:v>9396.59</c:v>
                </c:pt>
                <c:pt idx="175">
                  <c:v>9557.62</c:v>
                </c:pt>
                <c:pt idx="176">
                  <c:v>9330.29</c:v>
                </c:pt>
                <c:pt idx="177">
                  <c:v>9311.34</c:v>
                </c:pt>
                <c:pt idx="178">
                  <c:v>9207.139999999999</c:v>
                </c:pt>
                <c:pt idx="179">
                  <c:v>9591.719999999999</c:v>
                </c:pt>
                <c:pt idx="180">
                  <c:v>9477.11</c:v>
                </c:pt>
                <c:pt idx="181">
                  <c:v>9549.1</c:v>
                </c:pt>
                <c:pt idx="182">
                  <c:v>9472.370000000001</c:v>
                </c:pt>
                <c:pt idx="183">
                  <c:v>9472.370000000001</c:v>
                </c:pt>
                <c:pt idx="184">
                  <c:v>9564.25</c:v>
                </c:pt>
                <c:pt idx="185">
                  <c:v>9552.889999999999</c:v>
                </c:pt>
                <c:pt idx="186">
                  <c:v>9654.24</c:v>
                </c:pt>
                <c:pt idx="187">
                  <c:v>9472.370000000001</c:v>
                </c:pt>
                <c:pt idx="188">
                  <c:v>9443.950000000001</c:v>
                </c:pt>
                <c:pt idx="189">
                  <c:v>9377.65</c:v>
                </c:pt>
                <c:pt idx="190">
                  <c:v>9462.9</c:v>
                </c:pt>
                <c:pt idx="191">
                  <c:v>9192.94</c:v>
                </c:pt>
                <c:pt idx="192">
                  <c:v>9387.12</c:v>
                </c:pt>
                <c:pt idx="193">
                  <c:v>9377.65</c:v>
                </c:pt>
                <c:pt idx="194">
                  <c:v>9415.54</c:v>
                </c:pt>
                <c:pt idx="195">
                  <c:v>9472.370000000001</c:v>
                </c:pt>
                <c:pt idx="196">
                  <c:v>9444.9</c:v>
                </c:pt>
                <c:pt idx="197">
                  <c:v>9434.48</c:v>
                </c:pt>
                <c:pt idx="198">
                  <c:v>9472.370000000001</c:v>
                </c:pt>
                <c:pt idx="199">
                  <c:v>9425.01</c:v>
                </c:pt>
                <c:pt idx="200">
                  <c:v>9472.370000000001</c:v>
                </c:pt>
                <c:pt idx="201">
                  <c:v>9472.370000000001</c:v>
                </c:pt>
                <c:pt idx="202">
                  <c:v>9349.23</c:v>
                </c:pt>
                <c:pt idx="203">
                  <c:v>9432.59</c:v>
                </c:pt>
                <c:pt idx="204">
                  <c:v>9472.370000000001</c:v>
                </c:pt>
                <c:pt idx="205">
                  <c:v>9335.969999999999</c:v>
                </c:pt>
                <c:pt idx="206">
                  <c:v>9377.65</c:v>
                </c:pt>
                <c:pt idx="207">
                  <c:v>9254.51</c:v>
                </c:pt>
                <c:pt idx="208">
                  <c:v>9235.559999999999</c:v>
                </c:pt>
                <c:pt idx="209">
                  <c:v>9235.559999999999</c:v>
                </c:pt>
                <c:pt idx="210">
                  <c:v>9182.52</c:v>
                </c:pt>
                <c:pt idx="211">
                  <c:v>9188.2</c:v>
                </c:pt>
                <c:pt idx="212">
                  <c:v>8879.4</c:v>
                </c:pt>
                <c:pt idx="213">
                  <c:v>8888.870000000001</c:v>
                </c:pt>
                <c:pt idx="214">
                  <c:v>8710.91</c:v>
                </c:pt>
                <c:pt idx="215">
                  <c:v>8710.91</c:v>
                </c:pt>
                <c:pt idx="216">
                  <c:v>8664.08</c:v>
                </c:pt>
                <c:pt idx="217">
                  <c:v>8546.99</c:v>
                </c:pt>
                <c:pt idx="218">
                  <c:v>8336.25</c:v>
                </c:pt>
                <c:pt idx="219">
                  <c:v>8242.58</c:v>
                </c:pt>
                <c:pt idx="220">
                  <c:v>8183.57</c:v>
                </c:pt>
                <c:pt idx="221">
                  <c:v>8167.65</c:v>
                </c:pt>
                <c:pt idx="222">
                  <c:v>8242.58</c:v>
                </c:pt>
                <c:pt idx="223">
                  <c:v>8242.58</c:v>
                </c:pt>
                <c:pt idx="224">
                  <c:v>8242.58</c:v>
                </c:pt>
                <c:pt idx="225">
                  <c:v>8392.44</c:v>
                </c:pt>
                <c:pt idx="226">
                  <c:v>8383.08</c:v>
                </c:pt>
                <c:pt idx="227">
                  <c:v>8710.91</c:v>
                </c:pt>
                <c:pt idx="228">
                  <c:v>8547.93</c:v>
                </c:pt>
                <c:pt idx="229">
                  <c:v>8687.49</c:v>
                </c:pt>
                <c:pt idx="230">
                  <c:v>8710.91</c:v>
                </c:pt>
                <c:pt idx="231">
                  <c:v>8664.08</c:v>
                </c:pt>
                <c:pt idx="232">
                  <c:v>8830.799999999999</c:v>
                </c:pt>
                <c:pt idx="233">
                  <c:v>8710.91</c:v>
                </c:pt>
                <c:pt idx="234">
                  <c:v>8523.58</c:v>
                </c:pt>
                <c:pt idx="235">
                  <c:v>8898.24</c:v>
                </c:pt>
                <c:pt idx="236">
                  <c:v>8992.84</c:v>
                </c:pt>
                <c:pt idx="237">
                  <c:v>9256.04</c:v>
                </c:pt>
                <c:pt idx="238">
                  <c:v>9179.24</c:v>
                </c:pt>
                <c:pt idx="239">
                  <c:v>9330.04</c:v>
                </c:pt>
                <c:pt idx="240">
                  <c:v>9633.51</c:v>
                </c:pt>
                <c:pt idx="241">
                  <c:v>9360.950000000001</c:v>
                </c:pt>
                <c:pt idx="242">
                  <c:v>9015.32</c:v>
                </c:pt>
                <c:pt idx="243">
                  <c:v>10532.71</c:v>
                </c:pt>
                <c:pt idx="244">
                  <c:v>10593.59</c:v>
                </c:pt>
                <c:pt idx="245">
                  <c:v>10537.39</c:v>
                </c:pt>
                <c:pt idx="246">
                  <c:v>9787.129999999999</c:v>
                </c:pt>
                <c:pt idx="247">
                  <c:v>9963.219999999999</c:v>
                </c:pt>
                <c:pt idx="248">
                  <c:v>9742.17</c:v>
                </c:pt>
                <c:pt idx="249">
                  <c:v>10022.23</c:v>
                </c:pt>
                <c:pt idx="250">
                  <c:v>10677.89</c:v>
                </c:pt>
                <c:pt idx="251">
                  <c:v>10162.73</c:v>
                </c:pt>
                <c:pt idx="252">
                  <c:v>9958.53</c:v>
                </c:pt>
                <c:pt idx="253">
                  <c:v>9296.32</c:v>
                </c:pt>
                <c:pt idx="254">
                  <c:v>9515.5</c:v>
                </c:pt>
                <c:pt idx="255">
                  <c:v>9447.12</c:v>
                </c:pt>
                <c:pt idx="256">
                  <c:v>9460.23</c:v>
                </c:pt>
                <c:pt idx="257">
                  <c:v>9381.549999999999</c:v>
                </c:pt>
                <c:pt idx="258">
                  <c:v>9450.870000000001</c:v>
                </c:pt>
                <c:pt idx="259">
                  <c:v>9403.1</c:v>
                </c:pt>
                <c:pt idx="260">
                  <c:v>9366.57</c:v>
                </c:pt>
                <c:pt idx="261">
                  <c:v>9348.77</c:v>
                </c:pt>
                <c:pt idx="262">
                  <c:v>9380.62</c:v>
                </c:pt>
                <c:pt idx="263">
                  <c:v>9413.4</c:v>
                </c:pt>
                <c:pt idx="264">
                  <c:v>9443.370000000001</c:v>
                </c:pt>
                <c:pt idx="265">
                  <c:v>9310.370000000001</c:v>
                </c:pt>
                <c:pt idx="266">
                  <c:v>9604.48</c:v>
                </c:pt>
                <c:pt idx="267">
                  <c:v>9583.870000000001</c:v>
                </c:pt>
                <c:pt idx="268">
                  <c:v>9681.28</c:v>
                </c:pt>
                <c:pt idx="269">
                  <c:v>9741.23</c:v>
                </c:pt>
                <c:pt idx="270">
                  <c:v>9689.709999999999</c:v>
                </c:pt>
                <c:pt idx="271">
                  <c:v>9422.77</c:v>
                </c:pt>
                <c:pt idx="272">
                  <c:v>9469.6</c:v>
                </c:pt>
                <c:pt idx="273">
                  <c:v>9230.75</c:v>
                </c:pt>
                <c:pt idx="274">
                  <c:v>9277.59</c:v>
                </c:pt>
                <c:pt idx="275">
                  <c:v>9493.950000000001</c:v>
                </c:pt>
                <c:pt idx="276">
                  <c:v>9383.43</c:v>
                </c:pt>
                <c:pt idx="277">
                  <c:v>8991.91</c:v>
                </c:pt>
                <c:pt idx="278">
                  <c:v>8804.57</c:v>
                </c:pt>
                <c:pt idx="279">
                  <c:v>9141.77</c:v>
                </c:pt>
                <c:pt idx="280">
                  <c:v>9582.94</c:v>
                </c:pt>
                <c:pt idx="281">
                  <c:v>9789.94</c:v>
                </c:pt>
                <c:pt idx="282">
                  <c:v>9881.73</c:v>
                </c:pt>
                <c:pt idx="283">
                  <c:v>9509.879999999999</c:v>
                </c:pt>
                <c:pt idx="284">
                  <c:v>9741.23</c:v>
                </c:pt>
                <c:pt idx="285">
                  <c:v>9870.49</c:v>
                </c:pt>
                <c:pt idx="286">
                  <c:v>10251.71</c:v>
                </c:pt>
                <c:pt idx="287">
                  <c:v>9834.9</c:v>
                </c:pt>
                <c:pt idx="288">
                  <c:v>10197.38</c:v>
                </c:pt>
                <c:pt idx="289">
                  <c:v>10247.03</c:v>
                </c:pt>
                <c:pt idx="290">
                  <c:v>10115.89</c:v>
                </c:pt>
                <c:pt idx="291">
                  <c:v>10114.02</c:v>
                </c:pt>
                <c:pt idx="292">
                  <c:v>10209.56</c:v>
                </c:pt>
                <c:pt idx="293">
                  <c:v>10303.22</c:v>
                </c:pt>
                <c:pt idx="294">
                  <c:v>10396.89</c:v>
                </c:pt>
                <c:pt idx="295">
                  <c:v>10458.71</c:v>
                </c:pt>
                <c:pt idx="296">
                  <c:v>10489.62</c:v>
                </c:pt>
                <c:pt idx="297">
                  <c:v>10677.89</c:v>
                </c:pt>
                <c:pt idx="298">
                  <c:v>10771.55</c:v>
                </c:pt>
                <c:pt idx="299">
                  <c:v>10677.89</c:v>
                </c:pt>
                <c:pt idx="300">
                  <c:v>10628.24</c:v>
                </c:pt>
                <c:pt idx="301">
                  <c:v>10654.47</c:v>
                </c:pt>
                <c:pt idx="302">
                  <c:v>10162.73</c:v>
                </c:pt>
                <c:pt idx="303">
                  <c:v>10256.39</c:v>
                </c:pt>
                <c:pt idx="304">
                  <c:v>10429.67</c:v>
                </c:pt>
                <c:pt idx="305">
                  <c:v>10261.07</c:v>
                </c:pt>
                <c:pt idx="306">
                  <c:v>10441.85</c:v>
                </c:pt>
                <c:pt idx="307">
                  <c:v>10462.46</c:v>
                </c:pt>
                <c:pt idx="308">
                  <c:v>10359.42</c:v>
                </c:pt>
                <c:pt idx="309">
                  <c:v>10560.81</c:v>
                </c:pt>
                <c:pt idx="310">
                  <c:v>10560.81</c:v>
                </c:pt>
                <c:pt idx="311">
                  <c:v>10537.39</c:v>
                </c:pt>
                <c:pt idx="312">
                  <c:v>10326.64</c:v>
                </c:pt>
                <c:pt idx="313">
                  <c:v>10115.89</c:v>
                </c:pt>
                <c:pt idx="314">
                  <c:v>10209.56</c:v>
                </c:pt>
                <c:pt idx="315">
                  <c:v>10209.56</c:v>
                </c:pt>
                <c:pt idx="316">
                  <c:v>10209.56</c:v>
                </c:pt>
                <c:pt idx="317">
                  <c:v>10209.56</c:v>
                </c:pt>
                <c:pt idx="318">
                  <c:v>10256.39</c:v>
                </c:pt>
                <c:pt idx="319">
                  <c:v>10022.23</c:v>
                </c:pt>
                <c:pt idx="320">
                  <c:v>10301.35</c:v>
                </c:pt>
                <c:pt idx="321">
                  <c:v>10115.89</c:v>
                </c:pt>
                <c:pt idx="322">
                  <c:v>10209.56</c:v>
                </c:pt>
                <c:pt idx="323">
                  <c:v>10209.56</c:v>
                </c:pt>
                <c:pt idx="324">
                  <c:v>10110.27</c:v>
                </c:pt>
                <c:pt idx="325">
                  <c:v>10106.53</c:v>
                </c:pt>
                <c:pt idx="326">
                  <c:v>9923.879999999999</c:v>
                </c:pt>
                <c:pt idx="327">
                  <c:v>9872.360000000001</c:v>
                </c:pt>
                <c:pt idx="328">
                  <c:v>10049.39</c:v>
                </c:pt>
                <c:pt idx="329">
                  <c:v>10003.71</c:v>
                </c:pt>
                <c:pt idx="330">
                  <c:v>9967.17</c:v>
                </c:pt>
                <c:pt idx="331">
                  <c:v>10003.71</c:v>
                </c:pt>
                <c:pt idx="332">
                  <c:v>9912.35</c:v>
                </c:pt>
                <c:pt idx="333">
                  <c:v>9651.98</c:v>
                </c:pt>
                <c:pt idx="334">
                  <c:v>9579.809999999999</c:v>
                </c:pt>
                <c:pt idx="335">
                  <c:v>9501.24</c:v>
                </c:pt>
                <c:pt idx="336">
                  <c:v>9767.09</c:v>
                </c:pt>
                <c:pt idx="337">
                  <c:v>9831.04</c:v>
                </c:pt>
                <c:pt idx="338">
                  <c:v>9658.379999999999</c:v>
                </c:pt>
                <c:pt idx="339">
                  <c:v>9661.12</c:v>
                </c:pt>
                <c:pt idx="340">
                  <c:v>9640.11</c:v>
                </c:pt>
                <c:pt idx="341">
                  <c:v>9665.69</c:v>
                </c:pt>
                <c:pt idx="342">
                  <c:v>9318.53</c:v>
                </c:pt>
                <c:pt idx="343">
                  <c:v>9135.809999999999</c:v>
                </c:pt>
                <c:pt idx="344">
                  <c:v>9135.809999999999</c:v>
                </c:pt>
                <c:pt idx="345">
                  <c:v>9184.23</c:v>
                </c:pt>
                <c:pt idx="346">
                  <c:v>9227.17</c:v>
                </c:pt>
                <c:pt idx="347">
                  <c:v>9456.48</c:v>
                </c:pt>
                <c:pt idx="348">
                  <c:v>9593.51</c:v>
                </c:pt>
                <c:pt idx="349">
                  <c:v>9423.59</c:v>
                </c:pt>
                <c:pt idx="350">
                  <c:v>9134.9</c:v>
                </c:pt>
                <c:pt idx="351">
                  <c:v>9067.29</c:v>
                </c:pt>
                <c:pt idx="352">
                  <c:v>8998.77</c:v>
                </c:pt>
                <c:pt idx="353">
                  <c:v>9135.809999999999</c:v>
                </c:pt>
                <c:pt idx="354">
                  <c:v>9537.78</c:v>
                </c:pt>
                <c:pt idx="355">
                  <c:v>9592.6</c:v>
                </c:pt>
                <c:pt idx="356">
                  <c:v>9227.17</c:v>
                </c:pt>
                <c:pt idx="357">
                  <c:v>9227.17</c:v>
                </c:pt>
                <c:pt idx="358">
                  <c:v>9044.450000000001</c:v>
                </c:pt>
                <c:pt idx="359">
                  <c:v>8998.77</c:v>
                </c:pt>
                <c:pt idx="360">
                  <c:v>8588.57</c:v>
                </c:pt>
                <c:pt idx="361">
                  <c:v>8541.98</c:v>
                </c:pt>
                <c:pt idx="362">
                  <c:v>8222.23</c:v>
                </c:pt>
                <c:pt idx="363">
                  <c:v>7901.56</c:v>
                </c:pt>
                <c:pt idx="364">
                  <c:v>8039.51</c:v>
                </c:pt>
                <c:pt idx="365">
                  <c:v>8064.18</c:v>
                </c:pt>
                <c:pt idx="366">
                  <c:v>7912.52</c:v>
                </c:pt>
                <c:pt idx="367">
                  <c:v>7813.86</c:v>
                </c:pt>
                <c:pt idx="368">
                  <c:v>7809.29</c:v>
                </c:pt>
                <c:pt idx="369">
                  <c:v>7857.71</c:v>
                </c:pt>
                <c:pt idx="370">
                  <c:v>7540.7</c:v>
                </c:pt>
                <c:pt idx="371">
                  <c:v>7139.63</c:v>
                </c:pt>
                <c:pt idx="372">
                  <c:v>7125.02</c:v>
                </c:pt>
                <c:pt idx="373">
                  <c:v>6915.81</c:v>
                </c:pt>
                <c:pt idx="374">
                  <c:v>6924.94</c:v>
                </c:pt>
                <c:pt idx="375">
                  <c:v>6840.89</c:v>
                </c:pt>
                <c:pt idx="376">
                  <c:v>6829.02</c:v>
                </c:pt>
                <c:pt idx="377">
                  <c:v>6851.86</c:v>
                </c:pt>
                <c:pt idx="378">
                  <c:v>6897.54</c:v>
                </c:pt>
                <c:pt idx="379">
                  <c:v>6896.62</c:v>
                </c:pt>
                <c:pt idx="380">
                  <c:v>6866.47</c:v>
                </c:pt>
                <c:pt idx="381">
                  <c:v>6892.97</c:v>
                </c:pt>
                <c:pt idx="382">
                  <c:v>6835.41</c:v>
                </c:pt>
                <c:pt idx="383">
                  <c:v>6824.45</c:v>
                </c:pt>
                <c:pt idx="384">
                  <c:v>6755.93</c:v>
                </c:pt>
                <c:pt idx="385">
                  <c:v>6422.47</c:v>
                </c:pt>
                <c:pt idx="386">
                  <c:v>6395.07</c:v>
                </c:pt>
                <c:pt idx="387">
                  <c:v>6440.75</c:v>
                </c:pt>
                <c:pt idx="388">
                  <c:v>6548.55</c:v>
                </c:pt>
                <c:pt idx="389">
                  <c:v>6541.24</c:v>
                </c:pt>
                <c:pt idx="390">
                  <c:v>6669.14</c:v>
                </c:pt>
                <c:pt idx="391">
                  <c:v>6870.13</c:v>
                </c:pt>
                <c:pt idx="392">
                  <c:v>7052.84</c:v>
                </c:pt>
                <c:pt idx="393">
                  <c:v>7080.25</c:v>
                </c:pt>
                <c:pt idx="394">
                  <c:v>7016.3</c:v>
                </c:pt>
                <c:pt idx="395">
                  <c:v>6764.15</c:v>
                </c:pt>
                <c:pt idx="396">
                  <c:v>6774.2</c:v>
                </c:pt>
                <c:pt idx="397">
                  <c:v>6760.5</c:v>
                </c:pt>
                <c:pt idx="398">
                  <c:v>6720.3</c:v>
                </c:pt>
                <c:pt idx="399">
                  <c:v>6669.14</c:v>
                </c:pt>
                <c:pt idx="400">
                  <c:v>6578.7</c:v>
                </c:pt>
                <c:pt idx="401">
                  <c:v>6762.33</c:v>
                </c:pt>
                <c:pt idx="402">
                  <c:v>6829.02</c:v>
                </c:pt>
                <c:pt idx="403">
                  <c:v>6760.5</c:v>
                </c:pt>
                <c:pt idx="404">
                  <c:v>6550.38</c:v>
                </c:pt>
                <c:pt idx="405">
                  <c:v>6440.75</c:v>
                </c:pt>
                <c:pt idx="406">
                  <c:v>6571.39</c:v>
                </c:pt>
                <c:pt idx="407">
                  <c:v>6644.47</c:v>
                </c:pt>
                <c:pt idx="408">
                  <c:v>6577.78</c:v>
                </c:pt>
                <c:pt idx="409">
                  <c:v>6577.78</c:v>
                </c:pt>
                <c:pt idx="410">
                  <c:v>6486.42</c:v>
                </c:pt>
                <c:pt idx="411">
                  <c:v>6526.62</c:v>
                </c:pt>
                <c:pt idx="412">
                  <c:v>6564.08</c:v>
                </c:pt>
                <c:pt idx="413">
                  <c:v>6468.15</c:v>
                </c:pt>
                <c:pt idx="414">
                  <c:v>6851.86</c:v>
                </c:pt>
                <c:pt idx="415">
                  <c:v>7116.8</c:v>
                </c:pt>
                <c:pt idx="416">
                  <c:v>7127.76</c:v>
                </c:pt>
                <c:pt idx="417">
                  <c:v>7164.3</c:v>
                </c:pt>
                <c:pt idx="418">
                  <c:v>7156.08</c:v>
                </c:pt>
                <c:pt idx="419">
                  <c:v>7225.51</c:v>
                </c:pt>
                <c:pt idx="420">
                  <c:v>7236.47</c:v>
                </c:pt>
                <c:pt idx="421">
                  <c:v>7355.24</c:v>
                </c:pt>
                <c:pt idx="422">
                  <c:v>7427.41</c:v>
                </c:pt>
                <c:pt idx="423">
                  <c:v>7501.41</c:v>
                </c:pt>
                <c:pt idx="424">
                  <c:v>7431.07</c:v>
                </c:pt>
                <c:pt idx="425">
                  <c:v>7551.66</c:v>
                </c:pt>
                <c:pt idx="426">
                  <c:v>7442.94</c:v>
                </c:pt>
                <c:pt idx="427">
                  <c:v>7491.36</c:v>
                </c:pt>
                <c:pt idx="428">
                  <c:v>7354.33</c:v>
                </c:pt>
                <c:pt idx="429">
                  <c:v>7445.68</c:v>
                </c:pt>
                <c:pt idx="430">
                  <c:v>7491.36</c:v>
                </c:pt>
                <c:pt idx="431">
                  <c:v>7628.4</c:v>
                </c:pt>
                <c:pt idx="432">
                  <c:v>7856.8</c:v>
                </c:pt>
                <c:pt idx="433">
                  <c:v>7765.44</c:v>
                </c:pt>
                <c:pt idx="434">
                  <c:v>7674.99</c:v>
                </c:pt>
                <c:pt idx="435">
                  <c:v>7674.08</c:v>
                </c:pt>
                <c:pt idx="436">
                  <c:v>7560.8</c:v>
                </c:pt>
                <c:pt idx="437">
                  <c:v>7537.04</c:v>
                </c:pt>
                <c:pt idx="438">
                  <c:v>7322.35</c:v>
                </c:pt>
                <c:pt idx="439">
                  <c:v>7584.55</c:v>
                </c:pt>
                <c:pt idx="440">
                  <c:v>7856.8</c:v>
                </c:pt>
                <c:pt idx="441">
                  <c:v>7948.15</c:v>
                </c:pt>
                <c:pt idx="442">
                  <c:v>7765.44</c:v>
                </c:pt>
                <c:pt idx="443">
                  <c:v>7935.36</c:v>
                </c:pt>
                <c:pt idx="444">
                  <c:v>7948.15</c:v>
                </c:pt>
                <c:pt idx="445">
                  <c:v>7948.15</c:v>
                </c:pt>
                <c:pt idx="446">
                  <c:v>7993.83</c:v>
                </c:pt>
                <c:pt idx="447">
                  <c:v>7878.72</c:v>
                </c:pt>
                <c:pt idx="448">
                  <c:v>7902.47</c:v>
                </c:pt>
                <c:pt idx="449">
                  <c:v>7947.24</c:v>
                </c:pt>
                <c:pt idx="450">
                  <c:v>7948.15</c:v>
                </c:pt>
                <c:pt idx="451">
                  <c:v>7948.15</c:v>
                </c:pt>
                <c:pt idx="452">
                  <c:v>7921.66</c:v>
                </c:pt>
                <c:pt idx="453">
                  <c:v>8006.62</c:v>
                </c:pt>
                <c:pt idx="454">
                  <c:v>8039.51</c:v>
                </c:pt>
                <c:pt idx="455">
                  <c:v>8130.87</c:v>
                </c:pt>
                <c:pt idx="456">
                  <c:v>7948.15</c:v>
                </c:pt>
                <c:pt idx="457">
                  <c:v>8039.51</c:v>
                </c:pt>
                <c:pt idx="458">
                  <c:v>8039.51</c:v>
                </c:pt>
                <c:pt idx="459">
                  <c:v>7884.2</c:v>
                </c:pt>
                <c:pt idx="460">
                  <c:v>7856.8</c:v>
                </c:pt>
                <c:pt idx="461">
                  <c:v>7765.44</c:v>
                </c:pt>
                <c:pt idx="462">
                  <c:v>7948.15</c:v>
                </c:pt>
                <c:pt idx="463">
                  <c:v>7879.64</c:v>
                </c:pt>
                <c:pt idx="464">
                  <c:v>7648.5</c:v>
                </c:pt>
                <c:pt idx="465">
                  <c:v>7674.08</c:v>
                </c:pt>
                <c:pt idx="466">
                  <c:v>7657.64</c:v>
                </c:pt>
                <c:pt idx="467">
                  <c:v>7445.68</c:v>
                </c:pt>
                <c:pt idx="468">
                  <c:v>7303.17</c:v>
                </c:pt>
                <c:pt idx="469">
                  <c:v>7213.91</c:v>
                </c:pt>
                <c:pt idx="470">
                  <c:v>7483.49</c:v>
                </c:pt>
                <c:pt idx="471">
                  <c:v>7551.11</c:v>
                </c:pt>
                <c:pt idx="472">
                  <c:v>7618.73</c:v>
                </c:pt>
                <c:pt idx="473">
                  <c:v>7911.76</c:v>
                </c:pt>
                <c:pt idx="474">
                  <c:v>7844.14</c:v>
                </c:pt>
                <c:pt idx="475">
                  <c:v>7844.14</c:v>
                </c:pt>
                <c:pt idx="476">
                  <c:v>7889.22</c:v>
                </c:pt>
                <c:pt idx="477">
                  <c:v>7828.81</c:v>
                </c:pt>
                <c:pt idx="478">
                  <c:v>7844.14</c:v>
                </c:pt>
                <c:pt idx="479">
                  <c:v>8163.32</c:v>
                </c:pt>
                <c:pt idx="480">
                  <c:v>7934.3</c:v>
                </c:pt>
                <c:pt idx="481">
                  <c:v>7934.3</c:v>
                </c:pt>
                <c:pt idx="482">
                  <c:v>8123.65</c:v>
                </c:pt>
                <c:pt idx="483">
                  <c:v>7663.82</c:v>
                </c:pt>
                <c:pt idx="484">
                  <c:v>7642.18</c:v>
                </c:pt>
                <c:pt idx="485">
                  <c:v>7596.19</c:v>
                </c:pt>
                <c:pt idx="486">
                  <c:v>7636.77</c:v>
                </c:pt>
                <c:pt idx="487">
                  <c:v>7663.82</c:v>
                </c:pt>
                <c:pt idx="488">
                  <c:v>7663.82</c:v>
                </c:pt>
                <c:pt idx="489">
                  <c:v>7684.55</c:v>
                </c:pt>
                <c:pt idx="490">
                  <c:v>7490.7</c:v>
                </c:pt>
                <c:pt idx="491">
                  <c:v>7655.7</c:v>
                </c:pt>
                <c:pt idx="492">
                  <c:v>7371.69</c:v>
                </c:pt>
                <c:pt idx="493">
                  <c:v>7636.77</c:v>
                </c:pt>
                <c:pt idx="494">
                  <c:v>7618.73</c:v>
                </c:pt>
                <c:pt idx="495">
                  <c:v>7708.0</c:v>
                </c:pt>
                <c:pt idx="496">
                  <c:v>7510.54</c:v>
                </c:pt>
                <c:pt idx="497">
                  <c:v>7723.32</c:v>
                </c:pt>
                <c:pt idx="498">
                  <c:v>8114.63</c:v>
                </c:pt>
                <c:pt idx="499">
                  <c:v>8114.63</c:v>
                </c:pt>
                <c:pt idx="500">
                  <c:v>8069.55</c:v>
                </c:pt>
                <c:pt idx="501">
                  <c:v>8114.63</c:v>
                </c:pt>
                <c:pt idx="502">
                  <c:v>8114.63</c:v>
                </c:pt>
                <c:pt idx="503">
                  <c:v>7979.39</c:v>
                </c:pt>
                <c:pt idx="504">
                  <c:v>7862.17</c:v>
                </c:pt>
                <c:pt idx="505">
                  <c:v>7821.6</c:v>
                </c:pt>
                <c:pt idx="506">
                  <c:v>7767.5</c:v>
                </c:pt>
                <c:pt idx="507">
                  <c:v>7764.8</c:v>
                </c:pt>
                <c:pt idx="508">
                  <c:v>7889.22</c:v>
                </c:pt>
                <c:pt idx="509">
                  <c:v>7889.22</c:v>
                </c:pt>
                <c:pt idx="510">
                  <c:v>7966.76</c:v>
                </c:pt>
                <c:pt idx="511">
                  <c:v>7889.22</c:v>
                </c:pt>
                <c:pt idx="512">
                  <c:v>7966.76</c:v>
                </c:pt>
                <c:pt idx="513">
                  <c:v>7906.35</c:v>
                </c:pt>
                <c:pt idx="514">
                  <c:v>7882.01</c:v>
                </c:pt>
                <c:pt idx="515">
                  <c:v>8087.58</c:v>
                </c:pt>
                <c:pt idx="516">
                  <c:v>8137.17</c:v>
                </c:pt>
                <c:pt idx="517">
                  <c:v>8272.41</c:v>
                </c:pt>
                <c:pt idx="518">
                  <c:v>8193.07</c:v>
                </c:pt>
                <c:pt idx="519">
                  <c:v>8294.950000000001</c:v>
                </c:pt>
                <c:pt idx="520">
                  <c:v>8294.950000000001</c:v>
                </c:pt>
                <c:pt idx="521">
                  <c:v>8164.22</c:v>
                </c:pt>
                <c:pt idx="522">
                  <c:v>7911.76</c:v>
                </c:pt>
                <c:pt idx="523">
                  <c:v>7753.98</c:v>
                </c:pt>
                <c:pt idx="524">
                  <c:v>7753.98</c:v>
                </c:pt>
                <c:pt idx="525">
                  <c:v>7818.9</c:v>
                </c:pt>
                <c:pt idx="526">
                  <c:v>7934.3</c:v>
                </c:pt>
                <c:pt idx="527">
                  <c:v>8113.73</c:v>
                </c:pt>
                <c:pt idx="528">
                  <c:v>7753.98</c:v>
                </c:pt>
                <c:pt idx="529">
                  <c:v>7438.41</c:v>
                </c:pt>
                <c:pt idx="530">
                  <c:v>7393.33</c:v>
                </c:pt>
                <c:pt idx="531">
                  <c:v>7413.16</c:v>
                </c:pt>
                <c:pt idx="532">
                  <c:v>7386.12</c:v>
                </c:pt>
                <c:pt idx="533">
                  <c:v>7303.17</c:v>
                </c:pt>
                <c:pt idx="534">
                  <c:v>7406.85</c:v>
                </c:pt>
                <c:pt idx="535">
                  <c:v>7212.1</c:v>
                </c:pt>
                <c:pt idx="536">
                  <c:v>7213.0</c:v>
                </c:pt>
                <c:pt idx="537">
                  <c:v>7276.12</c:v>
                </c:pt>
                <c:pt idx="538">
                  <c:v>7242.76</c:v>
                </c:pt>
                <c:pt idx="539">
                  <c:v>7285.13</c:v>
                </c:pt>
                <c:pt idx="540">
                  <c:v>7403.25</c:v>
                </c:pt>
                <c:pt idx="541">
                  <c:v>7483.49</c:v>
                </c:pt>
                <c:pt idx="542">
                  <c:v>7462.75</c:v>
                </c:pt>
                <c:pt idx="543">
                  <c:v>7357.26</c:v>
                </c:pt>
                <c:pt idx="544">
                  <c:v>7573.65</c:v>
                </c:pt>
                <c:pt idx="545">
                  <c:v>7546.6</c:v>
                </c:pt>
                <c:pt idx="546">
                  <c:v>7560.13</c:v>
                </c:pt>
                <c:pt idx="547">
                  <c:v>7521.36</c:v>
                </c:pt>
                <c:pt idx="548">
                  <c:v>7582.67</c:v>
                </c:pt>
                <c:pt idx="549">
                  <c:v>7616.93</c:v>
                </c:pt>
                <c:pt idx="550">
                  <c:v>7507.83</c:v>
                </c:pt>
                <c:pt idx="551">
                  <c:v>7492.51</c:v>
                </c:pt>
                <c:pt idx="552">
                  <c:v>7555.62</c:v>
                </c:pt>
                <c:pt idx="553">
                  <c:v>7616.93</c:v>
                </c:pt>
                <c:pt idx="554">
                  <c:v>7606.11</c:v>
                </c:pt>
                <c:pt idx="555">
                  <c:v>7508.74</c:v>
                </c:pt>
                <c:pt idx="556">
                  <c:v>7551.11</c:v>
                </c:pt>
                <c:pt idx="557">
                  <c:v>7483.49</c:v>
                </c:pt>
                <c:pt idx="558">
                  <c:v>7506.93</c:v>
                </c:pt>
                <c:pt idx="559">
                  <c:v>7483.49</c:v>
                </c:pt>
                <c:pt idx="560">
                  <c:v>7618.73</c:v>
                </c:pt>
                <c:pt idx="561">
                  <c:v>7537.59</c:v>
                </c:pt>
                <c:pt idx="562">
                  <c:v>7488.0</c:v>
                </c:pt>
                <c:pt idx="563">
                  <c:v>7663.82</c:v>
                </c:pt>
                <c:pt idx="564">
                  <c:v>7630.46</c:v>
                </c:pt>
                <c:pt idx="565">
                  <c:v>7429.39</c:v>
                </c:pt>
                <c:pt idx="566">
                  <c:v>7548.23</c:v>
                </c:pt>
                <c:pt idx="567">
                  <c:v>7596.19</c:v>
                </c:pt>
                <c:pt idx="568">
                  <c:v>7663.82</c:v>
                </c:pt>
                <c:pt idx="569">
                  <c:v>7483.49</c:v>
                </c:pt>
                <c:pt idx="570">
                  <c:v>7454.72</c:v>
                </c:pt>
                <c:pt idx="571">
                  <c:v>7483.49</c:v>
                </c:pt>
                <c:pt idx="572">
                  <c:v>7460.05</c:v>
                </c:pt>
                <c:pt idx="573">
                  <c:v>7528.57</c:v>
                </c:pt>
                <c:pt idx="574">
                  <c:v>7486.2</c:v>
                </c:pt>
                <c:pt idx="575">
                  <c:v>7565.54</c:v>
                </c:pt>
                <c:pt idx="576">
                  <c:v>7341.03</c:v>
                </c:pt>
                <c:pt idx="577">
                  <c:v>7191.36</c:v>
                </c:pt>
                <c:pt idx="578">
                  <c:v>7213.0</c:v>
                </c:pt>
                <c:pt idx="579">
                  <c:v>7202.18</c:v>
                </c:pt>
                <c:pt idx="580">
                  <c:v>7181.45</c:v>
                </c:pt>
                <c:pt idx="581">
                  <c:v>7193.17</c:v>
                </c:pt>
                <c:pt idx="582">
                  <c:v>7204.57</c:v>
                </c:pt>
                <c:pt idx="583">
                  <c:v>7193.17</c:v>
                </c:pt>
                <c:pt idx="584">
                  <c:v>7224.75</c:v>
                </c:pt>
                <c:pt idx="585">
                  <c:v>7224.75</c:v>
                </c:pt>
                <c:pt idx="586">
                  <c:v>7162.47</c:v>
                </c:pt>
                <c:pt idx="587">
                  <c:v>7175.62</c:v>
                </c:pt>
                <c:pt idx="588">
                  <c:v>7017.73</c:v>
                </c:pt>
                <c:pt idx="589">
                  <c:v>6913.34</c:v>
                </c:pt>
                <c:pt idx="590">
                  <c:v>6754.56</c:v>
                </c:pt>
                <c:pt idx="591">
                  <c:v>6737.02</c:v>
                </c:pt>
                <c:pt idx="592">
                  <c:v>6842.28</c:v>
                </c:pt>
                <c:pt idx="593">
                  <c:v>6861.58</c:v>
                </c:pt>
                <c:pt idx="594">
                  <c:v>7193.17</c:v>
                </c:pt>
                <c:pt idx="595">
                  <c:v>7080.88</c:v>
                </c:pt>
                <c:pt idx="596">
                  <c:v>7008.08</c:v>
                </c:pt>
                <c:pt idx="597">
                  <c:v>6874.74</c:v>
                </c:pt>
                <c:pt idx="598">
                  <c:v>6965.09</c:v>
                </c:pt>
                <c:pt idx="599">
                  <c:v>7022.11</c:v>
                </c:pt>
                <c:pt idx="600">
                  <c:v>7279.14</c:v>
                </c:pt>
                <c:pt idx="601">
                  <c:v>7506.33</c:v>
                </c:pt>
                <c:pt idx="602">
                  <c:v>7632.65</c:v>
                </c:pt>
                <c:pt idx="603">
                  <c:v>7675.64</c:v>
                </c:pt>
                <c:pt idx="604">
                  <c:v>7719.5</c:v>
                </c:pt>
                <c:pt idx="605">
                  <c:v>7715.11</c:v>
                </c:pt>
                <c:pt idx="606">
                  <c:v>7719.5</c:v>
                </c:pt>
                <c:pt idx="607">
                  <c:v>7719.5</c:v>
                </c:pt>
                <c:pt idx="608">
                  <c:v>7763.36</c:v>
                </c:pt>
                <c:pt idx="609">
                  <c:v>7719.5</c:v>
                </c:pt>
                <c:pt idx="610">
                  <c:v>7632.65</c:v>
                </c:pt>
                <c:pt idx="611">
                  <c:v>7631.78</c:v>
                </c:pt>
                <c:pt idx="612">
                  <c:v>7517.74</c:v>
                </c:pt>
                <c:pt idx="613">
                  <c:v>7368.61</c:v>
                </c:pt>
                <c:pt idx="614">
                  <c:v>7324.75</c:v>
                </c:pt>
                <c:pt idx="615">
                  <c:v>7412.47</c:v>
                </c:pt>
                <c:pt idx="616">
                  <c:v>7425.63</c:v>
                </c:pt>
                <c:pt idx="617">
                  <c:v>7280.89</c:v>
                </c:pt>
                <c:pt idx="618">
                  <c:v>7587.92</c:v>
                </c:pt>
                <c:pt idx="619">
                  <c:v>7451.95</c:v>
                </c:pt>
                <c:pt idx="620">
                  <c:v>7427.38</c:v>
                </c:pt>
                <c:pt idx="621">
                  <c:v>7368.61</c:v>
                </c:pt>
                <c:pt idx="622">
                  <c:v>7518.62</c:v>
                </c:pt>
                <c:pt idx="623">
                  <c:v>7368.61</c:v>
                </c:pt>
                <c:pt idx="624">
                  <c:v>7570.37</c:v>
                </c:pt>
                <c:pt idx="625">
                  <c:v>7587.92</c:v>
                </c:pt>
                <c:pt idx="626">
                  <c:v>7587.92</c:v>
                </c:pt>
                <c:pt idx="627">
                  <c:v>7522.12</c:v>
                </c:pt>
                <c:pt idx="628">
                  <c:v>7592.3</c:v>
                </c:pt>
                <c:pt idx="629">
                  <c:v>7544.05</c:v>
                </c:pt>
                <c:pt idx="630">
                  <c:v>7544.05</c:v>
                </c:pt>
                <c:pt idx="631">
                  <c:v>7605.46</c:v>
                </c:pt>
                <c:pt idx="632">
                  <c:v>7571.25</c:v>
                </c:pt>
                <c:pt idx="633">
                  <c:v>7483.53</c:v>
                </c:pt>
                <c:pt idx="634">
                  <c:v>7631.78</c:v>
                </c:pt>
                <c:pt idx="635">
                  <c:v>7631.78</c:v>
                </c:pt>
                <c:pt idx="636">
                  <c:v>7631.78</c:v>
                </c:pt>
                <c:pt idx="637">
                  <c:v>7456.33</c:v>
                </c:pt>
                <c:pt idx="638">
                  <c:v>7537.91</c:v>
                </c:pt>
                <c:pt idx="639">
                  <c:v>7547.86</c:v>
                </c:pt>
                <c:pt idx="640">
                  <c:v>7737.04</c:v>
                </c:pt>
                <c:pt idx="641">
                  <c:v>7763.36</c:v>
                </c:pt>
                <c:pt idx="642">
                  <c:v>7608.97</c:v>
                </c:pt>
                <c:pt idx="643">
                  <c:v>7526.51</c:v>
                </c:pt>
                <c:pt idx="644">
                  <c:v>7500.19</c:v>
                </c:pt>
                <c:pt idx="645">
                  <c:v>7434.4</c:v>
                </c:pt>
                <c:pt idx="646">
                  <c:v>7389.66</c:v>
                </c:pt>
                <c:pt idx="647">
                  <c:v>7386.16</c:v>
                </c:pt>
                <c:pt idx="648">
                  <c:v>7346.68</c:v>
                </c:pt>
                <c:pt idx="649">
                  <c:v>7324.75</c:v>
                </c:pt>
                <c:pt idx="650">
                  <c:v>7106.32</c:v>
                </c:pt>
                <c:pt idx="651">
                  <c:v>6930.0</c:v>
                </c:pt>
                <c:pt idx="652">
                  <c:v>7105.45</c:v>
                </c:pt>
                <c:pt idx="653">
                  <c:v>7193.17</c:v>
                </c:pt>
                <c:pt idx="654">
                  <c:v>7306.33</c:v>
                </c:pt>
                <c:pt idx="655">
                  <c:v>7386.16</c:v>
                </c:pt>
                <c:pt idx="656">
                  <c:v>7560.72</c:v>
                </c:pt>
                <c:pt idx="657">
                  <c:v>7622.13</c:v>
                </c:pt>
                <c:pt idx="658">
                  <c:v>7684.41</c:v>
                </c:pt>
                <c:pt idx="659">
                  <c:v>7796.69</c:v>
                </c:pt>
                <c:pt idx="660">
                  <c:v>7761.6</c:v>
                </c:pt>
                <c:pt idx="661">
                  <c:v>7684.41</c:v>
                </c:pt>
                <c:pt idx="662">
                  <c:v>7544.93</c:v>
                </c:pt>
                <c:pt idx="663">
                  <c:v>7689.67</c:v>
                </c:pt>
                <c:pt idx="664">
                  <c:v>7719.5</c:v>
                </c:pt>
                <c:pt idx="665">
                  <c:v>7684.41</c:v>
                </c:pt>
                <c:pt idx="666">
                  <c:v>7719.5</c:v>
                </c:pt>
                <c:pt idx="667">
                  <c:v>7696.69</c:v>
                </c:pt>
                <c:pt idx="668">
                  <c:v>7701.95</c:v>
                </c:pt>
                <c:pt idx="669">
                  <c:v>7786.17</c:v>
                </c:pt>
                <c:pt idx="670">
                  <c:v>7800.2</c:v>
                </c:pt>
                <c:pt idx="671">
                  <c:v>7817.75</c:v>
                </c:pt>
                <c:pt idx="672">
                  <c:v>7763.36</c:v>
                </c:pt>
                <c:pt idx="673">
                  <c:v>7672.13</c:v>
                </c:pt>
                <c:pt idx="674">
                  <c:v>7552.83</c:v>
                </c:pt>
                <c:pt idx="675">
                  <c:v>7720.37</c:v>
                </c:pt>
                <c:pt idx="676">
                  <c:v>7694.94</c:v>
                </c:pt>
                <c:pt idx="677">
                  <c:v>7806.34</c:v>
                </c:pt>
                <c:pt idx="678">
                  <c:v>7824.76</c:v>
                </c:pt>
                <c:pt idx="679">
                  <c:v>7890.55</c:v>
                </c:pt>
                <c:pt idx="680">
                  <c:v>7894.94</c:v>
                </c:pt>
                <c:pt idx="681">
                  <c:v>8114.24</c:v>
                </c:pt>
                <c:pt idx="682">
                  <c:v>8216.879999999999</c:v>
                </c:pt>
                <c:pt idx="683">
                  <c:v>8044.07</c:v>
                </c:pt>
                <c:pt idx="684">
                  <c:v>8443.2</c:v>
                </c:pt>
                <c:pt idx="685">
                  <c:v>8508.99</c:v>
                </c:pt>
                <c:pt idx="686">
                  <c:v>8421.27</c:v>
                </c:pt>
                <c:pt idx="687">
                  <c:v>8482.68</c:v>
                </c:pt>
                <c:pt idx="688">
                  <c:v>8201.969999999999</c:v>
                </c:pt>
                <c:pt idx="689">
                  <c:v>8144.95</c:v>
                </c:pt>
                <c:pt idx="690">
                  <c:v>8140.56</c:v>
                </c:pt>
                <c:pt idx="691">
                  <c:v>8194.07</c:v>
                </c:pt>
                <c:pt idx="692">
                  <c:v>8123.02</c:v>
                </c:pt>
                <c:pt idx="693">
                  <c:v>8114.24</c:v>
                </c:pt>
                <c:pt idx="694">
                  <c:v>8099.33</c:v>
                </c:pt>
                <c:pt idx="695">
                  <c:v>8091.44</c:v>
                </c:pt>
                <c:pt idx="696">
                  <c:v>8026.52</c:v>
                </c:pt>
                <c:pt idx="697">
                  <c:v>8008.98</c:v>
                </c:pt>
                <c:pt idx="698">
                  <c:v>7982.66</c:v>
                </c:pt>
                <c:pt idx="699">
                  <c:v>8070.38</c:v>
                </c:pt>
                <c:pt idx="700">
                  <c:v>8070.38</c:v>
                </c:pt>
                <c:pt idx="701">
                  <c:v>8038.8</c:v>
                </c:pt>
                <c:pt idx="702">
                  <c:v>8038.8</c:v>
                </c:pt>
                <c:pt idx="703">
                  <c:v>8100.21</c:v>
                </c:pt>
                <c:pt idx="704">
                  <c:v>8092.31</c:v>
                </c:pt>
                <c:pt idx="705">
                  <c:v>8061.61</c:v>
                </c:pt>
                <c:pt idx="706">
                  <c:v>7981.79</c:v>
                </c:pt>
                <c:pt idx="707">
                  <c:v>7952.84</c:v>
                </c:pt>
                <c:pt idx="708">
                  <c:v>8070.38</c:v>
                </c:pt>
                <c:pt idx="709">
                  <c:v>7890.55</c:v>
                </c:pt>
                <c:pt idx="710">
                  <c:v>7386.16</c:v>
                </c:pt>
                <c:pt idx="711">
                  <c:v>7194.05</c:v>
                </c:pt>
                <c:pt idx="712">
                  <c:v>7017.73</c:v>
                </c:pt>
                <c:pt idx="713">
                  <c:v>6973.86</c:v>
                </c:pt>
                <c:pt idx="714">
                  <c:v>6979.13</c:v>
                </c:pt>
                <c:pt idx="715">
                  <c:v>7259.84</c:v>
                </c:pt>
                <c:pt idx="716">
                  <c:v>7453.12</c:v>
                </c:pt>
                <c:pt idx="717">
                  <c:v>7280.64</c:v>
                </c:pt>
                <c:pt idx="718">
                  <c:v>7349.98</c:v>
                </c:pt>
                <c:pt idx="719">
                  <c:v>7453.12</c:v>
                </c:pt>
                <c:pt idx="720">
                  <c:v>7627.34</c:v>
                </c:pt>
                <c:pt idx="721">
                  <c:v>7760.81</c:v>
                </c:pt>
                <c:pt idx="722">
                  <c:v>7792.02</c:v>
                </c:pt>
                <c:pt idx="723">
                  <c:v>7974.03</c:v>
                </c:pt>
                <c:pt idx="724">
                  <c:v>7864.82</c:v>
                </c:pt>
                <c:pt idx="725">
                  <c:v>7913.36</c:v>
                </c:pt>
                <c:pt idx="726">
                  <c:v>7887.36</c:v>
                </c:pt>
                <c:pt idx="727">
                  <c:v>7714.01</c:v>
                </c:pt>
                <c:pt idx="728">
                  <c:v>7453.99</c:v>
                </c:pt>
                <c:pt idx="729">
                  <c:v>7453.99</c:v>
                </c:pt>
                <c:pt idx="730">
                  <c:v>7453.99</c:v>
                </c:pt>
                <c:pt idx="731">
                  <c:v>7471.32</c:v>
                </c:pt>
                <c:pt idx="732">
                  <c:v>7453.12</c:v>
                </c:pt>
                <c:pt idx="733">
                  <c:v>7445.32</c:v>
                </c:pt>
                <c:pt idx="734">
                  <c:v>7471.32</c:v>
                </c:pt>
                <c:pt idx="735">
                  <c:v>7453.99</c:v>
                </c:pt>
                <c:pt idx="736">
                  <c:v>7453.99</c:v>
                </c:pt>
                <c:pt idx="737">
                  <c:v>7254.64</c:v>
                </c:pt>
                <c:pt idx="738">
                  <c:v>7258.97</c:v>
                </c:pt>
                <c:pt idx="739">
                  <c:v>7193.96</c:v>
                </c:pt>
                <c:pt idx="740">
                  <c:v>7193.96</c:v>
                </c:pt>
                <c:pt idx="741">
                  <c:v>7150.63</c:v>
                </c:pt>
                <c:pt idx="742">
                  <c:v>7150.63</c:v>
                </c:pt>
                <c:pt idx="743">
                  <c:v>7160.16</c:v>
                </c:pt>
                <c:pt idx="744">
                  <c:v>7149.76</c:v>
                </c:pt>
                <c:pt idx="745">
                  <c:v>7128.96</c:v>
                </c:pt>
                <c:pt idx="746">
                  <c:v>7107.29</c:v>
                </c:pt>
                <c:pt idx="747">
                  <c:v>7020.62</c:v>
                </c:pt>
                <c:pt idx="748">
                  <c:v>7020.62</c:v>
                </c:pt>
                <c:pt idx="749">
                  <c:v>7107.29</c:v>
                </c:pt>
                <c:pt idx="750">
                  <c:v>7020.62</c:v>
                </c:pt>
                <c:pt idx="751">
                  <c:v>6947.81</c:v>
                </c:pt>
                <c:pt idx="752">
                  <c:v>6951.28</c:v>
                </c:pt>
                <c:pt idx="753">
                  <c:v>7005.88</c:v>
                </c:pt>
                <c:pt idx="754">
                  <c:v>6959.94</c:v>
                </c:pt>
                <c:pt idx="755">
                  <c:v>7020.62</c:v>
                </c:pt>
                <c:pt idx="756">
                  <c:v>6990.28</c:v>
                </c:pt>
                <c:pt idx="757">
                  <c:v>6965.14</c:v>
                </c:pt>
                <c:pt idx="758">
                  <c:v>6933.94</c:v>
                </c:pt>
                <c:pt idx="759">
                  <c:v>6891.47</c:v>
                </c:pt>
                <c:pt idx="760">
                  <c:v>6933.94</c:v>
                </c:pt>
                <c:pt idx="761">
                  <c:v>6899.27</c:v>
                </c:pt>
                <c:pt idx="762">
                  <c:v>6933.94</c:v>
                </c:pt>
                <c:pt idx="763">
                  <c:v>6864.6</c:v>
                </c:pt>
                <c:pt idx="764">
                  <c:v>6717.26</c:v>
                </c:pt>
                <c:pt idx="765">
                  <c:v>6717.26</c:v>
                </c:pt>
                <c:pt idx="766">
                  <c:v>6738.92</c:v>
                </c:pt>
                <c:pt idx="767">
                  <c:v>6770.13</c:v>
                </c:pt>
                <c:pt idx="768">
                  <c:v>6803.93</c:v>
                </c:pt>
                <c:pt idx="769">
                  <c:v>6847.27</c:v>
                </c:pt>
                <c:pt idx="770">
                  <c:v>6808.26</c:v>
                </c:pt>
                <c:pt idx="771">
                  <c:v>6757.99</c:v>
                </c:pt>
                <c:pt idx="772">
                  <c:v>6757.13</c:v>
                </c:pt>
                <c:pt idx="773">
                  <c:v>6782.26</c:v>
                </c:pt>
                <c:pt idx="774">
                  <c:v>6977.28</c:v>
                </c:pt>
                <c:pt idx="775">
                  <c:v>6920.07</c:v>
                </c:pt>
                <c:pt idx="776">
                  <c:v>6977.28</c:v>
                </c:pt>
                <c:pt idx="777">
                  <c:v>7020.62</c:v>
                </c:pt>
                <c:pt idx="778">
                  <c:v>7020.62</c:v>
                </c:pt>
                <c:pt idx="779">
                  <c:v>7020.62</c:v>
                </c:pt>
                <c:pt idx="780">
                  <c:v>7107.29</c:v>
                </c:pt>
                <c:pt idx="781">
                  <c:v>7107.29</c:v>
                </c:pt>
                <c:pt idx="782">
                  <c:v>6673.92</c:v>
                </c:pt>
                <c:pt idx="783">
                  <c:v>6673.92</c:v>
                </c:pt>
                <c:pt idx="784">
                  <c:v>6500.57</c:v>
                </c:pt>
                <c:pt idx="785">
                  <c:v>6457.23</c:v>
                </c:pt>
                <c:pt idx="786">
                  <c:v>6500.57</c:v>
                </c:pt>
                <c:pt idx="787">
                  <c:v>6586.38</c:v>
                </c:pt>
                <c:pt idx="788">
                  <c:v>6409.56</c:v>
                </c:pt>
                <c:pt idx="789">
                  <c:v>6097.53</c:v>
                </c:pt>
                <c:pt idx="790">
                  <c:v>5945.85</c:v>
                </c:pt>
                <c:pt idx="791">
                  <c:v>5980.52</c:v>
                </c:pt>
                <c:pt idx="792">
                  <c:v>5978.79</c:v>
                </c:pt>
                <c:pt idx="793">
                  <c:v>5893.85</c:v>
                </c:pt>
                <c:pt idx="794">
                  <c:v>5937.19</c:v>
                </c:pt>
                <c:pt idx="795">
                  <c:v>5980.52</c:v>
                </c:pt>
                <c:pt idx="796">
                  <c:v>5976.19</c:v>
                </c:pt>
                <c:pt idx="797">
                  <c:v>5893.85</c:v>
                </c:pt>
                <c:pt idx="798">
                  <c:v>5947.59</c:v>
                </c:pt>
                <c:pt idx="799">
                  <c:v>5947.59</c:v>
                </c:pt>
                <c:pt idx="800">
                  <c:v>5962.32</c:v>
                </c:pt>
                <c:pt idx="801">
                  <c:v>5939.79</c:v>
                </c:pt>
                <c:pt idx="802">
                  <c:v>5960.59</c:v>
                </c:pt>
                <c:pt idx="803">
                  <c:v>5963.19</c:v>
                </c:pt>
                <c:pt idx="804">
                  <c:v>5965.79</c:v>
                </c:pt>
                <c:pt idx="805">
                  <c:v>5915.52</c:v>
                </c:pt>
                <c:pt idx="806">
                  <c:v>5980.52</c:v>
                </c:pt>
                <c:pt idx="807">
                  <c:v>5931.12</c:v>
                </c:pt>
                <c:pt idx="808">
                  <c:v>5925.92</c:v>
                </c:pt>
                <c:pt idx="809">
                  <c:v>5901.65</c:v>
                </c:pt>
                <c:pt idx="810">
                  <c:v>5954.52</c:v>
                </c:pt>
                <c:pt idx="811">
                  <c:v>5937.19</c:v>
                </c:pt>
                <c:pt idx="812">
                  <c:v>5980.52</c:v>
                </c:pt>
                <c:pt idx="813">
                  <c:v>5915.52</c:v>
                </c:pt>
                <c:pt idx="814">
                  <c:v>5893.85</c:v>
                </c:pt>
                <c:pt idx="815">
                  <c:v>5892.98</c:v>
                </c:pt>
                <c:pt idx="816">
                  <c:v>5893.85</c:v>
                </c:pt>
                <c:pt idx="817">
                  <c:v>5850.51</c:v>
                </c:pt>
                <c:pt idx="818">
                  <c:v>5771.64</c:v>
                </c:pt>
                <c:pt idx="819">
                  <c:v>5742.17</c:v>
                </c:pt>
                <c:pt idx="820">
                  <c:v>5730.04</c:v>
                </c:pt>
                <c:pt idx="821">
                  <c:v>5759.5</c:v>
                </c:pt>
                <c:pt idx="822">
                  <c:v>5728.3</c:v>
                </c:pt>
                <c:pt idx="823">
                  <c:v>5807.18</c:v>
                </c:pt>
                <c:pt idx="824">
                  <c:v>5807.18</c:v>
                </c:pt>
                <c:pt idx="825">
                  <c:v>5807.18</c:v>
                </c:pt>
                <c:pt idx="826">
                  <c:v>5720.5</c:v>
                </c:pt>
                <c:pt idx="827">
                  <c:v>5720.5</c:v>
                </c:pt>
                <c:pt idx="828">
                  <c:v>5720.5</c:v>
                </c:pt>
                <c:pt idx="829">
                  <c:v>5772.51</c:v>
                </c:pt>
                <c:pt idx="830">
                  <c:v>5757.77</c:v>
                </c:pt>
                <c:pt idx="831">
                  <c:v>5758.61</c:v>
                </c:pt>
                <c:pt idx="832">
                  <c:v>5825.37</c:v>
                </c:pt>
                <c:pt idx="833">
                  <c:v>5827.04</c:v>
                </c:pt>
                <c:pt idx="834">
                  <c:v>5924.69</c:v>
                </c:pt>
                <c:pt idx="835">
                  <c:v>5925.52</c:v>
                </c:pt>
                <c:pt idx="836">
                  <c:v>5924.69</c:v>
                </c:pt>
                <c:pt idx="837">
                  <c:v>5842.9</c:v>
                </c:pt>
                <c:pt idx="838">
                  <c:v>5925.52</c:v>
                </c:pt>
                <c:pt idx="839">
                  <c:v>5826.21</c:v>
                </c:pt>
                <c:pt idx="840">
                  <c:v>5825.37</c:v>
                </c:pt>
                <c:pt idx="841">
                  <c:v>5842.06</c:v>
                </c:pt>
                <c:pt idx="842">
                  <c:v>5800.34</c:v>
                </c:pt>
                <c:pt idx="843">
                  <c:v>5902.15</c:v>
                </c:pt>
                <c:pt idx="844">
                  <c:v>5925.52</c:v>
                </c:pt>
                <c:pt idx="845">
                  <c:v>5925.52</c:v>
                </c:pt>
                <c:pt idx="846">
                  <c:v>5800.34</c:v>
                </c:pt>
                <c:pt idx="847">
                  <c:v>5758.61</c:v>
                </c:pt>
                <c:pt idx="848">
                  <c:v>5883.79</c:v>
                </c:pt>
                <c:pt idx="849">
                  <c:v>5872.11</c:v>
                </c:pt>
                <c:pt idx="850">
                  <c:v>5926.36</c:v>
                </c:pt>
                <c:pt idx="851">
                  <c:v>5708.53</c:v>
                </c:pt>
                <c:pt idx="852">
                  <c:v>5722.72</c:v>
                </c:pt>
                <c:pt idx="853">
                  <c:v>5716.88</c:v>
                </c:pt>
                <c:pt idx="854">
                  <c:v>5704.36</c:v>
                </c:pt>
                <c:pt idx="855">
                  <c:v>5675.15</c:v>
                </c:pt>
                <c:pt idx="856">
                  <c:v>5569.99</c:v>
                </c:pt>
                <c:pt idx="857">
                  <c:v>5512.4</c:v>
                </c:pt>
                <c:pt idx="858">
                  <c:v>5549.13</c:v>
                </c:pt>
                <c:pt idx="859">
                  <c:v>5549.96</c:v>
                </c:pt>
                <c:pt idx="860">
                  <c:v>5440.63</c:v>
                </c:pt>
                <c:pt idx="861">
                  <c:v>5508.23</c:v>
                </c:pt>
                <c:pt idx="862">
                  <c:v>5424.77</c:v>
                </c:pt>
                <c:pt idx="863">
                  <c:v>5341.32</c:v>
                </c:pt>
                <c:pt idx="864">
                  <c:v>5332.97</c:v>
                </c:pt>
                <c:pt idx="865">
                  <c:v>5090.11</c:v>
                </c:pt>
                <c:pt idx="866">
                  <c:v>5074.25</c:v>
                </c:pt>
                <c:pt idx="867">
                  <c:v>5090.94</c:v>
                </c:pt>
                <c:pt idx="868">
                  <c:v>5007.48</c:v>
                </c:pt>
                <c:pt idx="869">
                  <c:v>5090.94</c:v>
                </c:pt>
                <c:pt idx="870">
                  <c:v>5090.94</c:v>
                </c:pt>
                <c:pt idx="871">
                  <c:v>5090.94</c:v>
                </c:pt>
                <c:pt idx="872">
                  <c:v>4840.57</c:v>
                </c:pt>
                <c:pt idx="873">
                  <c:v>5007.48</c:v>
                </c:pt>
                <c:pt idx="874">
                  <c:v>4840.57</c:v>
                </c:pt>
                <c:pt idx="875">
                  <c:v>4840.57</c:v>
                </c:pt>
                <c:pt idx="876">
                  <c:v>4840.57</c:v>
                </c:pt>
                <c:pt idx="877">
                  <c:v>4757.11</c:v>
                </c:pt>
                <c:pt idx="878">
                  <c:v>4736.24</c:v>
                </c:pt>
                <c:pt idx="879">
                  <c:v>4840.57</c:v>
                </c:pt>
                <c:pt idx="880">
                  <c:v>4757.11</c:v>
                </c:pt>
                <c:pt idx="881">
                  <c:v>4700.36</c:v>
                </c:pt>
                <c:pt idx="882">
                  <c:v>4840.57</c:v>
                </c:pt>
                <c:pt idx="883">
                  <c:v>4757.11</c:v>
                </c:pt>
                <c:pt idx="884">
                  <c:v>4840.57</c:v>
                </c:pt>
                <c:pt idx="885">
                  <c:v>4698.69</c:v>
                </c:pt>
                <c:pt idx="886">
                  <c:v>4590.19</c:v>
                </c:pt>
                <c:pt idx="887">
                  <c:v>4723.73</c:v>
                </c:pt>
                <c:pt idx="888">
                  <c:v>4552.64</c:v>
                </c:pt>
                <c:pt idx="889">
                  <c:v>4548.46</c:v>
                </c:pt>
                <c:pt idx="890">
                  <c:v>4506.74</c:v>
                </c:pt>
                <c:pt idx="891">
                  <c:v>4506.74</c:v>
                </c:pt>
                <c:pt idx="892">
                  <c:v>4590.19</c:v>
                </c:pt>
                <c:pt idx="893">
                  <c:v>4569.33</c:v>
                </c:pt>
                <c:pt idx="894">
                  <c:v>4581.85</c:v>
                </c:pt>
                <c:pt idx="895">
                  <c:v>4590.19</c:v>
                </c:pt>
                <c:pt idx="896">
                  <c:v>4506.74</c:v>
                </c:pt>
                <c:pt idx="897">
                  <c:v>4506.74</c:v>
                </c:pt>
                <c:pt idx="898">
                  <c:v>4506.74</c:v>
                </c:pt>
                <c:pt idx="899">
                  <c:v>4506.74</c:v>
                </c:pt>
                <c:pt idx="900">
                  <c:v>4506.74</c:v>
                </c:pt>
                <c:pt idx="901">
                  <c:v>4506.74</c:v>
                </c:pt>
                <c:pt idx="902">
                  <c:v>4506.74</c:v>
                </c:pt>
                <c:pt idx="903">
                  <c:v>4590.19</c:v>
                </c:pt>
                <c:pt idx="904">
                  <c:v>4590.19</c:v>
                </c:pt>
                <c:pt idx="905">
                  <c:v>4381.55</c:v>
                </c:pt>
                <c:pt idx="906">
                  <c:v>4381.55</c:v>
                </c:pt>
                <c:pt idx="907">
                  <c:v>4465.01</c:v>
                </c:pt>
                <c:pt idx="908">
                  <c:v>4423.28</c:v>
                </c:pt>
                <c:pt idx="909">
                  <c:v>4381.55</c:v>
                </c:pt>
                <c:pt idx="910">
                  <c:v>4423.28</c:v>
                </c:pt>
                <c:pt idx="911">
                  <c:v>4422.44</c:v>
                </c:pt>
                <c:pt idx="912">
                  <c:v>4429.95</c:v>
                </c:pt>
                <c:pt idx="913">
                  <c:v>4505.9</c:v>
                </c:pt>
                <c:pt idx="914">
                  <c:v>4506.74</c:v>
                </c:pt>
                <c:pt idx="915">
                  <c:v>4352.34</c:v>
                </c:pt>
                <c:pt idx="916">
                  <c:v>4298.92</c:v>
                </c:pt>
                <c:pt idx="917">
                  <c:v>4438.3</c:v>
                </c:pt>
                <c:pt idx="918">
                  <c:v>4406.59</c:v>
                </c:pt>
                <c:pt idx="919">
                  <c:v>4456.66</c:v>
                </c:pt>
                <c:pt idx="920">
                  <c:v>4506.74</c:v>
                </c:pt>
                <c:pt idx="921">
                  <c:v>4544.29</c:v>
                </c:pt>
                <c:pt idx="922">
                  <c:v>4548.46</c:v>
                </c:pt>
                <c:pt idx="923">
                  <c:v>4666.14</c:v>
                </c:pt>
                <c:pt idx="924">
                  <c:v>4505.9</c:v>
                </c:pt>
                <c:pt idx="925">
                  <c:v>4405.75</c:v>
                </c:pt>
                <c:pt idx="926">
                  <c:v>4348.16</c:v>
                </c:pt>
                <c:pt idx="927">
                  <c:v>4548.46</c:v>
                </c:pt>
                <c:pt idx="928">
                  <c:v>4298.09</c:v>
                </c:pt>
                <c:pt idx="929">
                  <c:v>4339.82</c:v>
                </c:pt>
                <c:pt idx="930">
                  <c:v>4331.47</c:v>
                </c:pt>
                <c:pt idx="931">
                  <c:v>4338.98</c:v>
                </c:pt>
                <c:pt idx="932">
                  <c:v>4097.79</c:v>
                </c:pt>
                <c:pt idx="933">
                  <c:v>4047.72</c:v>
                </c:pt>
                <c:pt idx="934">
                  <c:v>4089.44</c:v>
                </c:pt>
                <c:pt idx="935">
                  <c:v>4089.44</c:v>
                </c:pt>
                <c:pt idx="936">
                  <c:v>4089.44</c:v>
                </c:pt>
                <c:pt idx="937">
                  <c:v>4047.72</c:v>
                </c:pt>
                <c:pt idx="938">
                  <c:v>4089.44</c:v>
                </c:pt>
                <c:pt idx="939">
                  <c:v>4081.1</c:v>
                </c:pt>
                <c:pt idx="940">
                  <c:v>4047.72</c:v>
                </c:pt>
                <c:pt idx="941">
                  <c:v>4010.16</c:v>
                </c:pt>
                <c:pt idx="942">
                  <c:v>4110.31</c:v>
                </c:pt>
                <c:pt idx="943">
                  <c:v>4131.17</c:v>
                </c:pt>
                <c:pt idx="944">
                  <c:v>4156.21</c:v>
                </c:pt>
                <c:pt idx="945">
                  <c:v>4168.73</c:v>
                </c:pt>
                <c:pt idx="946">
                  <c:v>4172.9</c:v>
                </c:pt>
                <c:pt idx="947">
                  <c:v>4339.82</c:v>
                </c:pt>
                <c:pt idx="948">
                  <c:v>4340.65</c:v>
                </c:pt>
                <c:pt idx="949">
                  <c:v>4256.36</c:v>
                </c:pt>
                <c:pt idx="950">
                  <c:v>4022.68</c:v>
                </c:pt>
                <c:pt idx="951">
                  <c:v>4005.99</c:v>
                </c:pt>
                <c:pt idx="952">
                  <c:v>3924.2</c:v>
                </c:pt>
                <c:pt idx="953">
                  <c:v>3989.3</c:v>
                </c:pt>
                <c:pt idx="954">
                  <c:v>4005.99</c:v>
                </c:pt>
                <c:pt idx="955">
                  <c:v>4089.44</c:v>
                </c:pt>
                <c:pt idx="956">
                  <c:v>4089.44</c:v>
                </c:pt>
                <c:pt idx="957">
                  <c:v>4089.44</c:v>
                </c:pt>
                <c:pt idx="958">
                  <c:v>4089.44</c:v>
                </c:pt>
                <c:pt idx="959">
                  <c:v>4089.44</c:v>
                </c:pt>
                <c:pt idx="960">
                  <c:v>4005.99</c:v>
                </c:pt>
                <c:pt idx="961">
                  <c:v>4022.68</c:v>
                </c:pt>
                <c:pt idx="962">
                  <c:v>4047.72</c:v>
                </c:pt>
                <c:pt idx="963">
                  <c:v>4047.72</c:v>
                </c:pt>
                <c:pt idx="964">
                  <c:v>4135.35</c:v>
                </c:pt>
                <c:pt idx="965">
                  <c:v>4135.35</c:v>
                </c:pt>
                <c:pt idx="966">
                  <c:v>4052.64</c:v>
                </c:pt>
                <c:pt idx="967">
                  <c:v>4135.35</c:v>
                </c:pt>
                <c:pt idx="968">
                  <c:v>4052.64</c:v>
                </c:pt>
                <c:pt idx="969">
                  <c:v>4135.35</c:v>
                </c:pt>
                <c:pt idx="970">
                  <c:v>4052.64</c:v>
                </c:pt>
                <c:pt idx="971">
                  <c:v>4052.64</c:v>
                </c:pt>
                <c:pt idx="972">
                  <c:v>4052.64</c:v>
                </c:pt>
                <c:pt idx="973">
                  <c:v>3854.14</c:v>
                </c:pt>
                <c:pt idx="974">
                  <c:v>4093.99</c:v>
                </c:pt>
                <c:pt idx="975">
                  <c:v>4000.53</c:v>
                </c:pt>
                <c:pt idx="976">
                  <c:v>4053.47</c:v>
                </c:pt>
                <c:pt idx="977">
                  <c:v>3891.36</c:v>
                </c:pt>
                <c:pt idx="978">
                  <c:v>4102.26</c:v>
                </c:pt>
                <c:pt idx="979">
                  <c:v>3808.65</c:v>
                </c:pt>
                <c:pt idx="980">
                  <c:v>3804.52</c:v>
                </c:pt>
                <c:pt idx="981">
                  <c:v>3804.52</c:v>
                </c:pt>
                <c:pt idx="982">
                  <c:v>3804.52</c:v>
                </c:pt>
                <c:pt idx="983">
                  <c:v>3805.35</c:v>
                </c:pt>
                <c:pt idx="984">
                  <c:v>4135.35</c:v>
                </c:pt>
                <c:pt idx="985">
                  <c:v>3804.52</c:v>
                </c:pt>
                <c:pt idx="986">
                  <c:v>3804.52</c:v>
                </c:pt>
                <c:pt idx="987">
                  <c:v>3804.52</c:v>
                </c:pt>
                <c:pt idx="988">
                  <c:v>3804.52</c:v>
                </c:pt>
                <c:pt idx="989">
                  <c:v>3804.52</c:v>
                </c:pt>
                <c:pt idx="990">
                  <c:v>3816.93</c:v>
                </c:pt>
                <c:pt idx="991">
                  <c:v>3803.69</c:v>
                </c:pt>
                <c:pt idx="992">
                  <c:v>3802.04</c:v>
                </c:pt>
                <c:pt idx="993">
                  <c:v>3680.46</c:v>
                </c:pt>
                <c:pt idx="994">
                  <c:v>3680.46</c:v>
                </c:pt>
                <c:pt idx="995">
                  <c:v>3680.46</c:v>
                </c:pt>
                <c:pt idx="996">
                  <c:v>3713.54</c:v>
                </c:pt>
                <c:pt idx="997">
                  <c:v>3597.75</c:v>
                </c:pt>
                <c:pt idx="998">
                  <c:v>3639.11</c:v>
                </c:pt>
                <c:pt idx="999">
                  <c:v>3639.11</c:v>
                </c:pt>
                <c:pt idx="1000">
                  <c:v>3680.46</c:v>
                </c:pt>
                <c:pt idx="1001">
                  <c:v>3721.81</c:v>
                </c:pt>
                <c:pt idx="1002">
                  <c:v>3721.81</c:v>
                </c:pt>
                <c:pt idx="1003">
                  <c:v>3721.81</c:v>
                </c:pt>
                <c:pt idx="1004">
                  <c:v>3721.81</c:v>
                </c:pt>
                <c:pt idx="1005">
                  <c:v>3721.81</c:v>
                </c:pt>
                <c:pt idx="1006">
                  <c:v>3721.81</c:v>
                </c:pt>
                <c:pt idx="1007">
                  <c:v>3730.08</c:v>
                </c:pt>
                <c:pt idx="1008">
                  <c:v>3800.38</c:v>
                </c:pt>
                <c:pt idx="1009">
                  <c:v>3787.98</c:v>
                </c:pt>
                <c:pt idx="1010">
                  <c:v>3803.69</c:v>
                </c:pt>
                <c:pt idx="1011">
                  <c:v>3802.86</c:v>
                </c:pt>
                <c:pt idx="1012">
                  <c:v>3804.52</c:v>
                </c:pt>
                <c:pt idx="1013">
                  <c:v>3735.87</c:v>
                </c:pt>
                <c:pt idx="1014">
                  <c:v>3886.4</c:v>
                </c:pt>
                <c:pt idx="1015">
                  <c:v>3886.4</c:v>
                </c:pt>
                <c:pt idx="1016">
                  <c:v>3887.23</c:v>
                </c:pt>
                <c:pt idx="1017">
                  <c:v>3887.23</c:v>
                </c:pt>
                <c:pt idx="1018">
                  <c:v>4051.81</c:v>
                </c:pt>
                <c:pt idx="1019">
                  <c:v>3969.93</c:v>
                </c:pt>
                <c:pt idx="1020">
                  <c:v>3888.88</c:v>
                </c:pt>
                <c:pt idx="1021">
                  <c:v>3887.23</c:v>
                </c:pt>
                <c:pt idx="1022">
                  <c:v>3887.23</c:v>
                </c:pt>
                <c:pt idx="1023">
                  <c:v>3887.23</c:v>
                </c:pt>
                <c:pt idx="1024">
                  <c:v>3887.23</c:v>
                </c:pt>
                <c:pt idx="1025">
                  <c:v>3887.23</c:v>
                </c:pt>
                <c:pt idx="1026">
                  <c:v>3887.23</c:v>
                </c:pt>
                <c:pt idx="1027">
                  <c:v>3852.49</c:v>
                </c:pt>
                <c:pt idx="1028">
                  <c:v>3830.16</c:v>
                </c:pt>
                <c:pt idx="1029">
                  <c:v>3826.02</c:v>
                </c:pt>
                <c:pt idx="1030">
                  <c:v>3734.22</c:v>
                </c:pt>
                <c:pt idx="1031">
                  <c:v>3812.79</c:v>
                </c:pt>
                <c:pt idx="1032">
                  <c:v>3804.52</c:v>
                </c:pt>
                <c:pt idx="1033">
                  <c:v>3811.96</c:v>
                </c:pt>
                <c:pt idx="1034">
                  <c:v>3812.79</c:v>
                </c:pt>
                <c:pt idx="1035">
                  <c:v>3680.46</c:v>
                </c:pt>
                <c:pt idx="1036">
                  <c:v>3730.08</c:v>
                </c:pt>
                <c:pt idx="1037">
                  <c:v>3723.47</c:v>
                </c:pt>
                <c:pt idx="1038">
                  <c:v>3721.81</c:v>
                </c:pt>
                <c:pt idx="1039">
                  <c:v>3721.81</c:v>
                </c:pt>
                <c:pt idx="1040">
                  <c:v>3680.46</c:v>
                </c:pt>
                <c:pt idx="1041">
                  <c:v>3818.58</c:v>
                </c:pt>
                <c:pt idx="1042">
                  <c:v>3721.81</c:v>
                </c:pt>
                <c:pt idx="1043">
                  <c:v>3639.11</c:v>
                </c:pt>
                <c:pt idx="1044">
                  <c:v>3680.46</c:v>
                </c:pt>
                <c:pt idx="1045">
                  <c:v>3680.46</c:v>
                </c:pt>
                <c:pt idx="1046">
                  <c:v>3680.46</c:v>
                </c:pt>
                <c:pt idx="1047">
                  <c:v>3680.46</c:v>
                </c:pt>
                <c:pt idx="1048">
                  <c:v>3680.46</c:v>
                </c:pt>
                <c:pt idx="1049">
                  <c:v>3746.62</c:v>
                </c:pt>
                <c:pt idx="1050">
                  <c:v>3746.62</c:v>
                </c:pt>
                <c:pt idx="1051">
                  <c:v>3746.62</c:v>
                </c:pt>
                <c:pt idx="1052">
                  <c:v>3722.64</c:v>
                </c:pt>
                <c:pt idx="1053">
                  <c:v>3736.7</c:v>
                </c:pt>
                <c:pt idx="1054">
                  <c:v>3730.91</c:v>
                </c:pt>
                <c:pt idx="1055">
                  <c:v>3818.58</c:v>
                </c:pt>
                <c:pt idx="1056">
                  <c:v>3812.79</c:v>
                </c:pt>
                <c:pt idx="1057">
                  <c:v>3816.93</c:v>
                </c:pt>
                <c:pt idx="1058">
                  <c:v>3804.52</c:v>
                </c:pt>
                <c:pt idx="1059">
                  <c:v>3719.33</c:v>
                </c:pt>
                <c:pt idx="1060">
                  <c:v>3721.81</c:v>
                </c:pt>
                <c:pt idx="1061">
                  <c:v>3589.48</c:v>
                </c:pt>
                <c:pt idx="1062">
                  <c:v>3818.58</c:v>
                </c:pt>
                <c:pt idx="1063">
                  <c:v>3804.52</c:v>
                </c:pt>
                <c:pt idx="1064">
                  <c:v>3804.52</c:v>
                </c:pt>
                <c:pt idx="1065">
                  <c:v>3721.81</c:v>
                </c:pt>
                <c:pt idx="1066">
                  <c:v>3720.16</c:v>
                </c:pt>
                <c:pt idx="1067">
                  <c:v>3721.81</c:v>
                </c:pt>
                <c:pt idx="1068">
                  <c:v>3672.19</c:v>
                </c:pt>
                <c:pt idx="1069">
                  <c:v>3639.11</c:v>
                </c:pt>
                <c:pt idx="1070">
                  <c:v>3675.5</c:v>
                </c:pt>
                <c:pt idx="1071">
                  <c:v>3721.81</c:v>
                </c:pt>
                <c:pt idx="1072">
                  <c:v>3763.17</c:v>
                </c:pt>
                <c:pt idx="1073">
                  <c:v>3779.71</c:v>
                </c:pt>
                <c:pt idx="1074">
                  <c:v>3783.84</c:v>
                </c:pt>
                <c:pt idx="1075">
                  <c:v>3739.18</c:v>
                </c:pt>
                <c:pt idx="1076">
                  <c:v>3804.52</c:v>
                </c:pt>
                <c:pt idx="1077">
                  <c:v>3804.52</c:v>
                </c:pt>
                <c:pt idx="1078">
                  <c:v>3841.74</c:v>
                </c:pt>
                <c:pt idx="1079">
                  <c:v>3694.52</c:v>
                </c:pt>
                <c:pt idx="1080">
                  <c:v>3734.24</c:v>
                </c:pt>
                <c:pt idx="1081">
                  <c:v>3734.24</c:v>
                </c:pt>
                <c:pt idx="1082">
                  <c:v>3813.7</c:v>
                </c:pt>
                <c:pt idx="1083">
                  <c:v>3813.7</c:v>
                </c:pt>
                <c:pt idx="1084">
                  <c:v>3773.18</c:v>
                </c:pt>
                <c:pt idx="1085">
                  <c:v>3892.35</c:v>
                </c:pt>
                <c:pt idx="1086">
                  <c:v>3773.97</c:v>
                </c:pt>
                <c:pt idx="1087">
                  <c:v>3734.24</c:v>
                </c:pt>
                <c:pt idx="1088">
                  <c:v>3654.79</c:v>
                </c:pt>
                <c:pt idx="1089">
                  <c:v>3654.79</c:v>
                </c:pt>
                <c:pt idx="1090">
                  <c:v>3575.34</c:v>
                </c:pt>
                <c:pt idx="1091">
                  <c:v>3575.34</c:v>
                </c:pt>
                <c:pt idx="1092">
                  <c:v>3686.57</c:v>
                </c:pt>
                <c:pt idx="1093">
                  <c:v>3607.12</c:v>
                </c:pt>
                <c:pt idx="1094">
                  <c:v>3607.12</c:v>
                </c:pt>
                <c:pt idx="1095">
                  <c:v>3587.26</c:v>
                </c:pt>
                <c:pt idx="1096">
                  <c:v>3595.2</c:v>
                </c:pt>
                <c:pt idx="1097">
                  <c:v>3694.52</c:v>
                </c:pt>
                <c:pt idx="1098">
                  <c:v>3417.23</c:v>
                </c:pt>
                <c:pt idx="1099">
                  <c:v>3417.23</c:v>
                </c:pt>
                <c:pt idx="1100">
                  <c:v>3376.71</c:v>
                </c:pt>
                <c:pt idx="1101">
                  <c:v>3336.98</c:v>
                </c:pt>
                <c:pt idx="1102">
                  <c:v>3336.98</c:v>
                </c:pt>
                <c:pt idx="1103">
                  <c:v>3336.98</c:v>
                </c:pt>
                <c:pt idx="1104">
                  <c:v>3335.4</c:v>
                </c:pt>
                <c:pt idx="1105">
                  <c:v>3336.98</c:v>
                </c:pt>
                <c:pt idx="1106">
                  <c:v>3313.15</c:v>
                </c:pt>
                <c:pt idx="1107">
                  <c:v>3313.15</c:v>
                </c:pt>
                <c:pt idx="1108">
                  <c:v>3313.15</c:v>
                </c:pt>
                <c:pt idx="1109">
                  <c:v>3358.44</c:v>
                </c:pt>
                <c:pt idx="1110">
                  <c:v>3404.52</c:v>
                </c:pt>
                <c:pt idx="1111">
                  <c:v>3416.44</c:v>
                </c:pt>
                <c:pt idx="1112">
                  <c:v>3416.44</c:v>
                </c:pt>
                <c:pt idx="1113">
                  <c:v>3416.44</c:v>
                </c:pt>
                <c:pt idx="1114">
                  <c:v>3376.71</c:v>
                </c:pt>
                <c:pt idx="1115">
                  <c:v>3338.57</c:v>
                </c:pt>
                <c:pt idx="1116">
                  <c:v>3338.57</c:v>
                </c:pt>
                <c:pt idx="1117">
                  <c:v>3377.51</c:v>
                </c:pt>
                <c:pt idx="1118">
                  <c:v>3436.3</c:v>
                </c:pt>
                <c:pt idx="1119">
                  <c:v>3467.29</c:v>
                </c:pt>
                <c:pt idx="1120">
                  <c:v>3495.89</c:v>
                </c:pt>
                <c:pt idx="1121">
                  <c:v>3575.34</c:v>
                </c:pt>
                <c:pt idx="1122">
                  <c:v>3444.24</c:v>
                </c:pt>
                <c:pt idx="1123">
                  <c:v>3456.16</c:v>
                </c:pt>
                <c:pt idx="1124">
                  <c:v>3384.66</c:v>
                </c:pt>
                <c:pt idx="1125">
                  <c:v>3416.44</c:v>
                </c:pt>
                <c:pt idx="1126">
                  <c:v>3358.44</c:v>
                </c:pt>
                <c:pt idx="1127">
                  <c:v>3337.78</c:v>
                </c:pt>
                <c:pt idx="1128">
                  <c:v>3336.98</c:v>
                </c:pt>
                <c:pt idx="1129">
                  <c:v>3336.98</c:v>
                </c:pt>
                <c:pt idx="1130">
                  <c:v>3336.98</c:v>
                </c:pt>
                <c:pt idx="1131">
                  <c:v>3178.08</c:v>
                </c:pt>
                <c:pt idx="1132">
                  <c:v>3138.35</c:v>
                </c:pt>
                <c:pt idx="1133">
                  <c:v>3138.35</c:v>
                </c:pt>
                <c:pt idx="1134">
                  <c:v>3139.94</c:v>
                </c:pt>
                <c:pt idx="1135">
                  <c:v>3027.12</c:v>
                </c:pt>
                <c:pt idx="1136">
                  <c:v>3019.18</c:v>
                </c:pt>
                <c:pt idx="1137">
                  <c:v>3027.12</c:v>
                </c:pt>
                <c:pt idx="1138">
                  <c:v>3019.18</c:v>
                </c:pt>
                <c:pt idx="1139">
                  <c:v>3018.38</c:v>
                </c:pt>
                <c:pt idx="1140">
                  <c:v>2947.67</c:v>
                </c:pt>
                <c:pt idx="1141">
                  <c:v>2963.56</c:v>
                </c:pt>
                <c:pt idx="1142">
                  <c:v>2963.56</c:v>
                </c:pt>
                <c:pt idx="1143">
                  <c:v>2939.72</c:v>
                </c:pt>
                <c:pt idx="1144">
                  <c:v>2975.48</c:v>
                </c:pt>
                <c:pt idx="1145">
                  <c:v>2975.48</c:v>
                </c:pt>
                <c:pt idx="1146">
                  <c:v>2959.59</c:v>
                </c:pt>
                <c:pt idx="1147">
                  <c:v>2959.59</c:v>
                </c:pt>
                <c:pt idx="1148">
                  <c:v>2963.56</c:v>
                </c:pt>
                <c:pt idx="1149">
                  <c:v>2971.51</c:v>
                </c:pt>
                <c:pt idx="1150">
                  <c:v>2971.51</c:v>
                </c:pt>
                <c:pt idx="1151">
                  <c:v>2979.45</c:v>
                </c:pt>
                <c:pt idx="1152">
                  <c:v>2979.45</c:v>
                </c:pt>
                <c:pt idx="1153">
                  <c:v>3031.09</c:v>
                </c:pt>
                <c:pt idx="1154">
                  <c:v>2995.34</c:v>
                </c:pt>
                <c:pt idx="1155">
                  <c:v>2939.72</c:v>
                </c:pt>
                <c:pt idx="1156">
                  <c:v>2860.27</c:v>
                </c:pt>
                <c:pt idx="1157">
                  <c:v>3000.9</c:v>
                </c:pt>
                <c:pt idx="1158">
                  <c:v>2980.25</c:v>
                </c:pt>
                <c:pt idx="1159">
                  <c:v>2939.72</c:v>
                </c:pt>
                <c:pt idx="1160">
                  <c:v>2943.7</c:v>
                </c:pt>
                <c:pt idx="1161">
                  <c:v>3019.18</c:v>
                </c:pt>
                <c:pt idx="1162">
                  <c:v>3011.23</c:v>
                </c:pt>
                <c:pt idx="1163">
                  <c:v>3008.85</c:v>
                </c:pt>
                <c:pt idx="1164">
                  <c:v>3008.85</c:v>
                </c:pt>
                <c:pt idx="1165">
                  <c:v>2861.07</c:v>
                </c:pt>
                <c:pt idx="1166">
                  <c:v>3019.18</c:v>
                </c:pt>
                <c:pt idx="1167">
                  <c:v>3019.18</c:v>
                </c:pt>
                <c:pt idx="1168">
                  <c:v>3011.23</c:v>
                </c:pt>
                <c:pt idx="1169">
                  <c:v>3018.38</c:v>
                </c:pt>
                <c:pt idx="1170">
                  <c:v>2979.45</c:v>
                </c:pt>
                <c:pt idx="1171">
                  <c:v>2979.45</c:v>
                </c:pt>
                <c:pt idx="1172">
                  <c:v>2919.86</c:v>
                </c:pt>
                <c:pt idx="1173">
                  <c:v>2979.45</c:v>
                </c:pt>
                <c:pt idx="1174">
                  <c:v>2979.45</c:v>
                </c:pt>
                <c:pt idx="1175">
                  <c:v>2979.45</c:v>
                </c:pt>
                <c:pt idx="1176">
                  <c:v>2979.45</c:v>
                </c:pt>
                <c:pt idx="1177">
                  <c:v>2979.45</c:v>
                </c:pt>
                <c:pt idx="1178">
                  <c:v>2919.86</c:v>
                </c:pt>
                <c:pt idx="1179">
                  <c:v>2919.86</c:v>
                </c:pt>
                <c:pt idx="1180">
                  <c:v>2939.72</c:v>
                </c:pt>
                <c:pt idx="1181">
                  <c:v>2947.67</c:v>
                </c:pt>
                <c:pt idx="1182">
                  <c:v>2941.31</c:v>
                </c:pt>
                <c:pt idx="1183">
                  <c:v>2979.45</c:v>
                </c:pt>
                <c:pt idx="1184">
                  <c:v>2979.45</c:v>
                </c:pt>
                <c:pt idx="1185">
                  <c:v>2860.27</c:v>
                </c:pt>
                <c:pt idx="1186">
                  <c:v>2979.45</c:v>
                </c:pt>
                <c:pt idx="1187">
                  <c:v>2979.45</c:v>
                </c:pt>
                <c:pt idx="1188">
                  <c:v>3011.23</c:v>
                </c:pt>
                <c:pt idx="1189">
                  <c:v>3011.23</c:v>
                </c:pt>
                <c:pt idx="1190">
                  <c:v>3011.23</c:v>
                </c:pt>
                <c:pt idx="1191">
                  <c:v>3011.23</c:v>
                </c:pt>
                <c:pt idx="1192">
                  <c:v>3010.44</c:v>
                </c:pt>
                <c:pt idx="1193">
                  <c:v>3011.23</c:v>
                </c:pt>
                <c:pt idx="1194">
                  <c:v>3007.26</c:v>
                </c:pt>
                <c:pt idx="1195">
                  <c:v>3011.23</c:v>
                </c:pt>
                <c:pt idx="1196">
                  <c:v>3019.18</c:v>
                </c:pt>
                <c:pt idx="1197">
                  <c:v>2939.72</c:v>
                </c:pt>
                <c:pt idx="1198">
                  <c:v>2939.72</c:v>
                </c:pt>
                <c:pt idx="1199">
                  <c:v>2939.72</c:v>
                </c:pt>
                <c:pt idx="1200">
                  <c:v>2939.72</c:v>
                </c:pt>
                <c:pt idx="1201">
                  <c:v>2939.72</c:v>
                </c:pt>
                <c:pt idx="1202">
                  <c:v>2939.72</c:v>
                </c:pt>
                <c:pt idx="1203">
                  <c:v>2939.72</c:v>
                </c:pt>
                <c:pt idx="1204">
                  <c:v>2939.72</c:v>
                </c:pt>
                <c:pt idx="1205">
                  <c:v>2880.14</c:v>
                </c:pt>
                <c:pt idx="1206">
                  <c:v>2879.34</c:v>
                </c:pt>
                <c:pt idx="1207">
                  <c:v>2879.34</c:v>
                </c:pt>
                <c:pt idx="1208">
                  <c:v>2821.34</c:v>
                </c:pt>
                <c:pt idx="1209">
                  <c:v>2880.14</c:v>
                </c:pt>
                <c:pt idx="1210">
                  <c:v>2876.96</c:v>
                </c:pt>
                <c:pt idx="1211">
                  <c:v>2923.83</c:v>
                </c:pt>
                <c:pt idx="1212">
                  <c:v>2931.78</c:v>
                </c:pt>
                <c:pt idx="1213">
                  <c:v>2938.93</c:v>
                </c:pt>
                <c:pt idx="1214">
                  <c:v>2910.33</c:v>
                </c:pt>
                <c:pt idx="1215">
                  <c:v>2988.98</c:v>
                </c:pt>
                <c:pt idx="1216">
                  <c:v>2910.33</c:v>
                </c:pt>
                <c:pt idx="1217">
                  <c:v>2980.33</c:v>
                </c:pt>
                <c:pt idx="1218">
                  <c:v>2988.98</c:v>
                </c:pt>
                <c:pt idx="1219">
                  <c:v>2988.98</c:v>
                </c:pt>
                <c:pt idx="1220">
                  <c:v>2988.98</c:v>
                </c:pt>
                <c:pt idx="1221">
                  <c:v>2933.92</c:v>
                </c:pt>
                <c:pt idx="1222">
                  <c:v>2949.66</c:v>
                </c:pt>
                <c:pt idx="1223">
                  <c:v>2988.98</c:v>
                </c:pt>
                <c:pt idx="1224">
                  <c:v>2929.99</c:v>
                </c:pt>
                <c:pt idx="1225">
                  <c:v>2941.79</c:v>
                </c:pt>
                <c:pt idx="1226">
                  <c:v>2949.66</c:v>
                </c:pt>
                <c:pt idx="1227">
                  <c:v>2949.66</c:v>
                </c:pt>
                <c:pt idx="1228">
                  <c:v>2949.66</c:v>
                </c:pt>
                <c:pt idx="1229">
                  <c:v>2949.66</c:v>
                </c:pt>
                <c:pt idx="1230">
                  <c:v>2949.66</c:v>
                </c:pt>
                <c:pt idx="1231">
                  <c:v>2949.66</c:v>
                </c:pt>
                <c:pt idx="1232">
                  <c:v>2886.73</c:v>
                </c:pt>
                <c:pt idx="1233">
                  <c:v>2910.33</c:v>
                </c:pt>
                <c:pt idx="1234">
                  <c:v>2900.1</c:v>
                </c:pt>
                <c:pt idx="1235">
                  <c:v>2910.33</c:v>
                </c:pt>
                <c:pt idx="1236">
                  <c:v>2879.65</c:v>
                </c:pt>
                <c:pt idx="1237">
                  <c:v>2879.65</c:v>
                </c:pt>
                <c:pt idx="1238">
                  <c:v>2910.33</c:v>
                </c:pt>
                <c:pt idx="1239">
                  <c:v>2949.66</c:v>
                </c:pt>
                <c:pt idx="1240">
                  <c:v>3012.58</c:v>
                </c:pt>
                <c:pt idx="1241">
                  <c:v>3028.31</c:v>
                </c:pt>
                <c:pt idx="1242">
                  <c:v>3044.05</c:v>
                </c:pt>
                <c:pt idx="1243">
                  <c:v>3067.64</c:v>
                </c:pt>
                <c:pt idx="1244">
                  <c:v>3087.31</c:v>
                </c:pt>
                <c:pt idx="1245">
                  <c:v>3087.31</c:v>
                </c:pt>
                <c:pt idx="1246">
                  <c:v>3146.3</c:v>
                </c:pt>
                <c:pt idx="1247">
                  <c:v>3146.3</c:v>
                </c:pt>
                <c:pt idx="1248">
                  <c:v>3138.43</c:v>
                </c:pt>
                <c:pt idx="1249">
                  <c:v>3165.96</c:v>
                </c:pt>
                <c:pt idx="1250">
                  <c:v>3146.3</c:v>
                </c:pt>
                <c:pt idx="1251">
                  <c:v>3067.64</c:v>
                </c:pt>
                <c:pt idx="1252">
                  <c:v>3067.64</c:v>
                </c:pt>
                <c:pt idx="1253">
                  <c:v>3067.64</c:v>
                </c:pt>
                <c:pt idx="1254">
                  <c:v>2996.85</c:v>
                </c:pt>
                <c:pt idx="1255">
                  <c:v>3028.31</c:v>
                </c:pt>
                <c:pt idx="1256">
                  <c:v>2988.98</c:v>
                </c:pt>
                <c:pt idx="1257">
                  <c:v>2988.98</c:v>
                </c:pt>
                <c:pt idx="1258">
                  <c:v>3008.65</c:v>
                </c:pt>
                <c:pt idx="1259">
                  <c:v>3028.31</c:v>
                </c:pt>
                <c:pt idx="1260">
                  <c:v>3028.31</c:v>
                </c:pt>
                <c:pt idx="1261">
                  <c:v>3028.31</c:v>
                </c:pt>
                <c:pt idx="1262">
                  <c:v>3028.31</c:v>
                </c:pt>
                <c:pt idx="1263">
                  <c:v>3020.45</c:v>
                </c:pt>
                <c:pt idx="1264">
                  <c:v>3028.31</c:v>
                </c:pt>
                <c:pt idx="1265">
                  <c:v>3059.78</c:v>
                </c:pt>
                <c:pt idx="1266">
                  <c:v>3059.78</c:v>
                </c:pt>
                <c:pt idx="1267">
                  <c:v>3067.64</c:v>
                </c:pt>
                <c:pt idx="1268">
                  <c:v>3067.64</c:v>
                </c:pt>
                <c:pt idx="1269">
                  <c:v>3067.64</c:v>
                </c:pt>
                <c:pt idx="1270">
                  <c:v>3067.64</c:v>
                </c:pt>
                <c:pt idx="1271">
                  <c:v>3036.18</c:v>
                </c:pt>
                <c:pt idx="1272">
                  <c:v>3042.47</c:v>
                </c:pt>
                <c:pt idx="1273">
                  <c:v>2988.98</c:v>
                </c:pt>
                <c:pt idx="1274">
                  <c:v>2988.98</c:v>
                </c:pt>
                <c:pt idx="1275">
                  <c:v>2988.98</c:v>
                </c:pt>
                <c:pt idx="1276">
                  <c:v>2988.98</c:v>
                </c:pt>
                <c:pt idx="1277">
                  <c:v>2949.66</c:v>
                </c:pt>
                <c:pt idx="1278">
                  <c:v>2988.98</c:v>
                </c:pt>
                <c:pt idx="1279">
                  <c:v>3044.05</c:v>
                </c:pt>
                <c:pt idx="1280">
                  <c:v>3044.05</c:v>
                </c:pt>
                <c:pt idx="1281">
                  <c:v>2949.66</c:v>
                </c:pt>
                <c:pt idx="1282">
                  <c:v>2985.05</c:v>
                </c:pt>
                <c:pt idx="1283">
                  <c:v>2949.66</c:v>
                </c:pt>
                <c:pt idx="1284">
                  <c:v>2988.98</c:v>
                </c:pt>
                <c:pt idx="1285">
                  <c:v>2988.98</c:v>
                </c:pt>
                <c:pt idx="1286">
                  <c:v>2914.26</c:v>
                </c:pt>
                <c:pt idx="1287">
                  <c:v>2988.98</c:v>
                </c:pt>
                <c:pt idx="1288">
                  <c:v>2911.11</c:v>
                </c:pt>
                <c:pt idx="1289">
                  <c:v>2911.11</c:v>
                </c:pt>
                <c:pt idx="1290">
                  <c:v>2949.66</c:v>
                </c:pt>
                <c:pt idx="1291">
                  <c:v>2988.2</c:v>
                </c:pt>
                <c:pt idx="1292">
                  <c:v>2949.66</c:v>
                </c:pt>
                <c:pt idx="1293">
                  <c:v>2910.33</c:v>
                </c:pt>
                <c:pt idx="1294">
                  <c:v>2958.31</c:v>
                </c:pt>
                <c:pt idx="1295">
                  <c:v>2974.04</c:v>
                </c:pt>
                <c:pt idx="1296">
                  <c:v>3036.18</c:v>
                </c:pt>
                <c:pt idx="1297">
                  <c:v>2988.98</c:v>
                </c:pt>
                <c:pt idx="1298">
                  <c:v>2987.41</c:v>
                </c:pt>
                <c:pt idx="1299">
                  <c:v>2831.67</c:v>
                </c:pt>
                <c:pt idx="1300">
                  <c:v>2800.21</c:v>
                </c:pt>
                <c:pt idx="1301">
                  <c:v>2833.24</c:v>
                </c:pt>
                <c:pt idx="1302">
                  <c:v>2871.0</c:v>
                </c:pt>
                <c:pt idx="1303">
                  <c:v>2910.33</c:v>
                </c:pt>
                <c:pt idx="1304">
                  <c:v>2910.33</c:v>
                </c:pt>
                <c:pt idx="1305">
                  <c:v>2910.33</c:v>
                </c:pt>
                <c:pt idx="1306">
                  <c:v>2910.33</c:v>
                </c:pt>
                <c:pt idx="1307">
                  <c:v>2918.19</c:v>
                </c:pt>
                <c:pt idx="1308">
                  <c:v>2910.33</c:v>
                </c:pt>
                <c:pt idx="1309">
                  <c:v>2890.66</c:v>
                </c:pt>
                <c:pt idx="1310">
                  <c:v>2800.21</c:v>
                </c:pt>
                <c:pt idx="1311">
                  <c:v>2878.08</c:v>
                </c:pt>
                <c:pt idx="1312">
                  <c:v>2886.73</c:v>
                </c:pt>
                <c:pt idx="1313">
                  <c:v>2910.33</c:v>
                </c:pt>
                <c:pt idx="1314">
                  <c:v>2902.46</c:v>
                </c:pt>
                <c:pt idx="1315">
                  <c:v>2949.66</c:v>
                </c:pt>
                <c:pt idx="1316">
                  <c:v>2949.66</c:v>
                </c:pt>
                <c:pt idx="1317">
                  <c:v>2910.33</c:v>
                </c:pt>
                <c:pt idx="1318">
                  <c:v>2910.33</c:v>
                </c:pt>
                <c:pt idx="1319">
                  <c:v>2910.33</c:v>
                </c:pt>
                <c:pt idx="1320">
                  <c:v>2949.66</c:v>
                </c:pt>
                <c:pt idx="1321">
                  <c:v>2949.66</c:v>
                </c:pt>
                <c:pt idx="1322">
                  <c:v>2949.66</c:v>
                </c:pt>
                <c:pt idx="1323">
                  <c:v>2930.78</c:v>
                </c:pt>
                <c:pt idx="1324">
                  <c:v>2915.05</c:v>
                </c:pt>
                <c:pt idx="1325">
                  <c:v>2988.98</c:v>
                </c:pt>
                <c:pt idx="1326">
                  <c:v>2988.98</c:v>
                </c:pt>
                <c:pt idx="1327">
                  <c:v>2933.92</c:v>
                </c:pt>
                <c:pt idx="1328">
                  <c:v>3005.3</c:v>
                </c:pt>
                <c:pt idx="1329">
                  <c:v>3005.3</c:v>
                </c:pt>
                <c:pt idx="1330">
                  <c:v>3005.3</c:v>
                </c:pt>
                <c:pt idx="1331">
                  <c:v>3005.3</c:v>
                </c:pt>
                <c:pt idx="1332">
                  <c:v>2892.6</c:v>
                </c:pt>
                <c:pt idx="1333">
                  <c:v>2892.6</c:v>
                </c:pt>
                <c:pt idx="1334">
                  <c:v>2888.85</c:v>
                </c:pt>
                <c:pt idx="1335">
                  <c:v>2892.6</c:v>
                </c:pt>
                <c:pt idx="1336">
                  <c:v>2817.47</c:v>
                </c:pt>
                <c:pt idx="1337">
                  <c:v>2817.47</c:v>
                </c:pt>
                <c:pt idx="1338">
                  <c:v>2818.22</c:v>
                </c:pt>
                <c:pt idx="1339">
                  <c:v>2817.47</c:v>
                </c:pt>
                <c:pt idx="1340">
                  <c:v>2779.9</c:v>
                </c:pt>
                <c:pt idx="1341">
                  <c:v>2705.52</c:v>
                </c:pt>
                <c:pt idx="1342">
                  <c:v>2877.58</c:v>
                </c:pt>
                <c:pt idx="1343">
                  <c:v>2846.77</c:v>
                </c:pt>
                <c:pt idx="1344">
                  <c:v>2794.93</c:v>
                </c:pt>
                <c:pt idx="1345">
                  <c:v>2779.9</c:v>
                </c:pt>
                <c:pt idx="1346">
                  <c:v>2708.53</c:v>
                </c:pt>
                <c:pt idx="1347">
                  <c:v>2706.27</c:v>
                </c:pt>
                <c:pt idx="1348">
                  <c:v>2704.77</c:v>
                </c:pt>
                <c:pt idx="1349">
                  <c:v>2779.9</c:v>
                </c:pt>
                <c:pt idx="1350">
                  <c:v>2784.41</c:v>
                </c:pt>
                <c:pt idx="1351">
                  <c:v>2817.47</c:v>
                </c:pt>
                <c:pt idx="1352">
                  <c:v>2817.47</c:v>
                </c:pt>
                <c:pt idx="1353">
                  <c:v>2817.47</c:v>
                </c:pt>
                <c:pt idx="1354">
                  <c:v>2779.9</c:v>
                </c:pt>
                <c:pt idx="1355">
                  <c:v>2704.77</c:v>
                </c:pt>
                <c:pt idx="1356">
                  <c:v>2704.77</c:v>
                </c:pt>
                <c:pt idx="1357">
                  <c:v>2704.77</c:v>
                </c:pt>
                <c:pt idx="1358">
                  <c:v>2704.77</c:v>
                </c:pt>
                <c:pt idx="1359">
                  <c:v>2704.77</c:v>
                </c:pt>
                <c:pt idx="1360">
                  <c:v>2779.9</c:v>
                </c:pt>
                <c:pt idx="1361">
                  <c:v>2704.77</c:v>
                </c:pt>
                <c:pt idx="1362">
                  <c:v>2667.2</c:v>
                </c:pt>
                <c:pt idx="1363">
                  <c:v>2742.34</c:v>
                </c:pt>
                <c:pt idx="1364">
                  <c:v>2794.93</c:v>
                </c:pt>
                <c:pt idx="1365">
                  <c:v>2704.02</c:v>
                </c:pt>
                <c:pt idx="1366">
                  <c:v>2710.03</c:v>
                </c:pt>
                <c:pt idx="1367">
                  <c:v>2629.64</c:v>
                </c:pt>
                <c:pt idx="1368">
                  <c:v>2704.77</c:v>
                </c:pt>
                <c:pt idx="1369">
                  <c:v>2523.7</c:v>
                </c:pt>
                <c:pt idx="1370">
                  <c:v>2441.81</c:v>
                </c:pt>
                <c:pt idx="1371">
                  <c:v>2498.16</c:v>
                </c:pt>
                <c:pt idx="1372">
                  <c:v>2498.16</c:v>
                </c:pt>
                <c:pt idx="1373">
                  <c:v>2498.16</c:v>
                </c:pt>
                <c:pt idx="1374">
                  <c:v>2479.37</c:v>
                </c:pt>
                <c:pt idx="1375">
                  <c:v>2479.37</c:v>
                </c:pt>
                <c:pt idx="1376">
                  <c:v>2479.37</c:v>
                </c:pt>
                <c:pt idx="1377">
                  <c:v>2479.37</c:v>
                </c:pt>
                <c:pt idx="1378">
                  <c:v>2479.37</c:v>
                </c:pt>
                <c:pt idx="1379">
                  <c:v>2479.37</c:v>
                </c:pt>
                <c:pt idx="1380">
                  <c:v>2478.62</c:v>
                </c:pt>
                <c:pt idx="1381">
                  <c:v>2464.35</c:v>
                </c:pt>
                <c:pt idx="1382">
                  <c:v>2471.11</c:v>
                </c:pt>
                <c:pt idx="1383">
                  <c:v>2478.62</c:v>
                </c:pt>
                <c:pt idx="1384">
                  <c:v>2478.62</c:v>
                </c:pt>
                <c:pt idx="1385">
                  <c:v>2479.37</c:v>
                </c:pt>
                <c:pt idx="1386">
                  <c:v>2479.37</c:v>
                </c:pt>
                <c:pt idx="1387">
                  <c:v>2479.37</c:v>
                </c:pt>
                <c:pt idx="1388">
                  <c:v>2516.94</c:v>
                </c:pt>
                <c:pt idx="1389">
                  <c:v>2550.75</c:v>
                </c:pt>
                <c:pt idx="1390">
                  <c:v>2592.07</c:v>
                </c:pt>
                <c:pt idx="1391">
                  <c:v>2592.07</c:v>
                </c:pt>
                <c:pt idx="1392">
                  <c:v>2629.64</c:v>
                </c:pt>
                <c:pt idx="1393">
                  <c:v>2492.9</c:v>
                </c:pt>
                <c:pt idx="1394">
                  <c:v>2479.37</c:v>
                </c:pt>
                <c:pt idx="1395">
                  <c:v>2415.51</c:v>
                </c:pt>
                <c:pt idx="1396">
                  <c:v>2404.24</c:v>
                </c:pt>
                <c:pt idx="1397">
                  <c:v>2404.24</c:v>
                </c:pt>
                <c:pt idx="1398">
                  <c:v>2329.11</c:v>
                </c:pt>
                <c:pt idx="1399">
                  <c:v>2366.67</c:v>
                </c:pt>
                <c:pt idx="1400">
                  <c:v>2366.67</c:v>
                </c:pt>
                <c:pt idx="1401">
                  <c:v>2366.67</c:v>
                </c:pt>
                <c:pt idx="1402">
                  <c:v>2329.11</c:v>
                </c:pt>
                <c:pt idx="1403">
                  <c:v>2329.11</c:v>
                </c:pt>
                <c:pt idx="1404">
                  <c:v>2329.11</c:v>
                </c:pt>
                <c:pt idx="1405">
                  <c:v>2329.11</c:v>
                </c:pt>
                <c:pt idx="1406">
                  <c:v>2329.11</c:v>
                </c:pt>
                <c:pt idx="1407">
                  <c:v>2329.11</c:v>
                </c:pt>
                <c:pt idx="1408">
                  <c:v>2328.36</c:v>
                </c:pt>
                <c:pt idx="1409">
                  <c:v>2329.11</c:v>
                </c:pt>
                <c:pt idx="1410">
                  <c:v>2329.11</c:v>
                </c:pt>
                <c:pt idx="1411">
                  <c:v>2329.11</c:v>
                </c:pt>
                <c:pt idx="1412">
                  <c:v>2404.24</c:v>
                </c:pt>
                <c:pt idx="1413">
                  <c:v>2404.24</c:v>
                </c:pt>
                <c:pt idx="1414">
                  <c:v>2329.11</c:v>
                </c:pt>
                <c:pt idx="1415">
                  <c:v>2329.11</c:v>
                </c:pt>
                <c:pt idx="1416">
                  <c:v>2327.61</c:v>
                </c:pt>
                <c:pt idx="1417">
                  <c:v>2329.11</c:v>
                </c:pt>
                <c:pt idx="1418">
                  <c:v>2321.59</c:v>
                </c:pt>
                <c:pt idx="1419">
                  <c:v>2321.59</c:v>
                </c:pt>
                <c:pt idx="1420">
                  <c:v>2328.36</c:v>
                </c:pt>
                <c:pt idx="1421">
                  <c:v>2329.11</c:v>
                </c:pt>
                <c:pt idx="1422">
                  <c:v>2329.11</c:v>
                </c:pt>
                <c:pt idx="1423">
                  <c:v>2367.43</c:v>
                </c:pt>
                <c:pt idx="1424">
                  <c:v>2329.11</c:v>
                </c:pt>
                <c:pt idx="1425">
                  <c:v>2269.0</c:v>
                </c:pt>
                <c:pt idx="1426">
                  <c:v>2253.98</c:v>
                </c:pt>
                <c:pt idx="1427">
                  <c:v>2253.98</c:v>
                </c:pt>
                <c:pt idx="1428">
                  <c:v>2253.98</c:v>
                </c:pt>
                <c:pt idx="1429">
                  <c:v>2253.98</c:v>
                </c:pt>
                <c:pt idx="1430">
                  <c:v>2253.98</c:v>
                </c:pt>
                <c:pt idx="1431">
                  <c:v>2160.06</c:v>
                </c:pt>
                <c:pt idx="1432">
                  <c:v>2160.06</c:v>
                </c:pt>
                <c:pt idx="1433">
                  <c:v>2216.41</c:v>
                </c:pt>
                <c:pt idx="1434">
                  <c:v>2216.41</c:v>
                </c:pt>
                <c:pt idx="1435">
                  <c:v>2182.6</c:v>
                </c:pt>
                <c:pt idx="1436">
                  <c:v>2205.14</c:v>
                </c:pt>
                <c:pt idx="1437">
                  <c:v>2205.14</c:v>
                </c:pt>
                <c:pt idx="1438">
                  <c:v>2193.87</c:v>
                </c:pt>
                <c:pt idx="1439">
                  <c:v>2141.28</c:v>
                </c:pt>
                <c:pt idx="1440">
                  <c:v>2141.28</c:v>
                </c:pt>
                <c:pt idx="1441">
                  <c:v>2178.84</c:v>
                </c:pt>
                <c:pt idx="1442">
                  <c:v>2178.84</c:v>
                </c:pt>
                <c:pt idx="1443">
                  <c:v>2193.87</c:v>
                </c:pt>
                <c:pt idx="1444">
                  <c:v>2193.87</c:v>
                </c:pt>
                <c:pt idx="1445">
                  <c:v>2193.12</c:v>
                </c:pt>
                <c:pt idx="1446">
                  <c:v>2193.12</c:v>
                </c:pt>
                <c:pt idx="1447">
                  <c:v>2207.39</c:v>
                </c:pt>
                <c:pt idx="1448">
                  <c:v>2253.22</c:v>
                </c:pt>
                <c:pt idx="1449">
                  <c:v>2253.22</c:v>
                </c:pt>
                <c:pt idx="1450">
                  <c:v>2280.27</c:v>
                </c:pt>
                <c:pt idx="1451">
                  <c:v>2280.27</c:v>
                </c:pt>
                <c:pt idx="1452">
                  <c:v>2269.0</c:v>
                </c:pt>
                <c:pt idx="1453">
                  <c:v>2329.11</c:v>
                </c:pt>
                <c:pt idx="1454">
                  <c:v>2253.98</c:v>
                </c:pt>
                <c:pt idx="1455">
                  <c:v>2178.84</c:v>
                </c:pt>
                <c:pt idx="1456">
                  <c:v>2178.84</c:v>
                </c:pt>
                <c:pt idx="1457">
                  <c:v>2178.84</c:v>
                </c:pt>
                <c:pt idx="1458">
                  <c:v>2178.84</c:v>
                </c:pt>
                <c:pt idx="1459">
                  <c:v>2175.09</c:v>
                </c:pt>
                <c:pt idx="1460">
                  <c:v>2175.09</c:v>
                </c:pt>
                <c:pt idx="1461">
                  <c:v>2156.3</c:v>
                </c:pt>
                <c:pt idx="1462">
                  <c:v>2160.06</c:v>
                </c:pt>
                <c:pt idx="1463">
                  <c:v>2153.3</c:v>
                </c:pt>
                <c:pt idx="1464">
                  <c:v>2078.28</c:v>
                </c:pt>
                <c:pt idx="1465">
                  <c:v>2078.28</c:v>
                </c:pt>
                <c:pt idx="1466">
                  <c:v>2079.76</c:v>
                </c:pt>
                <c:pt idx="1467">
                  <c:v>2116.9</c:v>
                </c:pt>
                <c:pt idx="1468">
                  <c:v>2042.62</c:v>
                </c:pt>
                <c:pt idx="1469">
                  <c:v>2190.44</c:v>
                </c:pt>
                <c:pt idx="1470">
                  <c:v>2228.32</c:v>
                </c:pt>
                <c:pt idx="1471">
                  <c:v>2259.51</c:v>
                </c:pt>
                <c:pt idx="1472">
                  <c:v>2259.51</c:v>
                </c:pt>
                <c:pt idx="1473">
                  <c:v>2265.46</c:v>
                </c:pt>
                <c:pt idx="1474">
                  <c:v>2209.75</c:v>
                </c:pt>
                <c:pt idx="1475">
                  <c:v>2209.75</c:v>
                </c:pt>
                <c:pt idx="1476">
                  <c:v>2338.99</c:v>
                </c:pt>
                <c:pt idx="1477">
                  <c:v>2338.99</c:v>
                </c:pt>
                <c:pt idx="1478">
                  <c:v>2338.99</c:v>
                </c:pt>
                <c:pt idx="1479">
                  <c:v>2228.32</c:v>
                </c:pt>
                <c:pt idx="1480">
                  <c:v>2205.29</c:v>
                </c:pt>
                <c:pt idx="1481">
                  <c:v>2217.18</c:v>
                </c:pt>
                <c:pt idx="1482">
                  <c:v>2217.18</c:v>
                </c:pt>
                <c:pt idx="1483">
                  <c:v>2228.32</c:v>
                </c:pt>
                <c:pt idx="1484">
                  <c:v>2220.89</c:v>
                </c:pt>
                <c:pt idx="1485">
                  <c:v>2124.33</c:v>
                </c:pt>
                <c:pt idx="1486">
                  <c:v>2124.33</c:v>
                </c:pt>
                <c:pt idx="1487">
                  <c:v>2154.04</c:v>
                </c:pt>
                <c:pt idx="1488">
                  <c:v>2154.04</c:v>
                </c:pt>
                <c:pt idx="1489">
                  <c:v>2157.75</c:v>
                </c:pt>
                <c:pt idx="1490">
                  <c:v>2332.31</c:v>
                </c:pt>
                <c:pt idx="1491">
                  <c:v>2336.02</c:v>
                </c:pt>
                <c:pt idx="1492">
                  <c:v>2229.06</c:v>
                </c:pt>
                <c:pt idx="1493">
                  <c:v>2339.73</c:v>
                </c:pt>
                <c:pt idx="1494">
                  <c:v>2339.73</c:v>
                </c:pt>
                <c:pt idx="1495">
                  <c:v>2339.73</c:v>
                </c:pt>
                <c:pt idx="1496">
                  <c:v>2339.73</c:v>
                </c:pt>
                <c:pt idx="1497">
                  <c:v>2339.73</c:v>
                </c:pt>
                <c:pt idx="1498">
                  <c:v>2339.73</c:v>
                </c:pt>
                <c:pt idx="1499">
                  <c:v>2339.73</c:v>
                </c:pt>
                <c:pt idx="1500">
                  <c:v>2376.87</c:v>
                </c:pt>
                <c:pt idx="1501">
                  <c:v>2339.73</c:v>
                </c:pt>
                <c:pt idx="1502">
                  <c:v>2376.13</c:v>
                </c:pt>
                <c:pt idx="1503">
                  <c:v>2302.6</c:v>
                </c:pt>
                <c:pt idx="1504">
                  <c:v>2347.16</c:v>
                </c:pt>
                <c:pt idx="1505">
                  <c:v>2376.87</c:v>
                </c:pt>
                <c:pt idx="1506">
                  <c:v>2376.87</c:v>
                </c:pt>
                <c:pt idx="1507">
                  <c:v>2339.73</c:v>
                </c:pt>
                <c:pt idx="1508">
                  <c:v>2339.73</c:v>
                </c:pt>
                <c:pt idx="1509">
                  <c:v>2339.73</c:v>
                </c:pt>
                <c:pt idx="1510">
                  <c:v>2368.7</c:v>
                </c:pt>
                <c:pt idx="1511">
                  <c:v>2369.44</c:v>
                </c:pt>
                <c:pt idx="1512">
                  <c:v>2369.44</c:v>
                </c:pt>
                <c:pt idx="1513">
                  <c:v>2362.02</c:v>
                </c:pt>
                <c:pt idx="1514">
                  <c:v>2265.46</c:v>
                </c:pt>
                <c:pt idx="1515">
                  <c:v>2228.32</c:v>
                </c:pt>
                <c:pt idx="1516">
                  <c:v>2228.32</c:v>
                </c:pt>
                <c:pt idx="1517">
                  <c:v>2228.32</c:v>
                </c:pt>
                <c:pt idx="1518">
                  <c:v>2228.32</c:v>
                </c:pt>
                <c:pt idx="1519">
                  <c:v>2213.46</c:v>
                </c:pt>
                <c:pt idx="1520">
                  <c:v>2210.49</c:v>
                </c:pt>
                <c:pt idx="1521">
                  <c:v>2228.32</c:v>
                </c:pt>
                <c:pt idx="1522">
                  <c:v>2217.18</c:v>
                </c:pt>
                <c:pt idx="1523">
                  <c:v>2228.32</c:v>
                </c:pt>
                <c:pt idx="1524">
                  <c:v>2228.32</c:v>
                </c:pt>
                <c:pt idx="1525">
                  <c:v>2228.32</c:v>
                </c:pt>
                <c:pt idx="1526">
                  <c:v>2249.86</c:v>
                </c:pt>
                <c:pt idx="1527">
                  <c:v>2250.6</c:v>
                </c:pt>
                <c:pt idx="1528">
                  <c:v>2250.6</c:v>
                </c:pt>
                <c:pt idx="1529">
                  <c:v>2291.45</c:v>
                </c:pt>
                <c:pt idx="1530">
                  <c:v>2302.6</c:v>
                </c:pt>
                <c:pt idx="1531">
                  <c:v>2302.6</c:v>
                </c:pt>
                <c:pt idx="1532">
                  <c:v>2346.42</c:v>
                </c:pt>
                <c:pt idx="1533">
                  <c:v>2346.42</c:v>
                </c:pt>
                <c:pt idx="1534">
                  <c:v>2362.02</c:v>
                </c:pt>
                <c:pt idx="1535">
                  <c:v>2362.02</c:v>
                </c:pt>
                <c:pt idx="1536">
                  <c:v>2374.64</c:v>
                </c:pt>
                <c:pt idx="1537">
                  <c:v>2374.64</c:v>
                </c:pt>
                <c:pt idx="1538">
                  <c:v>2376.87</c:v>
                </c:pt>
                <c:pt idx="1539">
                  <c:v>2376.87</c:v>
                </c:pt>
                <c:pt idx="1540">
                  <c:v>2376.87</c:v>
                </c:pt>
                <c:pt idx="1541">
                  <c:v>2376.87</c:v>
                </c:pt>
                <c:pt idx="1542">
                  <c:v>2228.32</c:v>
                </c:pt>
                <c:pt idx="1543">
                  <c:v>2376.87</c:v>
                </c:pt>
                <c:pt idx="1544">
                  <c:v>2376.87</c:v>
                </c:pt>
                <c:pt idx="1545">
                  <c:v>2376.87</c:v>
                </c:pt>
                <c:pt idx="1546">
                  <c:v>2376.87</c:v>
                </c:pt>
                <c:pt idx="1547">
                  <c:v>2376.87</c:v>
                </c:pt>
                <c:pt idx="1548">
                  <c:v>2317.45</c:v>
                </c:pt>
                <c:pt idx="1549">
                  <c:v>2302.6</c:v>
                </c:pt>
                <c:pt idx="1550">
                  <c:v>2443.72</c:v>
                </c:pt>
                <c:pt idx="1551">
                  <c:v>2306.31</c:v>
                </c:pt>
                <c:pt idx="1552">
                  <c:v>2405.84</c:v>
                </c:pt>
                <c:pt idx="1553">
                  <c:v>2228.32</c:v>
                </c:pt>
                <c:pt idx="1554">
                  <c:v>2284.03</c:v>
                </c:pt>
                <c:pt idx="1555">
                  <c:v>2228.32</c:v>
                </c:pt>
                <c:pt idx="1556">
                  <c:v>2206.03</c:v>
                </c:pt>
                <c:pt idx="1557">
                  <c:v>2198.61</c:v>
                </c:pt>
                <c:pt idx="1558">
                  <c:v>2302.6</c:v>
                </c:pt>
                <c:pt idx="1559">
                  <c:v>2183.75</c:v>
                </c:pt>
                <c:pt idx="1560">
                  <c:v>2191.18</c:v>
                </c:pt>
                <c:pt idx="1561">
                  <c:v>2154.04</c:v>
                </c:pt>
                <c:pt idx="1562">
                  <c:v>2154.04</c:v>
                </c:pt>
                <c:pt idx="1563">
                  <c:v>2191.18</c:v>
                </c:pt>
                <c:pt idx="1564">
                  <c:v>2154.04</c:v>
                </c:pt>
                <c:pt idx="1565">
                  <c:v>2154.04</c:v>
                </c:pt>
                <c:pt idx="1566">
                  <c:v>2154.04</c:v>
                </c:pt>
                <c:pt idx="1567">
                  <c:v>2190.44</c:v>
                </c:pt>
                <c:pt idx="1568">
                  <c:v>2154.04</c:v>
                </c:pt>
                <c:pt idx="1569">
                  <c:v>2191.18</c:v>
                </c:pt>
                <c:pt idx="1570">
                  <c:v>2191.18</c:v>
                </c:pt>
                <c:pt idx="1571">
                  <c:v>2161.47</c:v>
                </c:pt>
                <c:pt idx="1572">
                  <c:v>2168.9</c:v>
                </c:pt>
                <c:pt idx="1573">
                  <c:v>2168.9</c:v>
                </c:pt>
                <c:pt idx="1574">
                  <c:v>2168.9</c:v>
                </c:pt>
                <c:pt idx="1575">
                  <c:v>2168.9</c:v>
                </c:pt>
                <c:pt idx="1576">
                  <c:v>2191.18</c:v>
                </c:pt>
                <c:pt idx="1577">
                  <c:v>2191.18</c:v>
                </c:pt>
                <c:pt idx="1578">
                  <c:v>2215.69</c:v>
                </c:pt>
                <c:pt idx="1579">
                  <c:v>2215.69</c:v>
                </c:pt>
                <c:pt idx="1580">
                  <c:v>2228.32</c:v>
                </c:pt>
                <c:pt idx="1581">
                  <c:v>2228.32</c:v>
                </c:pt>
                <c:pt idx="1582">
                  <c:v>2228.32</c:v>
                </c:pt>
                <c:pt idx="1583">
                  <c:v>2188.95</c:v>
                </c:pt>
                <c:pt idx="1584">
                  <c:v>2187.54</c:v>
                </c:pt>
                <c:pt idx="1585">
                  <c:v>2160.71</c:v>
                </c:pt>
                <c:pt idx="1586">
                  <c:v>2259.56</c:v>
                </c:pt>
                <c:pt idx="1587">
                  <c:v>2259.56</c:v>
                </c:pt>
                <c:pt idx="1588">
                  <c:v>2259.56</c:v>
                </c:pt>
                <c:pt idx="1589">
                  <c:v>2259.56</c:v>
                </c:pt>
                <c:pt idx="1590">
                  <c:v>2259.56</c:v>
                </c:pt>
                <c:pt idx="1591">
                  <c:v>2330.17</c:v>
                </c:pt>
                <c:pt idx="1592">
                  <c:v>2012.42</c:v>
                </c:pt>
                <c:pt idx="1593">
                  <c:v>2012.42</c:v>
                </c:pt>
                <c:pt idx="1594">
                  <c:v>2047.73</c:v>
                </c:pt>
                <c:pt idx="1595">
                  <c:v>1977.12</c:v>
                </c:pt>
                <c:pt idx="1596">
                  <c:v>1998.3</c:v>
                </c:pt>
                <c:pt idx="1597">
                  <c:v>1977.12</c:v>
                </c:pt>
                <c:pt idx="1598">
                  <c:v>1977.12</c:v>
                </c:pt>
                <c:pt idx="1599">
                  <c:v>1977.82</c:v>
                </c:pt>
                <c:pt idx="1600">
                  <c:v>1977.12</c:v>
                </c:pt>
                <c:pt idx="1601">
                  <c:v>2047.73</c:v>
                </c:pt>
                <c:pt idx="1602">
                  <c:v>2061.85</c:v>
                </c:pt>
                <c:pt idx="1603">
                  <c:v>2100.69</c:v>
                </c:pt>
                <c:pt idx="1604">
                  <c:v>2107.75</c:v>
                </c:pt>
                <c:pt idx="1605">
                  <c:v>2118.34</c:v>
                </c:pt>
                <c:pt idx="1606">
                  <c:v>2075.97</c:v>
                </c:pt>
                <c:pt idx="1607">
                  <c:v>2090.1</c:v>
                </c:pt>
                <c:pt idx="1608">
                  <c:v>2100.69</c:v>
                </c:pt>
                <c:pt idx="1609">
                  <c:v>2118.34</c:v>
                </c:pt>
                <c:pt idx="1610">
                  <c:v>2090.1</c:v>
                </c:pt>
                <c:pt idx="1611">
                  <c:v>2111.28</c:v>
                </c:pt>
                <c:pt idx="1612">
                  <c:v>2111.28</c:v>
                </c:pt>
                <c:pt idx="1613">
                  <c:v>2083.03</c:v>
                </c:pt>
                <c:pt idx="1614">
                  <c:v>2083.03</c:v>
                </c:pt>
                <c:pt idx="1615">
                  <c:v>1991.24</c:v>
                </c:pt>
                <c:pt idx="1616">
                  <c:v>1906.51</c:v>
                </c:pt>
                <c:pt idx="1617">
                  <c:v>1924.86</c:v>
                </c:pt>
                <c:pt idx="1618">
                  <c:v>1977.12</c:v>
                </c:pt>
                <c:pt idx="1619">
                  <c:v>1977.12</c:v>
                </c:pt>
                <c:pt idx="1620">
                  <c:v>1977.12</c:v>
                </c:pt>
                <c:pt idx="1621">
                  <c:v>1976.41</c:v>
                </c:pt>
                <c:pt idx="1622">
                  <c:v>2011.72</c:v>
                </c:pt>
                <c:pt idx="1623">
                  <c:v>2104.22</c:v>
                </c:pt>
                <c:pt idx="1624">
                  <c:v>2013.13</c:v>
                </c:pt>
                <c:pt idx="1625">
                  <c:v>2104.22</c:v>
                </c:pt>
                <c:pt idx="1626">
                  <c:v>2104.22</c:v>
                </c:pt>
                <c:pt idx="1627">
                  <c:v>2104.22</c:v>
                </c:pt>
                <c:pt idx="1628">
                  <c:v>2104.22</c:v>
                </c:pt>
                <c:pt idx="1629">
                  <c:v>2104.22</c:v>
                </c:pt>
                <c:pt idx="1630">
                  <c:v>2104.22</c:v>
                </c:pt>
                <c:pt idx="1631">
                  <c:v>2104.22</c:v>
                </c:pt>
                <c:pt idx="1632">
                  <c:v>2083.03</c:v>
                </c:pt>
                <c:pt idx="1633">
                  <c:v>2111.28</c:v>
                </c:pt>
                <c:pt idx="1634">
                  <c:v>2111.28</c:v>
                </c:pt>
                <c:pt idx="1635">
                  <c:v>2111.28</c:v>
                </c:pt>
                <c:pt idx="1636">
                  <c:v>2118.34</c:v>
                </c:pt>
                <c:pt idx="1637">
                  <c:v>2061.14</c:v>
                </c:pt>
                <c:pt idx="1638">
                  <c:v>1977.12</c:v>
                </c:pt>
                <c:pt idx="1639">
                  <c:v>1906.51</c:v>
                </c:pt>
                <c:pt idx="1640">
                  <c:v>1906.51</c:v>
                </c:pt>
                <c:pt idx="1641">
                  <c:v>1853.55</c:v>
                </c:pt>
                <c:pt idx="1642">
                  <c:v>1853.55</c:v>
                </c:pt>
                <c:pt idx="1643">
                  <c:v>1853.55</c:v>
                </c:pt>
                <c:pt idx="1644">
                  <c:v>1853.55</c:v>
                </c:pt>
                <c:pt idx="1645">
                  <c:v>1853.55</c:v>
                </c:pt>
                <c:pt idx="1646">
                  <c:v>1853.55</c:v>
                </c:pt>
                <c:pt idx="1647">
                  <c:v>1853.55</c:v>
                </c:pt>
                <c:pt idx="1648">
                  <c:v>1853.55</c:v>
                </c:pt>
                <c:pt idx="1649">
                  <c:v>1871.2</c:v>
                </c:pt>
                <c:pt idx="1650">
                  <c:v>1871.2</c:v>
                </c:pt>
                <c:pt idx="1651">
                  <c:v>1832.36</c:v>
                </c:pt>
                <c:pt idx="1652">
                  <c:v>1832.36</c:v>
                </c:pt>
                <c:pt idx="1653">
                  <c:v>1828.83</c:v>
                </c:pt>
                <c:pt idx="1654">
                  <c:v>1832.36</c:v>
                </c:pt>
                <c:pt idx="1655">
                  <c:v>1832.36</c:v>
                </c:pt>
                <c:pt idx="1656">
                  <c:v>1870.49</c:v>
                </c:pt>
                <c:pt idx="1657">
                  <c:v>1870.49</c:v>
                </c:pt>
                <c:pt idx="1658">
                  <c:v>1870.49</c:v>
                </c:pt>
                <c:pt idx="1659">
                  <c:v>1839.42</c:v>
                </c:pt>
                <c:pt idx="1660">
                  <c:v>1853.55</c:v>
                </c:pt>
                <c:pt idx="1661">
                  <c:v>1853.55</c:v>
                </c:pt>
                <c:pt idx="1662">
                  <c:v>1835.89</c:v>
                </c:pt>
                <c:pt idx="1663">
                  <c:v>1835.89</c:v>
                </c:pt>
                <c:pt idx="1664">
                  <c:v>1835.89</c:v>
                </c:pt>
                <c:pt idx="1665">
                  <c:v>1765.28</c:v>
                </c:pt>
                <c:pt idx="1666">
                  <c:v>1729.98</c:v>
                </c:pt>
                <c:pt idx="1667">
                  <c:v>1695.38</c:v>
                </c:pt>
                <c:pt idx="1668">
                  <c:v>1729.98</c:v>
                </c:pt>
                <c:pt idx="1669">
                  <c:v>1729.98</c:v>
                </c:pt>
                <c:pt idx="1670">
                  <c:v>1729.98</c:v>
                </c:pt>
                <c:pt idx="1671">
                  <c:v>1729.98</c:v>
                </c:pt>
                <c:pt idx="1672">
                  <c:v>1729.98</c:v>
                </c:pt>
                <c:pt idx="1673">
                  <c:v>1729.98</c:v>
                </c:pt>
                <c:pt idx="1674">
                  <c:v>1729.98</c:v>
                </c:pt>
                <c:pt idx="1675">
                  <c:v>1729.98</c:v>
                </c:pt>
                <c:pt idx="1676">
                  <c:v>1722.92</c:v>
                </c:pt>
                <c:pt idx="1677">
                  <c:v>1744.1</c:v>
                </c:pt>
                <c:pt idx="1678">
                  <c:v>1799.88</c:v>
                </c:pt>
                <c:pt idx="1679">
                  <c:v>1799.88</c:v>
                </c:pt>
                <c:pt idx="1680">
                  <c:v>1799.88</c:v>
                </c:pt>
                <c:pt idx="1681">
                  <c:v>1800.59</c:v>
                </c:pt>
                <c:pt idx="1682">
                  <c:v>1800.59</c:v>
                </c:pt>
                <c:pt idx="1683">
                  <c:v>1765.28</c:v>
                </c:pt>
                <c:pt idx="1684">
                  <c:v>1729.98</c:v>
                </c:pt>
                <c:pt idx="1685">
                  <c:v>1729.98</c:v>
                </c:pt>
                <c:pt idx="1686">
                  <c:v>1765.28</c:v>
                </c:pt>
                <c:pt idx="1687">
                  <c:v>1782.94</c:v>
                </c:pt>
                <c:pt idx="1688">
                  <c:v>1764.58</c:v>
                </c:pt>
                <c:pt idx="1689">
                  <c:v>1765.28</c:v>
                </c:pt>
                <c:pt idx="1690">
                  <c:v>1765.28</c:v>
                </c:pt>
                <c:pt idx="1691">
                  <c:v>1765.28</c:v>
                </c:pt>
                <c:pt idx="1692">
                  <c:v>1765.28</c:v>
                </c:pt>
                <c:pt idx="1693">
                  <c:v>1765.28</c:v>
                </c:pt>
                <c:pt idx="1694">
                  <c:v>1729.98</c:v>
                </c:pt>
                <c:pt idx="1695">
                  <c:v>1694.67</c:v>
                </c:pt>
                <c:pt idx="1696">
                  <c:v>1694.67</c:v>
                </c:pt>
                <c:pt idx="1697">
                  <c:v>1693.97</c:v>
                </c:pt>
                <c:pt idx="1698">
                  <c:v>1693.97</c:v>
                </c:pt>
                <c:pt idx="1699">
                  <c:v>1684.08</c:v>
                </c:pt>
                <c:pt idx="1700">
                  <c:v>1684.08</c:v>
                </c:pt>
                <c:pt idx="1701">
                  <c:v>1684.08</c:v>
                </c:pt>
                <c:pt idx="1702">
                  <c:v>1677.02</c:v>
                </c:pt>
                <c:pt idx="1703">
                  <c:v>1673.49</c:v>
                </c:pt>
                <c:pt idx="1704">
                  <c:v>1659.37</c:v>
                </c:pt>
                <c:pt idx="1705">
                  <c:v>1659.37</c:v>
                </c:pt>
                <c:pt idx="1706">
                  <c:v>1659.37</c:v>
                </c:pt>
                <c:pt idx="1707">
                  <c:v>1659.37</c:v>
                </c:pt>
                <c:pt idx="1708">
                  <c:v>1659.37</c:v>
                </c:pt>
                <c:pt idx="1709">
                  <c:v>1659.37</c:v>
                </c:pt>
                <c:pt idx="1710">
                  <c:v>1659.37</c:v>
                </c:pt>
                <c:pt idx="1711">
                  <c:v>1659.37</c:v>
                </c:pt>
                <c:pt idx="1712">
                  <c:v>1684.08</c:v>
                </c:pt>
                <c:pt idx="1713">
                  <c:v>1669.25</c:v>
                </c:pt>
                <c:pt idx="1714">
                  <c:v>1669.25</c:v>
                </c:pt>
                <c:pt idx="1715">
                  <c:v>1637.89</c:v>
                </c:pt>
                <c:pt idx="1716">
                  <c:v>1637.89</c:v>
                </c:pt>
                <c:pt idx="1717">
                  <c:v>1637.89</c:v>
                </c:pt>
                <c:pt idx="1718">
                  <c:v>1637.89</c:v>
                </c:pt>
                <c:pt idx="1719">
                  <c:v>1637.89</c:v>
                </c:pt>
                <c:pt idx="1720">
                  <c:v>1637.89</c:v>
                </c:pt>
                <c:pt idx="1721">
                  <c:v>1637.89</c:v>
                </c:pt>
                <c:pt idx="1722">
                  <c:v>1637.89</c:v>
                </c:pt>
                <c:pt idx="1723">
                  <c:v>1603.74</c:v>
                </c:pt>
                <c:pt idx="1724">
                  <c:v>1676.22</c:v>
                </c:pt>
                <c:pt idx="1725">
                  <c:v>1700.62</c:v>
                </c:pt>
                <c:pt idx="1726">
                  <c:v>1714.55</c:v>
                </c:pt>
                <c:pt idx="1727">
                  <c:v>1735.46</c:v>
                </c:pt>
                <c:pt idx="1728">
                  <c:v>1742.43</c:v>
                </c:pt>
                <c:pt idx="1729">
                  <c:v>1742.43</c:v>
                </c:pt>
                <c:pt idx="1730">
                  <c:v>1742.43</c:v>
                </c:pt>
                <c:pt idx="1731">
                  <c:v>1881.83</c:v>
                </c:pt>
                <c:pt idx="1732">
                  <c:v>1881.83</c:v>
                </c:pt>
                <c:pt idx="1733">
                  <c:v>1895.77</c:v>
                </c:pt>
                <c:pt idx="1734">
                  <c:v>1895.77</c:v>
                </c:pt>
                <c:pt idx="1735">
                  <c:v>1895.77</c:v>
                </c:pt>
                <c:pt idx="1736">
                  <c:v>1881.83</c:v>
                </c:pt>
                <c:pt idx="1737">
                  <c:v>1881.83</c:v>
                </c:pt>
                <c:pt idx="1738">
                  <c:v>1934.1</c:v>
                </c:pt>
                <c:pt idx="1739">
                  <c:v>1934.1</c:v>
                </c:pt>
                <c:pt idx="1740">
                  <c:v>1916.68</c:v>
                </c:pt>
                <c:pt idx="1741">
                  <c:v>1944.56</c:v>
                </c:pt>
                <c:pt idx="1742">
                  <c:v>1944.56</c:v>
                </c:pt>
                <c:pt idx="1743">
                  <c:v>1944.56</c:v>
                </c:pt>
                <c:pt idx="1744">
                  <c:v>1944.56</c:v>
                </c:pt>
                <c:pt idx="1745">
                  <c:v>1944.56</c:v>
                </c:pt>
                <c:pt idx="1746">
                  <c:v>1846.98</c:v>
                </c:pt>
                <c:pt idx="1747">
                  <c:v>1846.98</c:v>
                </c:pt>
                <c:pt idx="1748">
                  <c:v>1747.31</c:v>
                </c:pt>
                <c:pt idx="1749">
                  <c:v>1735.46</c:v>
                </c:pt>
                <c:pt idx="1750">
                  <c:v>1735.46</c:v>
                </c:pt>
                <c:pt idx="1751">
                  <c:v>1711.07</c:v>
                </c:pt>
                <c:pt idx="1752">
                  <c:v>1700.62</c:v>
                </c:pt>
                <c:pt idx="1753">
                  <c:v>1711.07</c:v>
                </c:pt>
                <c:pt idx="1754">
                  <c:v>1690.16</c:v>
                </c:pt>
                <c:pt idx="1755">
                  <c:v>1690.16</c:v>
                </c:pt>
                <c:pt idx="1756">
                  <c:v>1690.16</c:v>
                </c:pt>
                <c:pt idx="1757">
                  <c:v>1672.74</c:v>
                </c:pt>
                <c:pt idx="1758">
                  <c:v>1672.74</c:v>
                </c:pt>
                <c:pt idx="1759">
                  <c:v>1672.74</c:v>
                </c:pt>
                <c:pt idx="1760">
                  <c:v>1706.89</c:v>
                </c:pt>
                <c:pt idx="1761">
                  <c:v>1706.89</c:v>
                </c:pt>
                <c:pt idx="1762">
                  <c:v>1706.89</c:v>
                </c:pt>
                <c:pt idx="1763">
                  <c:v>1706.89</c:v>
                </c:pt>
                <c:pt idx="1764">
                  <c:v>1706.89</c:v>
                </c:pt>
                <c:pt idx="1765">
                  <c:v>1706.89</c:v>
                </c:pt>
                <c:pt idx="1766">
                  <c:v>1707.59</c:v>
                </c:pt>
                <c:pt idx="1767">
                  <c:v>1707.59</c:v>
                </c:pt>
                <c:pt idx="1768">
                  <c:v>1707.59</c:v>
                </c:pt>
                <c:pt idx="1769">
                  <c:v>1672.74</c:v>
                </c:pt>
                <c:pt idx="1770">
                  <c:v>1572.37</c:v>
                </c:pt>
                <c:pt idx="1771">
                  <c:v>1533.34</c:v>
                </c:pt>
                <c:pt idx="1772">
                  <c:v>1533.34</c:v>
                </c:pt>
                <c:pt idx="1773">
                  <c:v>1533.34</c:v>
                </c:pt>
                <c:pt idx="1774">
                  <c:v>1721.52</c:v>
                </c:pt>
                <c:pt idx="1775">
                  <c:v>1721.52</c:v>
                </c:pt>
                <c:pt idx="1776">
                  <c:v>1721.52</c:v>
                </c:pt>
                <c:pt idx="1777">
                  <c:v>1721.52</c:v>
                </c:pt>
                <c:pt idx="1778">
                  <c:v>1707.59</c:v>
                </c:pt>
                <c:pt idx="1779">
                  <c:v>1707.59</c:v>
                </c:pt>
                <c:pt idx="1780">
                  <c:v>1707.59</c:v>
                </c:pt>
                <c:pt idx="1781">
                  <c:v>1707.59</c:v>
                </c:pt>
                <c:pt idx="1782">
                  <c:v>1707.59</c:v>
                </c:pt>
                <c:pt idx="1783">
                  <c:v>1714.55</c:v>
                </c:pt>
                <c:pt idx="1784">
                  <c:v>1742.43</c:v>
                </c:pt>
                <c:pt idx="1785">
                  <c:v>1734.77</c:v>
                </c:pt>
                <c:pt idx="1786">
                  <c:v>1759.86</c:v>
                </c:pt>
                <c:pt idx="1787">
                  <c:v>1759.86</c:v>
                </c:pt>
                <c:pt idx="1788">
                  <c:v>1759.86</c:v>
                </c:pt>
                <c:pt idx="1789">
                  <c:v>1777.28</c:v>
                </c:pt>
                <c:pt idx="1790">
                  <c:v>1777.28</c:v>
                </c:pt>
                <c:pt idx="1791">
                  <c:v>1784.25</c:v>
                </c:pt>
                <c:pt idx="1792">
                  <c:v>1846.98</c:v>
                </c:pt>
                <c:pt idx="1793">
                  <c:v>1846.98</c:v>
                </c:pt>
                <c:pt idx="1794">
                  <c:v>1812.13</c:v>
                </c:pt>
                <c:pt idx="1795">
                  <c:v>1812.13</c:v>
                </c:pt>
                <c:pt idx="1796">
                  <c:v>1812.13</c:v>
                </c:pt>
                <c:pt idx="1797">
                  <c:v>1742.43</c:v>
                </c:pt>
                <c:pt idx="1798">
                  <c:v>1742.43</c:v>
                </c:pt>
                <c:pt idx="1799">
                  <c:v>1683.19</c:v>
                </c:pt>
                <c:pt idx="1800">
                  <c:v>1690.16</c:v>
                </c:pt>
                <c:pt idx="1801">
                  <c:v>1690.16</c:v>
                </c:pt>
                <c:pt idx="1802">
                  <c:v>1672.74</c:v>
                </c:pt>
                <c:pt idx="1803">
                  <c:v>1662.28</c:v>
                </c:pt>
                <c:pt idx="1804">
                  <c:v>1651.83</c:v>
                </c:pt>
                <c:pt idx="1805">
                  <c:v>1672.74</c:v>
                </c:pt>
                <c:pt idx="1806">
                  <c:v>1690.16</c:v>
                </c:pt>
                <c:pt idx="1807">
                  <c:v>1690.16</c:v>
                </c:pt>
                <c:pt idx="1808">
                  <c:v>1690.16</c:v>
                </c:pt>
                <c:pt idx="1809">
                  <c:v>1690.16</c:v>
                </c:pt>
                <c:pt idx="1810">
                  <c:v>1637.89</c:v>
                </c:pt>
                <c:pt idx="1811">
                  <c:v>1603.04</c:v>
                </c:pt>
                <c:pt idx="1812">
                  <c:v>1603.04</c:v>
                </c:pt>
                <c:pt idx="1813">
                  <c:v>1603.04</c:v>
                </c:pt>
                <c:pt idx="1814">
                  <c:v>1602.34</c:v>
                </c:pt>
                <c:pt idx="1815">
                  <c:v>1602.34</c:v>
                </c:pt>
                <c:pt idx="1816">
                  <c:v>1602.34</c:v>
                </c:pt>
                <c:pt idx="1817">
                  <c:v>1602.34</c:v>
                </c:pt>
                <c:pt idx="1818">
                  <c:v>1603.04</c:v>
                </c:pt>
                <c:pt idx="1819">
                  <c:v>1603.04</c:v>
                </c:pt>
                <c:pt idx="1820">
                  <c:v>1533.34</c:v>
                </c:pt>
                <c:pt idx="1821">
                  <c:v>1533.34</c:v>
                </c:pt>
                <c:pt idx="1822">
                  <c:v>1533.34</c:v>
                </c:pt>
                <c:pt idx="1823">
                  <c:v>1533.34</c:v>
                </c:pt>
                <c:pt idx="1824">
                  <c:v>1533.34</c:v>
                </c:pt>
                <c:pt idx="1825">
                  <c:v>1533.34</c:v>
                </c:pt>
                <c:pt idx="1826">
                  <c:v>1568.19</c:v>
                </c:pt>
                <c:pt idx="1827">
                  <c:v>1568.19</c:v>
                </c:pt>
                <c:pt idx="1828">
                  <c:v>1568.19</c:v>
                </c:pt>
                <c:pt idx="1829">
                  <c:v>1568.19</c:v>
                </c:pt>
                <c:pt idx="1830">
                  <c:v>1568.19</c:v>
                </c:pt>
                <c:pt idx="1831">
                  <c:v>1568.19</c:v>
                </c:pt>
                <c:pt idx="1832">
                  <c:v>1481.07</c:v>
                </c:pt>
                <c:pt idx="1833">
                  <c:v>1481.07</c:v>
                </c:pt>
                <c:pt idx="1834">
                  <c:v>1481.07</c:v>
                </c:pt>
                <c:pt idx="1835">
                  <c:v>1481.07</c:v>
                </c:pt>
                <c:pt idx="1836">
                  <c:v>1481.07</c:v>
                </c:pt>
                <c:pt idx="1837">
                  <c:v>1481.07</c:v>
                </c:pt>
                <c:pt idx="1838">
                  <c:v>1477.78</c:v>
                </c:pt>
                <c:pt idx="1839">
                  <c:v>1477.78</c:v>
                </c:pt>
                <c:pt idx="1840">
                  <c:v>1477.78</c:v>
                </c:pt>
                <c:pt idx="1841">
                  <c:v>1477.78</c:v>
                </c:pt>
                <c:pt idx="1842">
                  <c:v>1477.78</c:v>
                </c:pt>
                <c:pt idx="1843">
                  <c:v>1477.78</c:v>
                </c:pt>
                <c:pt idx="1844">
                  <c:v>1510.62</c:v>
                </c:pt>
                <c:pt idx="1845">
                  <c:v>1477.78</c:v>
                </c:pt>
                <c:pt idx="1846">
                  <c:v>1477.78</c:v>
                </c:pt>
                <c:pt idx="1847">
                  <c:v>1477.78</c:v>
                </c:pt>
                <c:pt idx="1848">
                  <c:v>1484.35</c:v>
                </c:pt>
                <c:pt idx="1849">
                  <c:v>1477.78</c:v>
                </c:pt>
                <c:pt idx="1850">
                  <c:v>1448.23</c:v>
                </c:pt>
                <c:pt idx="1851">
                  <c:v>1507.34</c:v>
                </c:pt>
                <c:pt idx="1852">
                  <c:v>1507.34</c:v>
                </c:pt>
                <c:pt idx="1853">
                  <c:v>1494.2</c:v>
                </c:pt>
                <c:pt idx="1854">
                  <c:v>1477.78</c:v>
                </c:pt>
                <c:pt idx="1855">
                  <c:v>1477.78</c:v>
                </c:pt>
                <c:pt idx="1856">
                  <c:v>1445.6</c:v>
                </c:pt>
                <c:pt idx="1857">
                  <c:v>1445.6</c:v>
                </c:pt>
                <c:pt idx="1858">
                  <c:v>1444.95</c:v>
                </c:pt>
                <c:pt idx="1859">
                  <c:v>1444.95</c:v>
                </c:pt>
                <c:pt idx="1860">
                  <c:v>1444.95</c:v>
                </c:pt>
                <c:pt idx="1861">
                  <c:v>1379.27</c:v>
                </c:pt>
                <c:pt idx="1862">
                  <c:v>1380.58</c:v>
                </c:pt>
                <c:pt idx="1863">
                  <c:v>1379.27</c:v>
                </c:pt>
                <c:pt idx="1864">
                  <c:v>1297.17</c:v>
                </c:pt>
                <c:pt idx="1865">
                  <c:v>1297.17</c:v>
                </c:pt>
                <c:pt idx="1866">
                  <c:v>1297.17</c:v>
                </c:pt>
                <c:pt idx="1867">
                  <c:v>1297.17</c:v>
                </c:pt>
                <c:pt idx="1868">
                  <c:v>1437.72</c:v>
                </c:pt>
                <c:pt idx="1869">
                  <c:v>1458.08</c:v>
                </c:pt>
                <c:pt idx="1870">
                  <c:v>1458.08</c:v>
                </c:pt>
                <c:pt idx="1871">
                  <c:v>1444.95</c:v>
                </c:pt>
                <c:pt idx="1872">
                  <c:v>1444.95</c:v>
                </c:pt>
                <c:pt idx="1873">
                  <c:v>1441.66</c:v>
                </c:pt>
                <c:pt idx="1874">
                  <c:v>1441.66</c:v>
                </c:pt>
                <c:pt idx="1875">
                  <c:v>1438.38</c:v>
                </c:pt>
                <c:pt idx="1876">
                  <c:v>1346.43</c:v>
                </c:pt>
                <c:pt idx="1877">
                  <c:v>1366.13</c:v>
                </c:pt>
                <c:pt idx="1878">
                  <c:v>1451.51</c:v>
                </c:pt>
                <c:pt idx="1879">
                  <c:v>1379.27</c:v>
                </c:pt>
                <c:pt idx="1880">
                  <c:v>1379.27</c:v>
                </c:pt>
                <c:pt idx="1881">
                  <c:v>1510.62</c:v>
                </c:pt>
                <c:pt idx="1882">
                  <c:v>1510.62</c:v>
                </c:pt>
                <c:pt idx="1883">
                  <c:v>1379.27</c:v>
                </c:pt>
                <c:pt idx="1884">
                  <c:v>1313.59</c:v>
                </c:pt>
                <c:pt idx="1885">
                  <c:v>1346.43</c:v>
                </c:pt>
                <c:pt idx="1886">
                  <c:v>1346.43</c:v>
                </c:pt>
                <c:pt idx="1887">
                  <c:v>1346.43</c:v>
                </c:pt>
                <c:pt idx="1888">
                  <c:v>1346.43</c:v>
                </c:pt>
                <c:pt idx="1889">
                  <c:v>1346.43</c:v>
                </c:pt>
                <c:pt idx="1890">
                  <c:v>1379.27</c:v>
                </c:pt>
                <c:pt idx="1891">
                  <c:v>1379.27</c:v>
                </c:pt>
                <c:pt idx="1892">
                  <c:v>1379.27</c:v>
                </c:pt>
                <c:pt idx="1893">
                  <c:v>1379.27</c:v>
                </c:pt>
                <c:pt idx="1894">
                  <c:v>1379.92</c:v>
                </c:pt>
                <c:pt idx="1895">
                  <c:v>1382.55</c:v>
                </c:pt>
                <c:pt idx="1896">
                  <c:v>1389.12</c:v>
                </c:pt>
                <c:pt idx="1897">
                  <c:v>1438.38</c:v>
                </c:pt>
                <c:pt idx="1898">
                  <c:v>1425.24</c:v>
                </c:pt>
                <c:pt idx="1899">
                  <c:v>1425.24</c:v>
                </c:pt>
                <c:pt idx="1900">
                  <c:v>1379.27</c:v>
                </c:pt>
                <c:pt idx="1901">
                  <c:v>1379.27</c:v>
                </c:pt>
                <c:pt idx="1902">
                  <c:v>1362.85</c:v>
                </c:pt>
                <c:pt idx="1903">
                  <c:v>1379.27</c:v>
                </c:pt>
                <c:pt idx="1904">
                  <c:v>1379.27</c:v>
                </c:pt>
                <c:pt idx="1905">
                  <c:v>1379.27</c:v>
                </c:pt>
                <c:pt idx="1906">
                  <c:v>1379.27</c:v>
                </c:pt>
                <c:pt idx="1907">
                  <c:v>1379.27</c:v>
                </c:pt>
                <c:pt idx="1908">
                  <c:v>1379.27</c:v>
                </c:pt>
                <c:pt idx="1909">
                  <c:v>1379.27</c:v>
                </c:pt>
                <c:pt idx="1910">
                  <c:v>1293.88</c:v>
                </c:pt>
                <c:pt idx="1911">
                  <c:v>1293.88</c:v>
                </c:pt>
                <c:pt idx="1912">
                  <c:v>1267.61</c:v>
                </c:pt>
                <c:pt idx="1913">
                  <c:v>1293.88</c:v>
                </c:pt>
                <c:pt idx="1914">
                  <c:v>1280.75</c:v>
                </c:pt>
                <c:pt idx="1915">
                  <c:v>1231.49</c:v>
                </c:pt>
                <c:pt idx="1916">
                  <c:v>1234.77</c:v>
                </c:pt>
                <c:pt idx="1917">
                  <c:v>1230.17</c:v>
                </c:pt>
                <c:pt idx="1918">
                  <c:v>1215.07</c:v>
                </c:pt>
                <c:pt idx="1919">
                  <c:v>1227.55</c:v>
                </c:pt>
                <c:pt idx="1920">
                  <c:v>1195.36</c:v>
                </c:pt>
                <c:pt idx="1921">
                  <c:v>1195.36</c:v>
                </c:pt>
                <c:pt idx="1922">
                  <c:v>1228.2</c:v>
                </c:pt>
                <c:pt idx="1923">
                  <c:v>1228.2</c:v>
                </c:pt>
                <c:pt idx="1924">
                  <c:v>1228.2</c:v>
                </c:pt>
                <c:pt idx="1925">
                  <c:v>1228.2</c:v>
                </c:pt>
                <c:pt idx="1926">
                  <c:v>1228.2</c:v>
                </c:pt>
                <c:pt idx="1927">
                  <c:v>1230.17</c:v>
                </c:pt>
                <c:pt idx="1928">
                  <c:v>1230.83</c:v>
                </c:pt>
                <c:pt idx="1929">
                  <c:v>1230.83</c:v>
                </c:pt>
                <c:pt idx="1930">
                  <c:v>1231.49</c:v>
                </c:pt>
                <c:pt idx="1931">
                  <c:v>1231.49</c:v>
                </c:pt>
                <c:pt idx="1932">
                  <c:v>1231.49</c:v>
                </c:pt>
                <c:pt idx="1933">
                  <c:v>1211.78</c:v>
                </c:pt>
                <c:pt idx="1934">
                  <c:v>1234.77</c:v>
                </c:pt>
                <c:pt idx="1935">
                  <c:v>1234.77</c:v>
                </c:pt>
                <c:pt idx="1936">
                  <c:v>1247.91</c:v>
                </c:pt>
                <c:pt idx="1937">
                  <c:v>1247.91</c:v>
                </c:pt>
                <c:pt idx="1938">
                  <c:v>1247.91</c:v>
                </c:pt>
                <c:pt idx="1939">
                  <c:v>1247.91</c:v>
                </c:pt>
                <c:pt idx="1940">
                  <c:v>1247.91</c:v>
                </c:pt>
                <c:pt idx="1941">
                  <c:v>1247.91</c:v>
                </c:pt>
                <c:pt idx="1942">
                  <c:v>1247.91</c:v>
                </c:pt>
                <c:pt idx="1943">
                  <c:v>1247.91</c:v>
                </c:pt>
                <c:pt idx="1944">
                  <c:v>1247.91</c:v>
                </c:pt>
                <c:pt idx="1945">
                  <c:v>1247.91</c:v>
                </c:pt>
                <c:pt idx="1946">
                  <c:v>1247.91</c:v>
                </c:pt>
                <c:pt idx="1947">
                  <c:v>1185.51</c:v>
                </c:pt>
                <c:pt idx="1948">
                  <c:v>1169.09</c:v>
                </c:pt>
                <c:pt idx="1949">
                  <c:v>1159.24</c:v>
                </c:pt>
                <c:pt idx="1950">
                  <c:v>1169.09</c:v>
                </c:pt>
                <c:pt idx="1951">
                  <c:v>1162.52</c:v>
                </c:pt>
                <c:pt idx="1952">
                  <c:v>1175.66</c:v>
                </c:pt>
                <c:pt idx="1953">
                  <c:v>1175.66</c:v>
                </c:pt>
                <c:pt idx="1954">
                  <c:v>1208.5</c:v>
                </c:pt>
                <c:pt idx="1955">
                  <c:v>1247.91</c:v>
                </c:pt>
                <c:pt idx="1956">
                  <c:v>1247.91</c:v>
                </c:pt>
                <c:pt idx="1957">
                  <c:v>1270.89</c:v>
                </c:pt>
                <c:pt idx="1958">
                  <c:v>1280.75</c:v>
                </c:pt>
                <c:pt idx="1959">
                  <c:v>1293.88</c:v>
                </c:pt>
                <c:pt idx="1960">
                  <c:v>1313.59</c:v>
                </c:pt>
                <c:pt idx="1961">
                  <c:v>1303.08</c:v>
                </c:pt>
                <c:pt idx="1962">
                  <c:v>1361.42</c:v>
                </c:pt>
                <c:pt idx="1963">
                  <c:v>1393.84</c:v>
                </c:pt>
                <c:pt idx="1964">
                  <c:v>1393.84</c:v>
                </c:pt>
                <c:pt idx="1965">
                  <c:v>1393.84</c:v>
                </c:pt>
                <c:pt idx="1966">
                  <c:v>1393.84</c:v>
                </c:pt>
                <c:pt idx="1967">
                  <c:v>1393.84</c:v>
                </c:pt>
                <c:pt idx="1968">
                  <c:v>1426.25</c:v>
                </c:pt>
                <c:pt idx="1969">
                  <c:v>1400.32</c:v>
                </c:pt>
                <c:pt idx="1970">
                  <c:v>1400.32</c:v>
                </c:pt>
                <c:pt idx="1971">
                  <c:v>1400.32</c:v>
                </c:pt>
                <c:pt idx="1972">
                  <c:v>1393.84</c:v>
                </c:pt>
                <c:pt idx="1973">
                  <c:v>1393.84</c:v>
                </c:pt>
                <c:pt idx="1974">
                  <c:v>1393.84</c:v>
                </c:pt>
                <c:pt idx="1975">
                  <c:v>1361.42</c:v>
                </c:pt>
                <c:pt idx="1976">
                  <c:v>1361.42</c:v>
                </c:pt>
                <c:pt idx="1977">
                  <c:v>1361.42</c:v>
                </c:pt>
                <c:pt idx="1978">
                  <c:v>1361.42</c:v>
                </c:pt>
                <c:pt idx="1979">
                  <c:v>1393.84</c:v>
                </c:pt>
                <c:pt idx="1980">
                  <c:v>1393.84</c:v>
                </c:pt>
                <c:pt idx="1981">
                  <c:v>1393.84</c:v>
                </c:pt>
                <c:pt idx="1982">
                  <c:v>1393.84</c:v>
                </c:pt>
                <c:pt idx="1983">
                  <c:v>1377.63</c:v>
                </c:pt>
                <c:pt idx="1984">
                  <c:v>1361.42</c:v>
                </c:pt>
                <c:pt idx="1985">
                  <c:v>1361.42</c:v>
                </c:pt>
                <c:pt idx="1986">
                  <c:v>1361.42</c:v>
                </c:pt>
                <c:pt idx="1987">
                  <c:v>1383.47</c:v>
                </c:pt>
                <c:pt idx="1988">
                  <c:v>1383.47</c:v>
                </c:pt>
                <c:pt idx="1989">
                  <c:v>1384.11</c:v>
                </c:pt>
                <c:pt idx="1990">
                  <c:v>1377.63</c:v>
                </c:pt>
                <c:pt idx="1991">
                  <c:v>1377.63</c:v>
                </c:pt>
                <c:pt idx="1992">
                  <c:v>1329.01</c:v>
                </c:pt>
                <c:pt idx="1993">
                  <c:v>1303.08</c:v>
                </c:pt>
                <c:pt idx="1994">
                  <c:v>1296.59</c:v>
                </c:pt>
                <c:pt idx="1995">
                  <c:v>1299.84</c:v>
                </c:pt>
                <c:pt idx="1996">
                  <c:v>1264.18</c:v>
                </c:pt>
                <c:pt idx="1997">
                  <c:v>1296.59</c:v>
                </c:pt>
                <c:pt idx="1998">
                  <c:v>1296.59</c:v>
                </c:pt>
                <c:pt idx="1999">
                  <c:v>1296.59</c:v>
                </c:pt>
                <c:pt idx="2000">
                  <c:v>1296.59</c:v>
                </c:pt>
                <c:pt idx="2001">
                  <c:v>1283.63</c:v>
                </c:pt>
                <c:pt idx="2002">
                  <c:v>1264.18</c:v>
                </c:pt>
                <c:pt idx="2003">
                  <c:v>1257.7</c:v>
                </c:pt>
                <c:pt idx="2004">
                  <c:v>1296.59</c:v>
                </c:pt>
                <c:pt idx="2005">
                  <c:v>1296.59</c:v>
                </c:pt>
                <c:pt idx="2006">
                  <c:v>1375.69</c:v>
                </c:pt>
                <c:pt idx="2007">
                  <c:v>1426.25</c:v>
                </c:pt>
                <c:pt idx="2008">
                  <c:v>1458.67</c:v>
                </c:pt>
                <c:pt idx="2009">
                  <c:v>1458.67</c:v>
                </c:pt>
                <c:pt idx="2010">
                  <c:v>1458.67</c:v>
                </c:pt>
                <c:pt idx="2011">
                  <c:v>1458.67</c:v>
                </c:pt>
                <c:pt idx="2012">
                  <c:v>1458.67</c:v>
                </c:pt>
                <c:pt idx="2013">
                  <c:v>1452.19</c:v>
                </c:pt>
                <c:pt idx="2014">
                  <c:v>1426.25</c:v>
                </c:pt>
                <c:pt idx="2015">
                  <c:v>1393.84</c:v>
                </c:pt>
                <c:pt idx="2016">
                  <c:v>1361.42</c:v>
                </c:pt>
                <c:pt idx="2017">
                  <c:v>1368.56</c:v>
                </c:pt>
                <c:pt idx="2018">
                  <c:v>1361.42</c:v>
                </c:pt>
                <c:pt idx="2019">
                  <c:v>1361.42</c:v>
                </c:pt>
                <c:pt idx="2020">
                  <c:v>1235.01</c:v>
                </c:pt>
                <c:pt idx="2021">
                  <c:v>1235.01</c:v>
                </c:pt>
                <c:pt idx="2022">
                  <c:v>1245.38</c:v>
                </c:pt>
                <c:pt idx="2023">
                  <c:v>1235.01</c:v>
                </c:pt>
                <c:pt idx="2024">
                  <c:v>1231.77</c:v>
                </c:pt>
                <c:pt idx="2025">
                  <c:v>1231.77</c:v>
                </c:pt>
                <c:pt idx="2026">
                  <c:v>1231.77</c:v>
                </c:pt>
                <c:pt idx="2027">
                  <c:v>1231.77</c:v>
                </c:pt>
                <c:pt idx="2028">
                  <c:v>1218.8</c:v>
                </c:pt>
                <c:pt idx="2029">
                  <c:v>1183.14</c:v>
                </c:pt>
                <c:pt idx="2030">
                  <c:v>1183.14</c:v>
                </c:pt>
                <c:pt idx="2031">
                  <c:v>1199.35</c:v>
                </c:pt>
                <c:pt idx="2032">
                  <c:v>1199.35</c:v>
                </c:pt>
                <c:pt idx="2033">
                  <c:v>1199.35</c:v>
                </c:pt>
                <c:pt idx="2034">
                  <c:v>1218.8</c:v>
                </c:pt>
                <c:pt idx="2035">
                  <c:v>1166.94</c:v>
                </c:pt>
                <c:pt idx="2036">
                  <c:v>1102.75</c:v>
                </c:pt>
                <c:pt idx="2037">
                  <c:v>1102.75</c:v>
                </c:pt>
                <c:pt idx="2038">
                  <c:v>1205.83</c:v>
                </c:pt>
                <c:pt idx="2039">
                  <c:v>1205.83</c:v>
                </c:pt>
                <c:pt idx="2040">
                  <c:v>1102.11</c:v>
                </c:pt>
                <c:pt idx="2041">
                  <c:v>1037.92</c:v>
                </c:pt>
                <c:pt idx="2042">
                  <c:v>1037.92</c:v>
                </c:pt>
                <c:pt idx="2043">
                  <c:v>1037.92</c:v>
                </c:pt>
                <c:pt idx="2044">
                  <c:v>1037.92</c:v>
                </c:pt>
                <c:pt idx="2045">
                  <c:v>1069.69</c:v>
                </c:pt>
                <c:pt idx="2046">
                  <c:v>1073.58</c:v>
                </c:pt>
                <c:pt idx="2047">
                  <c:v>1076.17</c:v>
                </c:pt>
                <c:pt idx="2048">
                  <c:v>1102.11</c:v>
                </c:pt>
                <c:pt idx="2049">
                  <c:v>1133.22</c:v>
                </c:pt>
                <c:pt idx="2050">
                  <c:v>1134.52</c:v>
                </c:pt>
                <c:pt idx="2051">
                  <c:v>1150.73</c:v>
                </c:pt>
                <c:pt idx="2052">
                  <c:v>1173.42</c:v>
                </c:pt>
                <c:pt idx="2053">
                  <c:v>1179.9</c:v>
                </c:pt>
                <c:pt idx="2054">
                  <c:v>1186.38</c:v>
                </c:pt>
                <c:pt idx="2055">
                  <c:v>1170.18</c:v>
                </c:pt>
                <c:pt idx="2056">
                  <c:v>1170.18</c:v>
                </c:pt>
                <c:pt idx="2057">
                  <c:v>1228.52</c:v>
                </c:pt>
                <c:pt idx="2058">
                  <c:v>1228.52</c:v>
                </c:pt>
                <c:pt idx="2059">
                  <c:v>1228.52</c:v>
                </c:pt>
                <c:pt idx="2060">
                  <c:v>1231.77</c:v>
                </c:pt>
                <c:pt idx="2061">
                  <c:v>1202.59</c:v>
                </c:pt>
                <c:pt idx="2062">
                  <c:v>1199.35</c:v>
                </c:pt>
                <c:pt idx="2063">
                  <c:v>1166.94</c:v>
                </c:pt>
                <c:pt idx="2064">
                  <c:v>1166.94</c:v>
                </c:pt>
                <c:pt idx="2065">
                  <c:v>1199.35</c:v>
                </c:pt>
                <c:pt idx="2066">
                  <c:v>1176.66</c:v>
                </c:pt>
                <c:pt idx="2067">
                  <c:v>1183.14</c:v>
                </c:pt>
                <c:pt idx="2068">
                  <c:v>1231.77</c:v>
                </c:pt>
                <c:pt idx="2069">
                  <c:v>1231.77</c:v>
                </c:pt>
                <c:pt idx="2070">
                  <c:v>1260.94</c:v>
                </c:pt>
                <c:pt idx="2071">
                  <c:v>1260.94</c:v>
                </c:pt>
                <c:pt idx="2072">
                  <c:v>1260.94</c:v>
                </c:pt>
                <c:pt idx="2073">
                  <c:v>1277.15</c:v>
                </c:pt>
                <c:pt idx="2074">
                  <c:v>1277.15</c:v>
                </c:pt>
                <c:pt idx="2075">
                  <c:v>1277.15</c:v>
                </c:pt>
                <c:pt idx="2076">
                  <c:v>1264.18</c:v>
                </c:pt>
                <c:pt idx="2077">
                  <c:v>1264.18</c:v>
                </c:pt>
                <c:pt idx="2078">
                  <c:v>1277.15</c:v>
                </c:pt>
                <c:pt idx="2079">
                  <c:v>1264.18</c:v>
                </c:pt>
                <c:pt idx="2080">
                  <c:v>1240.19</c:v>
                </c:pt>
                <c:pt idx="2081">
                  <c:v>1240.19</c:v>
                </c:pt>
                <c:pt idx="2082">
                  <c:v>1240.19</c:v>
                </c:pt>
                <c:pt idx="2083">
                  <c:v>1240.19</c:v>
                </c:pt>
                <c:pt idx="2084">
                  <c:v>1252.59</c:v>
                </c:pt>
                <c:pt idx="2085">
                  <c:v>1240.19</c:v>
                </c:pt>
                <c:pt idx="2086">
                  <c:v>1240.19</c:v>
                </c:pt>
                <c:pt idx="2087">
                  <c:v>1209.19</c:v>
                </c:pt>
                <c:pt idx="2088">
                  <c:v>1240.19</c:v>
                </c:pt>
                <c:pt idx="2089">
                  <c:v>1261.9</c:v>
                </c:pt>
                <c:pt idx="2090">
                  <c:v>1277.4</c:v>
                </c:pt>
                <c:pt idx="2091">
                  <c:v>1277.4</c:v>
                </c:pt>
                <c:pt idx="2092">
                  <c:v>1240.19</c:v>
                </c:pt>
                <c:pt idx="2093">
                  <c:v>1299.1</c:v>
                </c:pt>
                <c:pt idx="2094">
                  <c:v>1302.2</c:v>
                </c:pt>
                <c:pt idx="2095">
                  <c:v>1302.2</c:v>
                </c:pt>
                <c:pt idx="2096">
                  <c:v>1302.2</c:v>
                </c:pt>
                <c:pt idx="2097">
                  <c:v>1333.21</c:v>
                </c:pt>
                <c:pt idx="2098">
                  <c:v>1364.21</c:v>
                </c:pt>
                <c:pt idx="2099">
                  <c:v>1426.22</c:v>
                </c:pt>
                <c:pt idx="2100">
                  <c:v>1475.83</c:v>
                </c:pt>
                <c:pt idx="2101">
                  <c:v>1475.83</c:v>
                </c:pt>
                <c:pt idx="2102">
                  <c:v>1463.43</c:v>
                </c:pt>
                <c:pt idx="2103">
                  <c:v>1438.62</c:v>
                </c:pt>
                <c:pt idx="2104">
                  <c:v>1438.62</c:v>
                </c:pt>
                <c:pt idx="2105">
                  <c:v>1488.23</c:v>
                </c:pt>
                <c:pt idx="2106">
                  <c:v>1488.23</c:v>
                </c:pt>
                <c:pt idx="2107">
                  <c:v>1519.24</c:v>
                </c:pt>
                <c:pt idx="2108">
                  <c:v>1519.24</c:v>
                </c:pt>
                <c:pt idx="2109">
                  <c:v>1550.24</c:v>
                </c:pt>
                <c:pt idx="2110">
                  <c:v>1535.36</c:v>
                </c:pt>
                <c:pt idx="2111">
                  <c:v>1550.24</c:v>
                </c:pt>
                <c:pt idx="2112">
                  <c:v>1590.55</c:v>
                </c:pt>
                <c:pt idx="2113">
                  <c:v>1612.25</c:v>
                </c:pt>
                <c:pt idx="2114">
                  <c:v>1595.51</c:v>
                </c:pt>
                <c:pt idx="2115">
                  <c:v>1540.94</c:v>
                </c:pt>
                <c:pt idx="2116">
                  <c:v>1504.97</c:v>
                </c:pt>
                <c:pt idx="2117">
                  <c:v>1498.77</c:v>
                </c:pt>
                <c:pt idx="2118">
                  <c:v>1498.77</c:v>
                </c:pt>
                <c:pt idx="2119">
                  <c:v>1491.33</c:v>
                </c:pt>
                <c:pt idx="2120">
                  <c:v>1488.23</c:v>
                </c:pt>
                <c:pt idx="2121">
                  <c:v>1488.23</c:v>
                </c:pt>
                <c:pt idx="2122">
                  <c:v>1519.24</c:v>
                </c:pt>
                <c:pt idx="2123">
                  <c:v>1550.24</c:v>
                </c:pt>
                <c:pt idx="2124">
                  <c:v>1488.23</c:v>
                </c:pt>
                <c:pt idx="2125">
                  <c:v>1488.85</c:v>
                </c:pt>
                <c:pt idx="2126">
                  <c:v>1488.23</c:v>
                </c:pt>
                <c:pt idx="2127">
                  <c:v>1488.23</c:v>
                </c:pt>
                <c:pt idx="2128">
                  <c:v>1488.23</c:v>
                </c:pt>
                <c:pt idx="2129">
                  <c:v>1488.23</c:v>
                </c:pt>
                <c:pt idx="2130">
                  <c:v>1488.23</c:v>
                </c:pt>
                <c:pt idx="2131">
                  <c:v>1519.24</c:v>
                </c:pt>
                <c:pt idx="2132">
                  <c:v>1519.24</c:v>
                </c:pt>
                <c:pt idx="2133">
                  <c:v>1534.74</c:v>
                </c:pt>
                <c:pt idx="2134">
                  <c:v>1519.24</c:v>
                </c:pt>
                <c:pt idx="2135">
                  <c:v>1519.24</c:v>
                </c:pt>
                <c:pt idx="2136">
                  <c:v>1519.24</c:v>
                </c:pt>
                <c:pt idx="2137">
                  <c:v>1519.24</c:v>
                </c:pt>
                <c:pt idx="2138">
                  <c:v>1488.23</c:v>
                </c:pt>
                <c:pt idx="2139">
                  <c:v>1488.23</c:v>
                </c:pt>
                <c:pt idx="2140">
                  <c:v>1491.33</c:v>
                </c:pt>
                <c:pt idx="2141">
                  <c:v>1488.23</c:v>
                </c:pt>
                <c:pt idx="2142">
                  <c:v>1488.23</c:v>
                </c:pt>
                <c:pt idx="2143">
                  <c:v>1457.23</c:v>
                </c:pt>
                <c:pt idx="2144">
                  <c:v>1429.32</c:v>
                </c:pt>
                <c:pt idx="2145">
                  <c:v>1404.52</c:v>
                </c:pt>
                <c:pt idx="2146">
                  <c:v>1401.42</c:v>
                </c:pt>
                <c:pt idx="2147">
                  <c:v>1395.22</c:v>
                </c:pt>
                <c:pt idx="2148">
                  <c:v>1395.22</c:v>
                </c:pt>
                <c:pt idx="2149">
                  <c:v>1395.22</c:v>
                </c:pt>
                <c:pt idx="2150">
                  <c:v>1395.22</c:v>
                </c:pt>
                <c:pt idx="2151">
                  <c:v>1364.21</c:v>
                </c:pt>
                <c:pt idx="2152">
                  <c:v>1364.21</c:v>
                </c:pt>
                <c:pt idx="2153">
                  <c:v>1241.43</c:v>
                </c:pt>
                <c:pt idx="2154">
                  <c:v>1234.61</c:v>
                </c:pt>
                <c:pt idx="2155">
                  <c:v>1199.89</c:v>
                </c:pt>
                <c:pt idx="2156">
                  <c:v>1199.89</c:v>
                </c:pt>
                <c:pt idx="2157">
                  <c:v>1199.89</c:v>
                </c:pt>
                <c:pt idx="2158">
                  <c:v>1178.18</c:v>
                </c:pt>
                <c:pt idx="2159">
                  <c:v>1178.18</c:v>
                </c:pt>
                <c:pt idx="2160">
                  <c:v>1199.89</c:v>
                </c:pt>
                <c:pt idx="2161">
                  <c:v>1199.89</c:v>
                </c:pt>
                <c:pt idx="2162">
                  <c:v>1199.89</c:v>
                </c:pt>
                <c:pt idx="2163">
                  <c:v>1178.18</c:v>
                </c:pt>
                <c:pt idx="2164">
                  <c:v>1209.19</c:v>
                </c:pt>
                <c:pt idx="2165">
                  <c:v>1116.17</c:v>
                </c:pt>
                <c:pt idx="2166">
                  <c:v>1116.17</c:v>
                </c:pt>
                <c:pt idx="2167">
                  <c:v>1116.17</c:v>
                </c:pt>
                <c:pt idx="2168">
                  <c:v>1060.36</c:v>
                </c:pt>
                <c:pt idx="2169">
                  <c:v>1057.88</c:v>
                </c:pt>
                <c:pt idx="2170">
                  <c:v>1054.16</c:v>
                </c:pt>
                <c:pt idx="2171">
                  <c:v>1054.16</c:v>
                </c:pt>
                <c:pt idx="2172">
                  <c:v>1054.16</c:v>
                </c:pt>
                <c:pt idx="2173">
                  <c:v>1054.16</c:v>
                </c:pt>
                <c:pt idx="2174">
                  <c:v>1054.16</c:v>
                </c:pt>
                <c:pt idx="2175">
                  <c:v>1054.16</c:v>
                </c:pt>
                <c:pt idx="2176">
                  <c:v>1057.88</c:v>
                </c:pt>
                <c:pt idx="2177">
                  <c:v>1057.88</c:v>
                </c:pt>
                <c:pt idx="2178">
                  <c:v>1063.47</c:v>
                </c:pt>
                <c:pt idx="2179">
                  <c:v>1063.47</c:v>
                </c:pt>
                <c:pt idx="2180">
                  <c:v>1054.16</c:v>
                </c:pt>
                <c:pt idx="2181">
                  <c:v>1063.47</c:v>
                </c:pt>
                <c:pt idx="2182">
                  <c:v>1054.16</c:v>
                </c:pt>
                <c:pt idx="2183">
                  <c:v>1054.16</c:v>
                </c:pt>
                <c:pt idx="2184">
                  <c:v>1116.17</c:v>
                </c:pt>
                <c:pt idx="2185">
                  <c:v>1153.38</c:v>
                </c:pt>
                <c:pt idx="2186">
                  <c:v>1119.27</c:v>
                </c:pt>
                <c:pt idx="2187">
                  <c:v>1178.18</c:v>
                </c:pt>
                <c:pt idx="2188">
                  <c:v>1178.18</c:v>
                </c:pt>
                <c:pt idx="2189">
                  <c:v>1209.19</c:v>
                </c:pt>
                <c:pt idx="2190">
                  <c:v>1209.19</c:v>
                </c:pt>
                <c:pt idx="2191">
                  <c:v>1227.79</c:v>
                </c:pt>
                <c:pt idx="2192">
                  <c:v>1227.79</c:v>
                </c:pt>
                <c:pt idx="2193">
                  <c:v>1219.73</c:v>
                </c:pt>
                <c:pt idx="2194">
                  <c:v>1227.79</c:v>
                </c:pt>
                <c:pt idx="2195">
                  <c:v>1227.79</c:v>
                </c:pt>
                <c:pt idx="2196">
                  <c:v>1227.79</c:v>
                </c:pt>
                <c:pt idx="2197">
                  <c:v>1221.59</c:v>
                </c:pt>
                <c:pt idx="2198">
                  <c:v>1221.59</c:v>
                </c:pt>
                <c:pt idx="2199">
                  <c:v>1221.59</c:v>
                </c:pt>
                <c:pt idx="2200">
                  <c:v>1221.59</c:v>
                </c:pt>
                <c:pt idx="2201">
                  <c:v>1221.59</c:v>
                </c:pt>
                <c:pt idx="2202">
                  <c:v>1221.59</c:v>
                </c:pt>
                <c:pt idx="2203">
                  <c:v>1240.19</c:v>
                </c:pt>
                <c:pt idx="2204">
                  <c:v>1209.19</c:v>
                </c:pt>
                <c:pt idx="2205">
                  <c:v>1240.19</c:v>
                </c:pt>
                <c:pt idx="2206">
                  <c:v>1240.19</c:v>
                </c:pt>
                <c:pt idx="2207">
                  <c:v>1178.18</c:v>
                </c:pt>
                <c:pt idx="2208">
                  <c:v>1178.18</c:v>
                </c:pt>
                <c:pt idx="2209">
                  <c:v>1178.18</c:v>
                </c:pt>
                <c:pt idx="2210">
                  <c:v>1215.39</c:v>
                </c:pt>
                <c:pt idx="2211">
                  <c:v>1181.28</c:v>
                </c:pt>
                <c:pt idx="2212">
                  <c:v>1178.18</c:v>
                </c:pt>
                <c:pt idx="2213">
                  <c:v>1162.68</c:v>
                </c:pt>
                <c:pt idx="2214">
                  <c:v>1135.4</c:v>
                </c:pt>
                <c:pt idx="2215">
                  <c:v>1135.4</c:v>
                </c:pt>
                <c:pt idx="2216">
                  <c:v>1135.4</c:v>
                </c:pt>
                <c:pt idx="2217">
                  <c:v>1145.83</c:v>
                </c:pt>
                <c:pt idx="2218">
                  <c:v>1150.74</c:v>
                </c:pt>
                <c:pt idx="2219">
                  <c:v>1138.47</c:v>
                </c:pt>
                <c:pt idx="2220">
                  <c:v>1166.08</c:v>
                </c:pt>
                <c:pt idx="2221">
                  <c:v>1166.08</c:v>
                </c:pt>
                <c:pt idx="2222">
                  <c:v>1196.77</c:v>
                </c:pt>
                <c:pt idx="2223">
                  <c:v>1227.46</c:v>
                </c:pt>
                <c:pt idx="2224">
                  <c:v>1227.46</c:v>
                </c:pt>
                <c:pt idx="2225">
                  <c:v>1288.83</c:v>
                </c:pt>
                <c:pt idx="2226">
                  <c:v>1288.83</c:v>
                </c:pt>
                <c:pt idx="2227">
                  <c:v>1316.45</c:v>
                </c:pt>
                <c:pt idx="2228">
                  <c:v>1318.29</c:v>
                </c:pt>
                <c:pt idx="2229">
                  <c:v>1319.51</c:v>
                </c:pt>
                <c:pt idx="2230">
                  <c:v>1331.79</c:v>
                </c:pt>
                <c:pt idx="2231">
                  <c:v>1349.59</c:v>
                </c:pt>
                <c:pt idx="2232">
                  <c:v>1350.2</c:v>
                </c:pt>
                <c:pt idx="2233">
                  <c:v>1350.2</c:v>
                </c:pt>
                <c:pt idx="2234">
                  <c:v>1362.48</c:v>
                </c:pt>
                <c:pt idx="2235">
                  <c:v>1334.86</c:v>
                </c:pt>
                <c:pt idx="2236">
                  <c:v>1334.86</c:v>
                </c:pt>
                <c:pt idx="2237">
                  <c:v>1319.51</c:v>
                </c:pt>
                <c:pt idx="2238">
                  <c:v>1258.14</c:v>
                </c:pt>
                <c:pt idx="2239">
                  <c:v>1227.46</c:v>
                </c:pt>
                <c:pt idx="2240">
                  <c:v>1227.46</c:v>
                </c:pt>
                <c:pt idx="2241">
                  <c:v>1227.46</c:v>
                </c:pt>
                <c:pt idx="2242">
                  <c:v>1189.4</c:v>
                </c:pt>
                <c:pt idx="2243">
                  <c:v>1185.11</c:v>
                </c:pt>
                <c:pt idx="2244">
                  <c:v>1150.74</c:v>
                </c:pt>
                <c:pt idx="2245">
                  <c:v>1147.67</c:v>
                </c:pt>
                <c:pt idx="2246">
                  <c:v>1138.47</c:v>
                </c:pt>
                <c:pt idx="2247">
                  <c:v>1138.47</c:v>
                </c:pt>
                <c:pt idx="2248">
                  <c:v>1136.01</c:v>
                </c:pt>
                <c:pt idx="2249">
                  <c:v>1136.01</c:v>
                </c:pt>
                <c:pt idx="2250">
                  <c:v>1104.71</c:v>
                </c:pt>
                <c:pt idx="2251">
                  <c:v>1104.71</c:v>
                </c:pt>
                <c:pt idx="2252">
                  <c:v>1104.71</c:v>
                </c:pt>
                <c:pt idx="2253">
                  <c:v>1104.71</c:v>
                </c:pt>
                <c:pt idx="2254">
                  <c:v>1105.32</c:v>
                </c:pt>
                <c:pt idx="2255">
                  <c:v>1104.71</c:v>
                </c:pt>
                <c:pt idx="2256">
                  <c:v>1105.32</c:v>
                </c:pt>
                <c:pt idx="2257">
                  <c:v>1104.71</c:v>
                </c:pt>
                <c:pt idx="2258">
                  <c:v>1101.64</c:v>
                </c:pt>
                <c:pt idx="2259">
                  <c:v>1101.64</c:v>
                </c:pt>
                <c:pt idx="2260">
                  <c:v>1046.41</c:v>
                </c:pt>
                <c:pt idx="2261">
                  <c:v>1046.41</c:v>
                </c:pt>
                <c:pt idx="2262">
                  <c:v>1046.41</c:v>
                </c:pt>
                <c:pt idx="2263">
                  <c:v>1043.95</c:v>
                </c:pt>
                <c:pt idx="2264">
                  <c:v>1012.65</c:v>
                </c:pt>
                <c:pt idx="2265">
                  <c:v>1012.65</c:v>
                </c:pt>
                <c:pt idx="2266">
                  <c:v>1012.65</c:v>
                </c:pt>
                <c:pt idx="2267">
                  <c:v>1024.93</c:v>
                </c:pt>
                <c:pt idx="2268">
                  <c:v>1027.99</c:v>
                </c:pt>
                <c:pt idx="2269">
                  <c:v>1018.79</c:v>
                </c:pt>
                <c:pt idx="2270">
                  <c:v>1027.99</c:v>
                </c:pt>
                <c:pt idx="2271">
                  <c:v>1013.26</c:v>
                </c:pt>
                <c:pt idx="2272">
                  <c:v>1013.26</c:v>
                </c:pt>
                <c:pt idx="2273">
                  <c:v>1012.65</c:v>
                </c:pt>
                <c:pt idx="2274">
                  <c:v>1012.65</c:v>
                </c:pt>
                <c:pt idx="2275">
                  <c:v>1012.65</c:v>
                </c:pt>
                <c:pt idx="2276">
                  <c:v>1012.65</c:v>
                </c:pt>
                <c:pt idx="2277">
                  <c:v>1012.65</c:v>
                </c:pt>
                <c:pt idx="2278">
                  <c:v>1012.65</c:v>
                </c:pt>
                <c:pt idx="2279">
                  <c:v>1012.65</c:v>
                </c:pt>
                <c:pt idx="2280">
                  <c:v>1012.65</c:v>
                </c:pt>
                <c:pt idx="2281">
                  <c:v>1012.65</c:v>
                </c:pt>
                <c:pt idx="2282">
                  <c:v>1012.65</c:v>
                </c:pt>
                <c:pt idx="2283">
                  <c:v>1012.65</c:v>
                </c:pt>
                <c:pt idx="2284">
                  <c:v>981.96</c:v>
                </c:pt>
                <c:pt idx="2285">
                  <c:v>985.03</c:v>
                </c:pt>
                <c:pt idx="2286">
                  <c:v>981.96</c:v>
                </c:pt>
                <c:pt idx="2287">
                  <c:v>981.96</c:v>
                </c:pt>
                <c:pt idx="2288">
                  <c:v>957.42</c:v>
                </c:pt>
                <c:pt idx="2289">
                  <c:v>957.42</c:v>
                </c:pt>
                <c:pt idx="2290">
                  <c:v>957.42</c:v>
                </c:pt>
                <c:pt idx="2291">
                  <c:v>969.69</c:v>
                </c:pt>
                <c:pt idx="2292">
                  <c:v>988.1</c:v>
                </c:pt>
                <c:pt idx="2293">
                  <c:v>981.96</c:v>
                </c:pt>
                <c:pt idx="2294">
                  <c:v>988.1</c:v>
                </c:pt>
                <c:pt idx="2295">
                  <c:v>994.24</c:v>
                </c:pt>
                <c:pt idx="2296">
                  <c:v>997.3099999999999</c:v>
                </c:pt>
                <c:pt idx="2297">
                  <c:v>1012.65</c:v>
                </c:pt>
                <c:pt idx="2298">
                  <c:v>1012.65</c:v>
                </c:pt>
                <c:pt idx="2299">
                  <c:v>1012.65</c:v>
                </c:pt>
                <c:pt idx="2300">
                  <c:v>1012.65</c:v>
                </c:pt>
                <c:pt idx="2301">
                  <c:v>1043.34</c:v>
                </c:pt>
                <c:pt idx="2302">
                  <c:v>1012.65</c:v>
                </c:pt>
                <c:pt idx="2303">
                  <c:v>1043.34</c:v>
                </c:pt>
                <c:pt idx="2304">
                  <c:v>1070.96</c:v>
                </c:pt>
                <c:pt idx="2305">
                  <c:v>1074.02</c:v>
                </c:pt>
                <c:pt idx="2306">
                  <c:v>1092.44</c:v>
                </c:pt>
                <c:pt idx="2307">
                  <c:v>1092.44</c:v>
                </c:pt>
                <c:pt idx="2308">
                  <c:v>1074.02</c:v>
                </c:pt>
                <c:pt idx="2309">
                  <c:v>1077.09</c:v>
                </c:pt>
                <c:pt idx="2310">
                  <c:v>1086.3</c:v>
                </c:pt>
                <c:pt idx="2311">
                  <c:v>1074.02</c:v>
                </c:pt>
                <c:pt idx="2312">
                  <c:v>1074.02</c:v>
                </c:pt>
                <c:pt idx="2313">
                  <c:v>1043.34</c:v>
                </c:pt>
                <c:pt idx="2314">
                  <c:v>1043.34</c:v>
                </c:pt>
                <c:pt idx="2315">
                  <c:v>1012.65</c:v>
                </c:pt>
                <c:pt idx="2316">
                  <c:v>1012.65</c:v>
                </c:pt>
                <c:pt idx="2317">
                  <c:v>1012.65</c:v>
                </c:pt>
                <c:pt idx="2318">
                  <c:v>1018.79</c:v>
                </c:pt>
                <c:pt idx="2319">
                  <c:v>1012.65</c:v>
                </c:pt>
                <c:pt idx="2320">
                  <c:v>1012.65</c:v>
                </c:pt>
                <c:pt idx="2321">
                  <c:v>1012.65</c:v>
                </c:pt>
                <c:pt idx="2322">
                  <c:v>994.24</c:v>
                </c:pt>
                <c:pt idx="2323">
                  <c:v>985.03</c:v>
                </c:pt>
                <c:pt idx="2324">
                  <c:v>981.96</c:v>
                </c:pt>
                <c:pt idx="2325">
                  <c:v>981.96</c:v>
                </c:pt>
                <c:pt idx="2326">
                  <c:v>981.96</c:v>
                </c:pt>
                <c:pt idx="2327">
                  <c:v>981.96</c:v>
                </c:pt>
                <c:pt idx="2328">
                  <c:v>1013.26</c:v>
                </c:pt>
                <c:pt idx="2329">
                  <c:v>977.05</c:v>
                </c:pt>
                <c:pt idx="2330">
                  <c:v>977.05</c:v>
                </c:pt>
                <c:pt idx="2331">
                  <c:v>976.46</c:v>
                </c:pt>
                <c:pt idx="2332">
                  <c:v>976.46</c:v>
                </c:pt>
                <c:pt idx="2333">
                  <c:v>976.46</c:v>
                </c:pt>
                <c:pt idx="2334">
                  <c:v>994.22</c:v>
                </c:pt>
                <c:pt idx="2335">
                  <c:v>994.22</c:v>
                </c:pt>
                <c:pt idx="2336">
                  <c:v>994.22</c:v>
                </c:pt>
                <c:pt idx="2337">
                  <c:v>976.46</c:v>
                </c:pt>
                <c:pt idx="2338">
                  <c:v>976.46</c:v>
                </c:pt>
                <c:pt idx="2339">
                  <c:v>976.46</c:v>
                </c:pt>
                <c:pt idx="2340">
                  <c:v>976.46</c:v>
                </c:pt>
                <c:pt idx="2341">
                  <c:v>978.83</c:v>
                </c:pt>
                <c:pt idx="2342">
                  <c:v>976.46</c:v>
                </c:pt>
                <c:pt idx="2343">
                  <c:v>976.46</c:v>
                </c:pt>
                <c:pt idx="2344">
                  <c:v>976.46</c:v>
                </c:pt>
                <c:pt idx="2345">
                  <c:v>976.46</c:v>
                </c:pt>
                <c:pt idx="2346">
                  <c:v>976.46</c:v>
                </c:pt>
                <c:pt idx="2347">
                  <c:v>976.46</c:v>
                </c:pt>
                <c:pt idx="2348">
                  <c:v>976.46</c:v>
                </c:pt>
                <c:pt idx="2349">
                  <c:v>979.42</c:v>
                </c:pt>
                <c:pt idx="2350">
                  <c:v>976.46</c:v>
                </c:pt>
                <c:pt idx="2351">
                  <c:v>994.22</c:v>
                </c:pt>
                <c:pt idx="2352">
                  <c:v>976.46</c:v>
                </c:pt>
                <c:pt idx="2353">
                  <c:v>976.46</c:v>
                </c:pt>
                <c:pt idx="2354">
                  <c:v>1006.05</c:v>
                </c:pt>
                <c:pt idx="2355">
                  <c:v>1026.77</c:v>
                </c:pt>
                <c:pt idx="2356">
                  <c:v>1026.77</c:v>
                </c:pt>
                <c:pt idx="2357">
                  <c:v>1023.81</c:v>
                </c:pt>
                <c:pt idx="2358">
                  <c:v>1035.64</c:v>
                </c:pt>
                <c:pt idx="2359">
                  <c:v>1035.64</c:v>
                </c:pt>
                <c:pt idx="2360">
                  <c:v>1035.64</c:v>
                </c:pt>
                <c:pt idx="2361">
                  <c:v>1035.64</c:v>
                </c:pt>
                <c:pt idx="2362">
                  <c:v>1052.8</c:v>
                </c:pt>
                <c:pt idx="2363">
                  <c:v>1035.64</c:v>
                </c:pt>
                <c:pt idx="2364">
                  <c:v>1035.64</c:v>
                </c:pt>
                <c:pt idx="2365">
                  <c:v>1017.89</c:v>
                </c:pt>
                <c:pt idx="2366">
                  <c:v>1017.89</c:v>
                </c:pt>
                <c:pt idx="2367">
                  <c:v>1029.72</c:v>
                </c:pt>
                <c:pt idx="2368">
                  <c:v>1029.72</c:v>
                </c:pt>
                <c:pt idx="2369">
                  <c:v>1029.72</c:v>
                </c:pt>
                <c:pt idx="2370">
                  <c:v>1006.05</c:v>
                </c:pt>
                <c:pt idx="2371">
                  <c:v>1035.64</c:v>
                </c:pt>
                <c:pt idx="2372">
                  <c:v>1065.23</c:v>
                </c:pt>
                <c:pt idx="2373">
                  <c:v>1050.44</c:v>
                </c:pt>
                <c:pt idx="2374">
                  <c:v>1020.85</c:v>
                </c:pt>
                <c:pt idx="2375">
                  <c:v>1006.05</c:v>
                </c:pt>
                <c:pt idx="2376">
                  <c:v>1009.01</c:v>
                </c:pt>
                <c:pt idx="2377">
                  <c:v>1006.05</c:v>
                </c:pt>
                <c:pt idx="2378">
                  <c:v>1006.05</c:v>
                </c:pt>
                <c:pt idx="2379">
                  <c:v>1006.05</c:v>
                </c:pt>
                <c:pt idx="2380">
                  <c:v>1006.05</c:v>
                </c:pt>
                <c:pt idx="2381">
                  <c:v>976.46</c:v>
                </c:pt>
                <c:pt idx="2382">
                  <c:v>1006.05</c:v>
                </c:pt>
                <c:pt idx="2383">
                  <c:v>991.26</c:v>
                </c:pt>
                <c:pt idx="2384">
                  <c:v>1003.09</c:v>
                </c:pt>
                <c:pt idx="2385">
                  <c:v>1006.05</c:v>
                </c:pt>
                <c:pt idx="2386">
                  <c:v>991.26</c:v>
                </c:pt>
                <c:pt idx="2387">
                  <c:v>991.26</c:v>
                </c:pt>
                <c:pt idx="2388">
                  <c:v>991.26</c:v>
                </c:pt>
                <c:pt idx="2389">
                  <c:v>991.26</c:v>
                </c:pt>
                <c:pt idx="2390">
                  <c:v>991.26</c:v>
                </c:pt>
                <c:pt idx="2391">
                  <c:v>982.38</c:v>
                </c:pt>
                <c:pt idx="2392">
                  <c:v>982.38</c:v>
                </c:pt>
                <c:pt idx="2393">
                  <c:v>982.38</c:v>
                </c:pt>
                <c:pt idx="2394">
                  <c:v>964.63</c:v>
                </c:pt>
                <c:pt idx="2395">
                  <c:v>935.04</c:v>
                </c:pt>
                <c:pt idx="2396">
                  <c:v>935.04</c:v>
                </c:pt>
                <c:pt idx="2397">
                  <c:v>929.12</c:v>
                </c:pt>
                <c:pt idx="2398">
                  <c:v>929.12</c:v>
                </c:pt>
                <c:pt idx="2399">
                  <c:v>929.12</c:v>
                </c:pt>
                <c:pt idx="2400">
                  <c:v>923.2</c:v>
                </c:pt>
                <c:pt idx="2401">
                  <c:v>923.2</c:v>
                </c:pt>
                <c:pt idx="2402">
                  <c:v>923.2</c:v>
                </c:pt>
                <c:pt idx="2403">
                  <c:v>923.2</c:v>
                </c:pt>
                <c:pt idx="2404">
                  <c:v>929.12</c:v>
                </c:pt>
                <c:pt idx="2405">
                  <c:v>935.04</c:v>
                </c:pt>
                <c:pt idx="2406">
                  <c:v>935.04</c:v>
                </c:pt>
                <c:pt idx="2407">
                  <c:v>935.04</c:v>
                </c:pt>
                <c:pt idx="2408">
                  <c:v>952.79</c:v>
                </c:pt>
                <c:pt idx="2409">
                  <c:v>964.04</c:v>
                </c:pt>
                <c:pt idx="2410">
                  <c:v>965.8099999999999</c:v>
                </c:pt>
                <c:pt idx="2411">
                  <c:v>946.87</c:v>
                </c:pt>
                <c:pt idx="2412">
                  <c:v>952.79</c:v>
                </c:pt>
                <c:pt idx="2413">
                  <c:v>952.79</c:v>
                </c:pt>
                <c:pt idx="2414">
                  <c:v>952.79</c:v>
                </c:pt>
                <c:pt idx="2415">
                  <c:v>952.79</c:v>
                </c:pt>
                <c:pt idx="2416">
                  <c:v>923.2</c:v>
                </c:pt>
                <c:pt idx="2417">
                  <c:v>923.2</c:v>
                </c:pt>
                <c:pt idx="2418">
                  <c:v>920.83</c:v>
                </c:pt>
                <c:pt idx="2419">
                  <c:v>920.83</c:v>
                </c:pt>
                <c:pt idx="2420">
                  <c:v>917.88</c:v>
                </c:pt>
                <c:pt idx="2421">
                  <c:v>917.88</c:v>
                </c:pt>
                <c:pt idx="2422">
                  <c:v>917.28</c:v>
                </c:pt>
                <c:pt idx="2423">
                  <c:v>917.28</c:v>
                </c:pt>
                <c:pt idx="2424">
                  <c:v>946.87</c:v>
                </c:pt>
                <c:pt idx="2425">
                  <c:v>946.87</c:v>
                </c:pt>
                <c:pt idx="2426">
                  <c:v>967.59</c:v>
                </c:pt>
                <c:pt idx="2427">
                  <c:v>967.59</c:v>
                </c:pt>
                <c:pt idx="2428">
                  <c:v>976.46</c:v>
                </c:pt>
                <c:pt idx="2429">
                  <c:v>976.46</c:v>
                </c:pt>
                <c:pt idx="2430">
                  <c:v>976.46</c:v>
                </c:pt>
                <c:pt idx="2431">
                  <c:v>976.46</c:v>
                </c:pt>
                <c:pt idx="2432">
                  <c:v>982.97</c:v>
                </c:pt>
                <c:pt idx="2433">
                  <c:v>982.97</c:v>
                </c:pt>
                <c:pt idx="2434">
                  <c:v>982.97</c:v>
                </c:pt>
                <c:pt idx="2435">
                  <c:v>982.38</c:v>
                </c:pt>
                <c:pt idx="2436">
                  <c:v>994.8099999999999</c:v>
                </c:pt>
                <c:pt idx="2437">
                  <c:v>994.8099999999999</c:v>
                </c:pt>
                <c:pt idx="2438">
                  <c:v>1006.05</c:v>
                </c:pt>
                <c:pt idx="2439">
                  <c:v>1006.05</c:v>
                </c:pt>
                <c:pt idx="2440">
                  <c:v>994.22</c:v>
                </c:pt>
                <c:pt idx="2441">
                  <c:v>994.22</c:v>
                </c:pt>
                <c:pt idx="2442">
                  <c:v>994.22</c:v>
                </c:pt>
                <c:pt idx="2443">
                  <c:v>975.87</c:v>
                </c:pt>
                <c:pt idx="2444">
                  <c:v>961.67</c:v>
                </c:pt>
                <c:pt idx="2445">
                  <c:v>994.22</c:v>
                </c:pt>
                <c:pt idx="2446">
                  <c:v>994.22</c:v>
                </c:pt>
                <c:pt idx="2447">
                  <c:v>994.22</c:v>
                </c:pt>
                <c:pt idx="2448">
                  <c:v>961.67</c:v>
                </c:pt>
                <c:pt idx="2449">
                  <c:v>961.67</c:v>
                </c:pt>
                <c:pt idx="2450">
                  <c:v>976.46</c:v>
                </c:pt>
                <c:pt idx="2451">
                  <c:v>932.08</c:v>
                </c:pt>
                <c:pt idx="2452">
                  <c:v>926.16</c:v>
                </c:pt>
                <c:pt idx="2453">
                  <c:v>946.87</c:v>
                </c:pt>
                <c:pt idx="2454">
                  <c:v>946.87</c:v>
                </c:pt>
                <c:pt idx="2455">
                  <c:v>932.08</c:v>
                </c:pt>
                <c:pt idx="2456">
                  <c:v>932.08</c:v>
                </c:pt>
                <c:pt idx="2457">
                  <c:v>932.08</c:v>
                </c:pt>
                <c:pt idx="2458">
                  <c:v>932.08</c:v>
                </c:pt>
                <c:pt idx="2459">
                  <c:v>932.08</c:v>
                </c:pt>
                <c:pt idx="2460">
                  <c:v>858.1</c:v>
                </c:pt>
                <c:pt idx="2461">
                  <c:v>858.1</c:v>
                </c:pt>
                <c:pt idx="2462">
                  <c:v>932.08</c:v>
                </c:pt>
                <c:pt idx="2463">
                  <c:v>932.08</c:v>
                </c:pt>
                <c:pt idx="2464">
                  <c:v>923.2</c:v>
                </c:pt>
                <c:pt idx="2465">
                  <c:v>923.2</c:v>
                </c:pt>
                <c:pt idx="2466">
                  <c:v>914.41</c:v>
                </c:pt>
                <c:pt idx="2467">
                  <c:v>914.41</c:v>
                </c:pt>
                <c:pt idx="2468">
                  <c:v>908.55</c:v>
                </c:pt>
                <c:pt idx="2469">
                  <c:v>896.82</c:v>
                </c:pt>
                <c:pt idx="2470">
                  <c:v>893.89</c:v>
                </c:pt>
                <c:pt idx="2471">
                  <c:v>879.24</c:v>
                </c:pt>
                <c:pt idx="2472">
                  <c:v>908.55</c:v>
                </c:pt>
                <c:pt idx="2473">
                  <c:v>908.55</c:v>
                </c:pt>
                <c:pt idx="2474">
                  <c:v>908.55</c:v>
                </c:pt>
                <c:pt idx="2475">
                  <c:v>920.27</c:v>
                </c:pt>
                <c:pt idx="2476">
                  <c:v>908.55</c:v>
                </c:pt>
                <c:pt idx="2477">
                  <c:v>914.41</c:v>
                </c:pt>
                <c:pt idx="2478">
                  <c:v>908.55</c:v>
                </c:pt>
                <c:pt idx="2479">
                  <c:v>902.69</c:v>
                </c:pt>
                <c:pt idx="2480">
                  <c:v>907.96</c:v>
                </c:pt>
                <c:pt idx="2481">
                  <c:v>879.24</c:v>
                </c:pt>
                <c:pt idx="2482">
                  <c:v>879.24</c:v>
                </c:pt>
                <c:pt idx="2483">
                  <c:v>896.82</c:v>
                </c:pt>
                <c:pt idx="2484">
                  <c:v>885.1</c:v>
                </c:pt>
                <c:pt idx="2485">
                  <c:v>908.55</c:v>
                </c:pt>
                <c:pt idx="2486">
                  <c:v>879.24</c:v>
                </c:pt>
                <c:pt idx="2487">
                  <c:v>879.24</c:v>
                </c:pt>
                <c:pt idx="2488">
                  <c:v>879.24</c:v>
                </c:pt>
                <c:pt idx="2489">
                  <c:v>899.76</c:v>
                </c:pt>
                <c:pt idx="2490">
                  <c:v>890.96</c:v>
                </c:pt>
                <c:pt idx="2491">
                  <c:v>899.76</c:v>
                </c:pt>
                <c:pt idx="2492">
                  <c:v>899.76</c:v>
                </c:pt>
                <c:pt idx="2493">
                  <c:v>902.69</c:v>
                </c:pt>
                <c:pt idx="2494">
                  <c:v>902.69</c:v>
                </c:pt>
                <c:pt idx="2495">
                  <c:v>879.24</c:v>
                </c:pt>
                <c:pt idx="2496">
                  <c:v>926.13</c:v>
                </c:pt>
                <c:pt idx="2497">
                  <c:v>893.89</c:v>
                </c:pt>
                <c:pt idx="2498">
                  <c:v>885.1</c:v>
                </c:pt>
                <c:pt idx="2499">
                  <c:v>879.24</c:v>
                </c:pt>
                <c:pt idx="2500">
                  <c:v>893.89</c:v>
                </c:pt>
                <c:pt idx="2501">
                  <c:v>893.89</c:v>
                </c:pt>
                <c:pt idx="2502">
                  <c:v>893.89</c:v>
                </c:pt>
                <c:pt idx="2503">
                  <c:v>937.86</c:v>
                </c:pt>
                <c:pt idx="2504">
                  <c:v>938.4400000000001</c:v>
                </c:pt>
                <c:pt idx="2505">
                  <c:v>937.86</c:v>
                </c:pt>
                <c:pt idx="2506">
                  <c:v>943.72</c:v>
                </c:pt>
                <c:pt idx="2507">
                  <c:v>920.27</c:v>
                </c:pt>
                <c:pt idx="2508">
                  <c:v>920.27</c:v>
                </c:pt>
                <c:pt idx="2509">
                  <c:v>892.13</c:v>
                </c:pt>
                <c:pt idx="2510">
                  <c:v>867.52</c:v>
                </c:pt>
                <c:pt idx="2511">
                  <c:v>867.52</c:v>
                </c:pt>
                <c:pt idx="2512">
                  <c:v>861.65</c:v>
                </c:pt>
                <c:pt idx="2513">
                  <c:v>852.86</c:v>
                </c:pt>
                <c:pt idx="2514">
                  <c:v>858.72</c:v>
                </c:pt>
                <c:pt idx="2515">
                  <c:v>864.59</c:v>
                </c:pt>
                <c:pt idx="2516">
                  <c:v>873.38</c:v>
                </c:pt>
                <c:pt idx="2517">
                  <c:v>873.38</c:v>
                </c:pt>
                <c:pt idx="2518">
                  <c:v>876.3099999999999</c:v>
                </c:pt>
                <c:pt idx="2519">
                  <c:v>876.3099999999999</c:v>
                </c:pt>
                <c:pt idx="2520">
                  <c:v>879.24</c:v>
                </c:pt>
                <c:pt idx="2521">
                  <c:v>879.24</c:v>
                </c:pt>
                <c:pt idx="2522">
                  <c:v>908.55</c:v>
                </c:pt>
                <c:pt idx="2523">
                  <c:v>882.17</c:v>
                </c:pt>
                <c:pt idx="2524">
                  <c:v>882.17</c:v>
                </c:pt>
                <c:pt idx="2525">
                  <c:v>879.24</c:v>
                </c:pt>
                <c:pt idx="2526">
                  <c:v>878.65</c:v>
                </c:pt>
                <c:pt idx="2527">
                  <c:v>867.52</c:v>
                </c:pt>
                <c:pt idx="2528">
                  <c:v>867.52</c:v>
                </c:pt>
                <c:pt idx="2529">
                  <c:v>849.9299999999999</c:v>
                </c:pt>
                <c:pt idx="2530">
                  <c:v>849.9299999999999</c:v>
                </c:pt>
                <c:pt idx="2531">
                  <c:v>838.21</c:v>
                </c:pt>
                <c:pt idx="2532">
                  <c:v>849.9299999999999</c:v>
                </c:pt>
                <c:pt idx="2533">
                  <c:v>838.21</c:v>
                </c:pt>
                <c:pt idx="2534">
                  <c:v>849.9299999999999</c:v>
                </c:pt>
                <c:pt idx="2535">
                  <c:v>855.79</c:v>
                </c:pt>
                <c:pt idx="2536">
                  <c:v>864.59</c:v>
                </c:pt>
                <c:pt idx="2537">
                  <c:v>864.59</c:v>
                </c:pt>
                <c:pt idx="2538">
                  <c:v>867.52</c:v>
                </c:pt>
                <c:pt idx="2539">
                  <c:v>864.59</c:v>
                </c:pt>
                <c:pt idx="2540">
                  <c:v>864.59</c:v>
                </c:pt>
                <c:pt idx="2541">
                  <c:v>878.65</c:v>
                </c:pt>
                <c:pt idx="2542">
                  <c:v>879.24</c:v>
                </c:pt>
                <c:pt idx="2543">
                  <c:v>879.83</c:v>
                </c:pt>
                <c:pt idx="2544">
                  <c:v>879.83</c:v>
                </c:pt>
                <c:pt idx="2545">
                  <c:v>879.24</c:v>
                </c:pt>
                <c:pt idx="2546">
                  <c:v>908.55</c:v>
                </c:pt>
                <c:pt idx="2547">
                  <c:v>893.89</c:v>
                </c:pt>
                <c:pt idx="2548">
                  <c:v>902.69</c:v>
                </c:pt>
                <c:pt idx="2549">
                  <c:v>908.55</c:v>
                </c:pt>
                <c:pt idx="2550">
                  <c:v>908.55</c:v>
                </c:pt>
                <c:pt idx="2551">
                  <c:v>923.2</c:v>
                </c:pt>
                <c:pt idx="2552">
                  <c:v>926.13</c:v>
                </c:pt>
                <c:pt idx="2553">
                  <c:v>923.2</c:v>
                </c:pt>
                <c:pt idx="2554">
                  <c:v>890.96</c:v>
                </c:pt>
                <c:pt idx="2555">
                  <c:v>907.96</c:v>
                </c:pt>
                <c:pt idx="2556">
                  <c:v>896.82</c:v>
                </c:pt>
                <c:pt idx="2557">
                  <c:v>896.82</c:v>
                </c:pt>
                <c:pt idx="2558">
                  <c:v>896.82</c:v>
                </c:pt>
                <c:pt idx="2559">
                  <c:v>908.55</c:v>
                </c:pt>
                <c:pt idx="2560">
                  <c:v>893.89</c:v>
                </c:pt>
                <c:pt idx="2561">
                  <c:v>893.89</c:v>
                </c:pt>
                <c:pt idx="2562">
                  <c:v>885.1</c:v>
                </c:pt>
                <c:pt idx="2563">
                  <c:v>908.55</c:v>
                </c:pt>
                <c:pt idx="2564">
                  <c:v>908.55</c:v>
                </c:pt>
                <c:pt idx="2565">
                  <c:v>902.69</c:v>
                </c:pt>
                <c:pt idx="2566">
                  <c:v>885.1</c:v>
                </c:pt>
                <c:pt idx="2567">
                  <c:v>885.1</c:v>
                </c:pt>
                <c:pt idx="2568">
                  <c:v>890.96</c:v>
                </c:pt>
                <c:pt idx="2569">
                  <c:v>890.96</c:v>
                </c:pt>
                <c:pt idx="2570">
                  <c:v>879.24</c:v>
                </c:pt>
                <c:pt idx="2571">
                  <c:v>890.96</c:v>
                </c:pt>
                <c:pt idx="2572">
                  <c:v>917.34</c:v>
                </c:pt>
                <c:pt idx="2573">
                  <c:v>917.34</c:v>
                </c:pt>
                <c:pt idx="2574">
                  <c:v>917.34</c:v>
                </c:pt>
                <c:pt idx="2575">
                  <c:v>920.27</c:v>
                </c:pt>
                <c:pt idx="2576">
                  <c:v>920.27</c:v>
                </c:pt>
                <c:pt idx="2577">
                  <c:v>903.27</c:v>
                </c:pt>
                <c:pt idx="2578">
                  <c:v>903.27</c:v>
                </c:pt>
                <c:pt idx="2579">
                  <c:v>877.87</c:v>
                </c:pt>
                <c:pt idx="2580">
                  <c:v>877.87</c:v>
                </c:pt>
                <c:pt idx="2581">
                  <c:v>877.87</c:v>
                </c:pt>
                <c:pt idx="2582">
                  <c:v>877.87</c:v>
                </c:pt>
                <c:pt idx="2583">
                  <c:v>877.87</c:v>
                </c:pt>
                <c:pt idx="2584">
                  <c:v>891.98</c:v>
                </c:pt>
                <c:pt idx="2585">
                  <c:v>891.98</c:v>
                </c:pt>
                <c:pt idx="2586">
                  <c:v>900.45</c:v>
                </c:pt>
                <c:pt idx="2587">
                  <c:v>891.98</c:v>
                </c:pt>
                <c:pt idx="2588">
                  <c:v>903.27</c:v>
                </c:pt>
                <c:pt idx="2589">
                  <c:v>903.27</c:v>
                </c:pt>
                <c:pt idx="2590">
                  <c:v>903.27</c:v>
                </c:pt>
                <c:pt idx="2591">
                  <c:v>903.27</c:v>
                </c:pt>
                <c:pt idx="2592">
                  <c:v>925.85</c:v>
                </c:pt>
                <c:pt idx="2593">
                  <c:v>900.45</c:v>
                </c:pt>
                <c:pt idx="2594">
                  <c:v>900.45</c:v>
                </c:pt>
                <c:pt idx="2595">
                  <c:v>889.16</c:v>
                </c:pt>
                <c:pt idx="2596">
                  <c:v>875.04</c:v>
                </c:pt>
                <c:pt idx="2597">
                  <c:v>875.04</c:v>
                </c:pt>
                <c:pt idx="2598">
                  <c:v>880.69</c:v>
                </c:pt>
                <c:pt idx="2599">
                  <c:v>875.04</c:v>
                </c:pt>
                <c:pt idx="2600">
                  <c:v>875.04</c:v>
                </c:pt>
                <c:pt idx="2601">
                  <c:v>875.04</c:v>
                </c:pt>
                <c:pt idx="2602">
                  <c:v>880.69</c:v>
                </c:pt>
                <c:pt idx="2603">
                  <c:v>881.25</c:v>
                </c:pt>
                <c:pt idx="2604">
                  <c:v>881.25</c:v>
                </c:pt>
                <c:pt idx="2605">
                  <c:v>880.69</c:v>
                </c:pt>
                <c:pt idx="2606">
                  <c:v>880.69</c:v>
                </c:pt>
                <c:pt idx="2607">
                  <c:v>875.04</c:v>
                </c:pt>
                <c:pt idx="2608">
                  <c:v>882.95</c:v>
                </c:pt>
                <c:pt idx="2609">
                  <c:v>877.87</c:v>
                </c:pt>
                <c:pt idx="2610">
                  <c:v>875.04</c:v>
                </c:pt>
                <c:pt idx="2611">
                  <c:v>875.04</c:v>
                </c:pt>
                <c:pt idx="2612">
                  <c:v>875.04</c:v>
                </c:pt>
                <c:pt idx="2613">
                  <c:v>872.22</c:v>
                </c:pt>
                <c:pt idx="2614">
                  <c:v>875.04</c:v>
                </c:pt>
                <c:pt idx="2615">
                  <c:v>846.82</c:v>
                </c:pt>
                <c:pt idx="2616">
                  <c:v>841.17</c:v>
                </c:pt>
                <c:pt idx="2617">
                  <c:v>841.17</c:v>
                </c:pt>
                <c:pt idx="2618">
                  <c:v>827.0599999999999</c:v>
                </c:pt>
                <c:pt idx="2619">
                  <c:v>824.24</c:v>
                </c:pt>
                <c:pt idx="2620">
                  <c:v>818.59</c:v>
                </c:pt>
                <c:pt idx="2621">
                  <c:v>818.59</c:v>
                </c:pt>
                <c:pt idx="2622">
                  <c:v>798.83</c:v>
                </c:pt>
                <c:pt idx="2623">
                  <c:v>790.36</c:v>
                </c:pt>
                <c:pt idx="2624">
                  <c:v>824.24</c:v>
                </c:pt>
                <c:pt idx="2625">
                  <c:v>824.24</c:v>
                </c:pt>
                <c:pt idx="2626">
                  <c:v>818.59</c:v>
                </c:pt>
                <c:pt idx="2627">
                  <c:v>818.59</c:v>
                </c:pt>
                <c:pt idx="2628">
                  <c:v>818.59</c:v>
                </c:pt>
                <c:pt idx="2629">
                  <c:v>818.59</c:v>
                </c:pt>
                <c:pt idx="2630">
                  <c:v>818.59</c:v>
                </c:pt>
                <c:pt idx="2631">
                  <c:v>846.82</c:v>
                </c:pt>
                <c:pt idx="2632">
                  <c:v>810.12</c:v>
                </c:pt>
                <c:pt idx="2633">
                  <c:v>810.12</c:v>
                </c:pt>
                <c:pt idx="2634">
                  <c:v>810.12</c:v>
                </c:pt>
                <c:pt idx="2635">
                  <c:v>831.57</c:v>
                </c:pt>
                <c:pt idx="2636">
                  <c:v>846.82</c:v>
                </c:pt>
                <c:pt idx="2637">
                  <c:v>846.82</c:v>
                </c:pt>
                <c:pt idx="2638">
                  <c:v>846.82</c:v>
                </c:pt>
                <c:pt idx="2639">
                  <c:v>846.82</c:v>
                </c:pt>
                <c:pt idx="2640">
                  <c:v>846.82</c:v>
                </c:pt>
                <c:pt idx="2641">
                  <c:v>846.82</c:v>
                </c:pt>
                <c:pt idx="2642">
                  <c:v>846.82</c:v>
                </c:pt>
                <c:pt idx="2643">
                  <c:v>846.82</c:v>
                </c:pt>
                <c:pt idx="2644">
                  <c:v>858.11</c:v>
                </c:pt>
                <c:pt idx="2645">
                  <c:v>869.4</c:v>
                </c:pt>
                <c:pt idx="2646">
                  <c:v>869.4</c:v>
                </c:pt>
                <c:pt idx="2647">
                  <c:v>869.4</c:v>
                </c:pt>
                <c:pt idx="2648">
                  <c:v>866.58</c:v>
                </c:pt>
                <c:pt idx="2649">
                  <c:v>866.58</c:v>
                </c:pt>
                <c:pt idx="2650">
                  <c:v>877.3</c:v>
                </c:pt>
                <c:pt idx="2651">
                  <c:v>886.34</c:v>
                </c:pt>
                <c:pt idx="2652">
                  <c:v>886.34</c:v>
                </c:pt>
                <c:pt idx="2653">
                  <c:v>880.69</c:v>
                </c:pt>
                <c:pt idx="2654">
                  <c:v>886.34</c:v>
                </c:pt>
                <c:pt idx="2655">
                  <c:v>869.4</c:v>
                </c:pt>
                <c:pt idx="2656">
                  <c:v>866.58</c:v>
                </c:pt>
                <c:pt idx="2657">
                  <c:v>860.9299999999999</c:v>
                </c:pt>
                <c:pt idx="2658">
                  <c:v>847.38</c:v>
                </c:pt>
                <c:pt idx="2659">
                  <c:v>847.38</c:v>
                </c:pt>
                <c:pt idx="2660">
                  <c:v>847.38</c:v>
                </c:pt>
                <c:pt idx="2661">
                  <c:v>860.9299999999999</c:v>
                </c:pt>
                <c:pt idx="2662">
                  <c:v>875.61</c:v>
                </c:pt>
                <c:pt idx="2663">
                  <c:v>903.27</c:v>
                </c:pt>
                <c:pt idx="2664">
                  <c:v>903.27</c:v>
                </c:pt>
                <c:pt idx="2665">
                  <c:v>903.27</c:v>
                </c:pt>
                <c:pt idx="2666">
                  <c:v>903.27</c:v>
                </c:pt>
                <c:pt idx="2667">
                  <c:v>903.27</c:v>
                </c:pt>
                <c:pt idx="2668">
                  <c:v>903.27</c:v>
                </c:pt>
                <c:pt idx="2669">
                  <c:v>903.27</c:v>
                </c:pt>
                <c:pt idx="2670">
                  <c:v>903.27</c:v>
                </c:pt>
                <c:pt idx="2671">
                  <c:v>909.48</c:v>
                </c:pt>
                <c:pt idx="2672">
                  <c:v>903.27</c:v>
                </c:pt>
                <c:pt idx="2673">
                  <c:v>903.27</c:v>
                </c:pt>
                <c:pt idx="2674">
                  <c:v>875.04</c:v>
                </c:pt>
                <c:pt idx="2675">
                  <c:v>875.04</c:v>
                </c:pt>
                <c:pt idx="2676">
                  <c:v>908.92</c:v>
                </c:pt>
                <c:pt idx="2677">
                  <c:v>903.27</c:v>
                </c:pt>
                <c:pt idx="2678">
                  <c:v>903.27</c:v>
                </c:pt>
                <c:pt idx="2679">
                  <c:v>903.27</c:v>
                </c:pt>
                <c:pt idx="2680">
                  <c:v>858.11</c:v>
                </c:pt>
                <c:pt idx="2681">
                  <c:v>846.82</c:v>
                </c:pt>
                <c:pt idx="2682">
                  <c:v>846.82</c:v>
                </c:pt>
                <c:pt idx="2683">
                  <c:v>846.82</c:v>
                </c:pt>
                <c:pt idx="2684">
                  <c:v>846.82</c:v>
                </c:pt>
                <c:pt idx="2685">
                  <c:v>846.82</c:v>
                </c:pt>
                <c:pt idx="2686">
                  <c:v>832.7</c:v>
                </c:pt>
                <c:pt idx="2687">
                  <c:v>821.41</c:v>
                </c:pt>
                <c:pt idx="2688">
                  <c:v>821.41</c:v>
                </c:pt>
                <c:pt idx="2689">
                  <c:v>821.41</c:v>
                </c:pt>
                <c:pt idx="2690">
                  <c:v>818.59</c:v>
                </c:pt>
                <c:pt idx="2691">
                  <c:v>818.59</c:v>
                </c:pt>
                <c:pt idx="2692">
                  <c:v>818.59</c:v>
                </c:pt>
                <c:pt idx="2693">
                  <c:v>818.59</c:v>
                </c:pt>
                <c:pt idx="2694">
                  <c:v>798.83</c:v>
                </c:pt>
                <c:pt idx="2695">
                  <c:v>801.65</c:v>
                </c:pt>
                <c:pt idx="2696">
                  <c:v>801.65</c:v>
                </c:pt>
                <c:pt idx="2697">
                  <c:v>804.48</c:v>
                </c:pt>
                <c:pt idx="2698">
                  <c:v>804.48</c:v>
                </c:pt>
                <c:pt idx="2699">
                  <c:v>790.36</c:v>
                </c:pt>
                <c:pt idx="2700">
                  <c:v>790.36</c:v>
                </c:pt>
                <c:pt idx="2701">
                  <c:v>750.84</c:v>
                </c:pt>
                <c:pt idx="2702">
                  <c:v>750.84</c:v>
                </c:pt>
                <c:pt idx="2703">
                  <c:v>750.84</c:v>
                </c:pt>
                <c:pt idx="2704">
                  <c:v>750.84</c:v>
                </c:pt>
                <c:pt idx="2705">
                  <c:v>750.84</c:v>
                </c:pt>
                <c:pt idx="2706">
                  <c:v>762.14</c:v>
                </c:pt>
                <c:pt idx="2707">
                  <c:v>761.57</c:v>
                </c:pt>
                <c:pt idx="2708">
                  <c:v>762.14</c:v>
                </c:pt>
                <c:pt idx="2709">
                  <c:v>762.14</c:v>
                </c:pt>
                <c:pt idx="2710">
                  <c:v>762.14</c:v>
                </c:pt>
                <c:pt idx="2711">
                  <c:v>762.14</c:v>
                </c:pt>
                <c:pt idx="2712">
                  <c:v>762.14</c:v>
                </c:pt>
                <c:pt idx="2713">
                  <c:v>773.4299999999999</c:v>
                </c:pt>
                <c:pt idx="2714">
                  <c:v>767.84</c:v>
                </c:pt>
                <c:pt idx="2715">
                  <c:v>767.84</c:v>
                </c:pt>
                <c:pt idx="2716">
                  <c:v>770.08</c:v>
                </c:pt>
                <c:pt idx="2717">
                  <c:v>773.4299999999999</c:v>
                </c:pt>
                <c:pt idx="2718">
                  <c:v>781.8</c:v>
                </c:pt>
                <c:pt idx="2719">
                  <c:v>781.8</c:v>
                </c:pt>
                <c:pt idx="2720">
                  <c:v>781.8</c:v>
                </c:pt>
                <c:pt idx="2721">
                  <c:v>753.88</c:v>
                </c:pt>
                <c:pt idx="2722">
                  <c:v>742.71</c:v>
                </c:pt>
                <c:pt idx="2723">
                  <c:v>742.71</c:v>
                </c:pt>
                <c:pt idx="2724">
                  <c:v>742.71</c:v>
                </c:pt>
                <c:pt idx="2725">
                  <c:v>756.12</c:v>
                </c:pt>
                <c:pt idx="2726">
                  <c:v>759.47</c:v>
                </c:pt>
                <c:pt idx="2727">
                  <c:v>759.47</c:v>
                </c:pt>
                <c:pt idx="2728">
                  <c:v>759.47</c:v>
                </c:pt>
                <c:pt idx="2729">
                  <c:v>748.3</c:v>
                </c:pt>
                <c:pt idx="2730">
                  <c:v>737.69</c:v>
                </c:pt>
                <c:pt idx="2731">
                  <c:v>759.47</c:v>
                </c:pt>
                <c:pt idx="2732">
                  <c:v>762.82</c:v>
                </c:pt>
                <c:pt idx="2733">
                  <c:v>762.82</c:v>
                </c:pt>
                <c:pt idx="2734">
                  <c:v>753.88</c:v>
                </c:pt>
                <c:pt idx="2735">
                  <c:v>753.88</c:v>
                </c:pt>
                <c:pt idx="2736">
                  <c:v>753.88</c:v>
                </c:pt>
                <c:pt idx="2737">
                  <c:v>753.88</c:v>
                </c:pt>
                <c:pt idx="2738">
                  <c:v>753.88</c:v>
                </c:pt>
                <c:pt idx="2739">
                  <c:v>753.88</c:v>
                </c:pt>
                <c:pt idx="2740">
                  <c:v>753.88</c:v>
                </c:pt>
                <c:pt idx="2741">
                  <c:v>725.96</c:v>
                </c:pt>
                <c:pt idx="2742">
                  <c:v>734.34</c:v>
                </c:pt>
                <c:pt idx="2743">
                  <c:v>725.96</c:v>
                </c:pt>
                <c:pt idx="2744">
                  <c:v>714.79</c:v>
                </c:pt>
                <c:pt idx="2745">
                  <c:v>725.96</c:v>
                </c:pt>
                <c:pt idx="2746">
                  <c:v>725.96</c:v>
                </c:pt>
                <c:pt idx="2747">
                  <c:v>725.96</c:v>
                </c:pt>
                <c:pt idx="2748">
                  <c:v>703.62</c:v>
                </c:pt>
              </c:numCache>
            </c:numRef>
          </c:val>
          <c:smooth val="0"/>
        </c:ser>
        <c:dLbls>
          <c:showLegendKey val="0"/>
          <c:showVal val="0"/>
          <c:showCatName val="0"/>
          <c:showSerName val="0"/>
          <c:showPercent val="0"/>
          <c:showBubbleSize val="0"/>
        </c:dLbls>
        <c:marker val="1"/>
        <c:smooth val="0"/>
        <c:axId val="2121191864"/>
        <c:axId val="-2108233032"/>
      </c:lineChart>
      <c:dateAx>
        <c:axId val="2121191864"/>
        <c:scaling>
          <c:orientation val="minMax"/>
        </c:scaling>
        <c:delete val="0"/>
        <c:axPos val="b"/>
        <c:numFmt formatCode="m/d/yy" sourceLinked="1"/>
        <c:majorTickMark val="out"/>
        <c:minorTickMark val="none"/>
        <c:tickLblPos val="nextTo"/>
        <c:crossAx val="-2108233032"/>
        <c:crosses val="autoZero"/>
        <c:auto val="1"/>
        <c:lblOffset val="100"/>
        <c:baseTimeUnit val="days"/>
      </c:dateAx>
      <c:valAx>
        <c:axId val="-2108233032"/>
        <c:scaling>
          <c:orientation val="minMax"/>
        </c:scaling>
        <c:delete val="0"/>
        <c:axPos val="l"/>
        <c:majorGridlines/>
        <c:numFmt formatCode="General" sourceLinked="1"/>
        <c:majorTickMark val="out"/>
        <c:minorTickMark val="none"/>
        <c:tickLblPos val="nextTo"/>
        <c:crossAx val="2121191864"/>
        <c:crosses val="autoZero"/>
        <c:crossBetween val="between"/>
      </c:valAx>
    </c:plotArea>
    <c:plotVisOnly val="1"/>
    <c:dispBlanksAs val="gap"/>
    <c:showDLblsOverMax val="0"/>
  </c:chart>
  <c:printSettings>
    <c:headerFooter/>
    <c:pageMargins b="1.0" l="0.75" r="0.75" t="1.0"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JSE,</a:t>
            </a:r>
            <a:r>
              <a:rPr lang="en-US" sz="1600" baseline="0"/>
              <a:t> </a:t>
            </a:r>
            <a:r>
              <a:rPr lang="en-US" sz="1600"/>
              <a:t>Oceana Stock Performance (ZAc) </a:t>
            </a:r>
          </a:p>
        </c:rich>
      </c:tx>
      <c:layout/>
      <c:overlay val="0"/>
    </c:title>
    <c:autoTitleDeleted val="0"/>
    <c:plotArea>
      <c:layout/>
      <c:lineChart>
        <c:grouping val="standard"/>
        <c:varyColors val="0"/>
        <c:ser>
          <c:idx val="1"/>
          <c:order val="1"/>
          <c:spPr>
            <a:ln w="12700">
              <a:solidFill>
                <a:schemeClr val="tx2">
                  <a:lumMod val="50000"/>
                </a:schemeClr>
              </a:solidFill>
            </a:ln>
          </c:spPr>
          <c:marker>
            <c:symbol val="none"/>
          </c:marker>
          <c:cat>
            <c:numRef>
              <c:f>'4g. Oceana Stock'!$A$9:$A$2757</c:f>
              <c:numCache>
                <c:formatCode>m/d/yy</c:formatCode>
                <c:ptCount val="2749"/>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49">
                  <c:v>41397.0</c:v>
                </c:pt>
                <c:pt idx="750">
                  <c:v>41396.0</c:v>
                </c:pt>
                <c:pt idx="751">
                  <c:v>41394.0</c:v>
                </c:pt>
                <c:pt idx="752">
                  <c:v>41393.0</c:v>
                </c:pt>
                <c:pt idx="753">
                  <c:v>41390.0</c:v>
                </c:pt>
                <c:pt idx="754">
                  <c:v>41389.0</c:v>
                </c:pt>
                <c:pt idx="755">
                  <c:v>41388.0</c:v>
                </c:pt>
                <c:pt idx="756">
                  <c:v>41387.0</c:v>
                </c:pt>
                <c:pt idx="757">
                  <c:v>41386.0</c:v>
                </c:pt>
                <c:pt idx="758">
                  <c:v>41383.0</c:v>
                </c:pt>
                <c:pt idx="759">
                  <c:v>41382.0</c:v>
                </c:pt>
                <c:pt idx="760">
                  <c:v>41381.0</c:v>
                </c:pt>
                <c:pt idx="761">
                  <c:v>41380.0</c:v>
                </c:pt>
                <c:pt idx="762">
                  <c:v>41379.0</c:v>
                </c:pt>
                <c:pt idx="763">
                  <c:v>41376.0</c:v>
                </c:pt>
                <c:pt idx="764">
                  <c:v>41375.0</c:v>
                </c:pt>
                <c:pt idx="765">
                  <c:v>41374.0</c:v>
                </c:pt>
                <c:pt idx="766">
                  <c:v>41373.0</c:v>
                </c:pt>
                <c:pt idx="767">
                  <c:v>41372.0</c:v>
                </c:pt>
                <c:pt idx="768">
                  <c:v>41369.0</c:v>
                </c:pt>
                <c:pt idx="769">
                  <c:v>41368.0</c:v>
                </c:pt>
                <c:pt idx="770">
                  <c:v>41367.0</c:v>
                </c:pt>
                <c:pt idx="771">
                  <c:v>41366.0</c:v>
                </c:pt>
                <c:pt idx="772">
                  <c:v>41361.0</c:v>
                </c:pt>
                <c:pt idx="773">
                  <c:v>41360.0</c:v>
                </c:pt>
                <c:pt idx="774">
                  <c:v>41359.0</c:v>
                </c:pt>
                <c:pt idx="775">
                  <c:v>41358.0</c:v>
                </c:pt>
                <c:pt idx="776">
                  <c:v>41355.0</c:v>
                </c:pt>
                <c:pt idx="777">
                  <c:v>41353.0</c:v>
                </c:pt>
                <c:pt idx="778">
                  <c:v>41352.0</c:v>
                </c:pt>
                <c:pt idx="779">
                  <c:v>41351.0</c:v>
                </c:pt>
                <c:pt idx="780">
                  <c:v>41348.0</c:v>
                </c:pt>
                <c:pt idx="781">
                  <c:v>41347.0</c:v>
                </c:pt>
                <c:pt idx="782">
                  <c:v>41346.0</c:v>
                </c:pt>
                <c:pt idx="783">
                  <c:v>41345.0</c:v>
                </c:pt>
                <c:pt idx="784">
                  <c:v>41344.0</c:v>
                </c:pt>
                <c:pt idx="785">
                  <c:v>41341.0</c:v>
                </c:pt>
                <c:pt idx="786">
                  <c:v>41340.0</c:v>
                </c:pt>
                <c:pt idx="787">
                  <c:v>41339.0</c:v>
                </c:pt>
                <c:pt idx="788">
                  <c:v>41338.0</c:v>
                </c:pt>
                <c:pt idx="789">
                  <c:v>41337.0</c:v>
                </c:pt>
                <c:pt idx="790">
                  <c:v>41334.0</c:v>
                </c:pt>
                <c:pt idx="791">
                  <c:v>41333.0</c:v>
                </c:pt>
                <c:pt idx="792">
                  <c:v>41332.0</c:v>
                </c:pt>
                <c:pt idx="793">
                  <c:v>41331.0</c:v>
                </c:pt>
                <c:pt idx="794">
                  <c:v>41330.0</c:v>
                </c:pt>
                <c:pt idx="795">
                  <c:v>41327.0</c:v>
                </c:pt>
                <c:pt idx="796">
                  <c:v>41326.0</c:v>
                </c:pt>
                <c:pt idx="797">
                  <c:v>41325.0</c:v>
                </c:pt>
                <c:pt idx="798">
                  <c:v>41324.0</c:v>
                </c:pt>
                <c:pt idx="799">
                  <c:v>41323.0</c:v>
                </c:pt>
                <c:pt idx="800">
                  <c:v>41320.0</c:v>
                </c:pt>
                <c:pt idx="801">
                  <c:v>41319.0</c:v>
                </c:pt>
                <c:pt idx="802">
                  <c:v>41318.0</c:v>
                </c:pt>
                <c:pt idx="803">
                  <c:v>41317.0</c:v>
                </c:pt>
                <c:pt idx="804">
                  <c:v>41316.0</c:v>
                </c:pt>
                <c:pt idx="805">
                  <c:v>41313.0</c:v>
                </c:pt>
                <c:pt idx="806">
                  <c:v>41312.0</c:v>
                </c:pt>
                <c:pt idx="807">
                  <c:v>41311.0</c:v>
                </c:pt>
                <c:pt idx="808">
                  <c:v>41310.0</c:v>
                </c:pt>
                <c:pt idx="809">
                  <c:v>41309.0</c:v>
                </c:pt>
                <c:pt idx="810">
                  <c:v>41306.0</c:v>
                </c:pt>
                <c:pt idx="811">
                  <c:v>41305.0</c:v>
                </c:pt>
                <c:pt idx="812">
                  <c:v>41304.0</c:v>
                </c:pt>
                <c:pt idx="813">
                  <c:v>41303.0</c:v>
                </c:pt>
                <c:pt idx="814">
                  <c:v>41302.0</c:v>
                </c:pt>
                <c:pt idx="815">
                  <c:v>41299.0</c:v>
                </c:pt>
                <c:pt idx="816">
                  <c:v>41298.0</c:v>
                </c:pt>
                <c:pt idx="817">
                  <c:v>41297.0</c:v>
                </c:pt>
                <c:pt idx="818">
                  <c:v>41296.0</c:v>
                </c:pt>
                <c:pt idx="819">
                  <c:v>41295.0</c:v>
                </c:pt>
                <c:pt idx="820">
                  <c:v>41292.0</c:v>
                </c:pt>
                <c:pt idx="821">
                  <c:v>41291.0</c:v>
                </c:pt>
                <c:pt idx="822">
                  <c:v>41290.0</c:v>
                </c:pt>
                <c:pt idx="823">
                  <c:v>41289.0</c:v>
                </c:pt>
                <c:pt idx="824">
                  <c:v>41288.0</c:v>
                </c:pt>
                <c:pt idx="825">
                  <c:v>41285.0</c:v>
                </c:pt>
                <c:pt idx="826">
                  <c:v>41284.0</c:v>
                </c:pt>
                <c:pt idx="827">
                  <c:v>41283.0</c:v>
                </c:pt>
                <c:pt idx="828">
                  <c:v>41282.0</c:v>
                </c:pt>
                <c:pt idx="829">
                  <c:v>41281.0</c:v>
                </c:pt>
                <c:pt idx="830">
                  <c:v>41278.0</c:v>
                </c:pt>
                <c:pt idx="831">
                  <c:v>41277.0</c:v>
                </c:pt>
                <c:pt idx="832">
                  <c:v>41276.0</c:v>
                </c:pt>
                <c:pt idx="833">
                  <c:v>41274.0</c:v>
                </c:pt>
                <c:pt idx="834">
                  <c:v>41271.0</c:v>
                </c:pt>
                <c:pt idx="835">
                  <c:v>41270.0</c:v>
                </c:pt>
                <c:pt idx="836">
                  <c:v>41267.0</c:v>
                </c:pt>
                <c:pt idx="837">
                  <c:v>41264.0</c:v>
                </c:pt>
                <c:pt idx="838">
                  <c:v>41263.0</c:v>
                </c:pt>
                <c:pt idx="839">
                  <c:v>41262.0</c:v>
                </c:pt>
                <c:pt idx="840">
                  <c:v>41261.0</c:v>
                </c:pt>
                <c:pt idx="841">
                  <c:v>41257.0</c:v>
                </c:pt>
                <c:pt idx="842">
                  <c:v>41256.0</c:v>
                </c:pt>
                <c:pt idx="843">
                  <c:v>41255.0</c:v>
                </c:pt>
                <c:pt idx="844">
                  <c:v>41254.0</c:v>
                </c:pt>
                <c:pt idx="845">
                  <c:v>41253.0</c:v>
                </c:pt>
                <c:pt idx="846">
                  <c:v>41250.0</c:v>
                </c:pt>
                <c:pt idx="847">
                  <c:v>41249.0</c:v>
                </c:pt>
                <c:pt idx="848">
                  <c:v>41248.0</c:v>
                </c:pt>
                <c:pt idx="849">
                  <c:v>41247.0</c:v>
                </c:pt>
                <c:pt idx="850">
                  <c:v>41246.0</c:v>
                </c:pt>
                <c:pt idx="851">
                  <c:v>41243.0</c:v>
                </c:pt>
                <c:pt idx="852">
                  <c:v>41242.0</c:v>
                </c:pt>
                <c:pt idx="853">
                  <c:v>41241.0</c:v>
                </c:pt>
                <c:pt idx="854">
                  <c:v>41240.0</c:v>
                </c:pt>
                <c:pt idx="855">
                  <c:v>41239.0</c:v>
                </c:pt>
                <c:pt idx="856">
                  <c:v>41236.0</c:v>
                </c:pt>
                <c:pt idx="857">
                  <c:v>41235.0</c:v>
                </c:pt>
                <c:pt idx="858">
                  <c:v>41234.0</c:v>
                </c:pt>
                <c:pt idx="859">
                  <c:v>41233.0</c:v>
                </c:pt>
                <c:pt idx="860">
                  <c:v>41232.0</c:v>
                </c:pt>
                <c:pt idx="861">
                  <c:v>41229.0</c:v>
                </c:pt>
                <c:pt idx="862">
                  <c:v>41228.0</c:v>
                </c:pt>
                <c:pt idx="863">
                  <c:v>41227.0</c:v>
                </c:pt>
                <c:pt idx="864">
                  <c:v>41226.0</c:v>
                </c:pt>
                <c:pt idx="865">
                  <c:v>41225.0</c:v>
                </c:pt>
                <c:pt idx="866">
                  <c:v>41222.0</c:v>
                </c:pt>
                <c:pt idx="867">
                  <c:v>41221.0</c:v>
                </c:pt>
                <c:pt idx="868">
                  <c:v>41220.0</c:v>
                </c:pt>
                <c:pt idx="869">
                  <c:v>41219.0</c:v>
                </c:pt>
                <c:pt idx="870">
                  <c:v>41218.0</c:v>
                </c:pt>
                <c:pt idx="871">
                  <c:v>41215.0</c:v>
                </c:pt>
                <c:pt idx="872">
                  <c:v>41214.0</c:v>
                </c:pt>
                <c:pt idx="873">
                  <c:v>41213.0</c:v>
                </c:pt>
                <c:pt idx="874">
                  <c:v>41212.0</c:v>
                </c:pt>
                <c:pt idx="875">
                  <c:v>41211.0</c:v>
                </c:pt>
                <c:pt idx="876">
                  <c:v>41208.0</c:v>
                </c:pt>
                <c:pt idx="877">
                  <c:v>41207.0</c:v>
                </c:pt>
                <c:pt idx="878">
                  <c:v>41206.0</c:v>
                </c:pt>
                <c:pt idx="879">
                  <c:v>41205.0</c:v>
                </c:pt>
                <c:pt idx="880">
                  <c:v>41204.0</c:v>
                </c:pt>
                <c:pt idx="881">
                  <c:v>41201.0</c:v>
                </c:pt>
                <c:pt idx="882">
                  <c:v>41200.0</c:v>
                </c:pt>
                <c:pt idx="883">
                  <c:v>41199.0</c:v>
                </c:pt>
                <c:pt idx="884">
                  <c:v>41198.0</c:v>
                </c:pt>
                <c:pt idx="885">
                  <c:v>41197.0</c:v>
                </c:pt>
                <c:pt idx="886">
                  <c:v>41194.0</c:v>
                </c:pt>
                <c:pt idx="887">
                  <c:v>41193.0</c:v>
                </c:pt>
                <c:pt idx="888">
                  <c:v>41192.0</c:v>
                </c:pt>
                <c:pt idx="889">
                  <c:v>41191.0</c:v>
                </c:pt>
                <c:pt idx="890">
                  <c:v>41190.0</c:v>
                </c:pt>
                <c:pt idx="891">
                  <c:v>41187.0</c:v>
                </c:pt>
                <c:pt idx="892">
                  <c:v>41186.0</c:v>
                </c:pt>
                <c:pt idx="893">
                  <c:v>41185.0</c:v>
                </c:pt>
                <c:pt idx="894">
                  <c:v>41184.0</c:v>
                </c:pt>
                <c:pt idx="895">
                  <c:v>41183.0</c:v>
                </c:pt>
                <c:pt idx="896">
                  <c:v>41180.0</c:v>
                </c:pt>
                <c:pt idx="897">
                  <c:v>41179.0</c:v>
                </c:pt>
                <c:pt idx="898">
                  <c:v>41178.0</c:v>
                </c:pt>
                <c:pt idx="899">
                  <c:v>41177.0</c:v>
                </c:pt>
                <c:pt idx="900">
                  <c:v>41173.0</c:v>
                </c:pt>
                <c:pt idx="901">
                  <c:v>41172.0</c:v>
                </c:pt>
                <c:pt idx="902">
                  <c:v>41171.0</c:v>
                </c:pt>
                <c:pt idx="903">
                  <c:v>41170.0</c:v>
                </c:pt>
                <c:pt idx="904">
                  <c:v>41169.0</c:v>
                </c:pt>
                <c:pt idx="905">
                  <c:v>41166.0</c:v>
                </c:pt>
                <c:pt idx="906">
                  <c:v>41165.0</c:v>
                </c:pt>
                <c:pt idx="907">
                  <c:v>41164.0</c:v>
                </c:pt>
                <c:pt idx="908">
                  <c:v>41163.0</c:v>
                </c:pt>
                <c:pt idx="909">
                  <c:v>41162.0</c:v>
                </c:pt>
                <c:pt idx="910">
                  <c:v>41159.0</c:v>
                </c:pt>
                <c:pt idx="911">
                  <c:v>41158.0</c:v>
                </c:pt>
                <c:pt idx="912">
                  <c:v>41157.0</c:v>
                </c:pt>
                <c:pt idx="913">
                  <c:v>41156.0</c:v>
                </c:pt>
                <c:pt idx="914">
                  <c:v>41155.0</c:v>
                </c:pt>
                <c:pt idx="915">
                  <c:v>41152.0</c:v>
                </c:pt>
                <c:pt idx="916">
                  <c:v>41151.0</c:v>
                </c:pt>
                <c:pt idx="917">
                  <c:v>41150.0</c:v>
                </c:pt>
                <c:pt idx="918">
                  <c:v>41149.0</c:v>
                </c:pt>
                <c:pt idx="919">
                  <c:v>41148.0</c:v>
                </c:pt>
                <c:pt idx="920">
                  <c:v>41145.0</c:v>
                </c:pt>
                <c:pt idx="921">
                  <c:v>41144.0</c:v>
                </c:pt>
                <c:pt idx="922">
                  <c:v>41143.0</c:v>
                </c:pt>
                <c:pt idx="923">
                  <c:v>41142.0</c:v>
                </c:pt>
                <c:pt idx="924">
                  <c:v>41141.0</c:v>
                </c:pt>
                <c:pt idx="925">
                  <c:v>41138.0</c:v>
                </c:pt>
                <c:pt idx="926">
                  <c:v>41137.0</c:v>
                </c:pt>
                <c:pt idx="927">
                  <c:v>41136.0</c:v>
                </c:pt>
                <c:pt idx="928">
                  <c:v>41135.0</c:v>
                </c:pt>
                <c:pt idx="929">
                  <c:v>41134.0</c:v>
                </c:pt>
                <c:pt idx="930">
                  <c:v>41131.0</c:v>
                </c:pt>
                <c:pt idx="931">
                  <c:v>41129.0</c:v>
                </c:pt>
                <c:pt idx="932">
                  <c:v>41128.0</c:v>
                </c:pt>
                <c:pt idx="933">
                  <c:v>41127.0</c:v>
                </c:pt>
                <c:pt idx="934">
                  <c:v>41124.0</c:v>
                </c:pt>
                <c:pt idx="935">
                  <c:v>41123.0</c:v>
                </c:pt>
                <c:pt idx="936">
                  <c:v>41122.0</c:v>
                </c:pt>
                <c:pt idx="937">
                  <c:v>41121.0</c:v>
                </c:pt>
                <c:pt idx="938">
                  <c:v>41120.0</c:v>
                </c:pt>
                <c:pt idx="939">
                  <c:v>41117.0</c:v>
                </c:pt>
                <c:pt idx="940">
                  <c:v>41116.0</c:v>
                </c:pt>
                <c:pt idx="941">
                  <c:v>41115.0</c:v>
                </c:pt>
                <c:pt idx="942">
                  <c:v>41114.0</c:v>
                </c:pt>
                <c:pt idx="943">
                  <c:v>41113.0</c:v>
                </c:pt>
                <c:pt idx="944">
                  <c:v>41110.0</c:v>
                </c:pt>
                <c:pt idx="945">
                  <c:v>41109.0</c:v>
                </c:pt>
                <c:pt idx="946">
                  <c:v>41108.0</c:v>
                </c:pt>
                <c:pt idx="947">
                  <c:v>41107.0</c:v>
                </c:pt>
                <c:pt idx="948">
                  <c:v>41106.0</c:v>
                </c:pt>
                <c:pt idx="949">
                  <c:v>41103.0</c:v>
                </c:pt>
                <c:pt idx="950">
                  <c:v>41102.0</c:v>
                </c:pt>
                <c:pt idx="951">
                  <c:v>41101.0</c:v>
                </c:pt>
                <c:pt idx="952">
                  <c:v>41100.0</c:v>
                </c:pt>
                <c:pt idx="953">
                  <c:v>41099.0</c:v>
                </c:pt>
                <c:pt idx="954">
                  <c:v>41096.0</c:v>
                </c:pt>
                <c:pt idx="955">
                  <c:v>41095.0</c:v>
                </c:pt>
                <c:pt idx="956">
                  <c:v>41094.0</c:v>
                </c:pt>
                <c:pt idx="957">
                  <c:v>41093.0</c:v>
                </c:pt>
                <c:pt idx="958">
                  <c:v>41092.0</c:v>
                </c:pt>
                <c:pt idx="959">
                  <c:v>41089.0</c:v>
                </c:pt>
                <c:pt idx="960">
                  <c:v>41088.0</c:v>
                </c:pt>
                <c:pt idx="961">
                  <c:v>41087.0</c:v>
                </c:pt>
                <c:pt idx="962">
                  <c:v>41086.0</c:v>
                </c:pt>
                <c:pt idx="963">
                  <c:v>41085.0</c:v>
                </c:pt>
                <c:pt idx="964">
                  <c:v>41082.0</c:v>
                </c:pt>
                <c:pt idx="965">
                  <c:v>41081.0</c:v>
                </c:pt>
                <c:pt idx="966">
                  <c:v>41080.0</c:v>
                </c:pt>
                <c:pt idx="967">
                  <c:v>41079.0</c:v>
                </c:pt>
                <c:pt idx="968">
                  <c:v>41078.0</c:v>
                </c:pt>
                <c:pt idx="969">
                  <c:v>41075.0</c:v>
                </c:pt>
                <c:pt idx="970">
                  <c:v>41074.0</c:v>
                </c:pt>
                <c:pt idx="971">
                  <c:v>41073.0</c:v>
                </c:pt>
                <c:pt idx="972">
                  <c:v>41072.0</c:v>
                </c:pt>
                <c:pt idx="973">
                  <c:v>41071.0</c:v>
                </c:pt>
                <c:pt idx="974">
                  <c:v>41068.0</c:v>
                </c:pt>
                <c:pt idx="975">
                  <c:v>41067.0</c:v>
                </c:pt>
                <c:pt idx="976">
                  <c:v>41066.0</c:v>
                </c:pt>
                <c:pt idx="977">
                  <c:v>41065.0</c:v>
                </c:pt>
                <c:pt idx="978">
                  <c:v>41064.0</c:v>
                </c:pt>
                <c:pt idx="979">
                  <c:v>41061.0</c:v>
                </c:pt>
                <c:pt idx="980">
                  <c:v>41060.0</c:v>
                </c:pt>
                <c:pt idx="981">
                  <c:v>41059.0</c:v>
                </c:pt>
                <c:pt idx="982">
                  <c:v>41058.0</c:v>
                </c:pt>
                <c:pt idx="983">
                  <c:v>41057.0</c:v>
                </c:pt>
                <c:pt idx="984">
                  <c:v>41054.0</c:v>
                </c:pt>
                <c:pt idx="985">
                  <c:v>41053.0</c:v>
                </c:pt>
                <c:pt idx="986">
                  <c:v>41052.0</c:v>
                </c:pt>
                <c:pt idx="987">
                  <c:v>41051.0</c:v>
                </c:pt>
                <c:pt idx="988">
                  <c:v>41050.0</c:v>
                </c:pt>
                <c:pt idx="989">
                  <c:v>41047.0</c:v>
                </c:pt>
                <c:pt idx="990">
                  <c:v>41046.0</c:v>
                </c:pt>
                <c:pt idx="991">
                  <c:v>41045.0</c:v>
                </c:pt>
                <c:pt idx="992">
                  <c:v>41044.0</c:v>
                </c:pt>
                <c:pt idx="993">
                  <c:v>41043.0</c:v>
                </c:pt>
                <c:pt idx="994">
                  <c:v>41040.0</c:v>
                </c:pt>
                <c:pt idx="995">
                  <c:v>41039.0</c:v>
                </c:pt>
                <c:pt idx="996">
                  <c:v>41038.0</c:v>
                </c:pt>
                <c:pt idx="997">
                  <c:v>41037.0</c:v>
                </c:pt>
                <c:pt idx="998">
                  <c:v>41036.0</c:v>
                </c:pt>
                <c:pt idx="999">
                  <c:v>41033.0</c:v>
                </c:pt>
                <c:pt idx="1000">
                  <c:v>41032.0</c:v>
                </c:pt>
                <c:pt idx="1001">
                  <c:v>41031.0</c:v>
                </c:pt>
                <c:pt idx="1002">
                  <c:v>41029.0</c:v>
                </c:pt>
                <c:pt idx="1003">
                  <c:v>41025.0</c:v>
                </c:pt>
                <c:pt idx="1004">
                  <c:v>41024.0</c:v>
                </c:pt>
                <c:pt idx="1005">
                  <c:v>41023.0</c:v>
                </c:pt>
                <c:pt idx="1006">
                  <c:v>41022.0</c:v>
                </c:pt>
                <c:pt idx="1007">
                  <c:v>41019.0</c:v>
                </c:pt>
                <c:pt idx="1008">
                  <c:v>41018.0</c:v>
                </c:pt>
                <c:pt idx="1009">
                  <c:v>41017.0</c:v>
                </c:pt>
                <c:pt idx="1010">
                  <c:v>41016.0</c:v>
                </c:pt>
                <c:pt idx="1011">
                  <c:v>41015.0</c:v>
                </c:pt>
                <c:pt idx="1012">
                  <c:v>41012.0</c:v>
                </c:pt>
                <c:pt idx="1013">
                  <c:v>41011.0</c:v>
                </c:pt>
                <c:pt idx="1014">
                  <c:v>41010.0</c:v>
                </c:pt>
                <c:pt idx="1015">
                  <c:v>41009.0</c:v>
                </c:pt>
                <c:pt idx="1016">
                  <c:v>41004.0</c:v>
                </c:pt>
                <c:pt idx="1017">
                  <c:v>41003.0</c:v>
                </c:pt>
                <c:pt idx="1018">
                  <c:v>41002.0</c:v>
                </c:pt>
                <c:pt idx="1019">
                  <c:v>41001.0</c:v>
                </c:pt>
                <c:pt idx="1020">
                  <c:v>40998.0</c:v>
                </c:pt>
                <c:pt idx="1021">
                  <c:v>40997.0</c:v>
                </c:pt>
                <c:pt idx="1022">
                  <c:v>40996.0</c:v>
                </c:pt>
                <c:pt idx="1023">
                  <c:v>40995.0</c:v>
                </c:pt>
                <c:pt idx="1024">
                  <c:v>40994.0</c:v>
                </c:pt>
                <c:pt idx="1025">
                  <c:v>40991.0</c:v>
                </c:pt>
                <c:pt idx="1026">
                  <c:v>40990.0</c:v>
                </c:pt>
                <c:pt idx="1027">
                  <c:v>40988.0</c:v>
                </c:pt>
                <c:pt idx="1028">
                  <c:v>40987.0</c:v>
                </c:pt>
                <c:pt idx="1029">
                  <c:v>40984.0</c:v>
                </c:pt>
                <c:pt idx="1030">
                  <c:v>40983.0</c:v>
                </c:pt>
                <c:pt idx="1031">
                  <c:v>40982.0</c:v>
                </c:pt>
                <c:pt idx="1032">
                  <c:v>40981.0</c:v>
                </c:pt>
                <c:pt idx="1033">
                  <c:v>40980.0</c:v>
                </c:pt>
                <c:pt idx="1034">
                  <c:v>40977.0</c:v>
                </c:pt>
                <c:pt idx="1035">
                  <c:v>40976.0</c:v>
                </c:pt>
                <c:pt idx="1036">
                  <c:v>40975.0</c:v>
                </c:pt>
                <c:pt idx="1037">
                  <c:v>40974.0</c:v>
                </c:pt>
                <c:pt idx="1038">
                  <c:v>40973.0</c:v>
                </c:pt>
                <c:pt idx="1039">
                  <c:v>40970.0</c:v>
                </c:pt>
                <c:pt idx="1040">
                  <c:v>40969.0</c:v>
                </c:pt>
                <c:pt idx="1041">
                  <c:v>40968.0</c:v>
                </c:pt>
                <c:pt idx="1042">
                  <c:v>40967.0</c:v>
                </c:pt>
                <c:pt idx="1043">
                  <c:v>40966.0</c:v>
                </c:pt>
                <c:pt idx="1044">
                  <c:v>40963.0</c:v>
                </c:pt>
                <c:pt idx="1045">
                  <c:v>40962.0</c:v>
                </c:pt>
                <c:pt idx="1046">
                  <c:v>40961.0</c:v>
                </c:pt>
                <c:pt idx="1047">
                  <c:v>40960.0</c:v>
                </c:pt>
                <c:pt idx="1048">
                  <c:v>40959.0</c:v>
                </c:pt>
                <c:pt idx="1049">
                  <c:v>40956.0</c:v>
                </c:pt>
                <c:pt idx="1050">
                  <c:v>40955.0</c:v>
                </c:pt>
                <c:pt idx="1051">
                  <c:v>40954.0</c:v>
                </c:pt>
                <c:pt idx="1052">
                  <c:v>40953.0</c:v>
                </c:pt>
                <c:pt idx="1053">
                  <c:v>40952.0</c:v>
                </c:pt>
                <c:pt idx="1054">
                  <c:v>40949.0</c:v>
                </c:pt>
                <c:pt idx="1055">
                  <c:v>40948.0</c:v>
                </c:pt>
                <c:pt idx="1056">
                  <c:v>40947.0</c:v>
                </c:pt>
                <c:pt idx="1057">
                  <c:v>40946.0</c:v>
                </c:pt>
                <c:pt idx="1058">
                  <c:v>40945.0</c:v>
                </c:pt>
                <c:pt idx="1059">
                  <c:v>40942.0</c:v>
                </c:pt>
                <c:pt idx="1060">
                  <c:v>40941.0</c:v>
                </c:pt>
                <c:pt idx="1061">
                  <c:v>40940.0</c:v>
                </c:pt>
                <c:pt idx="1062">
                  <c:v>40939.0</c:v>
                </c:pt>
                <c:pt idx="1063">
                  <c:v>40938.0</c:v>
                </c:pt>
                <c:pt idx="1064">
                  <c:v>40935.0</c:v>
                </c:pt>
                <c:pt idx="1065">
                  <c:v>40934.0</c:v>
                </c:pt>
                <c:pt idx="1066">
                  <c:v>40933.0</c:v>
                </c:pt>
                <c:pt idx="1067">
                  <c:v>40932.0</c:v>
                </c:pt>
                <c:pt idx="1068">
                  <c:v>40931.0</c:v>
                </c:pt>
                <c:pt idx="1069">
                  <c:v>40928.0</c:v>
                </c:pt>
                <c:pt idx="1070">
                  <c:v>40927.0</c:v>
                </c:pt>
                <c:pt idx="1071">
                  <c:v>40926.0</c:v>
                </c:pt>
                <c:pt idx="1072">
                  <c:v>40925.0</c:v>
                </c:pt>
                <c:pt idx="1073">
                  <c:v>40924.0</c:v>
                </c:pt>
                <c:pt idx="1074">
                  <c:v>40921.0</c:v>
                </c:pt>
                <c:pt idx="1075">
                  <c:v>40920.0</c:v>
                </c:pt>
                <c:pt idx="1076">
                  <c:v>40919.0</c:v>
                </c:pt>
                <c:pt idx="1077">
                  <c:v>40918.0</c:v>
                </c:pt>
                <c:pt idx="1078">
                  <c:v>40917.0</c:v>
                </c:pt>
                <c:pt idx="1079">
                  <c:v>40914.0</c:v>
                </c:pt>
                <c:pt idx="1080">
                  <c:v>40913.0</c:v>
                </c:pt>
                <c:pt idx="1081">
                  <c:v>40912.0</c:v>
                </c:pt>
                <c:pt idx="1082">
                  <c:v>40911.0</c:v>
                </c:pt>
                <c:pt idx="1083">
                  <c:v>40907.0</c:v>
                </c:pt>
                <c:pt idx="1084">
                  <c:v>40906.0</c:v>
                </c:pt>
                <c:pt idx="1085">
                  <c:v>40905.0</c:v>
                </c:pt>
                <c:pt idx="1086">
                  <c:v>40900.0</c:v>
                </c:pt>
                <c:pt idx="1087">
                  <c:v>40899.0</c:v>
                </c:pt>
                <c:pt idx="1088">
                  <c:v>40898.0</c:v>
                </c:pt>
                <c:pt idx="1089">
                  <c:v>40897.0</c:v>
                </c:pt>
                <c:pt idx="1090">
                  <c:v>40896.0</c:v>
                </c:pt>
                <c:pt idx="1091">
                  <c:v>40892.0</c:v>
                </c:pt>
                <c:pt idx="1092">
                  <c:v>40891.0</c:v>
                </c:pt>
                <c:pt idx="1093">
                  <c:v>40890.0</c:v>
                </c:pt>
                <c:pt idx="1094">
                  <c:v>40889.0</c:v>
                </c:pt>
                <c:pt idx="1095">
                  <c:v>40886.0</c:v>
                </c:pt>
                <c:pt idx="1096">
                  <c:v>40885.0</c:v>
                </c:pt>
                <c:pt idx="1097">
                  <c:v>40884.0</c:v>
                </c:pt>
                <c:pt idx="1098">
                  <c:v>40883.0</c:v>
                </c:pt>
                <c:pt idx="1099">
                  <c:v>40882.0</c:v>
                </c:pt>
                <c:pt idx="1100">
                  <c:v>40879.0</c:v>
                </c:pt>
                <c:pt idx="1101">
                  <c:v>40878.0</c:v>
                </c:pt>
                <c:pt idx="1102">
                  <c:v>40877.0</c:v>
                </c:pt>
                <c:pt idx="1103">
                  <c:v>40876.0</c:v>
                </c:pt>
                <c:pt idx="1104">
                  <c:v>40875.0</c:v>
                </c:pt>
                <c:pt idx="1105">
                  <c:v>40872.0</c:v>
                </c:pt>
                <c:pt idx="1106">
                  <c:v>40871.0</c:v>
                </c:pt>
                <c:pt idx="1107">
                  <c:v>40870.0</c:v>
                </c:pt>
                <c:pt idx="1108">
                  <c:v>40869.0</c:v>
                </c:pt>
                <c:pt idx="1109">
                  <c:v>40868.0</c:v>
                </c:pt>
                <c:pt idx="1110">
                  <c:v>40865.0</c:v>
                </c:pt>
                <c:pt idx="1111">
                  <c:v>40864.0</c:v>
                </c:pt>
                <c:pt idx="1112">
                  <c:v>40863.0</c:v>
                </c:pt>
                <c:pt idx="1113">
                  <c:v>40862.0</c:v>
                </c:pt>
                <c:pt idx="1114">
                  <c:v>40861.0</c:v>
                </c:pt>
                <c:pt idx="1115">
                  <c:v>40858.0</c:v>
                </c:pt>
                <c:pt idx="1116">
                  <c:v>40857.0</c:v>
                </c:pt>
                <c:pt idx="1117">
                  <c:v>40856.0</c:v>
                </c:pt>
                <c:pt idx="1118">
                  <c:v>40855.0</c:v>
                </c:pt>
                <c:pt idx="1119">
                  <c:v>40854.0</c:v>
                </c:pt>
                <c:pt idx="1120">
                  <c:v>40851.0</c:v>
                </c:pt>
                <c:pt idx="1121">
                  <c:v>40850.0</c:v>
                </c:pt>
                <c:pt idx="1122">
                  <c:v>40849.0</c:v>
                </c:pt>
                <c:pt idx="1123">
                  <c:v>40848.0</c:v>
                </c:pt>
                <c:pt idx="1124">
                  <c:v>40847.0</c:v>
                </c:pt>
                <c:pt idx="1125">
                  <c:v>40844.0</c:v>
                </c:pt>
                <c:pt idx="1126">
                  <c:v>40843.0</c:v>
                </c:pt>
                <c:pt idx="1127">
                  <c:v>40842.0</c:v>
                </c:pt>
                <c:pt idx="1128">
                  <c:v>40841.0</c:v>
                </c:pt>
                <c:pt idx="1129">
                  <c:v>40840.0</c:v>
                </c:pt>
                <c:pt idx="1130">
                  <c:v>40837.0</c:v>
                </c:pt>
                <c:pt idx="1131">
                  <c:v>40836.0</c:v>
                </c:pt>
                <c:pt idx="1132">
                  <c:v>40835.0</c:v>
                </c:pt>
                <c:pt idx="1133">
                  <c:v>40834.0</c:v>
                </c:pt>
                <c:pt idx="1134">
                  <c:v>40833.0</c:v>
                </c:pt>
                <c:pt idx="1135">
                  <c:v>40830.0</c:v>
                </c:pt>
                <c:pt idx="1136">
                  <c:v>40829.0</c:v>
                </c:pt>
                <c:pt idx="1137">
                  <c:v>40828.0</c:v>
                </c:pt>
                <c:pt idx="1138">
                  <c:v>40827.0</c:v>
                </c:pt>
                <c:pt idx="1139">
                  <c:v>40826.0</c:v>
                </c:pt>
                <c:pt idx="1140">
                  <c:v>40823.0</c:v>
                </c:pt>
                <c:pt idx="1141">
                  <c:v>40822.0</c:v>
                </c:pt>
                <c:pt idx="1142">
                  <c:v>40821.0</c:v>
                </c:pt>
                <c:pt idx="1143">
                  <c:v>40820.0</c:v>
                </c:pt>
                <c:pt idx="1144">
                  <c:v>40819.0</c:v>
                </c:pt>
                <c:pt idx="1145">
                  <c:v>40816.0</c:v>
                </c:pt>
                <c:pt idx="1146">
                  <c:v>40815.0</c:v>
                </c:pt>
                <c:pt idx="1147">
                  <c:v>40814.0</c:v>
                </c:pt>
                <c:pt idx="1148">
                  <c:v>40813.0</c:v>
                </c:pt>
                <c:pt idx="1149">
                  <c:v>40812.0</c:v>
                </c:pt>
                <c:pt idx="1150">
                  <c:v>40809.0</c:v>
                </c:pt>
                <c:pt idx="1151">
                  <c:v>40808.0</c:v>
                </c:pt>
                <c:pt idx="1152">
                  <c:v>40807.0</c:v>
                </c:pt>
                <c:pt idx="1153">
                  <c:v>40806.0</c:v>
                </c:pt>
                <c:pt idx="1154">
                  <c:v>40805.0</c:v>
                </c:pt>
                <c:pt idx="1155">
                  <c:v>40802.0</c:v>
                </c:pt>
                <c:pt idx="1156">
                  <c:v>40801.0</c:v>
                </c:pt>
                <c:pt idx="1157">
                  <c:v>40800.0</c:v>
                </c:pt>
                <c:pt idx="1158">
                  <c:v>40799.0</c:v>
                </c:pt>
                <c:pt idx="1159">
                  <c:v>40798.0</c:v>
                </c:pt>
                <c:pt idx="1160">
                  <c:v>40795.0</c:v>
                </c:pt>
                <c:pt idx="1161">
                  <c:v>40794.0</c:v>
                </c:pt>
                <c:pt idx="1162">
                  <c:v>40793.0</c:v>
                </c:pt>
                <c:pt idx="1163">
                  <c:v>40792.0</c:v>
                </c:pt>
                <c:pt idx="1164">
                  <c:v>40791.0</c:v>
                </c:pt>
                <c:pt idx="1165">
                  <c:v>40788.0</c:v>
                </c:pt>
                <c:pt idx="1166">
                  <c:v>40787.0</c:v>
                </c:pt>
                <c:pt idx="1167">
                  <c:v>40786.0</c:v>
                </c:pt>
                <c:pt idx="1168">
                  <c:v>40785.0</c:v>
                </c:pt>
                <c:pt idx="1169">
                  <c:v>40784.0</c:v>
                </c:pt>
                <c:pt idx="1170">
                  <c:v>40781.0</c:v>
                </c:pt>
                <c:pt idx="1171">
                  <c:v>40780.0</c:v>
                </c:pt>
                <c:pt idx="1172">
                  <c:v>40779.0</c:v>
                </c:pt>
                <c:pt idx="1173">
                  <c:v>40778.0</c:v>
                </c:pt>
                <c:pt idx="1174">
                  <c:v>40777.0</c:v>
                </c:pt>
                <c:pt idx="1175">
                  <c:v>40774.0</c:v>
                </c:pt>
                <c:pt idx="1176">
                  <c:v>40773.0</c:v>
                </c:pt>
                <c:pt idx="1177">
                  <c:v>40772.0</c:v>
                </c:pt>
                <c:pt idx="1178">
                  <c:v>40771.0</c:v>
                </c:pt>
                <c:pt idx="1179">
                  <c:v>40770.0</c:v>
                </c:pt>
                <c:pt idx="1180">
                  <c:v>40767.0</c:v>
                </c:pt>
                <c:pt idx="1181">
                  <c:v>40766.0</c:v>
                </c:pt>
                <c:pt idx="1182">
                  <c:v>40765.0</c:v>
                </c:pt>
                <c:pt idx="1183">
                  <c:v>40763.0</c:v>
                </c:pt>
                <c:pt idx="1184">
                  <c:v>40760.0</c:v>
                </c:pt>
                <c:pt idx="1185">
                  <c:v>40759.0</c:v>
                </c:pt>
                <c:pt idx="1186">
                  <c:v>40758.0</c:v>
                </c:pt>
                <c:pt idx="1187">
                  <c:v>40757.0</c:v>
                </c:pt>
                <c:pt idx="1188">
                  <c:v>40756.0</c:v>
                </c:pt>
                <c:pt idx="1189">
                  <c:v>40753.0</c:v>
                </c:pt>
                <c:pt idx="1190">
                  <c:v>40752.0</c:v>
                </c:pt>
                <c:pt idx="1191">
                  <c:v>40751.0</c:v>
                </c:pt>
                <c:pt idx="1192">
                  <c:v>40750.0</c:v>
                </c:pt>
                <c:pt idx="1193">
                  <c:v>40749.0</c:v>
                </c:pt>
                <c:pt idx="1194">
                  <c:v>40746.0</c:v>
                </c:pt>
                <c:pt idx="1195">
                  <c:v>40745.0</c:v>
                </c:pt>
                <c:pt idx="1196">
                  <c:v>40744.0</c:v>
                </c:pt>
                <c:pt idx="1197">
                  <c:v>40743.0</c:v>
                </c:pt>
                <c:pt idx="1198">
                  <c:v>40742.0</c:v>
                </c:pt>
                <c:pt idx="1199">
                  <c:v>40739.0</c:v>
                </c:pt>
                <c:pt idx="1200">
                  <c:v>40738.0</c:v>
                </c:pt>
                <c:pt idx="1201">
                  <c:v>40737.0</c:v>
                </c:pt>
                <c:pt idx="1202">
                  <c:v>40736.0</c:v>
                </c:pt>
                <c:pt idx="1203">
                  <c:v>40735.0</c:v>
                </c:pt>
                <c:pt idx="1204">
                  <c:v>40732.0</c:v>
                </c:pt>
                <c:pt idx="1205">
                  <c:v>40731.0</c:v>
                </c:pt>
                <c:pt idx="1206">
                  <c:v>40730.0</c:v>
                </c:pt>
                <c:pt idx="1207">
                  <c:v>40729.0</c:v>
                </c:pt>
                <c:pt idx="1208">
                  <c:v>40728.0</c:v>
                </c:pt>
                <c:pt idx="1209">
                  <c:v>40725.0</c:v>
                </c:pt>
                <c:pt idx="1210">
                  <c:v>40724.0</c:v>
                </c:pt>
                <c:pt idx="1211">
                  <c:v>40723.0</c:v>
                </c:pt>
                <c:pt idx="1212">
                  <c:v>40722.0</c:v>
                </c:pt>
                <c:pt idx="1213">
                  <c:v>40721.0</c:v>
                </c:pt>
                <c:pt idx="1214">
                  <c:v>40718.0</c:v>
                </c:pt>
                <c:pt idx="1215">
                  <c:v>40717.0</c:v>
                </c:pt>
                <c:pt idx="1216">
                  <c:v>40716.0</c:v>
                </c:pt>
                <c:pt idx="1217">
                  <c:v>40715.0</c:v>
                </c:pt>
                <c:pt idx="1218">
                  <c:v>40714.0</c:v>
                </c:pt>
                <c:pt idx="1219">
                  <c:v>40711.0</c:v>
                </c:pt>
                <c:pt idx="1220">
                  <c:v>40709.0</c:v>
                </c:pt>
                <c:pt idx="1221">
                  <c:v>40708.0</c:v>
                </c:pt>
                <c:pt idx="1222">
                  <c:v>40707.0</c:v>
                </c:pt>
                <c:pt idx="1223">
                  <c:v>40704.0</c:v>
                </c:pt>
                <c:pt idx="1224">
                  <c:v>40703.0</c:v>
                </c:pt>
                <c:pt idx="1225">
                  <c:v>40702.0</c:v>
                </c:pt>
                <c:pt idx="1226">
                  <c:v>40701.0</c:v>
                </c:pt>
                <c:pt idx="1227">
                  <c:v>40700.0</c:v>
                </c:pt>
                <c:pt idx="1228">
                  <c:v>40697.0</c:v>
                </c:pt>
                <c:pt idx="1229">
                  <c:v>40696.0</c:v>
                </c:pt>
                <c:pt idx="1230">
                  <c:v>40695.0</c:v>
                </c:pt>
                <c:pt idx="1231">
                  <c:v>40694.0</c:v>
                </c:pt>
                <c:pt idx="1232">
                  <c:v>40693.0</c:v>
                </c:pt>
                <c:pt idx="1233">
                  <c:v>40690.0</c:v>
                </c:pt>
                <c:pt idx="1234">
                  <c:v>40689.0</c:v>
                </c:pt>
                <c:pt idx="1235">
                  <c:v>40688.0</c:v>
                </c:pt>
                <c:pt idx="1236">
                  <c:v>40687.0</c:v>
                </c:pt>
                <c:pt idx="1237">
                  <c:v>40686.0</c:v>
                </c:pt>
                <c:pt idx="1238">
                  <c:v>40683.0</c:v>
                </c:pt>
                <c:pt idx="1239">
                  <c:v>40682.0</c:v>
                </c:pt>
                <c:pt idx="1240">
                  <c:v>40680.0</c:v>
                </c:pt>
                <c:pt idx="1241">
                  <c:v>40679.0</c:v>
                </c:pt>
                <c:pt idx="1242">
                  <c:v>40676.0</c:v>
                </c:pt>
                <c:pt idx="1243">
                  <c:v>40675.0</c:v>
                </c:pt>
                <c:pt idx="1244">
                  <c:v>40674.0</c:v>
                </c:pt>
                <c:pt idx="1245">
                  <c:v>40673.0</c:v>
                </c:pt>
                <c:pt idx="1246">
                  <c:v>40672.0</c:v>
                </c:pt>
                <c:pt idx="1247">
                  <c:v>40669.0</c:v>
                </c:pt>
                <c:pt idx="1248">
                  <c:v>40668.0</c:v>
                </c:pt>
                <c:pt idx="1249">
                  <c:v>40667.0</c:v>
                </c:pt>
                <c:pt idx="1250">
                  <c:v>40666.0</c:v>
                </c:pt>
                <c:pt idx="1251">
                  <c:v>40662.0</c:v>
                </c:pt>
                <c:pt idx="1252">
                  <c:v>40661.0</c:v>
                </c:pt>
                <c:pt idx="1253">
                  <c:v>40659.0</c:v>
                </c:pt>
                <c:pt idx="1254">
                  <c:v>40654.0</c:v>
                </c:pt>
                <c:pt idx="1255">
                  <c:v>40653.0</c:v>
                </c:pt>
                <c:pt idx="1256">
                  <c:v>40652.0</c:v>
                </c:pt>
                <c:pt idx="1257">
                  <c:v>40651.0</c:v>
                </c:pt>
                <c:pt idx="1258">
                  <c:v>40648.0</c:v>
                </c:pt>
                <c:pt idx="1259">
                  <c:v>40647.0</c:v>
                </c:pt>
                <c:pt idx="1260">
                  <c:v>40646.0</c:v>
                </c:pt>
                <c:pt idx="1261">
                  <c:v>40645.0</c:v>
                </c:pt>
                <c:pt idx="1262">
                  <c:v>40644.0</c:v>
                </c:pt>
                <c:pt idx="1263">
                  <c:v>40641.0</c:v>
                </c:pt>
                <c:pt idx="1264">
                  <c:v>40640.0</c:v>
                </c:pt>
                <c:pt idx="1265">
                  <c:v>40639.0</c:v>
                </c:pt>
                <c:pt idx="1266">
                  <c:v>40638.0</c:v>
                </c:pt>
                <c:pt idx="1267">
                  <c:v>40637.0</c:v>
                </c:pt>
                <c:pt idx="1268">
                  <c:v>40634.0</c:v>
                </c:pt>
                <c:pt idx="1269">
                  <c:v>40633.0</c:v>
                </c:pt>
                <c:pt idx="1270">
                  <c:v>40632.0</c:v>
                </c:pt>
                <c:pt idx="1271">
                  <c:v>40631.0</c:v>
                </c:pt>
                <c:pt idx="1272">
                  <c:v>40630.0</c:v>
                </c:pt>
                <c:pt idx="1273">
                  <c:v>40627.0</c:v>
                </c:pt>
                <c:pt idx="1274">
                  <c:v>40626.0</c:v>
                </c:pt>
                <c:pt idx="1275">
                  <c:v>40625.0</c:v>
                </c:pt>
                <c:pt idx="1276">
                  <c:v>40624.0</c:v>
                </c:pt>
                <c:pt idx="1277">
                  <c:v>40620.0</c:v>
                </c:pt>
                <c:pt idx="1278">
                  <c:v>40619.0</c:v>
                </c:pt>
                <c:pt idx="1279">
                  <c:v>40618.0</c:v>
                </c:pt>
                <c:pt idx="1280">
                  <c:v>40617.0</c:v>
                </c:pt>
                <c:pt idx="1281">
                  <c:v>40616.0</c:v>
                </c:pt>
                <c:pt idx="1282">
                  <c:v>40613.0</c:v>
                </c:pt>
                <c:pt idx="1283">
                  <c:v>40612.0</c:v>
                </c:pt>
                <c:pt idx="1284">
                  <c:v>40611.0</c:v>
                </c:pt>
                <c:pt idx="1285">
                  <c:v>40610.0</c:v>
                </c:pt>
                <c:pt idx="1286">
                  <c:v>40609.0</c:v>
                </c:pt>
                <c:pt idx="1287">
                  <c:v>40606.0</c:v>
                </c:pt>
                <c:pt idx="1288">
                  <c:v>40605.0</c:v>
                </c:pt>
                <c:pt idx="1289">
                  <c:v>40604.0</c:v>
                </c:pt>
                <c:pt idx="1290">
                  <c:v>40603.0</c:v>
                </c:pt>
                <c:pt idx="1291">
                  <c:v>40602.0</c:v>
                </c:pt>
                <c:pt idx="1292">
                  <c:v>40599.0</c:v>
                </c:pt>
                <c:pt idx="1293">
                  <c:v>40598.0</c:v>
                </c:pt>
                <c:pt idx="1294">
                  <c:v>40597.0</c:v>
                </c:pt>
                <c:pt idx="1295">
                  <c:v>40596.0</c:v>
                </c:pt>
                <c:pt idx="1296">
                  <c:v>40595.0</c:v>
                </c:pt>
                <c:pt idx="1297">
                  <c:v>40592.0</c:v>
                </c:pt>
                <c:pt idx="1298">
                  <c:v>40591.0</c:v>
                </c:pt>
                <c:pt idx="1299">
                  <c:v>40590.0</c:v>
                </c:pt>
                <c:pt idx="1300">
                  <c:v>40589.0</c:v>
                </c:pt>
                <c:pt idx="1301">
                  <c:v>40588.0</c:v>
                </c:pt>
                <c:pt idx="1302">
                  <c:v>40585.0</c:v>
                </c:pt>
                <c:pt idx="1303">
                  <c:v>40584.0</c:v>
                </c:pt>
                <c:pt idx="1304">
                  <c:v>40583.0</c:v>
                </c:pt>
                <c:pt idx="1305">
                  <c:v>40582.0</c:v>
                </c:pt>
                <c:pt idx="1306">
                  <c:v>40581.0</c:v>
                </c:pt>
                <c:pt idx="1307">
                  <c:v>40578.0</c:v>
                </c:pt>
                <c:pt idx="1308">
                  <c:v>40577.0</c:v>
                </c:pt>
                <c:pt idx="1309">
                  <c:v>40576.0</c:v>
                </c:pt>
                <c:pt idx="1310">
                  <c:v>40575.0</c:v>
                </c:pt>
                <c:pt idx="1311">
                  <c:v>40574.0</c:v>
                </c:pt>
                <c:pt idx="1312">
                  <c:v>40571.0</c:v>
                </c:pt>
                <c:pt idx="1313">
                  <c:v>40570.0</c:v>
                </c:pt>
                <c:pt idx="1314">
                  <c:v>40569.0</c:v>
                </c:pt>
                <c:pt idx="1315">
                  <c:v>40568.0</c:v>
                </c:pt>
                <c:pt idx="1316">
                  <c:v>40567.0</c:v>
                </c:pt>
                <c:pt idx="1317">
                  <c:v>40564.0</c:v>
                </c:pt>
                <c:pt idx="1318">
                  <c:v>40563.0</c:v>
                </c:pt>
                <c:pt idx="1319">
                  <c:v>40562.0</c:v>
                </c:pt>
                <c:pt idx="1320">
                  <c:v>40561.0</c:v>
                </c:pt>
                <c:pt idx="1321">
                  <c:v>40560.0</c:v>
                </c:pt>
                <c:pt idx="1322">
                  <c:v>40557.0</c:v>
                </c:pt>
                <c:pt idx="1323">
                  <c:v>40556.0</c:v>
                </c:pt>
                <c:pt idx="1324">
                  <c:v>40555.0</c:v>
                </c:pt>
                <c:pt idx="1325">
                  <c:v>40554.0</c:v>
                </c:pt>
                <c:pt idx="1326">
                  <c:v>40553.0</c:v>
                </c:pt>
                <c:pt idx="1327">
                  <c:v>40550.0</c:v>
                </c:pt>
                <c:pt idx="1328">
                  <c:v>40549.0</c:v>
                </c:pt>
                <c:pt idx="1329">
                  <c:v>40548.0</c:v>
                </c:pt>
                <c:pt idx="1330">
                  <c:v>40547.0</c:v>
                </c:pt>
                <c:pt idx="1331">
                  <c:v>40546.0</c:v>
                </c:pt>
                <c:pt idx="1332">
                  <c:v>40543.0</c:v>
                </c:pt>
                <c:pt idx="1333">
                  <c:v>40542.0</c:v>
                </c:pt>
                <c:pt idx="1334">
                  <c:v>40541.0</c:v>
                </c:pt>
                <c:pt idx="1335">
                  <c:v>40540.0</c:v>
                </c:pt>
                <c:pt idx="1336">
                  <c:v>40536.0</c:v>
                </c:pt>
                <c:pt idx="1337">
                  <c:v>40535.0</c:v>
                </c:pt>
                <c:pt idx="1338">
                  <c:v>40534.0</c:v>
                </c:pt>
                <c:pt idx="1339">
                  <c:v>40533.0</c:v>
                </c:pt>
                <c:pt idx="1340">
                  <c:v>40532.0</c:v>
                </c:pt>
                <c:pt idx="1341">
                  <c:v>40529.0</c:v>
                </c:pt>
                <c:pt idx="1342">
                  <c:v>40527.0</c:v>
                </c:pt>
                <c:pt idx="1343">
                  <c:v>40526.0</c:v>
                </c:pt>
                <c:pt idx="1344">
                  <c:v>40525.0</c:v>
                </c:pt>
                <c:pt idx="1345">
                  <c:v>40522.0</c:v>
                </c:pt>
                <c:pt idx="1346">
                  <c:v>40521.0</c:v>
                </c:pt>
                <c:pt idx="1347">
                  <c:v>40520.0</c:v>
                </c:pt>
                <c:pt idx="1348">
                  <c:v>40519.0</c:v>
                </c:pt>
                <c:pt idx="1349">
                  <c:v>40518.0</c:v>
                </c:pt>
                <c:pt idx="1350">
                  <c:v>40515.0</c:v>
                </c:pt>
                <c:pt idx="1351">
                  <c:v>40514.0</c:v>
                </c:pt>
                <c:pt idx="1352">
                  <c:v>40513.0</c:v>
                </c:pt>
                <c:pt idx="1353">
                  <c:v>40512.0</c:v>
                </c:pt>
                <c:pt idx="1354">
                  <c:v>40511.0</c:v>
                </c:pt>
                <c:pt idx="1355">
                  <c:v>40508.0</c:v>
                </c:pt>
                <c:pt idx="1356">
                  <c:v>40507.0</c:v>
                </c:pt>
                <c:pt idx="1357">
                  <c:v>40506.0</c:v>
                </c:pt>
                <c:pt idx="1358">
                  <c:v>40505.0</c:v>
                </c:pt>
                <c:pt idx="1359">
                  <c:v>40504.0</c:v>
                </c:pt>
                <c:pt idx="1360">
                  <c:v>40501.0</c:v>
                </c:pt>
                <c:pt idx="1361">
                  <c:v>40500.0</c:v>
                </c:pt>
                <c:pt idx="1362">
                  <c:v>40499.0</c:v>
                </c:pt>
                <c:pt idx="1363">
                  <c:v>40498.0</c:v>
                </c:pt>
                <c:pt idx="1364">
                  <c:v>40497.0</c:v>
                </c:pt>
                <c:pt idx="1365">
                  <c:v>40494.0</c:v>
                </c:pt>
                <c:pt idx="1366">
                  <c:v>40493.0</c:v>
                </c:pt>
                <c:pt idx="1367">
                  <c:v>40492.0</c:v>
                </c:pt>
                <c:pt idx="1368">
                  <c:v>40491.0</c:v>
                </c:pt>
                <c:pt idx="1369">
                  <c:v>40490.0</c:v>
                </c:pt>
                <c:pt idx="1370">
                  <c:v>40487.0</c:v>
                </c:pt>
                <c:pt idx="1371">
                  <c:v>40486.0</c:v>
                </c:pt>
                <c:pt idx="1372">
                  <c:v>40485.0</c:v>
                </c:pt>
                <c:pt idx="1373">
                  <c:v>40484.0</c:v>
                </c:pt>
                <c:pt idx="1374">
                  <c:v>40483.0</c:v>
                </c:pt>
                <c:pt idx="1375">
                  <c:v>40480.0</c:v>
                </c:pt>
                <c:pt idx="1376">
                  <c:v>40479.0</c:v>
                </c:pt>
                <c:pt idx="1377">
                  <c:v>40478.0</c:v>
                </c:pt>
                <c:pt idx="1378">
                  <c:v>40477.0</c:v>
                </c:pt>
                <c:pt idx="1379">
                  <c:v>40476.0</c:v>
                </c:pt>
                <c:pt idx="1380">
                  <c:v>40473.0</c:v>
                </c:pt>
                <c:pt idx="1381">
                  <c:v>40472.0</c:v>
                </c:pt>
                <c:pt idx="1382">
                  <c:v>40471.0</c:v>
                </c:pt>
                <c:pt idx="1383">
                  <c:v>40470.0</c:v>
                </c:pt>
                <c:pt idx="1384">
                  <c:v>40469.0</c:v>
                </c:pt>
                <c:pt idx="1385">
                  <c:v>40466.0</c:v>
                </c:pt>
                <c:pt idx="1386">
                  <c:v>40465.0</c:v>
                </c:pt>
                <c:pt idx="1387">
                  <c:v>40464.0</c:v>
                </c:pt>
                <c:pt idx="1388">
                  <c:v>40463.0</c:v>
                </c:pt>
                <c:pt idx="1389">
                  <c:v>40462.0</c:v>
                </c:pt>
                <c:pt idx="1390">
                  <c:v>40459.0</c:v>
                </c:pt>
                <c:pt idx="1391">
                  <c:v>40458.0</c:v>
                </c:pt>
                <c:pt idx="1392">
                  <c:v>40457.0</c:v>
                </c:pt>
                <c:pt idx="1393">
                  <c:v>40456.0</c:v>
                </c:pt>
                <c:pt idx="1394">
                  <c:v>40455.0</c:v>
                </c:pt>
                <c:pt idx="1395">
                  <c:v>40452.0</c:v>
                </c:pt>
                <c:pt idx="1396">
                  <c:v>40451.0</c:v>
                </c:pt>
                <c:pt idx="1397">
                  <c:v>40450.0</c:v>
                </c:pt>
                <c:pt idx="1398">
                  <c:v>40449.0</c:v>
                </c:pt>
                <c:pt idx="1399">
                  <c:v>40448.0</c:v>
                </c:pt>
                <c:pt idx="1400">
                  <c:v>40444.0</c:v>
                </c:pt>
                <c:pt idx="1401">
                  <c:v>40443.0</c:v>
                </c:pt>
                <c:pt idx="1402">
                  <c:v>40442.0</c:v>
                </c:pt>
                <c:pt idx="1403">
                  <c:v>40441.0</c:v>
                </c:pt>
                <c:pt idx="1404">
                  <c:v>40438.0</c:v>
                </c:pt>
                <c:pt idx="1405">
                  <c:v>40437.0</c:v>
                </c:pt>
                <c:pt idx="1406">
                  <c:v>40436.0</c:v>
                </c:pt>
                <c:pt idx="1407">
                  <c:v>40435.0</c:v>
                </c:pt>
                <c:pt idx="1408">
                  <c:v>40434.0</c:v>
                </c:pt>
                <c:pt idx="1409">
                  <c:v>40431.0</c:v>
                </c:pt>
                <c:pt idx="1410">
                  <c:v>40430.0</c:v>
                </c:pt>
                <c:pt idx="1411">
                  <c:v>40429.0</c:v>
                </c:pt>
                <c:pt idx="1412">
                  <c:v>40428.0</c:v>
                </c:pt>
                <c:pt idx="1413">
                  <c:v>40427.0</c:v>
                </c:pt>
                <c:pt idx="1414">
                  <c:v>40424.0</c:v>
                </c:pt>
                <c:pt idx="1415">
                  <c:v>40423.0</c:v>
                </c:pt>
                <c:pt idx="1416">
                  <c:v>40422.0</c:v>
                </c:pt>
                <c:pt idx="1417">
                  <c:v>40421.0</c:v>
                </c:pt>
                <c:pt idx="1418">
                  <c:v>40420.0</c:v>
                </c:pt>
                <c:pt idx="1419">
                  <c:v>40417.0</c:v>
                </c:pt>
                <c:pt idx="1420">
                  <c:v>40416.0</c:v>
                </c:pt>
                <c:pt idx="1421">
                  <c:v>40415.0</c:v>
                </c:pt>
                <c:pt idx="1422">
                  <c:v>40414.0</c:v>
                </c:pt>
                <c:pt idx="1423">
                  <c:v>40413.0</c:v>
                </c:pt>
                <c:pt idx="1424">
                  <c:v>40410.0</c:v>
                </c:pt>
                <c:pt idx="1425">
                  <c:v>40409.0</c:v>
                </c:pt>
                <c:pt idx="1426">
                  <c:v>40408.0</c:v>
                </c:pt>
                <c:pt idx="1427">
                  <c:v>40407.0</c:v>
                </c:pt>
                <c:pt idx="1428">
                  <c:v>40406.0</c:v>
                </c:pt>
                <c:pt idx="1429">
                  <c:v>40403.0</c:v>
                </c:pt>
                <c:pt idx="1430">
                  <c:v>40402.0</c:v>
                </c:pt>
                <c:pt idx="1431">
                  <c:v>40401.0</c:v>
                </c:pt>
                <c:pt idx="1432">
                  <c:v>40400.0</c:v>
                </c:pt>
                <c:pt idx="1433">
                  <c:v>40396.0</c:v>
                </c:pt>
                <c:pt idx="1434">
                  <c:v>40395.0</c:v>
                </c:pt>
                <c:pt idx="1435">
                  <c:v>40394.0</c:v>
                </c:pt>
                <c:pt idx="1436">
                  <c:v>40393.0</c:v>
                </c:pt>
                <c:pt idx="1437">
                  <c:v>40392.0</c:v>
                </c:pt>
                <c:pt idx="1438">
                  <c:v>40389.0</c:v>
                </c:pt>
                <c:pt idx="1439">
                  <c:v>40388.0</c:v>
                </c:pt>
                <c:pt idx="1440">
                  <c:v>40387.0</c:v>
                </c:pt>
                <c:pt idx="1441">
                  <c:v>40386.0</c:v>
                </c:pt>
                <c:pt idx="1442">
                  <c:v>40385.0</c:v>
                </c:pt>
                <c:pt idx="1443">
                  <c:v>40382.0</c:v>
                </c:pt>
                <c:pt idx="1444">
                  <c:v>40381.0</c:v>
                </c:pt>
                <c:pt idx="1445">
                  <c:v>40380.0</c:v>
                </c:pt>
                <c:pt idx="1446">
                  <c:v>40379.0</c:v>
                </c:pt>
                <c:pt idx="1447">
                  <c:v>40378.0</c:v>
                </c:pt>
                <c:pt idx="1448">
                  <c:v>40375.0</c:v>
                </c:pt>
                <c:pt idx="1449">
                  <c:v>40374.0</c:v>
                </c:pt>
                <c:pt idx="1450">
                  <c:v>40373.0</c:v>
                </c:pt>
                <c:pt idx="1451">
                  <c:v>40372.0</c:v>
                </c:pt>
                <c:pt idx="1452">
                  <c:v>40371.0</c:v>
                </c:pt>
                <c:pt idx="1453">
                  <c:v>40368.0</c:v>
                </c:pt>
                <c:pt idx="1454">
                  <c:v>40367.0</c:v>
                </c:pt>
                <c:pt idx="1455">
                  <c:v>40366.0</c:v>
                </c:pt>
                <c:pt idx="1456">
                  <c:v>40365.0</c:v>
                </c:pt>
                <c:pt idx="1457">
                  <c:v>40364.0</c:v>
                </c:pt>
                <c:pt idx="1458">
                  <c:v>40361.0</c:v>
                </c:pt>
                <c:pt idx="1459">
                  <c:v>40360.0</c:v>
                </c:pt>
                <c:pt idx="1460">
                  <c:v>40359.0</c:v>
                </c:pt>
                <c:pt idx="1461">
                  <c:v>40358.0</c:v>
                </c:pt>
                <c:pt idx="1462">
                  <c:v>40357.0</c:v>
                </c:pt>
                <c:pt idx="1463">
                  <c:v>40354.0</c:v>
                </c:pt>
                <c:pt idx="1464">
                  <c:v>40353.0</c:v>
                </c:pt>
                <c:pt idx="1465">
                  <c:v>40352.0</c:v>
                </c:pt>
                <c:pt idx="1466">
                  <c:v>40351.0</c:v>
                </c:pt>
                <c:pt idx="1467">
                  <c:v>40350.0</c:v>
                </c:pt>
                <c:pt idx="1468">
                  <c:v>40347.0</c:v>
                </c:pt>
                <c:pt idx="1469">
                  <c:v>40346.0</c:v>
                </c:pt>
                <c:pt idx="1470">
                  <c:v>40344.0</c:v>
                </c:pt>
                <c:pt idx="1471">
                  <c:v>40343.0</c:v>
                </c:pt>
                <c:pt idx="1472">
                  <c:v>40340.0</c:v>
                </c:pt>
                <c:pt idx="1473">
                  <c:v>40339.0</c:v>
                </c:pt>
                <c:pt idx="1474">
                  <c:v>40338.0</c:v>
                </c:pt>
                <c:pt idx="1475">
                  <c:v>40337.0</c:v>
                </c:pt>
                <c:pt idx="1476">
                  <c:v>40336.0</c:v>
                </c:pt>
                <c:pt idx="1477">
                  <c:v>40333.0</c:v>
                </c:pt>
                <c:pt idx="1478">
                  <c:v>40332.0</c:v>
                </c:pt>
                <c:pt idx="1479">
                  <c:v>40331.0</c:v>
                </c:pt>
                <c:pt idx="1480">
                  <c:v>40330.0</c:v>
                </c:pt>
                <c:pt idx="1481">
                  <c:v>40329.0</c:v>
                </c:pt>
                <c:pt idx="1482">
                  <c:v>40326.0</c:v>
                </c:pt>
                <c:pt idx="1483">
                  <c:v>40325.0</c:v>
                </c:pt>
                <c:pt idx="1484">
                  <c:v>40324.0</c:v>
                </c:pt>
                <c:pt idx="1485">
                  <c:v>40323.0</c:v>
                </c:pt>
                <c:pt idx="1486">
                  <c:v>40322.0</c:v>
                </c:pt>
                <c:pt idx="1487">
                  <c:v>40319.0</c:v>
                </c:pt>
                <c:pt idx="1488">
                  <c:v>40318.0</c:v>
                </c:pt>
                <c:pt idx="1489">
                  <c:v>40317.0</c:v>
                </c:pt>
                <c:pt idx="1490">
                  <c:v>40316.0</c:v>
                </c:pt>
                <c:pt idx="1491">
                  <c:v>40315.0</c:v>
                </c:pt>
                <c:pt idx="1492">
                  <c:v>40312.0</c:v>
                </c:pt>
                <c:pt idx="1493">
                  <c:v>40311.0</c:v>
                </c:pt>
                <c:pt idx="1494">
                  <c:v>40310.0</c:v>
                </c:pt>
                <c:pt idx="1495">
                  <c:v>40309.0</c:v>
                </c:pt>
                <c:pt idx="1496">
                  <c:v>40308.0</c:v>
                </c:pt>
                <c:pt idx="1497">
                  <c:v>40305.0</c:v>
                </c:pt>
                <c:pt idx="1498">
                  <c:v>40304.0</c:v>
                </c:pt>
                <c:pt idx="1499">
                  <c:v>40303.0</c:v>
                </c:pt>
                <c:pt idx="1500">
                  <c:v>40302.0</c:v>
                </c:pt>
                <c:pt idx="1501">
                  <c:v>40301.0</c:v>
                </c:pt>
                <c:pt idx="1502">
                  <c:v>40298.0</c:v>
                </c:pt>
                <c:pt idx="1503">
                  <c:v>40297.0</c:v>
                </c:pt>
                <c:pt idx="1504">
                  <c:v>40296.0</c:v>
                </c:pt>
                <c:pt idx="1505">
                  <c:v>40294.0</c:v>
                </c:pt>
                <c:pt idx="1506">
                  <c:v>40291.0</c:v>
                </c:pt>
                <c:pt idx="1507">
                  <c:v>40290.0</c:v>
                </c:pt>
                <c:pt idx="1508">
                  <c:v>40289.0</c:v>
                </c:pt>
                <c:pt idx="1509">
                  <c:v>40288.0</c:v>
                </c:pt>
                <c:pt idx="1510">
                  <c:v>40287.0</c:v>
                </c:pt>
                <c:pt idx="1511">
                  <c:v>40284.0</c:v>
                </c:pt>
                <c:pt idx="1512">
                  <c:v>40283.0</c:v>
                </c:pt>
                <c:pt idx="1513">
                  <c:v>40282.0</c:v>
                </c:pt>
                <c:pt idx="1514">
                  <c:v>40281.0</c:v>
                </c:pt>
                <c:pt idx="1515">
                  <c:v>40280.0</c:v>
                </c:pt>
                <c:pt idx="1516">
                  <c:v>40277.0</c:v>
                </c:pt>
                <c:pt idx="1517">
                  <c:v>40276.0</c:v>
                </c:pt>
                <c:pt idx="1518">
                  <c:v>40275.0</c:v>
                </c:pt>
                <c:pt idx="1519">
                  <c:v>40274.0</c:v>
                </c:pt>
                <c:pt idx="1520">
                  <c:v>40269.0</c:v>
                </c:pt>
                <c:pt idx="1521">
                  <c:v>40268.0</c:v>
                </c:pt>
                <c:pt idx="1522">
                  <c:v>40267.0</c:v>
                </c:pt>
                <c:pt idx="1523">
                  <c:v>40266.0</c:v>
                </c:pt>
                <c:pt idx="1524">
                  <c:v>40263.0</c:v>
                </c:pt>
                <c:pt idx="1525">
                  <c:v>40262.0</c:v>
                </c:pt>
                <c:pt idx="1526">
                  <c:v>40261.0</c:v>
                </c:pt>
                <c:pt idx="1527">
                  <c:v>40260.0</c:v>
                </c:pt>
                <c:pt idx="1528">
                  <c:v>40256.0</c:v>
                </c:pt>
                <c:pt idx="1529">
                  <c:v>40255.0</c:v>
                </c:pt>
                <c:pt idx="1530">
                  <c:v>40254.0</c:v>
                </c:pt>
                <c:pt idx="1531">
                  <c:v>40253.0</c:v>
                </c:pt>
                <c:pt idx="1532">
                  <c:v>40252.0</c:v>
                </c:pt>
                <c:pt idx="1533">
                  <c:v>40249.0</c:v>
                </c:pt>
                <c:pt idx="1534">
                  <c:v>40248.0</c:v>
                </c:pt>
                <c:pt idx="1535">
                  <c:v>40247.0</c:v>
                </c:pt>
                <c:pt idx="1536">
                  <c:v>40246.0</c:v>
                </c:pt>
                <c:pt idx="1537">
                  <c:v>40245.0</c:v>
                </c:pt>
                <c:pt idx="1538">
                  <c:v>40242.0</c:v>
                </c:pt>
                <c:pt idx="1539">
                  <c:v>40241.0</c:v>
                </c:pt>
                <c:pt idx="1540">
                  <c:v>40240.0</c:v>
                </c:pt>
                <c:pt idx="1541">
                  <c:v>40239.0</c:v>
                </c:pt>
                <c:pt idx="1542">
                  <c:v>40238.0</c:v>
                </c:pt>
                <c:pt idx="1543">
                  <c:v>40235.0</c:v>
                </c:pt>
                <c:pt idx="1544">
                  <c:v>40234.0</c:v>
                </c:pt>
                <c:pt idx="1545">
                  <c:v>40233.0</c:v>
                </c:pt>
                <c:pt idx="1546">
                  <c:v>40232.0</c:v>
                </c:pt>
                <c:pt idx="1547">
                  <c:v>40231.0</c:v>
                </c:pt>
                <c:pt idx="1548">
                  <c:v>40228.0</c:v>
                </c:pt>
                <c:pt idx="1549">
                  <c:v>40227.0</c:v>
                </c:pt>
                <c:pt idx="1550">
                  <c:v>40226.0</c:v>
                </c:pt>
                <c:pt idx="1551">
                  <c:v>40225.0</c:v>
                </c:pt>
                <c:pt idx="1552">
                  <c:v>40224.0</c:v>
                </c:pt>
                <c:pt idx="1553">
                  <c:v>40221.0</c:v>
                </c:pt>
                <c:pt idx="1554">
                  <c:v>40220.0</c:v>
                </c:pt>
                <c:pt idx="1555">
                  <c:v>40219.0</c:v>
                </c:pt>
                <c:pt idx="1556">
                  <c:v>40218.0</c:v>
                </c:pt>
                <c:pt idx="1557">
                  <c:v>40217.0</c:v>
                </c:pt>
                <c:pt idx="1558">
                  <c:v>40214.0</c:v>
                </c:pt>
                <c:pt idx="1559">
                  <c:v>40213.0</c:v>
                </c:pt>
                <c:pt idx="1560">
                  <c:v>40212.0</c:v>
                </c:pt>
                <c:pt idx="1561">
                  <c:v>40211.0</c:v>
                </c:pt>
                <c:pt idx="1562">
                  <c:v>40210.0</c:v>
                </c:pt>
                <c:pt idx="1563">
                  <c:v>40207.0</c:v>
                </c:pt>
                <c:pt idx="1564">
                  <c:v>40206.0</c:v>
                </c:pt>
                <c:pt idx="1565">
                  <c:v>40205.0</c:v>
                </c:pt>
                <c:pt idx="1566">
                  <c:v>40204.0</c:v>
                </c:pt>
                <c:pt idx="1567">
                  <c:v>40203.0</c:v>
                </c:pt>
                <c:pt idx="1568">
                  <c:v>40200.0</c:v>
                </c:pt>
                <c:pt idx="1569">
                  <c:v>40199.0</c:v>
                </c:pt>
                <c:pt idx="1570">
                  <c:v>40198.0</c:v>
                </c:pt>
                <c:pt idx="1571">
                  <c:v>40197.0</c:v>
                </c:pt>
                <c:pt idx="1572">
                  <c:v>40196.0</c:v>
                </c:pt>
                <c:pt idx="1573">
                  <c:v>40193.0</c:v>
                </c:pt>
                <c:pt idx="1574">
                  <c:v>40192.0</c:v>
                </c:pt>
                <c:pt idx="1575">
                  <c:v>40191.0</c:v>
                </c:pt>
                <c:pt idx="1576">
                  <c:v>40190.0</c:v>
                </c:pt>
                <c:pt idx="1577">
                  <c:v>40189.0</c:v>
                </c:pt>
                <c:pt idx="1578">
                  <c:v>40186.0</c:v>
                </c:pt>
                <c:pt idx="1579">
                  <c:v>40185.0</c:v>
                </c:pt>
                <c:pt idx="1580">
                  <c:v>40184.0</c:v>
                </c:pt>
                <c:pt idx="1581">
                  <c:v>40183.0</c:v>
                </c:pt>
                <c:pt idx="1582">
                  <c:v>40182.0</c:v>
                </c:pt>
                <c:pt idx="1583">
                  <c:v>40178.0</c:v>
                </c:pt>
                <c:pt idx="1584">
                  <c:v>40177.0</c:v>
                </c:pt>
                <c:pt idx="1585">
                  <c:v>40176.0</c:v>
                </c:pt>
                <c:pt idx="1586">
                  <c:v>40175.0</c:v>
                </c:pt>
                <c:pt idx="1587">
                  <c:v>40171.0</c:v>
                </c:pt>
                <c:pt idx="1588">
                  <c:v>40170.0</c:v>
                </c:pt>
                <c:pt idx="1589">
                  <c:v>40169.0</c:v>
                </c:pt>
                <c:pt idx="1590">
                  <c:v>40168.0</c:v>
                </c:pt>
                <c:pt idx="1591">
                  <c:v>40165.0</c:v>
                </c:pt>
                <c:pt idx="1592">
                  <c:v>40164.0</c:v>
                </c:pt>
                <c:pt idx="1593">
                  <c:v>40162.0</c:v>
                </c:pt>
                <c:pt idx="1594">
                  <c:v>40161.0</c:v>
                </c:pt>
                <c:pt idx="1595">
                  <c:v>40158.0</c:v>
                </c:pt>
                <c:pt idx="1596">
                  <c:v>40157.0</c:v>
                </c:pt>
                <c:pt idx="1597">
                  <c:v>40156.0</c:v>
                </c:pt>
                <c:pt idx="1598">
                  <c:v>40155.0</c:v>
                </c:pt>
                <c:pt idx="1599">
                  <c:v>40154.0</c:v>
                </c:pt>
                <c:pt idx="1600">
                  <c:v>40151.0</c:v>
                </c:pt>
                <c:pt idx="1601">
                  <c:v>40150.0</c:v>
                </c:pt>
                <c:pt idx="1602">
                  <c:v>40149.0</c:v>
                </c:pt>
                <c:pt idx="1603">
                  <c:v>40148.0</c:v>
                </c:pt>
                <c:pt idx="1604">
                  <c:v>40147.0</c:v>
                </c:pt>
                <c:pt idx="1605">
                  <c:v>40144.0</c:v>
                </c:pt>
                <c:pt idx="1606">
                  <c:v>40143.0</c:v>
                </c:pt>
                <c:pt idx="1607">
                  <c:v>40142.0</c:v>
                </c:pt>
                <c:pt idx="1608">
                  <c:v>40141.0</c:v>
                </c:pt>
                <c:pt idx="1609">
                  <c:v>40140.0</c:v>
                </c:pt>
                <c:pt idx="1610">
                  <c:v>40137.0</c:v>
                </c:pt>
                <c:pt idx="1611">
                  <c:v>40136.0</c:v>
                </c:pt>
                <c:pt idx="1612">
                  <c:v>40135.0</c:v>
                </c:pt>
                <c:pt idx="1613">
                  <c:v>40134.0</c:v>
                </c:pt>
                <c:pt idx="1614">
                  <c:v>40133.0</c:v>
                </c:pt>
                <c:pt idx="1615">
                  <c:v>40130.0</c:v>
                </c:pt>
                <c:pt idx="1616">
                  <c:v>40129.0</c:v>
                </c:pt>
                <c:pt idx="1617">
                  <c:v>40128.0</c:v>
                </c:pt>
                <c:pt idx="1618">
                  <c:v>40127.0</c:v>
                </c:pt>
                <c:pt idx="1619">
                  <c:v>40126.0</c:v>
                </c:pt>
                <c:pt idx="1620">
                  <c:v>40123.0</c:v>
                </c:pt>
                <c:pt idx="1621">
                  <c:v>40122.0</c:v>
                </c:pt>
                <c:pt idx="1622">
                  <c:v>40121.0</c:v>
                </c:pt>
                <c:pt idx="1623">
                  <c:v>40120.0</c:v>
                </c:pt>
                <c:pt idx="1624">
                  <c:v>40119.0</c:v>
                </c:pt>
                <c:pt idx="1625">
                  <c:v>40116.0</c:v>
                </c:pt>
                <c:pt idx="1626">
                  <c:v>40115.0</c:v>
                </c:pt>
                <c:pt idx="1627">
                  <c:v>40114.0</c:v>
                </c:pt>
                <c:pt idx="1628">
                  <c:v>40113.0</c:v>
                </c:pt>
                <c:pt idx="1629">
                  <c:v>40112.0</c:v>
                </c:pt>
                <c:pt idx="1630">
                  <c:v>40109.0</c:v>
                </c:pt>
                <c:pt idx="1631">
                  <c:v>40108.0</c:v>
                </c:pt>
                <c:pt idx="1632">
                  <c:v>40107.0</c:v>
                </c:pt>
                <c:pt idx="1633">
                  <c:v>40106.0</c:v>
                </c:pt>
                <c:pt idx="1634">
                  <c:v>40105.0</c:v>
                </c:pt>
                <c:pt idx="1635">
                  <c:v>40102.0</c:v>
                </c:pt>
                <c:pt idx="1636">
                  <c:v>40101.0</c:v>
                </c:pt>
                <c:pt idx="1637">
                  <c:v>40100.0</c:v>
                </c:pt>
                <c:pt idx="1638">
                  <c:v>40099.0</c:v>
                </c:pt>
                <c:pt idx="1639">
                  <c:v>40098.0</c:v>
                </c:pt>
                <c:pt idx="1640">
                  <c:v>40095.0</c:v>
                </c:pt>
                <c:pt idx="1641">
                  <c:v>40094.0</c:v>
                </c:pt>
                <c:pt idx="1642">
                  <c:v>40093.0</c:v>
                </c:pt>
                <c:pt idx="1643">
                  <c:v>40092.0</c:v>
                </c:pt>
                <c:pt idx="1644">
                  <c:v>40091.0</c:v>
                </c:pt>
                <c:pt idx="1645">
                  <c:v>40088.0</c:v>
                </c:pt>
                <c:pt idx="1646">
                  <c:v>40087.0</c:v>
                </c:pt>
                <c:pt idx="1647">
                  <c:v>40086.0</c:v>
                </c:pt>
                <c:pt idx="1648">
                  <c:v>40085.0</c:v>
                </c:pt>
                <c:pt idx="1649">
                  <c:v>40084.0</c:v>
                </c:pt>
                <c:pt idx="1650">
                  <c:v>40081.0</c:v>
                </c:pt>
                <c:pt idx="1651">
                  <c:v>40079.0</c:v>
                </c:pt>
                <c:pt idx="1652">
                  <c:v>40078.0</c:v>
                </c:pt>
                <c:pt idx="1653">
                  <c:v>40077.0</c:v>
                </c:pt>
                <c:pt idx="1654">
                  <c:v>40074.0</c:v>
                </c:pt>
                <c:pt idx="1655">
                  <c:v>40073.0</c:v>
                </c:pt>
                <c:pt idx="1656">
                  <c:v>40072.0</c:v>
                </c:pt>
                <c:pt idx="1657">
                  <c:v>40071.0</c:v>
                </c:pt>
                <c:pt idx="1658">
                  <c:v>40070.0</c:v>
                </c:pt>
                <c:pt idx="1659">
                  <c:v>40067.0</c:v>
                </c:pt>
                <c:pt idx="1660">
                  <c:v>40066.0</c:v>
                </c:pt>
                <c:pt idx="1661">
                  <c:v>40065.0</c:v>
                </c:pt>
                <c:pt idx="1662">
                  <c:v>40064.0</c:v>
                </c:pt>
                <c:pt idx="1663">
                  <c:v>40063.0</c:v>
                </c:pt>
                <c:pt idx="1664">
                  <c:v>40060.0</c:v>
                </c:pt>
                <c:pt idx="1665">
                  <c:v>40059.0</c:v>
                </c:pt>
                <c:pt idx="1666">
                  <c:v>40058.0</c:v>
                </c:pt>
                <c:pt idx="1667">
                  <c:v>40057.0</c:v>
                </c:pt>
                <c:pt idx="1668">
                  <c:v>40056.0</c:v>
                </c:pt>
                <c:pt idx="1669">
                  <c:v>40053.0</c:v>
                </c:pt>
                <c:pt idx="1670">
                  <c:v>40052.0</c:v>
                </c:pt>
                <c:pt idx="1671">
                  <c:v>40051.0</c:v>
                </c:pt>
                <c:pt idx="1672">
                  <c:v>40050.0</c:v>
                </c:pt>
                <c:pt idx="1673">
                  <c:v>40049.0</c:v>
                </c:pt>
                <c:pt idx="1674">
                  <c:v>40046.0</c:v>
                </c:pt>
                <c:pt idx="1675">
                  <c:v>40045.0</c:v>
                </c:pt>
                <c:pt idx="1676">
                  <c:v>40044.0</c:v>
                </c:pt>
                <c:pt idx="1677">
                  <c:v>40043.0</c:v>
                </c:pt>
                <c:pt idx="1678">
                  <c:v>40042.0</c:v>
                </c:pt>
                <c:pt idx="1679">
                  <c:v>40039.0</c:v>
                </c:pt>
                <c:pt idx="1680">
                  <c:v>40038.0</c:v>
                </c:pt>
                <c:pt idx="1681">
                  <c:v>40037.0</c:v>
                </c:pt>
                <c:pt idx="1682">
                  <c:v>40036.0</c:v>
                </c:pt>
                <c:pt idx="1683">
                  <c:v>40032.0</c:v>
                </c:pt>
                <c:pt idx="1684">
                  <c:v>40031.0</c:v>
                </c:pt>
                <c:pt idx="1685">
                  <c:v>40030.0</c:v>
                </c:pt>
                <c:pt idx="1686">
                  <c:v>40029.0</c:v>
                </c:pt>
                <c:pt idx="1687">
                  <c:v>40028.0</c:v>
                </c:pt>
                <c:pt idx="1688">
                  <c:v>40025.0</c:v>
                </c:pt>
                <c:pt idx="1689">
                  <c:v>40024.0</c:v>
                </c:pt>
                <c:pt idx="1690">
                  <c:v>40023.0</c:v>
                </c:pt>
                <c:pt idx="1691">
                  <c:v>40022.0</c:v>
                </c:pt>
                <c:pt idx="1692">
                  <c:v>40021.0</c:v>
                </c:pt>
                <c:pt idx="1693">
                  <c:v>40018.0</c:v>
                </c:pt>
                <c:pt idx="1694">
                  <c:v>40017.0</c:v>
                </c:pt>
                <c:pt idx="1695">
                  <c:v>40016.0</c:v>
                </c:pt>
                <c:pt idx="1696">
                  <c:v>40015.0</c:v>
                </c:pt>
                <c:pt idx="1697">
                  <c:v>40014.0</c:v>
                </c:pt>
                <c:pt idx="1698">
                  <c:v>40011.0</c:v>
                </c:pt>
                <c:pt idx="1699">
                  <c:v>40010.0</c:v>
                </c:pt>
                <c:pt idx="1700">
                  <c:v>40009.0</c:v>
                </c:pt>
                <c:pt idx="1701">
                  <c:v>40008.0</c:v>
                </c:pt>
                <c:pt idx="1702">
                  <c:v>40007.0</c:v>
                </c:pt>
                <c:pt idx="1703">
                  <c:v>40004.0</c:v>
                </c:pt>
                <c:pt idx="1704">
                  <c:v>40003.0</c:v>
                </c:pt>
                <c:pt idx="1705">
                  <c:v>40002.0</c:v>
                </c:pt>
                <c:pt idx="1706">
                  <c:v>40001.0</c:v>
                </c:pt>
                <c:pt idx="1707">
                  <c:v>40000.0</c:v>
                </c:pt>
                <c:pt idx="1708">
                  <c:v>39997.0</c:v>
                </c:pt>
                <c:pt idx="1709">
                  <c:v>39996.0</c:v>
                </c:pt>
                <c:pt idx="1710">
                  <c:v>39995.0</c:v>
                </c:pt>
                <c:pt idx="1711">
                  <c:v>39994.0</c:v>
                </c:pt>
                <c:pt idx="1712">
                  <c:v>39993.0</c:v>
                </c:pt>
                <c:pt idx="1713">
                  <c:v>39990.0</c:v>
                </c:pt>
                <c:pt idx="1714">
                  <c:v>39989.0</c:v>
                </c:pt>
                <c:pt idx="1715">
                  <c:v>39988.0</c:v>
                </c:pt>
                <c:pt idx="1716">
                  <c:v>39987.0</c:v>
                </c:pt>
                <c:pt idx="1717">
                  <c:v>39986.0</c:v>
                </c:pt>
                <c:pt idx="1718">
                  <c:v>39983.0</c:v>
                </c:pt>
                <c:pt idx="1719">
                  <c:v>39982.0</c:v>
                </c:pt>
                <c:pt idx="1720">
                  <c:v>39981.0</c:v>
                </c:pt>
                <c:pt idx="1721">
                  <c:v>39979.0</c:v>
                </c:pt>
                <c:pt idx="1722">
                  <c:v>39976.0</c:v>
                </c:pt>
                <c:pt idx="1723">
                  <c:v>39975.0</c:v>
                </c:pt>
                <c:pt idx="1724">
                  <c:v>39974.0</c:v>
                </c:pt>
                <c:pt idx="1725">
                  <c:v>39973.0</c:v>
                </c:pt>
                <c:pt idx="1726">
                  <c:v>39972.0</c:v>
                </c:pt>
                <c:pt idx="1727">
                  <c:v>39969.0</c:v>
                </c:pt>
                <c:pt idx="1728">
                  <c:v>39968.0</c:v>
                </c:pt>
                <c:pt idx="1729">
                  <c:v>39967.0</c:v>
                </c:pt>
                <c:pt idx="1730">
                  <c:v>39966.0</c:v>
                </c:pt>
                <c:pt idx="1731">
                  <c:v>39965.0</c:v>
                </c:pt>
                <c:pt idx="1732">
                  <c:v>39962.0</c:v>
                </c:pt>
                <c:pt idx="1733">
                  <c:v>39961.0</c:v>
                </c:pt>
                <c:pt idx="1734">
                  <c:v>39960.0</c:v>
                </c:pt>
                <c:pt idx="1735">
                  <c:v>39959.0</c:v>
                </c:pt>
                <c:pt idx="1736">
                  <c:v>39958.0</c:v>
                </c:pt>
                <c:pt idx="1737">
                  <c:v>39955.0</c:v>
                </c:pt>
                <c:pt idx="1738">
                  <c:v>39954.0</c:v>
                </c:pt>
                <c:pt idx="1739">
                  <c:v>39953.0</c:v>
                </c:pt>
                <c:pt idx="1740">
                  <c:v>39952.0</c:v>
                </c:pt>
                <c:pt idx="1741">
                  <c:v>39951.0</c:v>
                </c:pt>
                <c:pt idx="1742">
                  <c:v>39948.0</c:v>
                </c:pt>
                <c:pt idx="1743">
                  <c:v>39947.0</c:v>
                </c:pt>
                <c:pt idx="1744">
                  <c:v>39946.0</c:v>
                </c:pt>
                <c:pt idx="1745">
                  <c:v>39945.0</c:v>
                </c:pt>
                <c:pt idx="1746">
                  <c:v>39944.0</c:v>
                </c:pt>
                <c:pt idx="1747">
                  <c:v>39941.0</c:v>
                </c:pt>
                <c:pt idx="1748">
                  <c:v>39940.0</c:v>
                </c:pt>
                <c:pt idx="1749">
                  <c:v>39939.0</c:v>
                </c:pt>
                <c:pt idx="1750">
                  <c:v>39938.0</c:v>
                </c:pt>
                <c:pt idx="1751">
                  <c:v>39937.0</c:v>
                </c:pt>
                <c:pt idx="1752">
                  <c:v>39933.0</c:v>
                </c:pt>
                <c:pt idx="1753">
                  <c:v>39932.0</c:v>
                </c:pt>
                <c:pt idx="1754">
                  <c:v>39931.0</c:v>
                </c:pt>
                <c:pt idx="1755">
                  <c:v>39927.0</c:v>
                </c:pt>
                <c:pt idx="1756">
                  <c:v>39926.0</c:v>
                </c:pt>
                <c:pt idx="1757">
                  <c:v>39924.0</c:v>
                </c:pt>
                <c:pt idx="1758">
                  <c:v>39923.0</c:v>
                </c:pt>
                <c:pt idx="1759">
                  <c:v>39920.0</c:v>
                </c:pt>
                <c:pt idx="1760">
                  <c:v>39919.0</c:v>
                </c:pt>
                <c:pt idx="1761">
                  <c:v>39918.0</c:v>
                </c:pt>
                <c:pt idx="1762">
                  <c:v>39917.0</c:v>
                </c:pt>
                <c:pt idx="1763">
                  <c:v>39912.0</c:v>
                </c:pt>
                <c:pt idx="1764">
                  <c:v>39911.0</c:v>
                </c:pt>
                <c:pt idx="1765">
                  <c:v>39910.0</c:v>
                </c:pt>
                <c:pt idx="1766">
                  <c:v>39909.0</c:v>
                </c:pt>
                <c:pt idx="1767">
                  <c:v>39906.0</c:v>
                </c:pt>
                <c:pt idx="1768">
                  <c:v>39905.0</c:v>
                </c:pt>
                <c:pt idx="1769">
                  <c:v>39904.0</c:v>
                </c:pt>
                <c:pt idx="1770">
                  <c:v>39903.0</c:v>
                </c:pt>
                <c:pt idx="1771">
                  <c:v>39902.0</c:v>
                </c:pt>
                <c:pt idx="1772">
                  <c:v>39899.0</c:v>
                </c:pt>
                <c:pt idx="1773">
                  <c:v>39898.0</c:v>
                </c:pt>
                <c:pt idx="1774">
                  <c:v>39897.0</c:v>
                </c:pt>
                <c:pt idx="1775">
                  <c:v>39896.0</c:v>
                </c:pt>
                <c:pt idx="1776">
                  <c:v>39895.0</c:v>
                </c:pt>
                <c:pt idx="1777">
                  <c:v>39892.0</c:v>
                </c:pt>
                <c:pt idx="1778">
                  <c:v>39891.0</c:v>
                </c:pt>
                <c:pt idx="1779">
                  <c:v>39890.0</c:v>
                </c:pt>
                <c:pt idx="1780">
                  <c:v>39889.0</c:v>
                </c:pt>
                <c:pt idx="1781">
                  <c:v>39888.0</c:v>
                </c:pt>
                <c:pt idx="1782">
                  <c:v>39885.0</c:v>
                </c:pt>
                <c:pt idx="1783">
                  <c:v>39884.0</c:v>
                </c:pt>
                <c:pt idx="1784">
                  <c:v>39883.0</c:v>
                </c:pt>
                <c:pt idx="1785">
                  <c:v>39882.0</c:v>
                </c:pt>
                <c:pt idx="1786">
                  <c:v>39881.0</c:v>
                </c:pt>
                <c:pt idx="1787">
                  <c:v>39878.0</c:v>
                </c:pt>
                <c:pt idx="1788">
                  <c:v>39877.0</c:v>
                </c:pt>
                <c:pt idx="1789">
                  <c:v>39876.0</c:v>
                </c:pt>
                <c:pt idx="1790">
                  <c:v>39875.0</c:v>
                </c:pt>
                <c:pt idx="1791">
                  <c:v>39874.0</c:v>
                </c:pt>
                <c:pt idx="1792">
                  <c:v>39871.0</c:v>
                </c:pt>
                <c:pt idx="1793">
                  <c:v>39870.0</c:v>
                </c:pt>
                <c:pt idx="1794">
                  <c:v>39869.0</c:v>
                </c:pt>
                <c:pt idx="1795">
                  <c:v>39868.0</c:v>
                </c:pt>
                <c:pt idx="1796">
                  <c:v>39867.0</c:v>
                </c:pt>
                <c:pt idx="1797">
                  <c:v>39864.0</c:v>
                </c:pt>
                <c:pt idx="1798">
                  <c:v>39863.0</c:v>
                </c:pt>
                <c:pt idx="1799">
                  <c:v>39862.0</c:v>
                </c:pt>
                <c:pt idx="1800">
                  <c:v>39861.0</c:v>
                </c:pt>
                <c:pt idx="1801">
                  <c:v>39860.0</c:v>
                </c:pt>
                <c:pt idx="1802">
                  <c:v>39857.0</c:v>
                </c:pt>
                <c:pt idx="1803">
                  <c:v>39856.0</c:v>
                </c:pt>
                <c:pt idx="1804">
                  <c:v>39855.0</c:v>
                </c:pt>
                <c:pt idx="1805">
                  <c:v>39854.0</c:v>
                </c:pt>
                <c:pt idx="1806">
                  <c:v>39853.0</c:v>
                </c:pt>
                <c:pt idx="1807">
                  <c:v>39850.0</c:v>
                </c:pt>
                <c:pt idx="1808">
                  <c:v>39849.0</c:v>
                </c:pt>
                <c:pt idx="1809">
                  <c:v>39848.0</c:v>
                </c:pt>
                <c:pt idx="1810">
                  <c:v>39847.0</c:v>
                </c:pt>
                <c:pt idx="1811">
                  <c:v>39846.0</c:v>
                </c:pt>
                <c:pt idx="1812">
                  <c:v>39843.0</c:v>
                </c:pt>
                <c:pt idx="1813">
                  <c:v>39842.0</c:v>
                </c:pt>
                <c:pt idx="1814">
                  <c:v>39841.0</c:v>
                </c:pt>
                <c:pt idx="1815">
                  <c:v>39840.0</c:v>
                </c:pt>
                <c:pt idx="1816">
                  <c:v>39839.0</c:v>
                </c:pt>
                <c:pt idx="1817">
                  <c:v>39836.0</c:v>
                </c:pt>
                <c:pt idx="1818">
                  <c:v>39835.0</c:v>
                </c:pt>
                <c:pt idx="1819">
                  <c:v>39834.0</c:v>
                </c:pt>
                <c:pt idx="1820">
                  <c:v>39833.0</c:v>
                </c:pt>
                <c:pt idx="1821">
                  <c:v>39832.0</c:v>
                </c:pt>
                <c:pt idx="1822">
                  <c:v>39829.0</c:v>
                </c:pt>
                <c:pt idx="1823">
                  <c:v>39828.0</c:v>
                </c:pt>
                <c:pt idx="1824">
                  <c:v>39827.0</c:v>
                </c:pt>
                <c:pt idx="1825">
                  <c:v>39826.0</c:v>
                </c:pt>
                <c:pt idx="1826">
                  <c:v>39825.0</c:v>
                </c:pt>
                <c:pt idx="1827">
                  <c:v>39822.0</c:v>
                </c:pt>
                <c:pt idx="1828">
                  <c:v>39821.0</c:v>
                </c:pt>
                <c:pt idx="1829">
                  <c:v>39820.0</c:v>
                </c:pt>
                <c:pt idx="1830">
                  <c:v>39819.0</c:v>
                </c:pt>
                <c:pt idx="1831">
                  <c:v>39818.0</c:v>
                </c:pt>
                <c:pt idx="1832">
                  <c:v>39815.0</c:v>
                </c:pt>
                <c:pt idx="1833">
                  <c:v>39813.0</c:v>
                </c:pt>
                <c:pt idx="1834">
                  <c:v>39812.0</c:v>
                </c:pt>
                <c:pt idx="1835">
                  <c:v>39811.0</c:v>
                </c:pt>
                <c:pt idx="1836">
                  <c:v>39806.0</c:v>
                </c:pt>
                <c:pt idx="1837">
                  <c:v>39805.0</c:v>
                </c:pt>
                <c:pt idx="1838">
                  <c:v>39804.0</c:v>
                </c:pt>
                <c:pt idx="1839">
                  <c:v>39801.0</c:v>
                </c:pt>
                <c:pt idx="1840">
                  <c:v>39800.0</c:v>
                </c:pt>
                <c:pt idx="1841">
                  <c:v>39799.0</c:v>
                </c:pt>
                <c:pt idx="1842">
                  <c:v>39797.0</c:v>
                </c:pt>
                <c:pt idx="1843">
                  <c:v>39794.0</c:v>
                </c:pt>
                <c:pt idx="1844">
                  <c:v>39793.0</c:v>
                </c:pt>
                <c:pt idx="1845">
                  <c:v>39792.0</c:v>
                </c:pt>
                <c:pt idx="1846">
                  <c:v>39791.0</c:v>
                </c:pt>
                <c:pt idx="1847">
                  <c:v>39790.0</c:v>
                </c:pt>
                <c:pt idx="1848">
                  <c:v>39787.0</c:v>
                </c:pt>
                <c:pt idx="1849">
                  <c:v>39786.0</c:v>
                </c:pt>
                <c:pt idx="1850">
                  <c:v>39785.0</c:v>
                </c:pt>
                <c:pt idx="1851">
                  <c:v>39784.0</c:v>
                </c:pt>
                <c:pt idx="1852">
                  <c:v>39783.0</c:v>
                </c:pt>
                <c:pt idx="1853">
                  <c:v>39780.0</c:v>
                </c:pt>
                <c:pt idx="1854">
                  <c:v>39779.0</c:v>
                </c:pt>
                <c:pt idx="1855">
                  <c:v>39778.0</c:v>
                </c:pt>
                <c:pt idx="1856">
                  <c:v>39777.0</c:v>
                </c:pt>
                <c:pt idx="1857">
                  <c:v>39776.0</c:v>
                </c:pt>
                <c:pt idx="1858">
                  <c:v>39773.0</c:v>
                </c:pt>
                <c:pt idx="1859">
                  <c:v>39772.0</c:v>
                </c:pt>
                <c:pt idx="1860">
                  <c:v>39771.0</c:v>
                </c:pt>
                <c:pt idx="1861">
                  <c:v>39769.0</c:v>
                </c:pt>
                <c:pt idx="1862">
                  <c:v>39766.0</c:v>
                </c:pt>
                <c:pt idx="1863">
                  <c:v>39765.0</c:v>
                </c:pt>
                <c:pt idx="1864">
                  <c:v>39764.0</c:v>
                </c:pt>
                <c:pt idx="1865">
                  <c:v>39763.0</c:v>
                </c:pt>
                <c:pt idx="1866">
                  <c:v>39762.0</c:v>
                </c:pt>
                <c:pt idx="1867">
                  <c:v>39759.0</c:v>
                </c:pt>
                <c:pt idx="1868">
                  <c:v>39758.0</c:v>
                </c:pt>
                <c:pt idx="1869">
                  <c:v>39757.0</c:v>
                </c:pt>
                <c:pt idx="1870">
                  <c:v>39756.0</c:v>
                </c:pt>
                <c:pt idx="1871">
                  <c:v>39755.0</c:v>
                </c:pt>
                <c:pt idx="1872">
                  <c:v>39752.0</c:v>
                </c:pt>
                <c:pt idx="1873">
                  <c:v>39751.0</c:v>
                </c:pt>
                <c:pt idx="1874">
                  <c:v>39750.0</c:v>
                </c:pt>
                <c:pt idx="1875">
                  <c:v>39749.0</c:v>
                </c:pt>
                <c:pt idx="1876">
                  <c:v>39748.0</c:v>
                </c:pt>
                <c:pt idx="1877">
                  <c:v>39745.0</c:v>
                </c:pt>
                <c:pt idx="1878">
                  <c:v>39744.0</c:v>
                </c:pt>
                <c:pt idx="1879">
                  <c:v>39743.0</c:v>
                </c:pt>
                <c:pt idx="1880">
                  <c:v>39742.0</c:v>
                </c:pt>
                <c:pt idx="1881">
                  <c:v>39741.0</c:v>
                </c:pt>
                <c:pt idx="1882">
                  <c:v>39738.0</c:v>
                </c:pt>
                <c:pt idx="1883">
                  <c:v>39737.0</c:v>
                </c:pt>
                <c:pt idx="1884">
                  <c:v>39736.0</c:v>
                </c:pt>
                <c:pt idx="1885">
                  <c:v>39735.0</c:v>
                </c:pt>
                <c:pt idx="1886">
                  <c:v>39734.0</c:v>
                </c:pt>
                <c:pt idx="1887">
                  <c:v>39731.0</c:v>
                </c:pt>
                <c:pt idx="1888">
                  <c:v>39730.0</c:v>
                </c:pt>
                <c:pt idx="1889">
                  <c:v>39729.0</c:v>
                </c:pt>
                <c:pt idx="1890">
                  <c:v>39728.0</c:v>
                </c:pt>
                <c:pt idx="1891">
                  <c:v>39727.0</c:v>
                </c:pt>
                <c:pt idx="1892">
                  <c:v>39724.0</c:v>
                </c:pt>
                <c:pt idx="1893">
                  <c:v>39723.0</c:v>
                </c:pt>
                <c:pt idx="1894">
                  <c:v>39722.0</c:v>
                </c:pt>
                <c:pt idx="1895">
                  <c:v>39721.0</c:v>
                </c:pt>
                <c:pt idx="1896">
                  <c:v>39720.0</c:v>
                </c:pt>
                <c:pt idx="1897">
                  <c:v>39717.0</c:v>
                </c:pt>
                <c:pt idx="1898">
                  <c:v>39716.0</c:v>
                </c:pt>
                <c:pt idx="1899">
                  <c:v>39714.0</c:v>
                </c:pt>
                <c:pt idx="1900">
                  <c:v>39713.0</c:v>
                </c:pt>
                <c:pt idx="1901">
                  <c:v>39710.0</c:v>
                </c:pt>
                <c:pt idx="1902">
                  <c:v>39709.0</c:v>
                </c:pt>
                <c:pt idx="1903">
                  <c:v>39708.0</c:v>
                </c:pt>
                <c:pt idx="1904">
                  <c:v>39707.0</c:v>
                </c:pt>
                <c:pt idx="1905">
                  <c:v>39706.0</c:v>
                </c:pt>
                <c:pt idx="1906">
                  <c:v>39703.0</c:v>
                </c:pt>
                <c:pt idx="1907">
                  <c:v>39702.0</c:v>
                </c:pt>
                <c:pt idx="1908">
                  <c:v>39701.0</c:v>
                </c:pt>
                <c:pt idx="1909">
                  <c:v>39700.0</c:v>
                </c:pt>
                <c:pt idx="1910">
                  <c:v>39699.0</c:v>
                </c:pt>
                <c:pt idx="1911">
                  <c:v>39696.0</c:v>
                </c:pt>
                <c:pt idx="1912">
                  <c:v>39695.0</c:v>
                </c:pt>
                <c:pt idx="1913">
                  <c:v>39694.0</c:v>
                </c:pt>
                <c:pt idx="1914">
                  <c:v>39693.0</c:v>
                </c:pt>
                <c:pt idx="1915">
                  <c:v>39692.0</c:v>
                </c:pt>
                <c:pt idx="1916">
                  <c:v>39689.0</c:v>
                </c:pt>
                <c:pt idx="1917">
                  <c:v>39688.0</c:v>
                </c:pt>
                <c:pt idx="1918">
                  <c:v>39687.0</c:v>
                </c:pt>
                <c:pt idx="1919">
                  <c:v>39686.0</c:v>
                </c:pt>
                <c:pt idx="1920">
                  <c:v>39685.0</c:v>
                </c:pt>
                <c:pt idx="1921">
                  <c:v>39682.0</c:v>
                </c:pt>
                <c:pt idx="1922">
                  <c:v>39681.0</c:v>
                </c:pt>
                <c:pt idx="1923">
                  <c:v>39680.0</c:v>
                </c:pt>
                <c:pt idx="1924">
                  <c:v>39679.0</c:v>
                </c:pt>
                <c:pt idx="1925">
                  <c:v>39678.0</c:v>
                </c:pt>
                <c:pt idx="1926">
                  <c:v>39675.0</c:v>
                </c:pt>
                <c:pt idx="1927">
                  <c:v>39674.0</c:v>
                </c:pt>
                <c:pt idx="1928">
                  <c:v>39673.0</c:v>
                </c:pt>
                <c:pt idx="1929">
                  <c:v>39672.0</c:v>
                </c:pt>
                <c:pt idx="1930">
                  <c:v>39671.0</c:v>
                </c:pt>
                <c:pt idx="1931">
                  <c:v>39668.0</c:v>
                </c:pt>
                <c:pt idx="1932">
                  <c:v>39667.0</c:v>
                </c:pt>
                <c:pt idx="1933">
                  <c:v>39666.0</c:v>
                </c:pt>
                <c:pt idx="1934">
                  <c:v>39665.0</c:v>
                </c:pt>
                <c:pt idx="1935">
                  <c:v>39664.0</c:v>
                </c:pt>
                <c:pt idx="1936">
                  <c:v>39661.0</c:v>
                </c:pt>
                <c:pt idx="1937">
                  <c:v>39660.0</c:v>
                </c:pt>
                <c:pt idx="1938">
                  <c:v>39659.0</c:v>
                </c:pt>
                <c:pt idx="1939">
                  <c:v>39658.0</c:v>
                </c:pt>
                <c:pt idx="1940">
                  <c:v>39657.0</c:v>
                </c:pt>
                <c:pt idx="1941">
                  <c:v>39654.0</c:v>
                </c:pt>
                <c:pt idx="1942">
                  <c:v>39653.0</c:v>
                </c:pt>
                <c:pt idx="1943">
                  <c:v>39652.0</c:v>
                </c:pt>
                <c:pt idx="1944">
                  <c:v>39651.0</c:v>
                </c:pt>
                <c:pt idx="1945">
                  <c:v>39650.0</c:v>
                </c:pt>
                <c:pt idx="1946">
                  <c:v>39647.0</c:v>
                </c:pt>
                <c:pt idx="1947">
                  <c:v>39646.0</c:v>
                </c:pt>
                <c:pt idx="1948">
                  <c:v>39645.0</c:v>
                </c:pt>
                <c:pt idx="1949">
                  <c:v>39644.0</c:v>
                </c:pt>
                <c:pt idx="1950">
                  <c:v>39643.0</c:v>
                </c:pt>
                <c:pt idx="1951">
                  <c:v>39640.0</c:v>
                </c:pt>
                <c:pt idx="1952">
                  <c:v>39639.0</c:v>
                </c:pt>
                <c:pt idx="1953">
                  <c:v>39638.0</c:v>
                </c:pt>
                <c:pt idx="1954">
                  <c:v>39637.0</c:v>
                </c:pt>
                <c:pt idx="1955">
                  <c:v>39636.0</c:v>
                </c:pt>
                <c:pt idx="1956">
                  <c:v>39633.0</c:v>
                </c:pt>
                <c:pt idx="1957">
                  <c:v>39632.0</c:v>
                </c:pt>
                <c:pt idx="1958">
                  <c:v>39631.0</c:v>
                </c:pt>
                <c:pt idx="1959">
                  <c:v>39630.0</c:v>
                </c:pt>
                <c:pt idx="1960">
                  <c:v>39629.0</c:v>
                </c:pt>
                <c:pt idx="1961">
                  <c:v>39626.0</c:v>
                </c:pt>
                <c:pt idx="1962">
                  <c:v>39625.0</c:v>
                </c:pt>
                <c:pt idx="1963">
                  <c:v>39624.0</c:v>
                </c:pt>
                <c:pt idx="1964">
                  <c:v>39623.0</c:v>
                </c:pt>
                <c:pt idx="1965">
                  <c:v>39622.0</c:v>
                </c:pt>
                <c:pt idx="1966">
                  <c:v>39619.0</c:v>
                </c:pt>
                <c:pt idx="1967">
                  <c:v>39618.0</c:v>
                </c:pt>
                <c:pt idx="1968">
                  <c:v>39617.0</c:v>
                </c:pt>
                <c:pt idx="1969">
                  <c:v>39616.0</c:v>
                </c:pt>
                <c:pt idx="1970">
                  <c:v>39612.0</c:v>
                </c:pt>
                <c:pt idx="1971">
                  <c:v>39611.0</c:v>
                </c:pt>
                <c:pt idx="1972">
                  <c:v>39610.0</c:v>
                </c:pt>
                <c:pt idx="1973">
                  <c:v>39609.0</c:v>
                </c:pt>
                <c:pt idx="1974">
                  <c:v>39608.0</c:v>
                </c:pt>
                <c:pt idx="1975">
                  <c:v>39605.0</c:v>
                </c:pt>
                <c:pt idx="1976">
                  <c:v>39604.0</c:v>
                </c:pt>
                <c:pt idx="1977">
                  <c:v>39603.0</c:v>
                </c:pt>
                <c:pt idx="1978">
                  <c:v>39602.0</c:v>
                </c:pt>
                <c:pt idx="1979">
                  <c:v>39601.0</c:v>
                </c:pt>
                <c:pt idx="1980">
                  <c:v>39598.0</c:v>
                </c:pt>
                <c:pt idx="1981">
                  <c:v>39597.0</c:v>
                </c:pt>
                <c:pt idx="1982">
                  <c:v>39596.0</c:v>
                </c:pt>
                <c:pt idx="1983">
                  <c:v>39595.0</c:v>
                </c:pt>
                <c:pt idx="1984">
                  <c:v>39594.0</c:v>
                </c:pt>
                <c:pt idx="1985">
                  <c:v>39591.0</c:v>
                </c:pt>
                <c:pt idx="1986">
                  <c:v>39590.0</c:v>
                </c:pt>
                <c:pt idx="1987">
                  <c:v>39589.0</c:v>
                </c:pt>
                <c:pt idx="1988">
                  <c:v>39588.0</c:v>
                </c:pt>
                <c:pt idx="1989">
                  <c:v>39587.0</c:v>
                </c:pt>
                <c:pt idx="1990">
                  <c:v>39584.0</c:v>
                </c:pt>
                <c:pt idx="1991">
                  <c:v>39583.0</c:v>
                </c:pt>
                <c:pt idx="1992">
                  <c:v>39582.0</c:v>
                </c:pt>
                <c:pt idx="1993">
                  <c:v>39581.0</c:v>
                </c:pt>
                <c:pt idx="1994">
                  <c:v>39580.0</c:v>
                </c:pt>
                <c:pt idx="1995">
                  <c:v>39577.0</c:v>
                </c:pt>
                <c:pt idx="1996">
                  <c:v>39576.0</c:v>
                </c:pt>
                <c:pt idx="1997">
                  <c:v>39575.0</c:v>
                </c:pt>
                <c:pt idx="1998">
                  <c:v>39574.0</c:v>
                </c:pt>
                <c:pt idx="1999">
                  <c:v>39573.0</c:v>
                </c:pt>
                <c:pt idx="2000">
                  <c:v>39568.0</c:v>
                </c:pt>
                <c:pt idx="2001">
                  <c:v>39567.0</c:v>
                </c:pt>
                <c:pt idx="2002">
                  <c:v>39563.0</c:v>
                </c:pt>
                <c:pt idx="2003">
                  <c:v>39562.0</c:v>
                </c:pt>
                <c:pt idx="2004">
                  <c:v>39561.0</c:v>
                </c:pt>
                <c:pt idx="2005">
                  <c:v>39560.0</c:v>
                </c:pt>
                <c:pt idx="2006">
                  <c:v>39559.0</c:v>
                </c:pt>
                <c:pt idx="2007">
                  <c:v>39556.0</c:v>
                </c:pt>
                <c:pt idx="2008">
                  <c:v>39555.0</c:v>
                </c:pt>
                <c:pt idx="2009">
                  <c:v>39554.0</c:v>
                </c:pt>
                <c:pt idx="2010">
                  <c:v>39553.0</c:v>
                </c:pt>
                <c:pt idx="2011">
                  <c:v>39552.0</c:v>
                </c:pt>
                <c:pt idx="2012">
                  <c:v>39549.0</c:v>
                </c:pt>
                <c:pt idx="2013">
                  <c:v>39548.0</c:v>
                </c:pt>
                <c:pt idx="2014">
                  <c:v>39547.0</c:v>
                </c:pt>
                <c:pt idx="2015">
                  <c:v>39546.0</c:v>
                </c:pt>
                <c:pt idx="2016">
                  <c:v>39545.0</c:v>
                </c:pt>
                <c:pt idx="2017">
                  <c:v>39542.0</c:v>
                </c:pt>
                <c:pt idx="2018">
                  <c:v>39541.0</c:v>
                </c:pt>
                <c:pt idx="2019">
                  <c:v>39540.0</c:v>
                </c:pt>
                <c:pt idx="2020">
                  <c:v>39539.0</c:v>
                </c:pt>
                <c:pt idx="2021">
                  <c:v>39538.0</c:v>
                </c:pt>
                <c:pt idx="2022">
                  <c:v>39535.0</c:v>
                </c:pt>
                <c:pt idx="2023">
                  <c:v>39534.0</c:v>
                </c:pt>
                <c:pt idx="2024">
                  <c:v>39533.0</c:v>
                </c:pt>
                <c:pt idx="2025">
                  <c:v>39532.0</c:v>
                </c:pt>
                <c:pt idx="2026">
                  <c:v>39527.0</c:v>
                </c:pt>
                <c:pt idx="2027">
                  <c:v>39526.0</c:v>
                </c:pt>
                <c:pt idx="2028">
                  <c:v>39525.0</c:v>
                </c:pt>
                <c:pt idx="2029">
                  <c:v>39524.0</c:v>
                </c:pt>
                <c:pt idx="2030">
                  <c:v>39521.0</c:v>
                </c:pt>
                <c:pt idx="2031">
                  <c:v>39520.0</c:v>
                </c:pt>
                <c:pt idx="2032">
                  <c:v>39519.0</c:v>
                </c:pt>
                <c:pt idx="2033">
                  <c:v>39518.0</c:v>
                </c:pt>
                <c:pt idx="2034">
                  <c:v>39517.0</c:v>
                </c:pt>
                <c:pt idx="2035">
                  <c:v>39514.0</c:v>
                </c:pt>
                <c:pt idx="2036">
                  <c:v>39513.0</c:v>
                </c:pt>
                <c:pt idx="2037">
                  <c:v>39512.0</c:v>
                </c:pt>
                <c:pt idx="2038">
                  <c:v>39511.0</c:v>
                </c:pt>
                <c:pt idx="2039">
                  <c:v>39510.0</c:v>
                </c:pt>
                <c:pt idx="2040">
                  <c:v>39507.0</c:v>
                </c:pt>
                <c:pt idx="2041">
                  <c:v>39506.0</c:v>
                </c:pt>
                <c:pt idx="2042">
                  <c:v>39505.0</c:v>
                </c:pt>
                <c:pt idx="2043">
                  <c:v>39504.0</c:v>
                </c:pt>
                <c:pt idx="2044">
                  <c:v>39503.0</c:v>
                </c:pt>
                <c:pt idx="2045">
                  <c:v>39500.0</c:v>
                </c:pt>
                <c:pt idx="2046">
                  <c:v>39499.0</c:v>
                </c:pt>
                <c:pt idx="2047">
                  <c:v>39498.0</c:v>
                </c:pt>
                <c:pt idx="2048">
                  <c:v>39497.0</c:v>
                </c:pt>
                <c:pt idx="2049">
                  <c:v>39496.0</c:v>
                </c:pt>
                <c:pt idx="2050">
                  <c:v>39493.0</c:v>
                </c:pt>
                <c:pt idx="2051">
                  <c:v>39492.0</c:v>
                </c:pt>
                <c:pt idx="2052">
                  <c:v>39491.0</c:v>
                </c:pt>
                <c:pt idx="2053">
                  <c:v>39490.0</c:v>
                </c:pt>
                <c:pt idx="2054">
                  <c:v>39489.0</c:v>
                </c:pt>
                <c:pt idx="2055">
                  <c:v>39486.0</c:v>
                </c:pt>
                <c:pt idx="2056">
                  <c:v>39485.0</c:v>
                </c:pt>
                <c:pt idx="2057">
                  <c:v>39484.0</c:v>
                </c:pt>
                <c:pt idx="2058">
                  <c:v>39483.0</c:v>
                </c:pt>
                <c:pt idx="2059">
                  <c:v>39482.0</c:v>
                </c:pt>
                <c:pt idx="2060">
                  <c:v>39479.0</c:v>
                </c:pt>
                <c:pt idx="2061">
                  <c:v>39478.0</c:v>
                </c:pt>
                <c:pt idx="2062">
                  <c:v>39477.0</c:v>
                </c:pt>
                <c:pt idx="2063">
                  <c:v>39476.0</c:v>
                </c:pt>
                <c:pt idx="2064">
                  <c:v>39475.0</c:v>
                </c:pt>
                <c:pt idx="2065">
                  <c:v>39472.0</c:v>
                </c:pt>
                <c:pt idx="2066">
                  <c:v>39471.0</c:v>
                </c:pt>
                <c:pt idx="2067">
                  <c:v>39470.0</c:v>
                </c:pt>
                <c:pt idx="2068">
                  <c:v>39469.0</c:v>
                </c:pt>
                <c:pt idx="2069">
                  <c:v>39468.0</c:v>
                </c:pt>
                <c:pt idx="2070">
                  <c:v>39465.0</c:v>
                </c:pt>
                <c:pt idx="2071">
                  <c:v>39464.0</c:v>
                </c:pt>
                <c:pt idx="2072">
                  <c:v>39463.0</c:v>
                </c:pt>
                <c:pt idx="2073">
                  <c:v>39462.0</c:v>
                </c:pt>
                <c:pt idx="2074">
                  <c:v>39461.0</c:v>
                </c:pt>
                <c:pt idx="2075">
                  <c:v>39458.0</c:v>
                </c:pt>
                <c:pt idx="2076">
                  <c:v>39457.0</c:v>
                </c:pt>
                <c:pt idx="2077">
                  <c:v>39456.0</c:v>
                </c:pt>
                <c:pt idx="2078">
                  <c:v>39455.0</c:v>
                </c:pt>
                <c:pt idx="2079">
                  <c:v>39454.0</c:v>
                </c:pt>
                <c:pt idx="2080">
                  <c:v>39451.0</c:v>
                </c:pt>
                <c:pt idx="2081">
                  <c:v>39450.0</c:v>
                </c:pt>
                <c:pt idx="2082">
                  <c:v>39449.0</c:v>
                </c:pt>
                <c:pt idx="2083">
                  <c:v>39447.0</c:v>
                </c:pt>
                <c:pt idx="2084">
                  <c:v>39444.0</c:v>
                </c:pt>
                <c:pt idx="2085">
                  <c:v>39443.0</c:v>
                </c:pt>
                <c:pt idx="2086">
                  <c:v>39440.0</c:v>
                </c:pt>
                <c:pt idx="2087">
                  <c:v>39437.0</c:v>
                </c:pt>
                <c:pt idx="2088">
                  <c:v>39436.0</c:v>
                </c:pt>
                <c:pt idx="2089">
                  <c:v>39435.0</c:v>
                </c:pt>
                <c:pt idx="2090">
                  <c:v>39434.0</c:v>
                </c:pt>
                <c:pt idx="2091">
                  <c:v>39430.0</c:v>
                </c:pt>
                <c:pt idx="2092">
                  <c:v>39429.0</c:v>
                </c:pt>
                <c:pt idx="2093">
                  <c:v>39428.0</c:v>
                </c:pt>
                <c:pt idx="2094">
                  <c:v>39427.0</c:v>
                </c:pt>
                <c:pt idx="2095">
                  <c:v>39426.0</c:v>
                </c:pt>
                <c:pt idx="2096">
                  <c:v>39423.0</c:v>
                </c:pt>
                <c:pt idx="2097">
                  <c:v>39422.0</c:v>
                </c:pt>
                <c:pt idx="2098">
                  <c:v>39421.0</c:v>
                </c:pt>
                <c:pt idx="2099">
                  <c:v>39420.0</c:v>
                </c:pt>
                <c:pt idx="2100">
                  <c:v>39419.0</c:v>
                </c:pt>
                <c:pt idx="2101">
                  <c:v>39416.0</c:v>
                </c:pt>
                <c:pt idx="2102">
                  <c:v>39415.0</c:v>
                </c:pt>
                <c:pt idx="2103">
                  <c:v>39414.0</c:v>
                </c:pt>
                <c:pt idx="2104">
                  <c:v>39413.0</c:v>
                </c:pt>
                <c:pt idx="2105">
                  <c:v>39412.0</c:v>
                </c:pt>
                <c:pt idx="2106">
                  <c:v>39409.0</c:v>
                </c:pt>
                <c:pt idx="2107">
                  <c:v>39408.0</c:v>
                </c:pt>
                <c:pt idx="2108">
                  <c:v>39407.0</c:v>
                </c:pt>
                <c:pt idx="2109">
                  <c:v>39406.0</c:v>
                </c:pt>
                <c:pt idx="2110">
                  <c:v>39405.0</c:v>
                </c:pt>
                <c:pt idx="2111">
                  <c:v>39402.0</c:v>
                </c:pt>
                <c:pt idx="2112">
                  <c:v>39401.0</c:v>
                </c:pt>
                <c:pt idx="2113">
                  <c:v>39400.0</c:v>
                </c:pt>
                <c:pt idx="2114">
                  <c:v>39399.0</c:v>
                </c:pt>
                <c:pt idx="2115">
                  <c:v>39398.0</c:v>
                </c:pt>
                <c:pt idx="2116">
                  <c:v>39395.0</c:v>
                </c:pt>
                <c:pt idx="2117">
                  <c:v>39394.0</c:v>
                </c:pt>
                <c:pt idx="2118">
                  <c:v>39393.0</c:v>
                </c:pt>
                <c:pt idx="2119">
                  <c:v>39392.0</c:v>
                </c:pt>
                <c:pt idx="2120">
                  <c:v>39391.0</c:v>
                </c:pt>
                <c:pt idx="2121">
                  <c:v>39388.0</c:v>
                </c:pt>
                <c:pt idx="2122">
                  <c:v>39387.0</c:v>
                </c:pt>
                <c:pt idx="2123">
                  <c:v>39386.0</c:v>
                </c:pt>
                <c:pt idx="2124">
                  <c:v>39385.0</c:v>
                </c:pt>
                <c:pt idx="2125">
                  <c:v>39384.0</c:v>
                </c:pt>
                <c:pt idx="2126">
                  <c:v>39381.0</c:v>
                </c:pt>
                <c:pt idx="2127">
                  <c:v>39380.0</c:v>
                </c:pt>
                <c:pt idx="2128">
                  <c:v>39379.0</c:v>
                </c:pt>
                <c:pt idx="2129">
                  <c:v>39378.0</c:v>
                </c:pt>
                <c:pt idx="2130">
                  <c:v>39377.0</c:v>
                </c:pt>
                <c:pt idx="2131">
                  <c:v>39374.0</c:v>
                </c:pt>
                <c:pt idx="2132">
                  <c:v>39373.0</c:v>
                </c:pt>
                <c:pt idx="2133">
                  <c:v>39372.0</c:v>
                </c:pt>
                <c:pt idx="2134">
                  <c:v>39371.0</c:v>
                </c:pt>
                <c:pt idx="2135">
                  <c:v>39370.0</c:v>
                </c:pt>
                <c:pt idx="2136">
                  <c:v>39367.0</c:v>
                </c:pt>
                <c:pt idx="2137">
                  <c:v>39366.0</c:v>
                </c:pt>
                <c:pt idx="2138">
                  <c:v>39365.0</c:v>
                </c:pt>
                <c:pt idx="2139">
                  <c:v>39364.0</c:v>
                </c:pt>
                <c:pt idx="2140">
                  <c:v>39363.0</c:v>
                </c:pt>
                <c:pt idx="2141">
                  <c:v>39360.0</c:v>
                </c:pt>
                <c:pt idx="2142">
                  <c:v>39359.0</c:v>
                </c:pt>
                <c:pt idx="2143">
                  <c:v>39358.0</c:v>
                </c:pt>
                <c:pt idx="2144">
                  <c:v>39357.0</c:v>
                </c:pt>
                <c:pt idx="2145">
                  <c:v>39356.0</c:v>
                </c:pt>
                <c:pt idx="2146">
                  <c:v>39353.0</c:v>
                </c:pt>
                <c:pt idx="2147">
                  <c:v>39352.0</c:v>
                </c:pt>
                <c:pt idx="2148">
                  <c:v>39351.0</c:v>
                </c:pt>
                <c:pt idx="2149">
                  <c:v>39350.0</c:v>
                </c:pt>
                <c:pt idx="2150">
                  <c:v>39346.0</c:v>
                </c:pt>
                <c:pt idx="2151">
                  <c:v>39345.0</c:v>
                </c:pt>
                <c:pt idx="2152">
                  <c:v>39344.0</c:v>
                </c:pt>
                <c:pt idx="2153">
                  <c:v>39343.0</c:v>
                </c:pt>
                <c:pt idx="2154">
                  <c:v>39342.0</c:v>
                </c:pt>
                <c:pt idx="2155">
                  <c:v>39339.0</c:v>
                </c:pt>
                <c:pt idx="2156">
                  <c:v>39338.0</c:v>
                </c:pt>
                <c:pt idx="2157">
                  <c:v>39337.0</c:v>
                </c:pt>
                <c:pt idx="2158">
                  <c:v>39336.0</c:v>
                </c:pt>
                <c:pt idx="2159">
                  <c:v>39335.0</c:v>
                </c:pt>
                <c:pt idx="2160">
                  <c:v>39332.0</c:v>
                </c:pt>
                <c:pt idx="2161">
                  <c:v>39331.0</c:v>
                </c:pt>
                <c:pt idx="2162">
                  <c:v>39330.0</c:v>
                </c:pt>
                <c:pt idx="2163">
                  <c:v>39329.0</c:v>
                </c:pt>
                <c:pt idx="2164">
                  <c:v>39328.0</c:v>
                </c:pt>
                <c:pt idx="2165">
                  <c:v>39325.0</c:v>
                </c:pt>
                <c:pt idx="2166">
                  <c:v>39324.0</c:v>
                </c:pt>
                <c:pt idx="2167">
                  <c:v>39323.0</c:v>
                </c:pt>
                <c:pt idx="2168">
                  <c:v>39322.0</c:v>
                </c:pt>
                <c:pt idx="2169">
                  <c:v>39321.0</c:v>
                </c:pt>
                <c:pt idx="2170">
                  <c:v>39318.0</c:v>
                </c:pt>
                <c:pt idx="2171">
                  <c:v>39317.0</c:v>
                </c:pt>
                <c:pt idx="2172">
                  <c:v>39316.0</c:v>
                </c:pt>
                <c:pt idx="2173">
                  <c:v>39315.0</c:v>
                </c:pt>
                <c:pt idx="2174">
                  <c:v>39314.0</c:v>
                </c:pt>
                <c:pt idx="2175">
                  <c:v>39311.0</c:v>
                </c:pt>
                <c:pt idx="2176">
                  <c:v>39310.0</c:v>
                </c:pt>
                <c:pt idx="2177">
                  <c:v>39309.0</c:v>
                </c:pt>
                <c:pt idx="2178">
                  <c:v>39308.0</c:v>
                </c:pt>
                <c:pt idx="2179">
                  <c:v>39307.0</c:v>
                </c:pt>
                <c:pt idx="2180">
                  <c:v>39304.0</c:v>
                </c:pt>
                <c:pt idx="2181">
                  <c:v>39302.0</c:v>
                </c:pt>
                <c:pt idx="2182">
                  <c:v>39301.0</c:v>
                </c:pt>
                <c:pt idx="2183">
                  <c:v>39300.0</c:v>
                </c:pt>
                <c:pt idx="2184">
                  <c:v>39297.0</c:v>
                </c:pt>
                <c:pt idx="2185">
                  <c:v>39296.0</c:v>
                </c:pt>
                <c:pt idx="2186">
                  <c:v>39295.0</c:v>
                </c:pt>
                <c:pt idx="2187">
                  <c:v>39294.0</c:v>
                </c:pt>
                <c:pt idx="2188">
                  <c:v>39293.0</c:v>
                </c:pt>
                <c:pt idx="2189">
                  <c:v>39290.0</c:v>
                </c:pt>
                <c:pt idx="2190">
                  <c:v>39289.0</c:v>
                </c:pt>
                <c:pt idx="2191">
                  <c:v>39288.0</c:v>
                </c:pt>
                <c:pt idx="2192">
                  <c:v>39287.0</c:v>
                </c:pt>
                <c:pt idx="2193">
                  <c:v>39286.0</c:v>
                </c:pt>
                <c:pt idx="2194">
                  <c:v>39283.0</c:v>
                </c:pt>
                <c:pt idx="2195">
                  <c:v>39282.0</c:v>
                </c:pt>
                <c:pt idx="2196">
                  <c:v>39281.0</c:v>
                </c:pt>
                <c:pt idx="2197">
                  <c:v>39280.0</c:v>
                </c:pt>
                <c:pt idx="2198">
                  <c:v>39279.0</c:v>
                </c:pt>
                <c:pt idx="2199">
                  <c:v>39276.0</c:v>
                </c:pt>
                <c:pt idx="2200">
                  <c:v>39275.0</c:v>
                </c:pt>
                <c:pt idx="2201">
                  <c:v>39274.0</c:v>
                </c:pt>
                <c:pt idx="2202">
                  <c:v>39273.0</c:v>
                </c:pt>
                <c:pt idx="2203">
                  <c:v>39272.0</c:v>
                </c:pt>
                <c:pt idx="2204">
                  <c:v>39269.0</c:v>
                </c:pt>
                <c:pt idx="2205">
                  <c:v>39268.0</c:v>
                </c:pt>
                <c:pt idx="2206">
                  <c:v>39267.0</c:v>
                </c:pt>
                <c:pt idx="2207">
                  <c:v>39266.0</c:v>
                </c:pt>
                <c:pt idx="2208">
                  <c:v>39265.0</c:v>
                </c:pt>
                <c:pt idx="2209">
                  <c:v>39262.0</c:v>
                </c:pt>
                <c:pt idx="2210">
                  <c:v>39261.0</c:v>
                </c:pt>
                <c:pt idx="2211">
                  <c:v>39260.0</c:v>
                </c:pt>
                <c:pt idx="2212">
                  <c:v>39259.0</c:v>
                </c:pt>
                <c:pt idx="2213">
                  <c:v>39258.0</c:v>
                </c:pt>
                <c:pt idx="2214">
                  <c:v>39255.0</c:v>
                </c:pt>
                <c:pt idx="2215">
                  <c:v>39254.0</c:v>
                </c:pt>
                <c:pt idx="2216">
                  <c:v>39253.0</c:v>
                </c:pt>
                <c:pt idx="2217">
                  <c:v>39252.0</c:v>
                </c:pt>
                <c:pt idx="2218">
                  <c:v>39251.0</c:v>
                </c:pt>
                <c:pt idx="2219">
                  <c:v>39248.0</c:v>
                </c:pt>
                <c:pt idx="2220">
                  <c:v>39247.0</c:v>
                </c:pt>
                <c:pt idx="2221">
                  <c:v>39246.0</c:v>
                </c:pt>
                <c:pt idx="2222">
                  <c:v>39245.0</c:v>
                </c:pt>
                <c:pt idx="2223">
                  <c:v>39244.0</c:v>
                </c:pt>
                <c:pt idx="2224">
                  <c:v>39241.0</c:v>
                </c:pt>
                <c:pt idx="2225">
                  <c:v>39240.0</c:v>
                </c:pt>
                <c:pt idx="2226">
                  <c:v>39239.0</c:v>
                </c:pt>
                <c:pt idx="2227">
                  <c:v>39238.0</c:v>
                </c:pt>
                <c:pt idx="2228">
                  <c:v>39237.0</c:v>
                </c:pt>
                <c:pt idx="2229">
                  <c:v>39234.0</c:v>
                </c:pt>
                <c:pt idx="2230">
                  <c:v>39233.0</c:v>
                </c:pt>
                <c:pt idx="2231">
                  <c:v>39232.0</c:v>
                </c:pt>
                <c:pt idx="2232">
                  <c:v>39231.0</c:v>
                </c:pt>
                <c:pt idx="2233">
                  <c:v>39230.0</c:v>
                </c:pt>
                <c:pt idx="2234">
                  <c:v>39227.0</c:v>
                </c:pt>
                <c:pt idx="2235">
                  <c:v>39226.0</c:v>
                </c:pt>
                <c:pt idx="2236">
                  <c:v>39225.0</c:v>
                </c:pt>
                <c:pt idx="2237">
                  <c:v>39224.0</c:v>
                </c:pt>
                <c:pt idx="2238">
                  <c:v>39223.0</c:v>
                </c:pt>
                <c:pt idx="2239">
                  <c:v>39220.0</c:v>
                </c:pt>
                <c:pt idx="2240">
                  <c:v>39219.0</c:v>
                </c:pt>
                <c:pt idx="2241">
                  <c:v>39218.0</c:v>
                </c:pt>
                <c:pt idx="2242">
                  <c:v>39217.0</c:v>
                </c:pt>
                <c:pt idx="2243">
                  <c:v>39216.0</c:v>
                </c:pt>
                <c:pt idx="2244">
                  <c:v>39213.0</c:v>
                </c:pt>
                <c:pt idx="2245">
                  <c:v>39212.0</c:v>
                </c:pt>
                <c:pt idx="2246">
                  <c:v>39211.0</c:v>
                </c:pt>
                <c:pt idx="2247">
                  <c:v>39210.0</c:v>
                </c:pt>
                <c:pt idx="2248">
                  <c:v>39209.0</c:v>
                </c:pt>
                <c:pt idx="2249">
                  <c:v>39206.0</c:v>
                </c:pt>
                <c:pt idx="2250">
                  <c:v>39205.0</c:v>
                </c:pt>
                <c:pt idx="2251">
                  <c:v>39204.0</c:v>
                </c:pt>
                <c:pt idx="2252">
                  <c:v>39202.0</c:v>
                </c:pt>
                <c:pt idx="2253">
                  <c:v>39198.0</c:v>
                </c:pt>
                <c:pt idx="2254">
                  <c:v>39197.0</c:v>
                </c:pt>
                <c:pt idx="2255">
                  <c:v>39196.0</c:v>
                </c:pt>
                <c:pt idx="2256">
                  <c:v>39195.0</c:v>
                </c:pt>
                <c:pt idx="2257">
                  <c:v>39192.0</c:v>
                </c:pt>
                <c:pt idx="2258">
                  <c:v>39191.0</c:v>
                </c:pt>
                <c:pt idx="2259">
                  <c:v>39190.0</c:v>
                </c:pt>
                <c:pt idx="2260">
                  <c:v>39189.0</c:v>
                </c:pt>
                <c:pt idx="2261">
                  <c:v>39188.0</c:v>
                </c:pt>
                <c:pt idx="2262">
                  <c:v>39185.0</c:v>
                </c:pt>
                <c:pt idx="2263">
                  <c:v>39184.0</c:v>
                </c:pt>
                <c:pt idx="2264">
                  <c:v>39183.0</c:v>
                </c:pt>
                <c:pt idx="2265">
                  <c:v>39182.0</c:v>
                </c:pt>
                <c:pt idx="2266">
                  <c:v>39177.0</c:v>
                </c:pt>
                <c:pt idx="2267">
                  <c:v>39176.0</c:v>
                </c:pt>
                <c:pt idx="2268">
                  <c:v>39175.0</c:v>
                </c:pt>
                <c:pt idx="2269">
                  <c:v>39174.0</c:v>
                </c:pt>
                <c:pt idx="2270">
                  <c:v>39171.0</c:v>
                </c:pt>
                <c:pt idx="2271">
                  <c:v>39170.0</c:v>
                </c:pt>
                <c:pt idx="2272">
                  <c:v>39169.0</c:v>
                </c:pt>
                <c:pt idx="2273">
                  <c:v>39168.0</c:v>
                </c:pt>
                <c:pt idx="2274">
                  <c:v>39167.0</c:v>
                </c:pt>
                <c:pt idx="2275">
                  <c:v>39164.0</c:v>
                </c:pt>
                <c:pt idx="2276">
                  <c:v>39163.0</c:v>
                </c:pt>
                <c:pt idx="2277">
                  <c:v>39161.0</c:v>
                </c:pt>
                <c:pt idx="2278">
                  <c:v>39160.0</c:v>
                </c:pt>
                <c:pt idx="2279">
                  <c:v>39157.0</c:v>
                </c:pt>
                <c:pt idx="2280">
                  <c:v>39156.0</c:v>
                </c:pt>
                <c:pt idx="2281">
                  <c:v>39155.0</c:v>
                </c:pt>
                <c:pt idx="2282">
                  <c:v>39154.0</c:v>
                </c:pt>
                <c:pt idx="2283">
                  <c:v>39153.0</c:v>
                </c:pt>
                <c:pt idx="2284">
                  <c:v>39150.0</c:v>
                </c:pt>
                <c:pt idx="2285">
                  <c:v>39149.0</c:v>
                </c:pt>
                <c:pt idx="2286">
                  <c:v>39148.0</c:v>
                </c:pt>
                <c:pt idx="2287">
                  <c:v>39147.0</c:v>
                </c:pt>
                <c:pt idx="2288">
                  <c:v>39146.0</c:v>
                </c:pt>
                <c:pt idx="2289">
                  <c:v>39143.0</c:v>
                </c:pt>
                <c:pt idx="2290">
                  <c:v>39142.0</c:v>
                </c:pt>
                <c:pt idx="2291">
                  <c:v>39141.0</c:v>
                </c:pt>
                <c:pt idx="2292">
                  <c:v>39140.0</c:v>
                </c:pt>
                <c:pt idx="2293">
                  <c:v>39139.0</c:v>
                </c:pt>
                <c:pt idx="2294">
                  <c:v>39136.0</c:v>
                </c:pt>
                <c:pt idx="2295">
                  <c:v>39135.0</c:v>
                </c:pt>
                <c:pt idx="2296">
                  <c:v>39134.0</c:v>
                </c:pt>
                <c:pt idx="2297">
                  <c:v>39133.0</c:v>
                </c:pt>
                <c:pt idx="2298">
                  <c:v>39132.0</c:v>
                </c:pt>
                <c:pt idx="2299">
                  <c:v>39129.0</c:v>
                </c:pt>
                <c:pt idx="2300">
                  <c:v>39128.0</c:v>
                </c:pt>
                <c:pt idx="2301">
                  <c:v>39127.0</c:v>
                </c:pt>
                <c:pt idx="2302">
                  <c:v>39126.0</c:v>
                </c:pt>
                <c:pt idx="2303">
                  <c:v>39125.0</c:v>
                </c:pt>
                <c:pt idx="2304">
                  <c:v>39122.0</c:v>
                </c:pt>
                <c:pt idx="2305">
                  <c:v>39121.0</c:v>
                </c:pt>
                <c:pt idx="2306">
                  <c:v>39120.0</c:v>
                </c:pt>
                <c:pt idx="2307">
                  <c:v>39119.0</c:v>
                </c:pt>
                <c:pt idx="2308">
                  <c:v>39118.0</c:v>
                </c:pt>
                <c:pt idx="2309">
                  <c:v>39115.0</c:v>
                </c:pt>
                <c:pt idx="2310">
                  <c:v>39114.0</c:v>
                </c:pt>
                <c:pt idx="2311">
                  <c:v>39113.0</c:v>
                </c:pt>
                <c:pt idx="2312">
                  <c:v>39112.0</c:v>
                </c:pt>
                <c:pt idx="2313">
                  <c:v>39111.0</c:v>
                </c:pt>
                <c:pt idx="2314">
                  <c:v>39108.0</c:v>
                </c:pt>
                <c:pt idx="2315">
                  <c:v>39107.0</c:v>
                </c:pt>
                <c:pt idx="2316">
                  <c:v>39106.0</c:v>
                </c:pt>
                <c:pt idx="2317">
                  <c:v>39105.0</c:v>
                </c:pt>
                <c:pt idx="2318">
                  <c:v>39104.0</c:v>
                </c:pt>
                <c:pt idx="2319">
                  <c:v>39101.0</c:v>
                </c:pt>
                <c:pt idx="2320">
                  <c:v>39100.0</c:v>
                </c:pt>
                <c:pt idx="2321">
                  <c:v>39099.0</c:v>
                </c:pt>
                <c:pt idx="2322">
                  <c:v>39098.0</c:v>
                </c:pt>
                <c:pt idx="2323">
                  <c:v>39097.0</c:v>
                </c:pt>
                <c:pt idx="2324">
                  <c:v>39094.0</c:v>
                </c:pt>
                <c:pt idx="2325">
                  <c:v>39093.0</c:v>
                </c:pt>
                <c:pt idx="2326">
                  <c:v>39092.0</c:v>
                </c:pt>
                <c:pt idx="2327">
                  <c:v>39091.0</c:v>
                </c:pt>
                <c:pt idx="2328">
                  <c:v>39090.0</c:v>
                </c:pt>
                <c:pt idx="2329">
                  <c:v>39087.0</c:v>
                </c:pt>
                <c:pt idx="2330">
                  <c:v>39086.0</c:v>
                </c:pt>
                <c:pt idx="2331">
                  <c:v>39085.0</c:v>
                </c:pt>
                <c:pt idx="2332">
                  <c:v>39084.0</c:v>
                </c:pt>
                <c:pt idx="2333">
                  <c:v>39080.0</c:v>
                </c:pt>
                <c:pt idx="2334">
                  <c:v>39079.0</c:v>
                </c:pt>
                <c:pt idx="2335">
                  <c:v>39078.0</c:v>
                </c:pt>
                <c:pt idx="2336">
                  <c:v>39073.0</c:v>
                </c:pt>
                <c:pt idx="2337">
                  <c:v>39072.0</c:v>
                </c:pt>
                <c:pt idx="2338">
                  <c:v>39071.0</c:v>
                </c:pt>
                <c:pt idx="2339">
                  <c:v>39070.0</c:v>
                </c:pt>
                <c:pt idx="2340">
                  <c:v>39069.0</c:v>
                </c:pt>
                <c:pt idx="2341">
                  <c:v>39066.0</c:v>
                </c:pt>
                <c:pt idx="2342">
                  <c:v>39065.0</c:v>
                </c:pt>
                <c:pt idx="2343">
                  <c:v>39064.0</c:v>
                </c:pt>
                <c:pt idx="2344">
                  <c:v>39063.0</c:v>
                </c:pt>
                <c:pt idx="2345">
                  <c:v>39062.0</c:v>
                </c:pt>
                <c:pt idx="2346">
                  <c:v>39059.0</c:v>
                </c:pt>
                <c:pt idx="2347">
                  <c:v>39058.0</c:v>
                </c:pt>
                <c:pt idx="2348">
                  <c:v>39057.0</c:v>
                </c:pt>
                <c:pt idx="2349">
                  <c:v>39056.0</c:v>
                </c:pt>
                <c:pt idx="2350">
                  <c:v>39055.0</c:v>
                </c:pt>
                <c:pt idx="2351">
                  <c:v>39052.0</c:v>
                </c:pt>
                <c:pt idx="2352">
                  <c:v>39051.0</c:v>
                </c:pt>
                <c:pt idx="2353">
                  <c:v>39050.0</c:v>
                </c:pt>
                <c:pt idx="2354">
                  <c:v>39049.0</c:v>
                </c:pt>
                <c:pt idx="2355">
                  <c:v>39048.0</c:v>
                </c:pt>
                <c:pt idx="2356">
                  <c:v>39045.0</c:v>
                </c:pt>
                <c:pt idx="2357">
                  <c:v>39044.0</c:v>
                </c:pt>
                <c:pt idx="2358">
                  <c:v>39043.0</c:v>
                </c:pt>
                <c:pt idx="2359">
                  <c:v>39042.0</c:v>
                </c:pt>
                <c:pt idx="2360">
                  <c:v>39041.0</c:v>
                </c:pt>
                <c:pt idx="2361">
                  <c:v>39038.0</c:v>
                </c:pt>
                <c:pt idx="2362">
                  <c:v>39037.0</c:v>
                </c:pt>
                <c:pt idx="2363">
                  <c:v>39036.0</c:v>
                </c:pt>
                <c:pt idx="2364">
                  <c:v>39035.0</c:v>
                </c:pt>
                <c:pt idx="2365">
                  <c:v>39034.0</c:v>
                </c:pt>
                <c:pt idx="2366">
                  <c:v>39031.0</c:v>
                </c:pt>
                <c:pt idx="2367">
                  <c:v>39030.0</c:v>
                </c:pt>
                <c:pt idx="2368">
                  <c:v>39029.0</c:v>
                </c:pt>
                <c:pt idx="2369">
                  <c:v>39028.0</c:v>
                </c:pt>
                <c:pt idx="2370">
                  <c:v>39027.0</c:v>
                </c:pt>
                <c:pt idx="2371">
                  <c:v>39024.0</c:v>
                </c:pt>
                <c:pt idx="2372">
                  <c:v>39023.0</c:v>
                </c:pt>
                <c:pt idx="2373">
                  <c:v>39022.0</c:v>
                </c:pt>
                <c:pt idx="2374">
                  <c:v>39021.0</c:v>
                </c:pt>
                <c:pt idx="2375">
                  <c:v>39020.0</c:v>
                </c:pt>
                <c:pt idx="2376">
                  <c:v>39017.0</c:v>
                </c:pt>
                <c:pt idx="2377">
                  <c:v>39016.0</c:v>
                </c:pt>
                <c:pt idx="2378">
                  <c:v>39015.0</c:v>
                </c:pt>
                <c:pt idx="2379">
                  <c:v>39014.0</c:v>
                </c:pt>
                <c:pt idx="2380">
                  <c:v>39013.0</c:v>
                </c:pt>
                <c:pt idx="2381">
                  <c:v>39010.0</c:v>
                </c:pt>
                <c:pt idx="2382">
                  <c:v>39009.0</c:v>
                </c:pt>
                <c:pt idx="2383">
                  <c:v>39008.0</c:v>
                </c:pt>
                <c:pt idx="2384">
                  <c:v>39007.0</c:v>
                </c:pt>
                <c:pt idx="2385">
                  <c:v>39006.0</c:v>
                </c:pt>
                <c:pt idx="2386">
                  <c:v>39003.0</c:v>
                </c:pt>
                <c:pt idx="2387">
                  <c:v>39002.0</c:v>
                </c:pt>
                <c:pt idx="2388">
                  <c:v>39001.0</c:v>
                </c:pt>
                <c:pt idx="2389">
                  <c:v>39000.0</c:v>
                </c:pt>
                <c:pt idx="2390">
                  <c:v>38999.0</c:v>
                </c:pt>
                <c:pt idx="2391">
                  <c:v>38996.0</c:v>
                </c:pt>
                <c:pt idx="2392">
                  <c:v>38995.0</c:v>
                </c:pt>
                <c:pt idx="2393">
                  <c:v>38994.0</c:v>
                </c:pt>
                <c:pt idx="2394">
                  <c:v>38993.0</c:v>
                </c:pt>
                <c:pt idx="2395">
                  <c:v>38992.0</c:v>
                </c:pt>
                <c:pt idx="2396">
                  <c:v>38989.0</c:v>
                </c:pt>
                <c:pt idx="2397">
                  <c:v>38988.0</c:v>
                </c:pt>
                <c:pt idx="2398">
                  <c:v>38987.0</c:v>
                </c:pt>
                <c:pt idx="2399">
                  <c:v>38986.0</c:v>
                </c:pt>
                <c:pt idx="2400">
                  <c:v>38982.0</c:v>
                </c:pt>
                <c:pt idx="2401">
                  <c:v>38981.0</c:v>
                </c:pt>
                <c:pt idx="2402">
                  <c:v>38980.0</c:v>
                </c:pt>
                <c:pt idx="2403">
                  <c:v>38979.0</c:v>
                </c:pt>
                <c:pt idx="2404">
                  <c:v>38978.0</c:v>
                </c:pt>
                <c:pt idx="2405">
                  <c:v>38975.0</c:v>
                </c:pt>
                <c:pt idx="2406">
                  <c:v>38974.0</c:v>
                </c:pt>
                <c:pt idx="2407">
                  <c:v>38973.0</c:v>
                </c:pt>
                <c:pt idx="2408">
                  <c:v>38972.0</c:v>
                </c:pt>
                <c:pt idx="2409">
                  <c:v>38971.0</c:v>
                </c:pt>
                <c:pt idx="2410">
                  <c:v>38968.0</c:v>
                </c:pt>
                <c:pt idx="2411">
                  <c:v>38967.0</c:v>
                </c:pt>
                <c:pt idx="2412">
                  <c:v>38966.0</c:v>
                </c:pt>
                <c:pt idx="2413">
                  <c:v>38965.0</c:v>
                </c:pt>
                <c:pt idx="2414">
                  <c:v>38964.0</c:v>
                </c:pt>
                <c:pt idx="2415">
                  <c:v>38961.0</c:v>
                </c:pt>
                <c:pt idx="2416">
                  <c:v>38960.0</c:v>
                </c:pt>
                <c:pt idx="2417">
                  <c:v>38959.0</c:v>
                </c:pt>
                <c:pt idx="2418">
                  <c:v>38958.0</c:v>
                </c:pt>
                <c:pt idx="2419">
                  <c:v>38957.0</c:v>
                </c:pt>
                <c:pt idx="2420">
                  <c:v>38954.0</c:v>
                </c:pt>
                <c:pt idx="2421">
                  <c:v>38953.0</c:v>
                </c:pt>
                <c:pt idx="2422">
                  <c:v>38952.0</c:v>
                </c:pt>
                <c:pt idx="2423">
                  <c:v>38951.0</c:v>
                </c:pt>
                <c:pt idx="2424">
                  <c:v>38950.0</c:v>
                </c:pt>
                <c:pt idx="2425">
                  <c:v>38947.0</c:v>
                </c:pt>
                <c:pt idx="2426">
                  <c:v>38946.0</c:v>
                </c:pt>
                <c:pt idx="2427">
                  <c:v>38945.0</c:v>
                </c:pt>
                <c:pt idx="2428">
                  <c:v>38944.0</c:v>
                </c:pt>
                <c:pt idx="2429">
                  <c:v>38943.0</c:v>
                </c:pt>
                <c:pt idx="2430">
                  <c:v>38940.0</c:v>
                </c:pt>
                <c:pt idx="2431">
                  <c:v>38939.0</c:v>
                </c:pt>
                <c:pt idx="2432">
                  <c:v>38937.0</c:v>
                </c:pt>
                <c:pt idx="2433">
                  <c:v>38936.0</c:v>
                </c:pt>
                <c:pt idx="2434">
                  <c:v>38933.0</c:v>
                </c:pt>
                <c:pt idx="2435">
                  <c:v>38932.0</c:v>
                </c:pt>
                <c:pt idx="2436">
                  <c:v>38931.0</c:v>
                </c:pt>
                <c:pt idx="2437">
                  <c:v>38930.0</c:v>
                </c:pt>
                <c:pt idx="2438">
                  <c:v>38929.0</c:v>
                </c:pt>
                <c:pt idx="2439">
                  <c:v>38926.0</c:v>
                </c:pt>
                <c:pt idx="2440">
                  <c:v>38925.0</c:v>
                </c:pt>
                <c:pt idx="2441">
                  <c:v>38924.0</c:v>
                </c:pt>
                <c:pt idx="2442">
                  <c:v>38923.0</c:v>
                </c:pt>
                <c:pt idx="2443">
                  <c:v>38922.0</c:v>
                </c:pt>
                <c:pt idx="2444">
                  <c:v>38919.0</c:v>
                </c:pt>
                <c:pt idx="2445">
                  <c:v>38918.0</c:v>
                </c:pt>
                <c:pt idx="2446">
                  <c:v>38917.0</c:v>
                </c:pt>
                <c:pt idx="2447">
                  <c:v>38916.0</c:v>
                </c:pt>
                <c:pt idx="2448">
                  <c:v>38915.0</c:v>
                </c:pt>
                <c:pt idx="2449">
                  <c:v>38912.0</c:v>
                </c:pt>
                <c:pt idx="2450">
                  <c:v>38911.0</c:v>
                </c:pt>
                <c:pt idx="2451">
                  <c:v>38910.0</c:v>
                </c:pt>
                <c:pt idx="2452">
                  <c:v>38909.0</c:v>
                </c:pt>
                <c:pt idx="2453">
                  <c:v>38908.0</c:v>
                </c:pt>
                <c:pt idx="2454">
                  <c:v>38905.0</c:v>
                </c:pt>
                <c:pt idx="2455">
                  <c:v>38904.0</c:v>
                </c:pt>
                <c:pt idx="2456">
                  <c:v>38903.0</c:v>
                </c:pt>
                <c:pt idx="2457">
                  <c:v>38902.0</c:v>
                </c:pt>
                <c:pt idx="2458">
                  <c:v>38901.0</c:v>
                </c:pt>
                <c:pt idx="2459">
                  <c:v>38898.0</c:v>
                </c:pt>
                <c:pt idx="2460">
                  <c:v>38897.0</c:v>
                </c:pt>
                <c:pt idx="2461">
                  <c:v>38896.0</c:v>
                </c:pt>
                <c:pt idx="2462">
                  <c:v>38895.0</c:v>
                </c:pt>
                <c:pt idx="2463">
                  <c:v>38894.0</c:v>
                </c:pt>
                <c:pt idx="2464">
                  <c:v>38891.0</c:v>
                </c:pt>
                <c:pt idx="2465">
                  <c:v>38890.0</c:v>
                </c:pt>
                <c:pt idx="2466">
                  <c:v>38889.0</c:v>
                </c:pt>
                <c:pt idx="2467">
                  <c:v>38888.0</c:v>
                </c:pt>
                <c:pt idx="2468">
                  <c:v>38887.0</c:v>
                </c:pt>
                <c:pt idx="2469">
                  <c:v>38883.0</c:v>
                </c:pt>
                <c:pt idx="2470">
                  <c:v>38882.0</c:v>
                </c:pt>
                <c:pt idx="2471">
                  <c:v>38881.0</c:v>
                </c:pt>
                <c:pt idx="2472">
                  <c:v>38880.0</c:v>
                </c:pt>
                <c:pt idx="2473">
                  <c:v>38877.0</c:v>
                </c:pt>
                <c:pt idx="2474">
                  <c:v>38876.0</c:v>
                </c:pt>
                <c:pt idx="2475">
                  <c:v>38875.0</c:v>
                </c:pt>
                <c:pt idx="2476">
                  <c:v>38874.0</c:v>
                </c:pt>
                <c:pt idx="2477">
                  <c:v>38873.0</c:v>
                </c:pt>
                <c:pt idx="2478">
                  <c:v>38870.0</c:v>
                </c:pt>
                <c:pt idx="2479">
                  <c:v>38869.0</c:v>
                </c:pt>
                <c:pt idx="2480">
                  <c:v>38868.0</c:v>
                </c:pt>
                <c:pt idx="2481">
                  <c:v>38867.0</c:v>
                </c:pt>
                <c:pt idx="2482">
                  <c:v>38866.0</c:v>
                </c:pt>
                <c:pt idx="2483">
                  <c:v>38863.0</c:v>
                </c:pt>
                <c:pt idx="2484">
                  <c:v>38862.0</c:v>
                </c:pt>
                <c:pt idx="2485">
                  <c:v>38861.0</c:v>
                </c:pt>
                <c:pt idx="2486">
                  <c:v>38860.0</c:v>
                </c:pt>
                <c:pt idx="2487">
                  <c:v>38859.0</c:v>
                </c:pt>
                <c:pt idx="2488">
                  <c:v>38856.0</c:v>
                </c:pt>
                <c:pt idx="2489">
                  <c:v>38855.0</c:v>
                </c:pt>
                <c:pt idx="2490">
                  <c:v>38854.0</c:v>
                </c:pt>
                <c:pt idx="2491">
                  <c:v>38853.0</c:v>
                </c:pt>
                <c:pt idx="2492">
                  <c:v>38852.0</c:v>
                </c:pt>
                <c:pt idx="2493">
                  <c:v>38849.0</c:v>
                </c:pt>
                <c:pt idx="2494">
                  <c:v>38848.0</c:v>
                </c:pt>
                <c:pt idx="2495">
                  <c:v>38847.0</c:v>
                </c:pt>
                <c:pt idx="2496">
                  <c:v>38846.0</c:v>
                </c:pt>
                <c:pt idx="2497">
                  <c:v>38845.0</c:v>
                </c:pt>
                <c:pt idx="2498">
                  <c:v>38842.0</c:v>
                </c:pt>
                <c:pt idx="2499">
                  <c:v>38841.0</c:v>
                </c:pt>
                <c:pt idx="2500">
                  <c:v>38840.0</c:v>
                </c:pt>
                <c:pt idx="2501">
                  <c:v>38839.0</c:v>
                </c:pt>
                <c:pt idx="2502">
                  <c:v>38835.0</c:v>
                </c:pt>
                <c:pt idx="2503">
                  <c:v>38833.0</c:v>
                </c:pt>
                <c:pt idx="2504">
                  <c:v>38832.0</c:v>
                </c:pt>
                <c:pt idx="2505">
                  <c:v>38831.0</c:v>
                </c:pt>
                <c:pt idx="2506">
                  <c:v>38828.0</c:v>
                </c:pt>
                <c:pt idx="2507">
                  <c:v>38827.0</c:v>
                </c:pt>
                <c:pt idx="2508">
                  <c:v>38826.0</c:v>
                </c:pt>
                <c:pt idx="2509">
                  <c:v>38825.0</c:v>
                </c:pt>
                <c:pt idx="2510">
                  <c:v>38820.0</c:v>
                </c:pt>
                <c:pt idx="2511">
                  <c:v>38819.0</c:v>
                </c:pt>
                <c:pt idx="2512">
                  <c:v>38818.0</c:v>
                </c:pt>
                <c:pt idx="2513">
                  <c:v>38817.0</c:v>
                </c:pt>
                <c:pt idx="2514">
                  <c:v>38814.0</c:v>
                </c:pt>
                <c:pt idx="2515">
                  <c:v>38813.0</c:v>
                </c:pt>
                <c:pt idx="2516">
                  <c:v>38812.0</c:v>
                </c:pt>
                <c:pt idx="2517">
                  <c:v>38811.0</c:v>
                </c:pt>
                <c:pt idx="2518">
                  <c:v>38810.0</c:v>
                </c:pt>
                <c:pt idx="2519">
                  <c:v>38807.0</c:v>
                </c:pt>
                <c:pt idx="2520">
                  <c:v>38806.0</c:v>
                </c:pt>
                <c:pt idx="2521">
                  <c:v>38805.0</c:v>
                </c:pt>
                <c:pt idx="2522">
                  <c:v>38804.0</c:v>
                </c:pt>
                <c:pt idx="2523">
                  <c:v>38803.0</c:v>
                </c:pt>
                <c:pt idx="2524">
                  <c:v>38800.0</c:v>
                </c:pt>
                <c:pt idx="2525">
                  <c:v>38799.0</c:v>
                </c:pt>
                <c:pt idx="2526">
                  <c:v>38798.0</c:v>
                </c:pt>
                <c:pt idx="2527">
                  <c:v>38796.0</c:v>
                </c:pt>
                <c:pt idx="2528">
                  <c:v>38793.0</c:v>
                </c:pt>
                <c:pt idx="2529">
                  <c:v>38792.0</c:v>
                </c:pt>
                <c:pt idx="2530">
                  <c:v>38791.0</c:v>
                </c:pt>
                <c:pt idx="2531">
                  <c:v>38790.0</c:v>
                </c:pt>
                <c:pt idx="2532">
                  <c:v>38789.0</c:v>
                </c:pt>
                <c:pt idx="2533">
                  <c:v>38786.0</c:v>
                </c:pt>
                <c:pt idx="2534">
                  <c:v>38785.0</c:v>
                </c:pt>
                <c:pt idx="2535">
                  <c:v>38784.0</c:v>
                </c:pt>
                <c:pt idx="2536">
                  <c:v>38783.0</c:v>
                </c:pt>
                <c:pt idx="2537">
                  <c:v>38782.0</c:v>
                </c:pt>
                <c:pt idx="2538">
                  <c:v>38779.0</c:v>
                </c:pt>
                <c:pt idx="2539">
                  <c:v>38778.0</c:v>
                </c:pt>
                <c:pt idx="2540">
                  <c:v>38776.0</c:v>
                </c:pt>
                <c:pt idx="2541">
                  <c:v>38775.0</c:v>
                </c:pt>
                <c:pt idx="2542">
                  <c:v>38772.0</c:v>
                </c:pt>
                <c:pt idx="2543">
                  <c:v>38771.0</c:v>
                </c:pt>
                <c:pt idx="2544">
                  <c:v>38770.0</c:v>
                </c:pt>
                <c:pt idx="2545">
                  <c:v>38769.0</c:v>
                </c:pt>
                <c:pt idx="2546">
                  <c:v>38768.0</c:v>
                </c:pt>
                <c:pt idx="2547">
                  <c:v>38765.0</c:v>
                </c:pt>
                <c:pt idx="2548">
                  <c:v>38764.0</c:v>
                </c:pt>
                <c:pt idx="2549">
                  <c:v>38763.0</c:v>
                </c:pt>
                <c:pt idx="2550">
                  <c:v>38762.0</c:v>
                </c:pt>
                <c:pt idx="2551">
                  <c:v>38761.0</c:v>
                </c:pt>
                <c:pt idx="2552">
                  <c:v>38758.0</c:v>
                </c:pt>
                <c:pt idx="2553">
                  <c:v>38757.0</c:v>
                </c:pt>
                <c:pt idx="2554">
                  <c:v>38756.0</c:v>
                </c:pt>
                <c:pt idx="2555">
                  <c:v>38755.0</c:v>
                </c:pt>
                <c:pt idx="2556">
                  <c:v>38754.0</c:v>
                </c:pt>
                <c:pt idx="2557">
                  <c:v>38751.0</c:v>
                </c:pt>
                <c:pt idx="2558">
                  <c:v>38750.0</c:v>
                </c:pt>
                <c:pt idx="2559">
                  <c:v>38749.0</c:v>
                </c:pt>
                <c:pt idx="2560">
                  <c:v>38748.0</c:v>
                </c:pt>
                <c:pt idx="2561">
                  <c:v>38747.0</c:v>
                </c:pt>
                <c:pt idx="2562">
                  <c:v>38744.0</c:v>
                </c:pt>
                <c:pt idx="2563">
                  <c:v>38743.0</c:v>
                </c:pt>
                <c:pt idx="2564">
                  <c:v>38742.0</c:v>
                </c:pt>
                <c:pt idx="2565">
                  <c:v>38741.0</c:v>
                </c:pt>
                <c:pt idx="2566">
                  <c:v>38740.0</c:v>
                </c:pt>
                <c:pt idx="2567">
                  <c:v>38737.0</c:v>
                </c:pt>
                <c:pt idx="2568">
                  <c:v>38736.0</c:v>
                </c:pt>
                <c:pt idx="2569">
                  <c:v>38735.0</c:v>
                </c:pt>
                <c:pt idx="2570">
                  <c:v>38734.0</c:v>
                </c:pt>
                <c:pt idx="2571">
                  <c:v>38733.0</c:v>
                </c:pt>
                <c:pt idx="2572">
                  <c:v>38730.0</c:v>
                </c:pt>
                <c:pt idx="2573">
                  <c:v>38729.0</c:v>
                </c:pt>
                <c:pt idx="2574">
                  <c:v>38728.0</c:v>
                </c:pt>
                <c:pt idx="2575">
                  <c:v>38727.0</c:v>
                </c:pt>
                <c:pt idx="2576">
                  <c:v>38726.0</c:v>
                </c:pt>
                <c:pt idx="2577">
                  <c:v>38723.0</c:v>
                </c:pt>
                <c:pt idx="2578">
                  <c:v>38722.0</c:v>
                </c:pt>
                <c:pt idx="2579">
                  <c:v>38721.0</c:v>
                </c:pt>
                <c:pt idx="2580">
                  <c:v>38720.0</c:v>
                </c:pt>
                <c:pt idx="2581">
                  <c:v>38716.0</c:v>
                </c:pt>
                <c:pt idx="2582">
                  <c:v>38715.0</c:v>
                </c:pt>
                <c:pt idx="2583">
                  <c:v>38714.0</c:v>
                </c:pt>
                <c:pt idx="2584">
                  <c:v>38713.0</c:v>
                </c:pt>
                <c:pt idx="2585">
                  <c:v>38709.0</c:v>
                </c:pt>
                <c:pt idx="2586">
                  <c:v>38708.0</c:v>
                </c:pt>
                <c:pt idx="2587">
                  <c:v>38707.0</c:v>
                </c:pt>
                <c:pt idx="2588">
                  <c:v>38706.0</c:v>
                </c:pt>
                <c:pt idx="2589">
                  <c:v>38705.0</c:v>
                </c:pt>
                <c:pt idx="2590">
                  <c:v>38701.0</c:v>
                </c:pt>
                <c:pt idx="2591">
                  <c:v>38700.0</c:v>
                </c:pt>
                <c:pt idx="2592">
                  <c:v>38699.0</c:v>
                </c:pt>
                <c:pt idx="2593">
                  <c:v>38698.0</c:v>
                </c:pt>
                <c:pt idx="2594">
                  <c:v>38695.0</c:v>
                </c:pt>
                <c:pt idx="2595">
                  <c:v>38694.0</c:v>
                </c:pt>
                <c:pt idx="2596">
                  <c:v>38693.0</c:v>
                </c:pt>
                <c:pt idx="2597">
                  <c:v>38692.0</c:v>
                </c:pt>
                <c:pt idx="2598">
                  <c:v>38691.0</c:v>
                </c:pt>
                <c:pt idx="2599">
                  <c:v>38688.0</c:v>
                </c:pt>
                <c:pt idx="2600">
                  <c:v>38687.0</c:v>
                </c:pt>
                <c:pt idx="2601">
                  <c:v>38686.0</c:v>
                </c:pt>
                <c:pt idx="2602">
                  <c:v>38685.0</c:v>
                </c:pt>
                <c:pt idx="2603">
                  <c:v>38684.0</c:v>
                </c:pt>
                <c:pt idx="2604">
                  <c:v>38681.0</c:v>
                </c:pt>
                <c:pt idx="2605">
                  <c:v>38680.0</c:v>
                </c:pt>
                <c:pt idx="2606">
                  <c:v>38679.0</c:v>
                </c:pt>
                <c:pt idx="2607">
                  <c:v>38678.0</c:v>
                </c:pt>
                <c:pt idx="2608">
                  <c:v>38677.0</c:v>
                </c:pt>
                <c:pt idx="2609">
                  <c:v>38674.0</c:v>
                </c:pt>
                <c:pt idx="2610">
                  <c:v>38673.0</c:v>
                </c:pt>
                <c:pt idx="2611">
                  <c:v>38672.0</c:v>
                </c:pt>
                <c:pt idx="2612">
                  <c:v>38671.0</c:v>
                </c:pt>
                <c:pt idx="2613">
                  <c:v>38670.0</c:v>
                </c:pt>
                <c:pt idx="2614">
                  <c:v>38667.0</c:v>
                </c:pt>
                <c:pt idx="2615">
                  <c:v>38666.0</c:v>
                </c:pt>
                <c:pt idx="2616">
                  <c:v>38665.0</c:v>
                </c:pt>
                <c:pt idx="2617">
                  <c:v>38664.0</c:v>
                </c:pt>
                <c:pt idx="2618">
                  <c:v>38663.0</c:v>
                </c:pt>
                <c:pt idx="2619">
                  <c:v>38660.0</c:v>
                </c:pt>
                <c:pt idx="2620">
                  <c:v>38659.0</c:v>
                </c:pt>
                <c:pt idx="2621">
                  <c:v>38658.0</c:v>
                </c:pt>
                <c:pt idx="2622">
                  <c:v>38657.0</c:v>
                </c:pt>
                <c:pt idx="2623">
                  <c:v>38656.0</c:v>
                </c:pt>
                <c:pt idx="2624">
                  <c:v>38653.0</c:v>
                </c:pt>
                <c:pt idx="2625">
                  <c:v>38652.0</c:v>
                </c:pt>
                <c:pt idx="2626">
                  <c:v>38651.0</c:v>
                </c:pt>
                <c:pt idx="2627">
                  <c:v>38650.0</c:v>
                </c:pt>
                <c:pt idx="2628">
                  <c:v>38649.0</c:v>
                </c:pt>
                <c:pt idx="2629">
                  <c:v>38646.0</c:v>
                </c:pt>
                <c:pt idx="2630">
                  <c:v>38645.0</c:v>
                </c:pt>
                <c:pt idx="2631">
                  <c:v>38644.0</c:v>
                </c:pt>
                <c:pt idx="2632">
                  <c:v>38643.0</c:v>
                </c:pt>
                <c:pt idx="2633">
                  <c:v>38642.0</c:v>
                </c:pt>
                <c:pt idx="2634">
                  <c:v>38639.0</c:v>
                </c:pt>
                <c:pt idx="2635">
                  <c:v>38638.0</c:v>
                </c:pt>
                <c:pt idx="2636">
                  <c:v>38637.0</c:v>
                </c:pt>
                <c:pt idx="2637">
                  <c:v>38636.0</c:v>
                </c:pt>
                <c:pt idx="2638">
                  <c:v>38635.0</c:v>
                </c:pt>
                <c:pt idx="2639">
                  <c:v>38632.0</c:v>
                </c:pt>
                <c:pt idx="2640">
                  <c:v>38631.0</c:v>
                </c:pt>
                <c:pt idx="2641">
                  <c:v>38630.0</c:v>
                </c:pt>
                <c:pt idx="2642">
                  <c:v>38629.0</c:v>
                </c:pt>
                <c:pt idx="2643">
                  <c:v>38628.0</c:v>
                </c:pt>
                <c:pt idx="2644">
                  <c:v>38625.0</c:v>
                </c:pt>
                <c:pt idx="2645">
                  <c:v>38624.0</c:v>
                </c:pt>
                <c:pt idx="2646">
                  <c:v>38623.0</c:v>
                </c:pt>
                <c:pt idx="2647">
                  <c:v>38622.0</c:v>
                </c:pt>
                <c:pt idx="2648">
                  <c:v>38621.0</c:v>
                </c:pt>
                <c:pt idx="2649">
                  <c:v>38618.0</c:v>
                </c:pt>
                <c:pt idx="2650">
                  <c:v>38617.0</c:v>
                </c:pt>
                <c:pt idx="2651">
                  <c:v>38616.0</c:v>
                </c:pt>
                <c:pt idx="2652">
                  <c:v>38615.0</c:v>
                </c:pt>
                <c:pt idx="2653">
                  <c:v>38614.0</c:v>
                </c:pt>
                <c:pt idx="2654">
                  <c:v>38611.0</c:v>
                </c:pt>
                <c:pt idx="2655">
                  <c:v>38610.0</c:v>
                </c:pt>
                <c:pt idx="2656">
                  <c:v>38609.0</c:v>
                </c:pt>
                <c:pt idx="2657">
                  <c:v>38608.0</c:v>
                </c:pt>
                <c:pt idx="2658">
                  <c:v>38607.0</c:v>
                </c:pt>
                <c:pt idx="2659">
                  <c:v>38604.0</c:v>
                </c:pt>
                <c:pt idx="2660">
                  <c:v>38603.0</c:v>
                </c:pt>
                <c:pt idx="2661">
                  <c:v>38602.0</c:v>
                </c:pt>
                <c:pt idx="2662">
                  <c:v>38601.0</c:v>
                </c:pt>
                <c:pt idx="2663">
                  <c:v>38600.0</c:v>
                </c:pt>
                <c:pt idx="2664">
                  <c:v>38597.0</c:v>
                </c:pt>
                <c:pt idx="2665">
                  <c:v>38596.0</c:v>
                </c:pt>
                <c:pt idx="2666">
                  <c:v>38595.0</c:v>
                </c:pt>
                <c:pt idx="2667">
                  <c:v>38594.0</c:v>
                </c:pt>
                <c:pt idx="2668">
                  <c:v>38593.0</c:v>
                </c:pt>
                <c:pt idx="2669">
                  <c:v>38590.0</c:v>
                </c:pt>
                <c:pt idx="2670">
                  <c:v>38589.0</c:v>
                </c:pt>
                <c:pt idx="2671">
                  <c:v>38588.0</c:v>
                </c:pt>
                <c:pt idx="2672">
                  <c:v>38587.0</c:v>
                </c:pt>
                <c:pt idx="2673">
                  <c:v>38586.0</c:v>
                </c:pt>
                <c:pt idx="2674">
                  <c:v>38583.0</c:v>
                </c:pt>
                <c:pt idx="2675">
                  <c:v>38582.0</c:v>
                </c:pt>
                <c:pt idx="2676">
                  <c:v>38581.0</c:v>
                </c:pt>
                <c:pt idx="2677">
                  <c:v>38580.0</c:v>
                </c:pt>
                <c:pt idx="2678">
                  <c:v>38579.0</c:v>
                </c:pt>
                <c:pt idx="2679">
                  <c:v>38576.0</c:v>
                </c:pt>
                <c:pt idx="2680">
                  <c:v>38575.0</c:v>
                </c:pt>
                <c:pt idx="2681">
                  <c:v>38574.0</c:v>
                </c:pt>
                <c:pt idx="2682">
                  <c:v>38572.0</c:v>
                </c:pt>
                <c:pt idx="2683">
                  <c:v>38569.0</c:v>
                </c:pt>
                <c:pt idx="2684">
                  <c:v>38568.0</c:v>
                </c:pt>
                <c:pt idx="2685">
                  <c:v>38567.0</c:v>
                </c:pt>
                <c:pt idx="2686">
                  <c:v>38566.0</c:v>
                </c:pt>
                <c:pt idx="2687">
                  <c:v>38565.0</c:v>
                </c:pt>
                <c:pt idx="2688">
                  <c:v>38562.0</c:v>
                </c:pt>
                <c:pt idx="2689">
                  <c:v>38561.0</c:v>
                </c:pt>
                <c:pt idx="2690">
                  <c:v>38560.0</c:v>
                </c:pt>
                <c:pt idx="2691">
                  <c:v>38559.0</c:v>
                </c:pt>
                <c:pt idx="2692">
                  <c:v>38558.0</c:v>
                </c:pt>
                <c:pt idx="2693">
                  <c:v>38555.0</c:v>
                </c:pt>
                <c:pt idx="2694">
                  <c:v>38554.0</c:v>
                </c:pt>
                <c:pt idx="2695">
                  <c:v>38553.0</c:v>
                </c:pt>
                <c:pt idx="2696">
                  <c:v>38552.0</c:v>
                </c:pt>
                <c:pt idx="2697">
                  <c:v>38551.0</c:v>
                </c:pt>
                <c:pt idx="2698">
                  <c:v>38548.0</c:v>
                </c:pt>
                <c:pt idx="2699">
                  <c:v>38547.0</c:v>
                </c:pt>
                <c:pt idx="2700">
                  <c:v>38546.0</c:v>
                </c:pt>
                <c:pt idx="2701">
                  <c:v>38545.0</c:v>
                </c:pt>
                <c:pt idx="2702">
                  <c:v>38544.0</c:v>
                </c:pt>
                <c:pt idx="2703">
                  <c:v>38541.0</c:v>
                </c:pt>
                <c:pt idx="2704">
                  <c:v>38540.0</c:v>
                </c:pt>
                <c:pt idx="2705">
                  <c:v>38539.0</c:v>
                </c:pt>
                <c:pt idx="2706">
                  <c:v>38538.0</c:v>
                </c:pt>
                <c:pt idx="2707">
                  <c:v>38537.0</c:v>
                </c:pt>
                <c:pt idx="2708">
                  <c:v>38534.0</c:v>
                </c:pt>
                <c:pt idx="2709">
                  <c:v>38533.0</c:v>
                </c:pt>
                <c:pt idx="2710">
                  <c:v>38532.0</c:v>
                </c:pt>
                <c:pt idx="2711">
                  <c:v>38531.0</c:v>
                </c:pt>
                <c:pt idx="2712">
                  <c:v>38530.0</c:v>
                </c:pt>
                <c:pt idx="2713">
                  <c:v>38527.0</c:v>
                </c:pt>
                <c:pt idx="2714">
                  <c:v>38526.0</c:v>
                </c:pt>
                <c:pt idx="2715">
                  <c:v>38525.0</c:v>
                </c:pt>
                <c:pt idx="2716">
                  <c:v>38524.0</c:v>
                </c:pt>
                <c:pt idx="2717">
                  <c:v>38523.0</c:v>
                </c:pt>
                <c:pt idx="2718">
                  <c:v>38520.0</c:v>
                </c:pt>
                <c:pt idx="2719">
                  <c:v>38518.0</c:v>
                </c:pt>
                <c:pt idx="2720">
                  <c:v>38517.0</c:v>
                </c:pt>
                <c:pt idx="2721">
                  <c:v>38516.0</c:v>
                </c:pt>
                <c:pt idx="2722">
                  <c:v>38513.0</c:v>
                </c:pt>
                <c:pt idx="2723">
                  <c:v>38512.0</c:v>
                </c:pt>
                <c:pt idx="2724">
                  <c:v>38511.0</c:v>
                </c:pt>
                <c:pt idx="2725">
                  <c:v>38510.0</c:v>
                </c:pt>
                <c:pt idx="2726">
                  <c:v>38509.0</c:v>
                </c:pt>
                <c:pt idx="2727">
                  <c:v>38506.0</c:v>
                </c:pt>
                <c:pt idx="2728">
                  <c:v>38505.0</c:v>
                </c:pt>
                <c:pt idx="2729">
                  <c:v>38504.0</c:v>
                </c:pt>
                <c:pt idx="2730">
                  <c:v>38503.0</c:v>
                </c:pt>
                <c:pt idx="2731">
                  <c:v>38502.0</c:v>
                </c:pt>
                <c:pt idx="2732">
                  <c:v>38499.0</c:v>
                </c:pt>
                <c:pt idx="2733">
                  <c:v>38498.0</c:v>
                </c:pt>
                <c:pt idx="2734">
                  <c:v>38497.0</c:v>
                </c:pt>
                <c:pt idx="2735">
                  <c:v>38496.0</c:v>
                </c:pt>
                <c:pt idx="2736">
                  <c:v>38495.0</c:v>
                </c:pt>
                <c:pt idx="2737">
                  <c:v>38492.0</c:v>
                </c:pt>
                <c:pt idx="2738">
                  <c:v>38491.0</c:v>
                </c:pt>
                <c:pt idx="2739">
                  <c:v>38490.0</c:v>
                </c:pt>
                <c:pt idx="2740">
                  <c:v>38489.0</c:v>
                </c:pt>
                <c:pt idx="2741">
                  <c:v>38488.0</c:v>
                </c:pt>
                <c:pt idx="2742">
                  <c:v>38485.0</c:v>
                </c:pt>
                <c:pt idx="2743">
                  <c:v>38484.0</c:v>
                </c:pt>
                <c:pt idx="2744">
                  <c:v>38483.0</c:v>
                </c:pt>
                <c:pt idx="2745">
                  <c:v>38482.0</c:v>
                </c:pt>
                <c:pt idx="2746">
                  <c:v>38481.0</c:v>
                </c:pt>
                <c:pt idx="2747">
                  <c:v>38478.0</c:v>
                </c:pt>
                <c:pt idx="2748">
                  <c:v>38477.0</c:v>
                </c:pt>
              </c:numCache>
            </c:numRef>
          </c:cat>
          <c:val>
            <c:numRef>
              <c:f>'4g. Oceana Stock'!$B$9:$B$2757</c:f>
              <c:numCache>
                <c:formatCode>General</c:formatCode>
                <c:ptCount val="2749"/>
                <c:pt idx="0">
                  <c:v>12109.0</c:v>
                </c:pt>
                <c:pt idx="1">
                  <c:v>12580.0</c:v>
                </c:pt>
                <c:pt idx="2">
                  <c:v>12035.0</c:v>
                </c:pt>
                <c:pt idx="3">
                  <c:v>12300.0</c:v>
                </c:pt>
                <c:pt idx="4">
                  <c:v>11600.0</c:v>
                </c:pt>
                <c:pt idx="5">
                  <c:v>12111.0</c:v>
                </c:pt>
                <c:pt idx="6">
                  <c:v>11900.0</c:v>
                </c:pt>
                <c:pt idx="7">
                  <c:v>12200.0</c:v>
                </c:pt>
                <c:pt idx="8">
                  <c:v>11500.0</c:v>
                </c:pt>
                <c:pt idx="9">
                  <c:v>11519.0</c:v>
                </c:pt>
                <c:pt idx="10">
                  <c:v>11574.0</c:v>
                </c:pt>
                <c:pt idx="11">
                  <c:v>11400.0</c:v>
                </c:pt>
                <c:pt idx="12">
                  <c:v>11467.0</c:v>
                </c:pt>
                <c:pt idx="13">
                  <c:v>11554.0</c:v>
                </c:pt>
                <c:pt idx="14">
                  <c:v>11500.0</c:v>
                </c:pt>
                <c:pt idx="15">
                  <c:v>11655.0</c:v>
                </c:pt>
                <c:pt idx="16">
                  <c:v>12060.0</c:v>
                </c:pt>
                <c:pt idx="17">
                  <c:v>12150.0</c:v>
                </c:pt>
                <c:pt idx="18">
                  <c:v>12040.0</c:v>
                </c:pt>
                <c:pt idx="19">
                  <c:v>12040.0</c:v>
                </c:pt>
                <c:pt idx="20">
                  <c:v>12399.0</c:v>
                </c:pt>
                <c:pt idx="21">
                  <c:v>12135.0</c:v>
                </c:pt>
                <c:pt idx="22">
                  <c:v>12500.0</c:v>
                </c:pt>
                <c:pt idx="23">
                  <c:v>12581.0</c:v>
                </c:pt>
                <c:pt idx="24">
                  <c:v>12426.0</c:v>
                </c:pt>
                <c:pt idx="25">
                  <c:v>12400.0</c:v>
                </c:pt>
                <c:pt idx="26">
                  <c:v>11950.0</c:v>
                </c:pt>
                <c:pt idx="27">
                  <c:v>12850.0</c:v>
                </c:pt>
                <c:pt idx="28">
                  <c:v>12890.0</c:v>
                </c:pt>
                <c:pt idx="29">
                  <c:v>11900.0</c:v>
                </c:pt>
                <c:pt idx="30">
                  <c:v>11523.0</c:v>
                </c:pt>
                <c:pt idx="31">
                  <c:v>11221.0</c:v>
                </c:pt>
                <c:pt idx="32">
                  <c:v>11155.0</c:v>
                </c:pt>
                <c:pt idx="33">
                  <c:v>11150.0</c:v>
                </c:pt>
                <c:pt idx="34">
                  <c:v>11700.0</c:v>
                </c:pt>
                <c:pt idx="35">
                  <c:v>11800.0</c:v>
                </c:pt>
                <c:pt idx="36">
                  <c:v>12000.0</c:v>
                </c:pt>
                <c:pt idx="37">
                  <c:v>12214.0</c:v>
                </c:pt>
                <c:pt idx="38">
                  <c:v>12249.0</c:v>
                </c:pt>
                <c:pt idx="39">
                  <c:v>11950.0</c:v>
                </c:pt>
                <c:pt idx="40">
                  <c:v>12500.0</c:v>
                </c:pt>
                <c:pt idx="41">
                  <c:v>11554.0</c:v>
                </c:pt>
                <c:pt idx="42">
                  <c:v>11500.0</c:v>
                </c:pt>
                <c:pt idx="43">
                  <c:v>11422.0</c:v>
                </c:pt>
                <c:pt idx="44">
                  <c:v>11500.0</c:v>
                </c:pt>
                <c:pt idx="45">
                  <c:v>11500.0</c:v>
                </c:pt>
                <c:pt idx="46">
                  <c:v>11524.0</c:v>
                </c:pt>
                <c:pt idx="47">
                  <c:v>11510.0</c:v>
                </c:pt>
                <c:pt idx="48">
                  <c:v>11500.0</c:v>
                </c:pt>
                <c:pt idx="49">
                  <c:v>11500.0</c:v>
                </c:pt>
                <c:pt idx="50">
                  <c:v>11400.0</c:v>
                </c:pt>
                <c:pt idx="51">
                  <c:v>11199.0</c:v>
                </c:pt>
                <c:pt idx="52">
                  <c:v>11402.0</c:v>
                </c:pt>
                <c:pt idx="53">
                  <c:v>11200.0</c:v>
                </c:pt>
                <c:pt idx="54">
                  <c:v>10825.0</c:v>
                </c:pt>
                <c:pt idx="55">
                  <c:v>11000.0</c:v>
                </c:pt>
                <c:pt idx="56">
                  <c:v>11054.0</c:v>
                </c:pt>
                <c:pt idx="57">
                  <c:v>11184.0</c:v>
                </c:pt>
                <c:pt idx="58">
                  <c:v>11415.0</c:v>
                </c:pt>
                <c:pt idx="59">
                  <c:v>11661.0</c:v>
                </c:pt>
                <c:pt idx="60">
                  <c:v>11800.0</c:v>
                </c:pt>
                <c:pt idx="61">
                  <c:v>11001.0</c:v>
                </c:pt>
                <c:pt idx="62">
                  <c:v>11100.0</c:v>
                </c:pt>
                <c:pt idx="63">
                  <c:v>11186.0</c:v>
                </c:pt>
                <c:pt idx="64">
                  <c:v>11398.0</c:v>
                </c:pt>
                <c:pt idx="65">
                  <c:v>11509.0</c:v>
                </c:pt>
                <c:pt idx="66">
                  <c:v>11482.0</c:v>
                </c:pt>
                <c:pt idx="67">
                  <c:v>11343.0</c:v>
                </c:pt>
                <c:pt idx="68">
                  <c:v>11300.0</c:v>
                </c:pt>
                <c:pt idx="69">
                  <c:v>11099.0</c:v>
                </c:pt>
                <c:pt idx="70">
                  <c:v>11000.0</c:v>
                </c:pt>
                <c:pt idx="71">
                  <c:v>11100.0</c:v>
                </c:pt>
                <c:pt idx="72">
                  <c:v>11064.0</c:v>
                </c:pt>
                <c:pt idx="73">
                  <c:v>11000.0</c:v>
                </c:pt>
                <c:pt idx="74">
                  <c:v>11000.0</c:v>
                </c:pt>
                <c:pt idx="75">
                  <c:v>11000.0</c:v>
                </c:pt>
                <c:pt idx="76">
                  <c:v>10800.0</c:v>
                </c:pt>
                <c:pt idx="77">
                  <c:v>10641.0</c:v>
                </c:pt>
                <c:pt idx="78">
                  <c:v>10741.0</c:v>
                </c:pt>
                <c:pt idx="79">
                  <c:v>10741.0</c:v>
                </c:pt>
                <c:pt idx="80">
                  <c:v>10643.36</c:v>
                </c:pt>
                <c:pt idx="81">
                  <c:v>10741.0</c:v>
                </c:pt>
                <c:pt idx="82">
                  <c:v>11058.35</c:v>
                </c:pt>
                <c:pt idx="83">
                  <c:v>11424.52</c:v>
                </c:pt>
                <c:pt idx="84">
                  <c:v>11182.36</c:v>
                </c:pt>
                <c:pt idx="85">
                  <c:v>10985.11</c:v>
                </c:pt>
                <c:pt idx="86">
                  <c:v>10848.41</c:v>
                </c:pt>
                <c:pt idx="87">
                  <c:v>10863.06</c:v>
                </c:pt>
                <c:pt idx="88">
                  <c:v>10863.06</c:v>
                </c:pt>
                <c:pt idx="89">
                  <c:v>10855.25</c:v>
                </c:pt>
                <c:pt idx="90">
                  <c:v>10969.49</c:v>
                </c:pt>
                <c:pt idx="91">
                  <c:v>11079.83</c:v>
                </c:pt>
                <c:pt idx="92">
                  <c:v>11033.94</c:v>
                </c:pt>
                <c:pt idx="93">
                  <c:v>11139.39</c:v>
                </c:pt>
                <c:pt idx="94">
                  <c:v>10936.29</c:v>
                </c:pt>
                <c:pt idx="95">
                  <c:v>10936.29</c:v>
                </c:pt>
                <c:pt idx="96">
                  <c:v>11699.88</c:v>
                </c:pt>
                <c:pt idx="97">
                  <c:v>11453.81</c:v>
                </c:pt>
                <c:pt idx="98">
                  <c:v>11570.99</c:v>
                </c:pt>
                <c:pt idx="99">
                  <c:v>10960.7</c:v>
                </c:pt>
                <c:pt idx="100">
                  <c:v>10852.32</c:v>
                </c:pt>
                <c:pt idx="101">
                  <c:v>11082.76</c:v>
                </c:pt>
                <c:pt idx="102">
                  <c:v>11033.94</c:v>
                </c:pt>
                <c:pt idx="103">
                  <c:v>11065.18</c:v>
                </c:pt>
                <c:pt idx="104">
                  <c:v>11033.94</c:v>
                </c:pt>
                <c:pt idx="105">
                  <c:v>11033.94</c:v>
                </c:pt>
                <c:pt idx="106">
                  <c:v>11174.55</c:v>
                </c:pt>
                <c:pt idx="107">
                  <c:v>10990.97</c:v>
                </c:pt>
                <c:pt idx="108">
                  <c:v>11033.94</c:v>
                </c:pt>
                <c:pt idx="109">
                  <c:v>11228.25</c:v>
                </c:pt>
                <c:pt idx="110">
                  <c:v>11229.23</c:v>
                </c:pt>
                <c:pt idx="111">
                  <c:v>11229.23</c:v>
                </c:pt>
                <c:pt idx="112">
                  <c:v>11223.37</c:v>
                </c:pt>
                <c:pt idx="113">
                  <c:v>11195.05</c:v>
                </c:pt>
                <c:pt idx="114">
                  <c:v>11229.23</c:v>
                </c:pt>
                <c:pt idx="115">
                  <c:v>11082.76</c:v>
                </c:pt>
                <c:pt idx="116">
                  <c:v>10936.29</c:v>
                </c:pt>
                <c:pt idx="117">
                  <c:v>10506.65</c:v>
                </c:pt>
                <c:pt idx="118">
                  <c:v>10594.53</c:v>
                </c:pt>
                <c:pt idx="119">
                  <c:v>10448.06</c:v>
                </c:pt>
                <c:pt idx="120">
                  <c:v>10203.95</c:v>
                </c:pt>
                <c:pt idx="121">
                  <c:v>10448.06</c:v>
                </c:pt>
                <c:pt idx="122">
                  <c:v>10318.2</c:v>
                </c:pt>
                <c:pt idx="123">
                  <c:v>10240.08</c:v>
                </c:pt>
                <c:pt idx="124">
                  <c:v>9945.19</c:v>
                </c:pt>
                <c:pt idx="125">
                  <c:v>10071.15</c:v>
                </c:pt>
                <c:pt idx="126">
                  <c:v>10057.48</c:v>
                </c:pt>
                <c:pt idx="127">
                  <c:v>10252.77</c:v>
                </c:pt>
                <c:pt idx="128">
                  <c:v>10252.77</c:v>
                </c:pt>
                <c:pt idx="129">
                  <c:v>10252.77</c:v>
                </c:pt>
                <c:pt idx="130">
                  <c:v>10057.48</c:v>
                </c:pt>
                <c:pt idx="131">
                  <c:v>10122.9</c:v>
                </c:pt>
                <c:pt idx="132">
                  <c:v>10252.77</c:v>
                </c:pt>
                <c:pt idx="133">
                  <c:v>10447.09</c:v>
                </c:pt>
                <c:pt idx="134">
                  <c:v>10454.9</c:v>
                </c:pt>
                <c:pt idx="135">
                  <c:v>10370.92</c:v>
                </c:pt>
                <c:pt idx="136">
                  <c:v>10692.18</c:v>
                </c:pt>
                <c:pt idx="137">
                  <c:v>10643.36</c:v>
                </c:pt>
                <c:pt idx="138">
                  <c:v>10545.71</c:v>
                </c:pt>
                <c:pt idx="139">
                  <c:v>10741.0</c:v>
                </c:pt>
                <c:pt idx="140">
                  <c:v>10301.6</c:v>
                </c:pt>
                <c:pt idx="141">
                  <c:v>10203.95</c:v>
                </c:pt>
                <c:pt idx="142">
                  <c:v>10243.01</c:v>
                </c:pt>
                <c:pt idx="143">
                  <c:v>9977.41</c:v>
                </c:pt>
                <c:pt idx="144">
                  <c:v>9793.84</c:v>
                </c:pt>
                <c:pt idx="145">
                  <c:v>9538.01</c:v>
                </c:pt>
                <c:pt idx="146">
                  <c:v>9325.139999999999</c:v>
                </c:pt>
                <c:pt idx="147">
                  <c:v>9413.02</c:v>
                </c:pt>
                <c:pt idx="148">
                  <c:v>9466.73</c:v>
                </c:pt>
                <c:pt idx="149">
                  <c:v>9325.139999999999</c:v>
                </c:pt>
                <c:pt idx="150">
                  <c:v>9276.32</c:v>
                </c:pt>
                <c:pt idx="151">
                  <c:v>9320.26</c:v>
                </c:pt>
                <c:pt idx="152">
                  <c:v>9062.48</c:v>
                </c:pt>
                <c:pt idx="153">
                  <c:v>9129.85</c:v>
                </c:pt>
                <c:pt idx="154">
                  <c:v>9202.11</c:v>
                </c:pt>
                <c:pt idx="155">
                  <c:v>9032.209999999999</c:v>
                </c:pt>
                <c:pt idx="156">
                  <c:v>8870.11</c:v>
                </c:pt>
                <c:pt idx="157">
                  <c:v>8968.74</c:v>
                </c:pt>
                <c:pt idx="158">
                  <c:v>9144.5</c:v>
                </c:pt>
                <c:pt idx="159">
                  <c:v>9276.32</c:v>
                </c:pt>
                <c:pt idx="160">
                  <c:v>9085.91</c:v>
                </c:pt>
                <c:pt idx="161">
                  <c:v>9763.57</c:v>
                </c:pt>
                <c:pt idx="162">
                  <c:v>9294.870000000001</c:v>
                </c:pt>
                <c:pt idx="163">
                  <c:v>9124.969999999999</c:v>
                </c:pt>
                <c:pt idx="164">
                  <c:v>9013.65</c:v>
                </c:pt>
                <c:pt idx="165">
                  <c:v>9040.02</c:v>
                </c:pt>
                <c:pt idx="166">
                  <c:v>9474.54</c:v>
                </c:pt>
                <c:pt idx="167">
                  <c:v>9129.85</c:v>
                </c:pt>
                <c:pt idx="168">
                  <c:v>9452.08</c:v>
                </c:pt>
                <c:pt idx="169">
                  <c:v>9641.51</c:v>
                </c:pt>
                <c:pt idx="170">
                  <c:v>9300.73</c:v>
                </c:pt>
                <c:pt idx="171">
                  <c:v>9381.78</c:v>
                </c:pt>
                <c:pt idx="172">
                  <c:v>9289.99</c:v>
                </c:pt>
                <c:pt idx="173">
                  <c:v>9081.03</c:v>
                </c:pt>
                <c:pt idx="174">
                  <c:v>9396.59</c:v>
                </c:pt>
                <c:pt idx="175">
                  <c:v>9557.62</c:v>
                </c:pt>
                <c:pt idx="176">
                  <c:v>9330.29</c:v>
                </c:pt>
                <c:pt idx="177">
                  <c:v>9311.34</c:v>
                </c:pt>
                <c:pt idx="178">
                  <c:v>9207.139999999999</c:v>
                </c:pt>
                <c:pt idx="179">
                  <c:v>9591.719999999999</c:v>
                </c:pt>
                <c:pt idx="180">
                  <c:v>9477.11</c:v>
                </c:pt>
                <c:pt idx="181">
                  <c:v>9549.1</c:v>
                </c:pt>
                <c:pt idx="182">
                  <c:v>9472.370000000001</c:v>
                </c:pt>
                <c:pt idx="183">
                  <c:v>9472.370000000001</c:v>
                </c:pt>
                <c:pt idx="184">
                  <c:v>9564.25</c:v>
                </c:pt>
                <c:pt idx="185">
                  <c:v>9552.889999999999</c:v>
                </c:pt>
                <c:pt idx="186">
                  <c:v>9654.24</c:v>
                </c:pt>
                <c:pt idx="187">
                  <c:v>9472.370000000001</c:v>
                </c:pt>
                <c:pt idx="188">
                  <c:v>9443.950000000001</c:v>
                </c:pt>
                <c:pt idx="189">
                  <c:v>9377.65</c:v>
                </c:pt>
                <c:pt idx="190">
                  <c:v>9462.9</c:v>
                </c:pt>
                <c:pt idx="191">
                  <c:v>9192.94</c:v>
                </c:pt>
                <c:pt idx="192">
                  <c:v>9387.12</c:v>
                </c:pt>
                <c:pt idx="193">
                  <c:v>9377.65</c:v>
                </c:pt>
                <c:pt idx="194">
                  <c:v>9415.54</c:v>
                </c:pt>
                <c:pt idx="195">
                  <c:v>9472.370000000001</c:v>
                </c:pt>
                <c:pt idx="196">
                  <c:v>9444.9</c:v>
                </c:pt>
                <c:pt idx="197">
                  <c:v>9434.48</c:v>
                </c:pt>
                <c:pt idx="198">
                  <c:v>9472.370000000001</c:v>
                </c:pt>
                <c:pt idx="199">
                  <c:v>9425.01</c:v>
                </c:pt>
                <c:pt idx="200">
                  <c:v>9472.370000000001</c:v>
                </c:pt>
                <c:pt idx="201">
                  <c:v>9472.370000000001</c:v>
                </c:pt>
                <c:pt idx="202">
                  <c:v>9349.23</c:v>
                </c:pt>
                <c:pt idx="203">
                  <c:v>9432.59</c:v>
                </c:pt>
                <c:pt idx="204">
                  <c:v>9472.370000000001</c:v>
                </c:pt>
                <c:pt idx="205">
                  <c:v>9335.969999999999</c:v>
                </c:pt>
                <c:pt idx="206">
                  <c:v>9377.65</c:v>
                </c:pt>
                <c:pt idx="207">
                  <c:v>9254.51</c:v>
                </c:pt>
                <c:pt idx="208">
                  <c:v>9235.559999999999</c:v>
                </c:pt>
                <c:pt idx="209">
                  <c:v>9235.559999999999</c:v>
                </c:pt>
                <c:pt idx="210">
                  <c:v>9182.52</c:v>
                </c:pt>
                <c:pt idx="211">
                  <c:v>9188.2</c:v>
                </c:pt>
                <c:pt idx="212">
                  <c:v>8879.4</c:v>
                </c:pt>
                <c:pt idx="213">
                  <c:v>8888.870000000001</c:v>
                </c:pt>
                <c:pt idx="214">
                  <c:v>8710.91</c:v>
                </c:pt>
                <c:pt idx="215">
                  <c:v>8710.91</c:v>
                </c:pt>
                <c:pt idx="216">
                  <c:v>8664.08</c:v>
                </c:pt>
                <c:pt idx="217">
                  <c:v>8546.99</c:v>
                </c:pt>
                <c:pt idx="218">
                  <c:v>8336.25</c:v>
                </c:pt>
                <c:pt idx="219">
                  <c:v>8242.58</c:v>
                </c:pt>
                <c:pt idx="220">
                  <c:v>8183.57</c:v>
                </c:pt>
                <c:pt idx="221">
                  <c:v>8167.65</c:v>
                </c:pt>
                <c:pt idx="222">
                  <c:v>8242.58</c:v>
                </c:pt>
                <c:pt idx="223">
                  <c:v>8242.58</c:v>
                </c:pt>
                <c:pt idx="224">
                  <c:v>8242.58</c:v>
                </c:pt>
                <c:pt idx="225">
                  <c:v>8392.44</c:v>
                </c:pt>
                <c:pt idx="226">
                  <c:v>8383.08</c:v>
                </c:pt>
                <c:pt idx="227">
                  <c:v>8710.91</c:v>
                </c:pt>
                <c:pt idx="228">
                  <c:v>8547.93</c:v>
                </c:pt>
                <c:pt idx="229">
                  <c:v>8687.49</c:v>
                </c:pt>
                <c:pt idx="230">
                  <c:v>8710.91</c:v>
                </c:pt>
                <c:pt idx="231">
                  <c:v>8664.08</c:v>
                </c:pt>
                <c:pt idx="232">
                  <c:v>8830.799999999999</c:v>
                </c:pt>
                <c:pt idx="233">
                  <c:v>8710.91</c:v>
                </c:pt>
                <c:pt idx="234">
                  <c:v>8523.58</c:v>
                </c:pt>
                <c:pt idx="235">
                  <c:v>8898.24</c:v>
                </c:pt>
                <c:pt idx="236">
                  <c:v>8992.84</c:v>
                </c:pt>
                <c:pt idx="237">
                  <c:v>9256.04</c:v>
                </c:pt>
                <c:pt idx="238">
                  <c:v>9179.24</c:v>
                </c:pt>
                <c:pt idx="239">
                  <c:v>9330.04</c:v>
                </c:pt>
                <c:pt idx="240">
                  <c:v>9633.51</c:v>
                </c:pt>
                <c:pt idx="241">
                  <c:v>9360.950000000001</c:v>
                </c:pt>
                <c:pt idx="242">
                  <c:v>9015.32</c:v>
                </c:pt>
                <c:pt idx="243">
                  <c:v>10532.71</c:v>
                </c:pt>
                <c:pt idx="244">
                  <c:v>10593.59</c:v>
                </c:pt>
                <c:pt idx="245">
                  <c:v>10537.39</c:v>
                </c:pt>
                <c:pt idx="246">
                  <c:v>9787.129999999999</c:v>
                </c:pt>
                <c:pt idx="247">
                  <c:v>9963.219999999999</c:v>
                </c:pt>
                <c:pt idx="248">
                  <c:v>9742.17</c:v>
                </c:pt>
                <c:pt idx="249">
                  <c:v>10022.23</c:v>
                </c:pt>
                <c:pt idx="250">
                  <c:v>10677.89</c:v>
                </c:pt>
                <c:pt idx="251">
                  <c:v>10162.73</c:v>
                </c:pt>
                <c:pt idx="252">
                  <c:v>9958.53</c:v>
                </c:pt>
                <c:pt idx="253">
                  <c:v>9296.32</c:v>
                </c:pt>
                <c:pt idx="254">
                  <c:v>9515.5</c:v>
                </c:pt>
                <c:pt idx="255">
                  <c:v>9447.12</c:v>
                </c:pt>
                <c:pt idx="256">
                  <c:v>9460.23</c:v>
                </c:pt>
                <c:pt idx="257">
                  <c:v>9381.549999999999</c:v>
                </c:pt>
                <c:pt idx="258">
                  <c:v>9450.870000000001</c:v>
                </c:pt>
                <c:pt idx="259">
                  <c:v>9403.1</c:v>
                </c:pt>
                <c:pt idx="260">
                  <c:v>9366.57</c:v>
                </c:pt>
                <c:pt idx="261">
                  <c:v>9348.77</c:v>
                </c:pt>
                <c:pt idx="262">
                  <c:v>9380.62</c:v>
                </c:pt>
                <c:pt idx="263">
                  <c:v>9413.4</c:v>
                </c:pt>
                <c:pt idx="264">
                  <c:v>9443.370000000001</c:v>
                </c:pt>
                <c:pt idx="265">
                  <c:v>9310.370000000001</c:v>
                </c:pt>
                <c:pt idx="266">
                  <c:v>9604.48</c:v>
                </c:pt>
                <c:pt idx="267">
                  <c:v>9583.870000000001</c:v>
                </c:pt>
                <c:pt idx="268">
                  <c:v>9681.28</c:v>
                </c:pt>
                <c:pt idx="269">
                  <c:v>9741.23</c:v>
                </c:pt>
                <c:pt idx="270">
                  <c:v>9689.709999999999</c:v>
                </c:pt>
                <c:pt idx="271">
                  <c:v>9422.77</c:v>
                </c:pt>
                <c:pt idx="272">
                  <c:v>9469.6</c:v>
                </c:pt>
                <c:pt idx="273">
                  <c:v>9230.75</c:v>
                </c:pt>
                <c:pt idx="274">
                  <c:v>9277.59</c:v>
                </c:pt>
                <c:pt idx="275">
                  <c:v>9493.950000000001</c:v>
                </c:pt>
                <c:pt idx="276">
                  <c:v>9383.43</c:v>
                </c:pt>
                <c:pt idx="277">
                  <c:v>8991.91</c:v>
                </c:pt>
                <c:pt idx="278">
                  <c:v>8804.57</c:v>
                </c:pt>
                <c:pt idx="279">
                  <c:v>9141.77</c:v>
                </c:pt>
                <c:pt idx="280">
                  <c:v>9582.94</c:v>
                </c:pt>
                <c:pt idx="281">
                  <c:v>9789.94</c:v>
                </c:pt>
                <c:pt idx="282">
                  <c:v>9881.73</c:v>
                </c:pt>
                <c:pt idx="283">
                  <c:v>9509.879999999999</c:v>
                </c:pt>
                <c:pt idx="284">
                  <c:v>9741.23</c:v>
                </c:pt>
                <c:pt idx="285">
                  <c:v>9870.49</c:v>
                </c:pt>
                <c:pt idx="286">
                  <c:v>10251.71</c:v>
                </c:pt>
                <c:pt idx="287">
                  <c:v>9834.9</c:v>
                </c:pt>
                <c:pt idx="288">
                  <c:v>10197.38</c:v>
                </c:pt>
                <c:pt idx="289">
                  <c:v>10247.03</c:v>
                </c:pt>
                <c:pt idx="290">
                  <c:v>10115.89</c:v>
                </c:pt>
                <c:pt idx="291">
                  <c:v>10114.02</c:v>
                </c:pt>
                <c:pt idx="292">
                  <c:v>10209.56</c:v>
                </c:pt>
                <c:pt idx="293">
                  <c:v>10303.22</c:v>
                </c:pt>
                <c:pt idx="294">
                  <c:v>10396.89</c:v>
                </c:pt>
                <c:pt idx="295">
                  <c:v>10458.71</c:v>
                </c:pt>
                <c:pt idx="296">
                  <c:v>10489.62</c:v>
                </c:pt>
                <c:pt idx="297">
                  <c:v>10677.89</c:v>
                </c:pt>
                <c:pt idx="298">
                  <c:v>10771.55</c:v>
                </c:pt>
                <c:pt idx="299">
                  <c:v>10677.89</c:v>
                </c:pt>
                <c:pt idx="300">
                  <c:v>10628.24</c:v>
                </c:pt>
                <c:pt idx="301">
                  <c:v>10654.47</c:v>
                </c:pt>
                <c:pt idx="302">
                  <c:v>10162.73</c:v>
                </c:pt>
                <c:pt idx="303">
                  <c:v>10256.39</c:v>
                </c:pt>
                <c:pt idx="304">
                  <c:v>10429.67</c:v>
                </c:pt>
                <c:pt idx="305">
                  <c:v>10261.07</c:v>
                </c:pt>
                <c:pt idx="306">
                  <c:v>10441.85</c:v>
                </c:pt>
                <c:pt idx="307">
                  <c:v>10462.46</c:v>
                </c:pt>
                <c:pt idx="308">
                  <c:v>10359.42</c:v>
                </c:pt>
                <c:pt idx="309">
                  <c:v>10560.81</c:v>
                </c:pt>
                <c:pt idx="310">
                  <c:v>10560.81</c:v>
                </c:pt>
                <c:pt idx="311">
                  <c:v>10537.39</c:v>
                </c:pt>
                <c:pt idx="312">
                  <c:v>10326.64</c:v>
                </c:pt>
                <c:pt idx="313">
                  <c:v>10115.89</c:v>
                </c:pt>
                <c:pt idx="314">
                  <c:v>10209.56</c:v>
                </c:pt>
                <c:pt idx="315">
                  <c:v>10209.56</c:v>
                </c:pt>
                <c:pt idx="316">
                  <c:v>10209.56</c:v>
                </c:pt>
                <c:pt idx="317">
                  <c:v>10209.56</c:v>
                </c:pt>
                <c:pt idx="318">
                  <c:v>10256.39</c:v>
                </c:pt>
                <c:pt idx="319">
                  <c:v>10022.23</c:v>
                </c:pt>
                <c:pt idx="320">
                  <c:v>10301.35</c:v>
                </c:pt>
                <c:pt idx="321">
                  <c:v>10115.89</c:v>
                </c:pt>
                <c:pt idx="322">
                  <c:v>10209.56</c:v>
                </c:pt>
                <c:pt idx="323">
                  <c:v>10209.56</c:v>
                </c:pt>
                <c:pt idx="324">
                  <c:v>10110.27</c:v>
                </c:pt>
                <c:pt idx="325">
                  <c:v>10106.53</c:v>
                </c:pt>
                <c:pt idx="326">
                  <c:v>9923.879999999999</c:v>
                </c:pt>
                <c:pt idx="327">
                  <c:v>9872.360000000001</c:v>
                </c:pt>
                <c:pt idx="328">
                  <c:v>10049.39</c:v>
                </c:pt>
                <c:pt idx="329">
                  <c:v>10003.71</c:v>
                </c:pt>
                <c:pt idx="330">
                  <c:v>9967.17</c:v>
                </c:pt>
                <c:pt idx="331">
                  <c:v>10003.71</c:v>
                </c:pt>
                <c:pt idx="332">
                  <c:v>9912.35</c:v>
                </c:pt>
                <c:pt idx="333">
                  <c:v>9651.98</c:v>
                </c:pt>
                <c:pt idx="334">
                  <c:v>9579.809999999999</c:v>
                </c:pt>
                <c:pt idx="335">
                  <c:v>9501.24</c:v>
                </c:pt>
                <c:pt idx="336">
                  <c:v>9767.09</c:v>
                </c:pt>
                <c:pt idx="337">
                  <c:v>9831.04</c:v>
                </c:pt>
                <c:pt idx="338">
                  <c:v>9658.379999999999</c:v>
                </c:pt>
                <c:pt idx="339">
                  <c:v>9661.12</c:v>
                </c:pt>
                <c:pt idx="340">
                  <c:v>9640.11</c:v>
                </c:pt>
                <c:pt idx="341">
                  <c:v>9665.69</c:v>
                </c:pt>
                <c:pt idx="342">
                  <c:v>9318.53</c:v>
                </c:pt>
                <c:pt idx="343">
                  <c:v>9135.809999999999</c:v>
                </c:pt>
                <c:pt idx="344">
                  <c:v>9135.809999999999</c:v>
                </c:pt>
                <c:pt idx="345">
                  <c:v>9184.23</c:v>
                </c:pt>
                <c:pt idx="346">
                  <c:v>9227.17</c:v>
                </c:pt>
                <c:pt idx="347">
                  <c:v>9456.48</c:v>
                </c:pt>
                <c:pt idx="348">
                  <c:v>9593.51</c:v>
                </c:pt>
                <c:pt idx="349">
                  <c:v>9423.59</c:v>
                </c:pt>
                <c:pt idx="350">
                  <c:v>9134.9</c:v>
                </c:pt>
                <c:pt idx="351">
                  <c:v>9067.29</c:v>
                </c:pt>
                <c:pt idx="352">
                  <c:v>8998.77</c:v>
                </c:pt>
                <c:pt idx="353">
                  <c:v>9135.809999999999</c:v>
                </c:pt>
                <c:pt idx="354">
                  <c:v>9537.78</c:v>
                </c:pt>
                <c:pt idx="355">
                  <c:v>9592.6</c:v>
                </c:pt>
                <c:pt idx="356">
                  <c:v>9227.17</c:v>
                </c:pt>
                <c:pt idx="357">
                  <c:v>9227.17</c:v>
                </c:pt>
                <c:pt idx="358">
                  <c:v>9044.450000000001</c:v>
                </c:pt>
                <c:pt idx="359">
                  <c:v>8998.77</c:v>
                </c:pt>
                <c:pt idx="360">
                  <c:v>8588.57</c:v>
                </c:pt>
                <c:pt idx="361">
                  <c:v>8541.98</c:v>
                </c:pt>
                <c:pt idx="362">
                  <c:v>8222.23</c:v>
                </c:pt>
                <c:pt idx="363">
                  <c:v>7901.56</c:v>
                </c:pt>
                <c:pt idx="364">
                  <c:v>8039.51</c:v>
                </c:pt>
                <c:pt idx="365">
                  <c:v>8064.18</c:v>
                </c:pt>
                <c:pt idx="366">
                  <c:v>7912.52</c:v>
                </c:pt>
                <c:pt idx="367">
                  <c:v>7813.86</c:v>
                </c:pt>
                <c:pt idx="368">
                  <c:v>7809.29</c:v>
                </c:pt>
                <c:pt idx="369">
                  <c:v>7857.71</c:v>
                </c:pt>
                <c:pt idx="370">
                  <c:v>7540.7</c:v>
                </c:pt>
                <c:pt idx="371">
                  <c:v>7139.63</c:v>
                </c:pt>
                <c:pt idx="372">
                  <c:v>7125.02</c:v>
                </c:pt>
                <c:pt idx="373">
                  <c:v>6915.81</c:v>
                </c:pt>
                <c:pt idx="374">
                  <c:v>6924.94</c:v>
                </c:pt>
                <c:pt idx="375">
                  <c:v>6840.89</c:v>
                </c:pt>
                <c:pt idx="376">
                  <c:v>6829.02</c:v>
                </c:pt>
                <c:pt idx="377">
                  <c:v>6851.86</c:v>
                </c:pt>
                <c:pt idx="378">
                  <c:v>6897.54</c:v>
                </c:pt>
                <c:pt idx="379">
                  <c:v>6896.62</c:v>
                </c:pt>
                <c:pt idx="380">
                  <c:v>6866.47</c:v>
                </c:pt>
                <c:pt idx="381">
                  <c:v>6892.97</c:v>
                </c:pt>
                <c:pt idx="382">
                  <c:v>6835.41</c:v>
                </c:pt>
                <c:pt idx="383">
                  <c:v>6824.45</c:v>
                </c:pt>
                <c:pt idx="384">
                  <c:v>6755.93</c:v>
                </c:pt>
                <c:pt idx="385">
                  <c:v>6422.47</c:v>
                </c:pt>
                <c:pt idx="386">
                  <c:v>6395.07</c:v>
                </c:pt>
                <c:pt idx="387">
                  <c:v>6440.75</c:v>
                </c:pt>
                <c:pt idx="388">
                  <c:v>6548.55</c:v>
                </c:pt>
                <c:pt idx="389">
                  <c:v>6541.24</c:v>
                </c:pt>
                <c:pt idx="390">
                  <c:v>6669.14</c:v>
                </c:pt>
                <c:pt idx="391">
                  <c:v>6870.13</c:v>
                </c:pt>
                <c:pt idx="392">
                  <c:v>7052.84</c:v>
                </c:pt>
                <c:pt idx="393">
                  <c:v>7080.25</c:v>
                </c:pt>
                <c:pt idx="394">
                  <c:v>7016.3</c:v>
                </c:pt>
                <c:pt idx="395">
                  <c:v>6764.15</c:v>
                </c:pt>
                <c:pt idx="396">
                  <c:v>6774.2</c:v>
                </c:pt>
                <c:pt idx="397">
                  <c:v>6760.5</c:v>
                </c:pt>
                <c:pt idx="398">
                  <c:v>6720.3</c:v>
                </c:pt>
                <c:pt idx="399">
                  <c:v>6669.14</c:v>
                </c:pt>
                <c:pt idx="400">
                  <c:v>6578.7</c:v>
                </c:pt>
                <c:pt idx="401">
                  <c:v>6762.33</c:v>
                </c:pt>
                <c:pt idx="402">
                  <c:v>6829.02</c:v>
                </c:pt>
                <c:pt idx="403">
                  <c:v>6760.5</c:v>
                </c:pt>
                <c:pt idx="404">
                  <c:v>6550.38</c:v>
                </c:pt>
                <c:pt idx="405">
                  <c:v>6440.75</c:v>
                </c:pt>
                <c:pt idx="406">
                  <c:v>6571.39</c:v>
                </c:pt>
                <c:pt idx="407">
                  <c:v>6644.47</c:v>
                </c:pt>
                <c:pt idx="408">
                  <c:v>6577.78</c:v>
                </c:pt>
                <c:pt idx="409">
                  <c:v>6577.78</c:v>
                </c:pt>
                <c:pt idx="410">
                  <c:v>6486.42</c:v>
                </c:pt>
                <c:pt idx="411">
                  <c:v>6526.62</c:v>
                </c:pt>
                <c:pt idx="412">
                  <c:v>6564.08</c:v>
                </c:pt>
                <c:pt idx="413">
                  <c:v>6468.15</c:v>
                </c:pt>
                <c:pt idx="414">
                  <c:v>6851.86</c:v>
                </c:pt>
                <c:pt idx="415">
                  <c:v>7116.8</c:v>
                </c:pt>
                <c:pt idx="416">
                  <c:v>7127.76</c:v>
                </c:pt>
                <c:pt idx="417">
                  <c:v>7164.3</c:v>
                </c:pt>
                <c:pt idx="418">
                  <c:v>7156.08</c:v>
                </c:pt>
                <c:pt idx="419">
                  <c:v>7225.51</c:v>
                </c:pt>
                <c:pt idx="420">
                  <c:v>7236.47</c:v>
                </c:pt>
                <c:pt idx="421">
                  <c:v>7355.24</c:v>
                </c:pt>
                <c:pt idx="422">
                  <c:v>7427.41</c:v>
                </c:pt>
                <c:pt idx="423">
                  <c:v>7501.41</c:v>
                </c:pt>
                <c:pt idx="424">
                  <c:v>7431.07</c:v>
                </c:pt>
                <c:pt idx="425">
                  <c:v>7551.66</c:v>
                </c:pt>
                <c:pt idx="426">
                  <c:v>7442.94</c:v>
                </c:pt>
                <c:pt idx="427">
                  <c:v>7491.36</c:v>
                </c:pt>
                <c:pt idx="428">
                  <c:v>7354.33</c:v>
                </c:pt>
                <c:pt idx="429">
                  <c:v>7445.68</c:v>
                </c:pt>
                <c:pt idx="430">
                  <c:v>7491.36</c:v>
                </c:pt>
                <c:pt idx="431">
                  <c:v>7628.4</c:v>
                </c:pt>
                <c:pt idx="432">
                  <c:v>7856.8</c:v>
                </c:pt>
                <c:pt idx="433">
                  <c:v>7765.44</c:v>
                </c:pt>
                <c:pt idx="434">
                  <c:v>7674.99</c:v>
                </c:pt>
                <c:pt idx="435">
                  <c:v>7674.08</c:v>
                </c:pt>
                <c:pt idx="436">
                  <c:v>7560.8</c:v>
                </c:pt>
                <c:pt idx="437">
                  <c:v>7537.04</c:v>
                </c:pt>
                <c:pt idx="438">
                  <c:v>7322.35</c:v>
                </c:pt>
                <c:pt idx="439">
                  <c:v>7584.55</c:v>
                </c:pt>
                <c:pt idx="440">
                  <c:v>7856.8</c:v>
                </c:pt>
                <c:pt idx="441">
                  <c:v>7948.15</c:v>
                </c:pt>
                <c:pt idx="442">
                  <c:v>7765.44</c:v>
                </c:pt>
                <c:pt idx="443">
                  <c:v>7935.36</c:v>
                </c:pt>
                <c:pt idx="444">
                  <c:v>7948.15</c:v>
                </c:pt>
                <c:pt idx="445">
                  <c:v>7948.15</c:v>
                </c:pt>
                <c:pt idx="446">
                  <c:v>7993.83</c:v>
                </c:pt>
                <c:pt idx="447">
                  <c:v>7878.72</c:v>
                </c:pt>
                <c:pt idx="448">
                  <c:v>7902.47</c:v>
                </c:pt>
                <c:pt idx="449">
                  <c:v>7947.24</c:v>
                </c:pt>
                <c:pt idx="450">
                  <c:v>7948.15</c:v>
                </c:pt>
                <c:pt idx="451">
                  <c:v>7948.15</c:v>
                </c:pt>
                <c:pt idx="452">
                  <c:v>7921.66</c:v>
                </c:pt>
                <c:pt idx="453">
                  <c:v>8006.62</c:v>
                </c:pt>
                <c:pt idx="454">
                  <c:v>8039.51</c:v>
                </c:pt>
                <c:pt idx="455">
                  <c:v>8130.87</c:v>
                </c:pt>
                <c:pt idx="456">
                  <c:v>7948.15</c:v>
                </c:pt>
                <c:pt idx="457">
                  <c:v>8039.51</c:v>
                </c:pt>
                <c:pt idx="458">
                  <c:v>8039.51</c:v>
                </c:pt>
                <c:pt idx="459">
                  <c:v>7884.2</c:v>
                </c:pt>
                <c:pt idx="460">
                  <c:v>7856.8</c:v>
                </c:pt>
                <c:pt idx="461">
                  <c:v>7765.44</c:v>
                </c:pt>
                <c:pt idx="462">
                  <c:v>7948.15</c:v>
                </c:pt>
                <c:pt idx="463">
                  <c:v>7879.64</c:v>
                </c:pt>
                <c:pt idx="464">
                  <c:v>7648.5</c:v>
                </c:pt>
                <c:pt idx="465">
                  <c:v>7674.08</c:v>
                </c:pt>
                <c:pt idx="466">
                  <c:v>7657.64</c:v>
                </c:pt>
                <c:pt idx="467">
                  <c:v>7445.68</c:v>
                </c:pt>
                <c:pt idx="468">
                  <c:v>7303.17</c:v>
                </c:pt>
                <c:pt idx="469">
                  <c:v>7213.91</c:v>
                </c:pt>
                <c:pt idx="470">
                  <c:v>7483.49</c:v>
                </c:pt>
                <c:pt idx="471">
                  <c:v>7551.11</c:v>
                </c:pt>
                <c:pt idx="472">
                  <c:v>7618.73</c:v>
                </c:pt>
                <c:pt idx="473">
                  <c:v>7911.76</c:v>
                </c:pt>
                <c:pt idx="474">
                  <c:v>7844.14</c:v>
                </c:pt>
                <c:pt idx="475">
                  <c:v>7844.14</c:v>
                </c:pt>
                <c:pt idx="476">
                  <c:v>7889.22</c:v>
                </c:pt>
                <c:pt idx="477">
                  <c:v>7828.81</c:v>
                </c:pt>
                <c:pt idx="478">
                  <c:v>7844.14</c:v>
                </c:pt>
                <c:pt idx="479">
                  <c:v>8163.32</c:v>
                </c:pt>
                <c:pt idx="480">
                  <c:v>7934.3</c:v>
                </c:pt>
                <c:pt idx="481">
                  <c:v>7934.3</c:v>
                </c:pt>
                <c:pt idx="482">
                  <c:v>8123.65</c:v>
                </c:pt>
                <c:pt idx="483">
                  <c:v>7663.82</c:v>
                </c:pt>
                <c:pt idx="484">
                  <c:v>7642.18</c:v>
                </c:pt>
                <c:pt idx="485">
                  <c:v>7596.19</c:v>
                </c:pt>
                <c:pt idx="486">
                  <c:v>7636.77</c:v>
                </c:pt>
                <c:pt idx="487">
                  <c:v>7663.82</c:v>
                </c:pt>
                <c:pt idx="488">
                  <c:v>7663.82</c:v>
                </c:pt>
                <c:pt idx="489">
                  <c:v>7684.55</c:v>
                </c:pt>
                <c:pt idx="490">
                  <c:v>7490.7</c:v>
                </c:pt>
                <c:pt idx="491">
                  <c:v>7655.7</c:v>
                </c:pt>
                <c:pt idx="492">
                  <c:v>7371.69</c:v>
                </c:pt>
                <c:pt idx="493">
                  <c:v>7636.77</c:v>
                </c:pt>
                <c:pt idx="494">
                  <c:v>7618.73</c:v>
                </c:pt>
                <c:pt idx="495">
                  <c:v>7708.0</c:v>
                </c:pt>
                <c:pt idx="496">
                  <c:v>7510.54</c:v>
                </c:pt>
                <c:pt idx="497">
                  <c:v>7723.32</c:v>
                </c:pt>
                <c:pt idx="498">
                  <c:v>8114.63</c:v>
                </c:pt>
                <c:pt idx="499">
                  <c:v>8114.63</c:v>
                </c:pt>
                <c:pt idx="500">
                  <c:v>8069.55</c:v>
                </c:pt>
                <c:pt idx="501">
                  <c:v>8114.63</c:v>
                </c:pt>
                <c:pt idx="502">
                  <c:v>8114.63</c:v>
                </c:pt>
                <c:pt idx="503">
                  <c:v>7979.39</c:v>
                </c:pt>
                <c:pt idx="504">
                  <c:v>7862.17</c:v>
                </c:pt>
                <c:pt idx="505">
                  <c:v>7821.6</c:v>
                </c:pt>
                <c:pt idx="506">
                  <c:v>7767.5</c:v>
                </c:pt>
                <c:pt idx="507">
                  <c:v>7764.8</c:v>
                </c:pt>
                <c:pt idx="508">
                  <c:v>7889.22</c:v>
                </c:pt>
                <c:pt idx="509">
                  <c:v>7889.22</c:v>
                </c:pt>
                <c:pt idx="510">
                  <c:v>7966.76</c:v>
                </c:pt>
                <c:pt idx="511">
                  <c:v>7889.22</c:v>
                </c:pt>
                <c:pt idx="512">
                  <c:v>7966.76</c:v>
                </c:pt>
                <c:pt idx="513">
                  <c:v>7906.35</c:v>
                </c:pt>
                <c:pt idx="514">
                  <c:v>7882.01</c:v>
                </c:pt>
                <c:pt idx="515">
                  <c:v>8087.58</c:v>
                </c:pt>
                <c:pt idx="516">
                  <c:v>8137.17</c:v>
                </c:pt>
                <c:pt idx="517">
                  <c:v>8272.41</c:v>
                </c:pt>
                <c:pt idx="518">
                  <c:v>8193.07</c:v>
                </c:pt>
                <c:pt idx="519">
                  <c:v>8294.950000000001</c:v>
                </c:pt>
                <c:pt idx="520">
                  <c:v>8294.950000000001</c:v>
                </c:pt>
                <c:pt idx="521">
                  <c:v>8164.22</c:v>
                </c:pt>
                <c:pt idx="522">
                  <c:v>7911.76</c:v>
                </c:pt>
                <c:pt idx="523">
                  <c:v>7753.98</c:v>
                </c:pt>
                <c:pt idx="524">
                  <c:v>7753.98</c:v>
                </c:pt>
                <c:pt idx="525">
                  <c:v>7818.9</c:v>
                </c:pt>
                <c:pt idx="526">
                  <c:v>7934.3</c:v>
                </c:pt>
                <c:pt idx="527">
                  <c:v>8113.73</c:v>
                </c:pt>
                <c:pt idx="528">
                  <c:v>7753.98</c:v>
                </c:pt>
                <c:pt idx="529">
                  <c:v>7438.41</c:v>
                </c:pt>
                <c:pt idx="530">
                  <c:v>7393.33</c:v>
                </c:pt>
                <c:pt idx="531">
                  <c:v>7413.16</c:v>
                </c:pt>
                <c:pt idx="532">
                  <c:v>7386.12</c:v>
                </c:pt>
                <c:pt idx="533">
                  <c:v>7303.17</c:v>
                </c:pt>
                <c:pt idx="534">
                  <c:v>7406.85</c:v>
                </c:pt>
                <c:pt idx="535">
                  <c:v>7212.1</c:v>
                </c:pt>
                <c:pt idx="536">
                  <c:v>7213.0</c:v>
                </c:pt>
                <c:pt idx="537">
                  <c:v>7276.12</c:v>
                </c:pt>
                <c:pt idx="538">
                  <c:v>7242.76</c:v>
                </c:pt>
                <c:pt idx="539">
                  <c:v>7285.13</c:v>
                </c:pt>
                <c:pt idx="540">
                  <c:v>7403.25</c:v>
                </c:pt>
                <c:pt idx="541">
                  <c:v>7483.49</c:v>
                </c:pt>
                <c:pt idx="542">
                  <c:v>7462.75</c:v>
                </c:pt>
                <c:pt idx="543">
                  <c:v>7357.26</c:v>
                </c:pt>
                <c:pt idx="544">
                  <c:v>7573.65</c:v>
                </c:pt>
                <c:pt idx="545">
                  <c:v>7546.6</c:v>
                </c:pt>
                <c:pt idx="546">
                  <c:v>7560.13</c:v>
                </c:pt>
                <c:pt idx="547">
                  <c:v>7521.36</c:v>
                </c:pt>
                <c:pt idx="548">
                  <c:v>7582.67</c:v>
                </c:pt>
                <c:pt idx="549">
                  <c:v>7616.93</c:v>
                </c:pt>
                <c:pt idx="550">
                  <c:v>7507.83</c:v>
                </c:pt>
                <c:pt idx="551">
                  <c:v>7492.51</c:v>
                </c:pt>
                <c:pt idx="552">
                  <c:v>7555.62</c:v>
                </c:pt>
                <c:pt idx="553">
                  <c:v>7616.93</c:v>
                </c:pt>
                <c:pt idx="554">
                  <c:v>7606.11</c:v>
                </c:pt>
                <c:pt idx="555">
                  <c:v>7508.74</c:v>
                </c:pt>
                <c:pt idx="556">
                  <c:v>7551.11</c:v>
                </c:pt>
                <c:pt idx="557">
                  <c:v>7483.49</c:v>
                </c:pt>
                <c:pt idx="558">
                  <c:v>7506.93</c:v>
                </c:pt>
                <c:pt idx="559">
                  <c:v>7483.49</c:v>
                </c:pt>
                <c:pt idx="560">
                  <c:v>7618.73</c:v>
                </c:pt>
                <c:pt idx="561">
                  <c:v>7537.59</c:v>
                </c:pt>
                <c:pt idx="562">
                  <c:v>7488.0</c:v>
                </c:pt>
                <c:pt idx="563">
                  <c:v>7663.82</c:v>
                </c:pt>
                <c:pt idx="564">
                  <c:v>7630.46</c:v>
                </c:pt>
                <c:pt idx="565">
                  <c:v>7429.39</c:v>
                </c:pt>
                <c:pt idx="566">
                  <c:v>7548.23</c:v>
                </c:pt>
                <c:pt idx="567">
                  <c:v>7596.19</c:v>
                </c:pt>
                <c:pt idx="568">
                  <c:v>7663.82</c:v>
                </c:pt>
                <c:pt idx="569">
                  <c:v>7483.49</c:v>
                </c:pt>
                <c:pt idx="570">
                  <c:v>7454.72</c:v>
                </c:pt>
                <c:pt idx="571">
                  <c:v>7483.49</c:v>
                </c:pt>
                <c:pt idx="572">
                  <c:v>7460.05</c:v>
                </c:pt>
                <c:pt idx="573">
                  <c:v>7528.57</c:v>
                </c:pt>
                <c:pt idx="574">
                  <c:v>7486.2</c:v>
                </c:pt>
                <c:pt idx="575">
                  <c:v>7565.54</c:v>
                </c:pt>
                <c:pt idx="576">
                  <c:v>7341.03</c:v>
                </c:pt>
                <c:pt idx="577">
                  <c:v>7191.36</c:v>
                </c:pt>
                <c:pt idx="578">
                  <c:v>7213.0</c:v>
                </c:pt>
                <c:pt idx="579">
                  <c:v>7202.18</c:v>
                </c:pt>
                <c:pt idx="580">
                  <c:v>7181.45</c:v>
                </c:pt>
                <c:pt idx="581">
                  <c:v>7193.17</c:v>
                </c:pt>
                <c:pt idx="582">
                  <c:v>7204.57</c:v>
                </c:pt>
                <c:pt idx="583">
                  <c:v>7193.17</c:v>
                </c:pt>
                <c:pt idx="584">
                  <c:v>7224.75</c:v>
                </c:pt>
                <c:pt idx="585">
                  <c:v>7224.75</c:v>
                </c:pt>
                <c:pt idx="586">
                  <c:v>7162.47</c:v>
                </c:pt>
                <c:pt idx="587">
                  <c:v>7175.62</c:v>
                </c:pt>
                <c:pt idx="588">
                  <c:v>7017.73</c:v>
                </c:pt>
                <c:pt idx="589">
                  <c:v>6913.34</c:v>
                </c:pt>
                <c:pt idx="590">
                  <c:v>6754.56</c:v>
                </c:pt>
                <c:pt idx="591">
                  <c:v>6737.02</c:v>
                </c:pt>
                <c:pt idx="592">
                  <c:v>6842.28</c:v>
                </c:pt>
                <c:pt idx="593">
                  <c:v>6861.58</c:v>
                </c:pt>
                <c:pt idx="594">
                  <c:v>7193.17</c:v>
                </c:pt>
                <c:pt idx="595">
                  <c:v>7080.88</c:v>
                </c:pt>
                <c:pt idx="596">
                  <c:v>7008.08</c:v>
                </c:pt>
                <c:pt idx="597">
                  <c:v>6874.74</c:v>
                </c:pt>
                <c:pt idx="598">
                  <c:v>6965.09</c:v>
                </c:pt>
                <c:pt idx="599">
                  <c:v>7022.11</c:v>
                </c:pt>
                <c:pt idx="600">
                  <c:v>7279.14</c:v>
                </c:pt>
                <c:pt idx="601">
                  <c:v>7506.33</c:v>
                </c:pt>
                <c:pt idx="602">
                  <c:v>7632.65</c:v>
                </c:pt>
                <c:pt idx="603">
                  <c:v>7675.64</c:v>
                </c:pt>
                <c:pt idx="604">
                  <c:v>7719.5</c:v>
                </c:pt>
                <c:pt idx="605">
                  <c:v>7715.11</c:v>
                </c:pt>
                <c:pt idx="606">
                  <c:v>7719.5</c:v>
                </c:pt>
                <c:pt idx="607">
                  <c:v>7719.5</c:v>
                </c:pt>
                <c:pt idx="608">
                  <c:v>7763.36</c:v>
                </c:pt>
                <c:pt idx="609">
                  <c:v>7719.5</c:v>
                </c:pt>
                <c:pt idx="610">
                  <c:v>7632.65</c:v>
                </c:pt>
                <c:pt idx="611">
                  <c:v>7631.78</c:v>
                </c:pt>
                <c:pt idx="612">
                  <c:v>7517.74</c:v>
                </c:pt>
                <c:pt idx="613">
                  <c:v>7368.61</c:v>
                </c:pt>
                <c:pt idx="614">
                  <c:v>7324.75</c:v>
                </c:pt>
                <c:pt idx="615">
                  <c:v>7412.47</c:v>
                </c:pt>
                <c:pt idx="616">
                  <c:v>7425.63</c:v>
                </c:pt>
                <c:pt idx="617">
                  <c:v>7280.89</c:v>
                </c:pt>
                <c:pt idx="618">
                  <c:v>7587.92</c:v>
                </c:pt>
                <c:pt idx="619">
                  <c:v>7451.95</c:v>
                </c:pt>
                <c:pt idx="620">
                  <c:v>7427.38</c:v>
                </c:pt>
                <c:pt idx="621">
                  <c:v>7368.61</c:v>
                </c:pt>
                <c:pt idx="622">
                  <c:v>7518.62</c:v>
                </c:pt>
                <c:pt idx="623">
                  <c:v>7368.61</c:v>
                </c:pt>
                <c:pt idx="624">
                  <c:v>7570.37</c:v>
                </c:pt>
                <c:pt idx="625">
                  <c:v>7587.92</c:v>
                </c:pt>
                <c:pt idx="626">
                  <c:v>7587.92</c:v>
                </c:pt>
                <c:pt idx="627">
                  <c:v>7522.12</c:v>
                </c:pt>
                <c:pt idx="628">
                  <c:v>7592.3</c:v>
                </c:pt>
                <c:pt idx="629">
                  <c:v>7544.05</c:v>
                </c:pt>
                <c:pt idx="630">
                  <c:v>7544.05</c:v>
                </c:pt>
                <c:pt idx="631">
                  <c:v>7605.46</c:v>
                </c:pt>
                <c:pt idx="632">
                  <c:v>7571.25</c:v>
                </c:pt>
                <c:pt idx="633">
                  <c:v>7483.53</c:v>
                </c:pt>
                <c:pt idx="634">
                  <c:v>7631.78</c:v>
                </c:pt>
                <c:pt idx="635">
                  <c:v>7631.78</c:v>
                </c:pt>
                <c:pt idx="636">
                  <c:v>7631.78</c:v>
                </c:pt>
                <c:pt idx="637">
                  <c:v>7456.33</c:v>
                </c:pt>
                <c:pt idx="638">
                  <c:v>7537.91</c:v>
                </c:pt>
                <c:pt idx="639">
                  <c:v>7547.86</c:v>
                </c:pt>
                <c:pt idx="640">
                  <c:v>7737.04</c:v>
                </c:pt>
                <c:pt idx="641">
                  <c:v>7763.36</c:v>
                </c:pt>
                <c:pt idx="642">
                  <c:v>7608.97</c:v>
                </c:pt>
                <c:pt idx="643">
                  <c:v>7526.51</c:v>
                </c:pt>
                <c:pt idx="644">
                  <c:v>7500.19</c:v>
                </c:pt>
                <c:pt idx="645">
                  <c:v>7434.4</c:v>
                </c:pt>
                <c:pt idx="646">
                  <c:v>7389.66</c:v>
                </c:pt>
                <c:pt idx="647">
                  <c:v>7386.16</c:v>
                </c:pt>
                <c:pt idx="648">
                  <c:v>7346.68</c:v>
                </c:pt>
                <c:pt idx="649">
                  <c:v>7324.75</c:v>
                </c:pt>
                <c:pt idx="650">
                  <c:v>7106.32</c:v>
                </c:pt>
                <c:pt idx="651">
                  <c:v>6930.0</c:v>
                </c:pt>
                <c:pt idx="652">
                  <c:v>7105.45</c:v>
                </c:pt>
                <c:pt idx="653">
                  <c:v>7193.17</c:v>
                </c:pt>
                <c:pt idx="654">
                  <c:v>7306.33</c:v>
                </c:pt>
                <c:pt idx="655">
                  <c:v>7386.16</c:v>
                </c:pt>
                <c:pt idx="656">
                  <c:v>7560.72</c:v>
                </c:pt>
                <c:pt idx="657">
                  <c:v>7622.13</c:v>
                </c:pt>
                <c:pt idx="658">
                  <c:v>7684.41</c:v>
                </c:pt>
                <c:pt idx="659">
                  <c:v>7796.69</c:v>
                </c:pt>
                <c:pt idx="660">
                  <c:v>7761.6</c:v>
                </c:pt>
                <c:pt idx="661">
                  <c:v>7684.41</c:v>
                </c:pt>
                <c:pt idx="662">
                  <c:v>7544.93</c:v>
                </c:pt>
                <c:pt idx="663">
                  <c:v>7689.67</c:v>
                </c:pt>
                <c:pt idx="664">
                  <c:v>7719.5</c:v>
                </c:pt>
                <c:pt idx="665">
                  <c:v>7684.41</c:v>
                </c:pt>
                <c:pt idx="666">
                  <c:v>7719.5</c:v>
                </c:pt>
                <c:pt idx="667">
                  <c:v>7696.69</c:v>
                </c:pt>
                <c:pt idx="668">
                  <c:v>7701.95</c:v>
                </c:pt>
                <c:pt idx="669">
                  <c:v>7786.17</c:v>
                </c:pt>
                <c:pt idx="670">
                  <c:v>7800.2</c:v>
                </c:pt>
                <c:pt idx="671">
                  <c:v>7817.75</c:v>
                </c:pt>
                <c:pt idx="672">
                  <c:v>7763.36</c:v>
                </c:pt>
                <c:pt idx="673">
                  <c:v>7672.13</c:v>
                </c:pt>
                <c:pt idx="674">
                  <c:v>7552.83</c:v>
                </c:pt>
                <c:pt idx="675">
                  <c:v>7720.37</c:v>
                </c:pt>
                <c:pt idx="676">
                  <c:v>7694.94</c:v>
                </c:pt>
                <c:pt idx="677">
                  <c:v>7806.34</c:v>
                </c:pt>
                <c:pt idx="678">
                  <c:v>7824.76</c:v>
                </c:pt>
                <c:pt idx="679">
                  <c:v>7890.55</c:v>
                </c:pt>
                <c:pt idx="680">
                  <c:v>7894.94</c:v>
                </c:pt>
                <c:pt idx="681">
                  <c:v>8114.24</c:v>
                </c:pt>
                <c:pt idx="682">
                  <c:v>8216.879999999999</c:v>
                </c:pt>
                <c:pt idx="683">
                  <c:v>8044.07</c:v>
                </c:pt>
                <c:pt idx="684">
                  <c:v>8443.2</c:v>
                </c:pt>
                <c:pt idx="685">
                  <c:v>8508.99</c:v>
                </c:pt>
                <c:pt idx="686">
                  <c:v>8421.27</c:v>
                </c:pt>
                <c:pt idx="687">
                  <c:v>8482.68</c:v>
                </c:pt>
                <c:pt idx="688">
                  <c:v>8201.969999999999</c:v>
                </c:pt>
                <c:pt idx="689">
                  <c:v>8144.95</c:v>
                </c:pt>
                <c:pt idx="690">
                  <c:v>8140.56</c:v>
                </c:pt>
                <c:pt idx="691">
                  <c:v>8194.07</c:v>
                </c:pt>
                <c:pt idx="692">
                  <c:v>8123.02</c:v>
                </c:pt>
                <c:pt idx="693">
                  <c:v>8114.24</c:v>
                </c:pt>
                <c:pt idx="694">
                  <c:v>8099.33</c:v>
                </c:pt>
                <c:pt idx="695">
                  <c:v>8091.44</c:v>
                </c:pt>
                <c:pt idx="696">
                  <c:v>8026.52</c:v>
                </c:pt>
                <c:pt idx="697">
                  <c:v>8008.98</c:v>
                </c:pt>
                <c:pt idx="698">
                  <c:v>7982.66</c:v>
                </c:pt>
                <c:pt idx="699">
                  <c:v>8070.38</c:v>
                </c:pt>
                <c:pt idx="700">
                  <c:v>8070.38</c:v>
                </c:pt>
                <c:pt idx="701">
                  <c:v>8038.8</c:v>
                </c:pt>
                <c:pt idx="702">
                  <c:v>8038.8</c:v>
                </c:pt>
                <c:pt idx="703">
                  <c:v>8100.21</c:v>
                </c:pt>
                <c:pt idx="704">
                  <c:v>8092.31</c:v>
                </c:pt>
                <c:pt idx="705">
                  <c:v>8061.61</c:v>
                </c:pt>
                <c:pt idx="706">
                  <c:v>7981.79</c:v>
                </c:pt>
                <c:pt idx="707">
                  <c:v>7952.84</c:v>
                </c:pt>
                <c:pt idx="708">
                  <c:v>8070.38</c:v>
                </c:pt>
                <c:pt idx="709">
                  <c:v>7890.55</c:v>
                </c:pt>
                <c:pt idx="710">
                  <c:v>7386.16</c:v>
                </c:pt>
                <c:pt idx="711">
                  <c:v>7194.05</c:v>
                </c:pt>
                <c:pt idx="712">
                  <c:v>7017.73</c:v>
                </c:pt>
                <c:pt idx="713">
                  <c:v>6973.86</c:v>
                </c:pt>
                <c:pt idx="714">
                  <c:v>6979.13</c:v>
                </c:pt>
                <c:pt idx="715">
                  <c:v>7259.84</c:v>
                </c:pt>
                <c:pt idx="716">
                  <c:v>7453.12</c:v>
                </c:pt>
                <c:pt idx="717">
                  <c:v>7280.64</c:v>
                </c:pt>
                <c:pt idx="718">
                  <c:v>7349.98</c:v>
                </c:pt>
                <c:pt idx="719">
                  <c:v>7453.12</c:v>
                </c:pt>
                <c:pt idx="720">
                  <c:v>7627.34</c:v>
                </c:pt>
                <c:pt idx="721">
                  <c:v>7760.81</c:v>
                </c:pt>
                <c:pt idx="722">
                  <c:v>7792.02</c:v>
                </c:pt>
                <c:pt idx="723">
                  <c:v>7974.03</c:v>
                </c:pt>
                <c:pt idx="724">
                  <c:v>7864.82</c:v>
                </c:pt>
                <c:pt idx="725">
                  <c:v>7913.36</c:v>
                </c:pt>
                <c:pt idx="726">
                  <c:v>7887.36</c:v>
                </c:pt>
                <c:pt idx="727">
                  <c:v>7714.01</c:v>
                </c:pt>
                <c:pt idx="728">
                  <c:v>7453.99</c:v>
                </c:pt>
                <c:pt idx="729">
                  <c:v>7453.99</c:v>
                </c:pt>
                <c:pt idx="730">
                  <c:v>7453.99</c:v>
                </c:pt>
                <c:pt idx="731">
                  <c:v>7471.32</c:v>
                </c:pt>
                <c:pt idx="732">
                  <c:v>7453.12</c:v>
                </c:pt>
                <c:pt idx="733">
                  <c:v>7445.32</c:v>
                </c:pt>
                <c:pt idx="734">
                  <c:v>7471.32</c:v>
                </c:pt>
                <c:pt idx="735">
                  <c:v>7453.99</c:v>
                </c:pt>
                <c:pt idx="736">
                  <c:v>7453.99</c:v>
                </c:pt>
                <c:pt idx="737">
                  <c:v>7254.64</c:v>
                </c:pt>
                <c:pt idx="738">
                  <c:v>7258.97</c:v>
                </c:pt>
                <c:pt idx="739">
                  <c:v>7193.96</c:v>
                </c:pt>
                <c:pt idx="740">
                  <c:v>7193.96</c:v>
                </c:pt>
                <c:pt idx="741">
                  <c:v>7150.63</c:v>
                </c:pt>
                <c:pt idx="742">
                  <c:v>7150.63</c:v>
                </c:pt>
                <c:pt idx="743">
                  <c:v>7160.16</c:v>
                </c:pt>
                <c:pt idx="744">
                  <c:v>7149.76</c:v>
                </c:pt>
                <c:pt idx="745">
                  <c:v>7128.96</c:v>
                </c:pt>
                <c:pt idx="746">
                  <c:v>7107.29</c:v>
                </c:pt>
                <c:pt idx="747">
                  <c:v>7020.62</c:v>
                </c:pt>
                <c:pt idx="748">
                  <c:v>7020.62</c:v>
                </c:pt>
                <c:pt idx="749">
                  <c:v>7107.29</c:v>
                </c:pt>
                <c:pt idx="750">
                  <c:v>7020.62</c:v>
                </c:pt>
                <c:pt idx="751">
                  <c:v>6947.81</c:v>
                </c:pt>
                <c:pt idx="752">
                  <c:v>6951.28</c:v>
                </c:pt>
                <c:pt idx="753">
                  <c:v>7005.88</c:v>
                </c:pt>
                <c:pt idx="754">
                  <c:v>6959.94</c:v>
                </c:pt>
                <c:pt idx="755">
                  <c:v>7020.62</c:v>
                </c:pt>
                <c:pt idx="756">
                  <c:v>6990.28</c:v>
                </c:pt>
                <c:pt idx="757">
                  <c:v>6965.14</c:v>
                </c:pt>
                <c:pt idx="758">
                  <c:v>6933.94</c:v>
                </c:pt>
                <c:pt idx="759">
                  <c:v>6891.47</c:v>
                </c:pt>
                <c:pt idx="760">
                  <c:v>6933.94</c:v>
                </c:pt>
                <c:pt idx="761">
                  <c:v>6899.27</c:v>
                </c:pt>
                <c:pt idx="762">
                  <c:v>6933.94</c:v>
                </c:pt>
                <c:pt idx="763">
                  <c:v>6864.6</c:v>
                </c:pt>
                <c:pt idx="764">
                  <c:v>6717.26</c:v>
                </c:pt>
                <c:pt idx="765">
                  <c:v>6717.26</c:v>
                </c:pt>
                <c:pt idx="766">
                  <c:v>6738.92</c:v>
                </c:pt>
                <c:pt idx="767">
                  <c:v>6770.13</c:v>
                </c:pt>
                <c:pt idx="768">
                  <c:v>6803.93</c:v>
                </c:pt>
                <c:pt idx="769">
                  <c:v>6847.27</c:v>
                </c:pt>
                <c:pt idx="770">
                  <c:v>6808.26</c:v>
                </c:pt>
                <c:pt idx="771">
                  <c:v>6757.99</c:v>
                </c:pt>
                <c:pt idx="772">
                  <c:v>6757.13</c:v>
                </c:pt>
                <c:pt idx="773">
                  <c:v>6782.26</c:v>
                </c:pt>
                <c:pt idx="774">
                  <c:v>6977.28</c:v>
                </c:pt>
                <c:pt idx="775">
                  <c:v>6920.07</c:v>
                </c:pt>
                <c:pt idx="776">
                  <c:v>6977.28</c:v>
                </c:pt>
                <c:pt idx="777">
                  <c:v>7020.62</c:v>
                </c:pt>
                <c:pt idx="778">
                  <c:v>7020.62</c:v>
                </c:pt>
                <c:pt idx="779">
                  <c:v>7020.62</c:v>
                </c:pt>
                <c:pt idx="780">
                  <c:v>7107.29</c:v>
                </c:pt>
                <c:pt idx="781">
                  <c:v>7107.29</c:v>
                </c:pt>
                <c:pt idx="782">
                  <c:v>6673.92</c:v>
                </c:pt>
                <c:pt idx="783">
                  <c:v>6673.92</c:v>
                </c:pt>
                <c:pt idx="784">
                  <c:v>6500.57</c:v>
                </c:pt>
                <c:pt idx="785">
                  <c:v>6457.23</c:v>
                </c:pt>
                <c:pt idx="786">
                  <c:v>6500.57</c:v>
                </c:pt>
                <c:pt idx="787">
                  <c:v>6586.38</c:v>
                </c:pt>
                <c:pt idx="788">
                  <c:v>6409.56</c:v>
                </c:pt>
                <c:pt idx="789">
                  <c:v>6097.53</c:v>
                </c:pt>
                <c:pt idx="790">
                  <c:v>5945.85</c:v>
                </c:pt>
                <c:pt idx="791">
                  <c:v>5980.52</c:v>
                </c:pt>
                <c:pt idx="792">
                  <c:v>5978.79</c:v>
                </c:pt>
                <c:pt idx="793">
                  <c:v>5893.85</c:v>
                </c:pt>
                <c:pt idx="794">
                  <c:v>5937.19</c:v>
                </c:pt>
                <c:pt idx="795">
                  <c:v>5980.52</c:v>
                </c:pt>
                <c:pt idx="796">
                  <c:v>5976.19</c:v>
                </c:pt>
                <c:pt idx="797">
                  <c:v>5893.85</c:v>
                </c:pt>
                <c:pt idx="798">
                  <c:v>5947.59</c:v>
                </c:pt>
                <c:pt idx="799">
                  <c:v>5947.59</c:v>
                </c:pt>
                <c:pt idx="800">
                  <c:v>5962.32</c:v>
                </c:pt>
                <c:pt idx="801">
                  <c:v>5939.79</c:v>
                </c:pt>
                <c:pt idx="802">
                  <c:v>5960.59</c:v>
                </c:pt>
                <c:pt idx="803">
                  <c:v>5963.19</c:v>
                </c:pt>
                <c:pt idx="804">
                  <c:v>5965.79</c:v>
                </c:pt>
                <c:pt idx="805">
                  <c:v>5915.52</c:v>
                </c:pt>
                <c:pt idx="806">
                  <c:v>5980.52</c:v>
                </c:pt>
                <c:pt idx="807">
                  <c:v>5931.12</c:v>
                </c:pt>
                <c:pt idx="808">
                  <c:v>5925.92</c:v>
                </c:pt>
                <c:pt idx="809">
                  <c:v>5901.65</c:v>
                </c:pt>
                <c:pt idx="810">
                  <c:v>5954.52</c:v>
                </c:pt>
                <c:pt idx="811">
                  <c:v>5937.19</c:v>
                </c:pt>
                <c:pt idx="812">
                  <c:v>5980.52</c:v>
                </c:pt>
                <c:pt idx="813">
                  <c:v>5915.52</c:v>
                </c:pt>
                <c:pt idx="814">
                  <c:v>5893.85</c:v>
                </c:pt>
                <c:pt idx="815">
                  <c:v>5892.98</c:v>
                </c:pt>
                <c:pt idx="816">
                  <c:v>5893.85</c:v>
                </c:pt>
                <c:pt idx="817">
                  <c:v>5850.51</c:v>
                </c:pt>
                <c:pt idx="818">
                  <c:v>5771.64</c:v>
                </c:pt>
                <c:pt idx="819">
                  <c:v>5742.17</c:v>
                </c:pt>
                <c:pt idx="820">
                  <c:v>5730.04</c:v>
                </c:pt>
                <c:pt idx="821">
                  <c:v>5759.5</c:v>
                </c:pt>
                <c:pt idx="822">
                  <c:v>5728.3</c:v>
                </c:pt>
                <c:pt idx="823">
                  <c:v>5807.18</c:v>
                </c:pt>
                <c:pt idx="824">
                  <c:v>5807.18</c:v>
                </c:pt>
                <c:pt idx="825">
                  <c:v>5807.18</c:v>
                </c:pt>
                <c:pt idx="826">
                  <c:v>5720.5</c:v>
                </c:pt>
                <c:pt idx="827">
                  <c:v>5720.5</c:v>
                </c:pt>
                <c:pt idx="828">
                  <c:v>5720.5</c:v>
                </c:pt>
                <c:pt idx="829">
                  <c:v>5772.51</c:v>
                </c:pt>
                <c:pt idx="830">
                  <c:v>5757.77</c:v>
                </c:pt>
                <c:pt idx="831">
                  <c:v>5758.61</c:v>
                </c:pt>
                <c:pt idx="832">
                  <c:v>5825.37</c:v>
                </c:pt>
                <c:pt idx="833">
                  <c:v>5827.04</c:v>
                </c:pt>
                <c:pt idx="834">
                  <c:v>5924.69</c:v>
                </c:pt>
                <c:pt idx="835">
                  <c:v>5925.52</c:v>
                </c:pt>
                <c:pt idx="836">
                  <c:v>5924.69</c:v>
                </c:pt>
                <c:pt idx="837">
                  <c:v>5842.9</c:v>
                </c:pt>
                <c:pt idx="838">
                  <c:v>5925.52</c:v>
                </c:pt>
                <c:pt idx="839">
                  <c:v>5826.21</c:v>
                </c:pt>
                <c:pt idx="840">
                  <c:v>5825.37</c:v>
                </c:pt>
                <c:pt idx="841">
                  <c:v>5842.06</c:v>
                </c:pt>
                <c:pt idx="842">
                  <c:v>5800.34</c:v>
                </c:pt>
                <c:pt idx="843">
                  <c:v>5902.15</c:v>
                </c:pt>
                <c:pt idx="844">
                  <c:v>5925.52</c:v>
                </c:pt>
                <c:pt idx="845">
                  <c:v>5925.52</c:v>
                </c:pt>
                <c:pt idx="846">
                  <c:v>5800.34</c:v>
                </c:pt>
                <c:pt idx="847">
                  <c:v>5758.61</c:v>
                </c:pt>
                <c:pt idx="848">
                  <c:v>5883.79</c:v>
                </c:pt>
                <c:pt idx="849">
                  <c:v>5872.11</c:v>
                </c:pt>
                <c:pt idx="850">
                  <c:v>5926.36</c:v>
                </c:pt>
                <c:pt idx="851">
                  <c:v>5708.53</c:v>
                </c:pt>
                <c:pt idx="852">
                  <c:v>5722.72</c:v>
                </c:pt>
                <c:pt idx="853">
                  <c:v>5716.88</c:v>
                </c:pt>
                <c:pt idx="854">
                  <c:v>5704.36</c:v>
                </c:pt>
                <c:pt idx="855">
                  <c:v>5675.15</c:v>
                </c:pt>
                <c:pt idx="856">
                  <c:v>5569.99</c:v>
                </c:pt>
                <c:pt idx="857">
                  <c:v>5512.4</c:v>
                </c:pt>
                <c:pt idx="858">
                  <c:v>5549.13</c:v>
                </c:pt>
                <c:pt idx="859">
                  <c:v>5549.96</c:v>
                </c:pt>
                <c:pt idx="860">
                  <c:v>5440.63</c:v>
                </c:pt>
                <c:pt idx="861">
                  <c:v>5508.23</c:v>
                </c:pt>
                <c:pt idx="862">
                  <c:v>5424.77</c:v>
                </c:pt>
                <c:pt idx="863">
                  <c:v>5341.32</c:v>
                </c:pt>
                <c:pt idx="864">
                  <c:v>5332.97</c:v>
                </c:pt>
                <c:pt idx="865">
                  <c:v>5090.11</c:v>
                </c:pt>
                <c:pt idx="866">
                  <c:v>5074.25</c:v>
                </c:pt>
                <c:pt idx="867">
                  <c:v>5090.94</c:v>
                </c:pt>
                <c:pt idx="868">
                  <c:v>5007.48</c:v>
                </c:pt>
                <c:pt idx="869">
                  <c:v>5090.94</c:v>
                </c:pt>
                <c:pt idx="870">
                  <c:v>5090.94</c:v>
                </c:pt>
                <c:pt idx="871">
                  <c:v>5090.94</c:v>
                </c:pt>
                <c:pt idx="872">
                  <c:v>4840.57</c:v>
                </c:pt>
                <c:pt idx="873">
                  <c:v>5007.48</c:v>
                </c:pt>
                <c:pt idx="874">
                  <c:v>4840.57</c:v>
                </c:pt>
                <c:pt idx="875">
                  <c:v>4840.57</c:v>
                </c:pt>
                <c:pt idx="876">
                  <c:v>4840.57</c:v>
                </c:pt>
                <c:pt idx="877">
                  <c:v>4757.11</c:v>
                </c:pt>
                <c:pt idx="878">
                  <c:v>4736.24</c:v>
                </c:pt>
                <c:pt idx="879">
                  <c:v>4840.57</c:v>
                </c:pt>
                <c:pt idx="880">
                  <c:v>4757.11</c:v>
                </c:pt>
                <c:pt idx="881">
                  <c:v>4700.36</c:v>
                </c:pt>
                <c:pt idx="882">
                  <c:v>4840.57</c:v>
                </c:pt>
                <c:pt idx="883">
                  <c:v>4757.11</c:v>
                </c:pt>
                <c:pt idx="884">
                  <c:v>4840.57</c:v>
                </c:pt>
                <c:pt idx="885">
                  <c:v>4698.69</c:v>
                </c:pt>
                <c:pt idx="886">
                  <c:v>4590.19</c:v>
                </c:pt>
                <c:pt idx="887">
                  <c:v>4723.73</c:v>
                </c:pt>
                <c:pt idx="888">
                  <c:v>4552.64</c:v>
                </c:pt>
                <c:pt idx="889">
                  <c:v>4548.46</c:v>
                </c:pt>
                <c:pt idx="890">
                  <c:v>4506.74</c:v>
                </c:pt>
                <c:pt idx="891">
                  <c:v>4506.74</c:v>
                </c:pt>
                <c:pt idx="892">
                  <c:v>4590.19</c:v>
                </c:pt>
                <c:pt idx="893">
                  <c:v>4569.33</c:v>
                </c:pt>
                <c:pt idx="894">
                  <c:v>4581.85</c:v>
                </c:pt>
                <c:pt idx="895">
                  <c:v>4590.19</c:v>
                </c:pt>
                <c:pt idx="896">
                  <c:v>4506.74</c:v>
                </c:pt>
                <c:pt idx="897">
                  <c:v>4506.74</c:v>
                </c:pt>
                <c:pt idx="898">
                  <c:v>4506.74</c:v>
                </c:pt>
                <c:pt idx="899">
                  <c:v>4506.74</c:v>
                </c:pt>
                <c:pt idx="900">
                  <c:v>4506.74</c:v>
                </c:pt>
                <c:pt idx="901">
                  <c:v>4506.74</c:v>
                </c:pt>
                <c:pt idx="902">
                  <c:v>4506.74</c:v>
                </c:pt>
                <c:pt idx="903">
                  <c:v>4590.19</c:v>
                </c:pt>
                <c:pt idx="904">
                  <c:v>4590.19</c:v>
                </c:pt>
                <c:pt idx="905">
                  <c:v>4381.55</c:v>
                </c:pt>
                <c:pt idx="906">
                  <c:v>4381.55</c:v>
                </c:pt>
                <c:pt idx="907">
                  <c:v>4465.01</c:v>
                </c:pt>
                <c:pt idx="908">
                  <c:v>4423.28</c:v>
                </c:pt>
                <c:pt idx="909">
                  <c:v>4381.55</c:v>
                </c:pt>
                <c:pt idx="910">
                  <c:v>4423.28</c:v>
                </c:pt>
                <c:pt idx="911">
                  <c:v>4422.44</c:v>
                </c:pt>
                <c:pt idx="912">
                  <c:v>4429.95</c:v>
                </c:pt>
                <c:pt idx="913">
                  <c:v>4505.9</c:v>
                </c:pt>
                <c:pt idx="914">
                  <c:v>4506.74</c:v>
                </c:pt>
                <c:pt idx="915">
                  <c:v>4352.34</c:v>
                </c:pt>
                <c:pt idx="916">
                  <c:v>4298.92</c:v>
                </c:pt>
                <c:pt idx="917">
                  <c:v>4438.3</c:v>
                </c:pt>
                <c:pt idx="918">
                  <c:v>4406.59</c:v>
                </c:pt>
                <c:pt idx="919">
                  <c:v>4456.66</c:v>
                </c:pt>
                <c:pt idx="920">
                  <c:v>4506.74</c:v>
                </c:pt>
                <c:pt idx="921">
                  <c:v>4544.29</c:v>
                </c:pt>
                <c:pt idx="922">
                  <c:v>4548.46</c:v>
                </c:pt>
                <c:pt idx="923">
                  <c:v>4666.14</c:v>
                </c:pt>
                <c:pt idx="924">
                  <c:v>4505.9</c:v>
                </c:pt>
                <c:pt idx="925">
                  <c:v>4405.75</c:v>
                </c:pt>
                <c:pt idx="926">
                  <c:v>4348.16</c:v>
                </c:pt>
                <c:pt idx="927">
                  <c:v>4548.46</c:v>
                </c:pt>
                <c:pt idx="928">
                  <c:v>4298.09</c:v>
                </c:pt>
                <c:pt idx="929">
                  <c:v>4339.82</c:v>
                </c:pt>
                <c:pt idx="930">
                  <c:v>4331.47</c:v>
                </c:pt>
                <c:pt idx="931">
                  <c:v>4338.98</c:v>
                </c:pt>
                <c:pt idx="932">
                  <c:v>4097.79</c:v>
                </c:pt>
                <c:pt idx="933">
                  <c:v>4047.72</c:v>
                </c:pt>
                <c:pt idx="934">
                  <c:v>4089.44</c:v>
                </c:pt>
                <c:pt idx="935">
                  <c:v>4089.44</c:v>
                </c:pt>
                <c:pt idx="936">
                  <c:v>4089.44</c:v>
                </c:pt>
                <c:pt idx="937">
                  <c:v>4047.72</c:v>
                </c:pt>
                <c:pt idx="938">
                  <c:v>4089.44</c:v>
                </c:pt>
                <c:pt idx="939">
                  <c:v>4081.1</c:v>
                </c:pt>
                <c:pt idx="940">
                  <c:v>4047.72</c:v>
                </c:pt>
                <c:pt idx="941">
                  <c:v>4010.16</c:v>
                </c:pt>
                <c:pt idx="942">
                  <c:v>4110.31</c:v>
                </c:pt>
                <c:pt idx="943">
                  <c:v>4131.17</c:v>
                </c:pt>
                <c:pt idx="944">
                  <c:v>4156.21</c:v>
                </c:pt>
                <c:pt idx="945">
                  <c:v>4168.73</c:v>
                </c:pt>
                <c:pt idx="946">
                  <c:v>4172.9</c:v>
                </c:pt>
                <c:pt idx="947">
                  <c:v>4339.82</c:v>
                </c:pt>
                <c:pt idx="948">
                  <c:v>4340.65</c:v>
                </c:pt>
                <c:pt idx="949">
                  <c:v>4256.36</c:v>
                </c:pt>
                <c:pt idx="950">
                  <c:v>4022.68</c:v>
                </c:pt>
                <c:pt idx="951">
                  <c:v>4005.99</c:v>
                </c:pt>
                <c:pt idx="952">
                  <c:v>3924.2</c:v>
                </c:pt>
                <c:pt idx="953">
                  <c:v>3989.3</c:v>
                </c:pt>
                <c:pt idx="954">
                  <c:v>4005.99</c:v>
                </c:pt>
                <c:pt idx="955">
                  <c:v>4089.44</c:v>
                </c:pt>
                <c:pt idx="956">
                  <c:v>4089.44</c:v>
                </c:pt>
                <c:pt idx="957">
                  <c:v>4089.44</c:v>
                </c:pt>
                <c:pt idx="958">
                  <c:v>4089.44</c:v>
                </c:pt>
                <c:pt idx="959">
                  <c:v>4089.44</c:v>
                </c:pt>
                <c:pt idx="960">
                  <c:v>4005.99</c:v>
                </c:pt>
                <c:pt idx="961">
                  <c:v>4022.68</c:v>
                </c:pt>
                <c:pt idx="962">
                  <c:v>4047.72</c:v>
                </c:pt>
                <c:pt idx="963">
                  <c:v>4047.72</c:v>
                </c:pt>
                <c:pt idx="964">
                  <c:v>4135.35</c:v>
                </c:pt>
                <c:pt idx="965">
                  <c:v>4135.35</c:v>
                </c:pt>
                <c:pt idx="966">
                  <c:v>4052.64</c:v>
                </c:pt>
                <c:pt idx="967">
                  <c:v>4135.35</c:v>
                </c:pt>
                <c:pt idx="968">
                  <c:v>4052.64</c:v>
                </c:pt>
                <c:pt idx="969">
                  <c:v>4135.35</c:v>
                </c:pt>
                <c:pt idx="970">
                  <c:v>4052.64</c:v>
                </c:pt>
                <c:pt idx="971">
                  <c:v>4052.64</c:v>
                </c:pt>
                <c:pt idx="972">
                  <c:v>4052.64</c:v>
                </c:pt>
                <c:pt idx="973">
                  <c:v>3854.14</c:v>
                </c:pt>
                <c:pt idx="974">
                  <c:v>4093.99</c:v>
                </c:pt>
                <c:pt idx="975">
                  <c:v>4000.53</c:v>
                </c:pt>
                <c:pt idx="976">
                  <c:v>4053.47</c:v>
                </c:pt>
                <c:pt idx="977">
                  <c:v>3891.36</c:v>
                </c:pt>
                <c:pt idx="978">
                  <c:v>4102.26</c:v>
                </c:pt>
                <c:pt idx="979">
                  <c:v>3808.65</c:v>
                </c:pt>
                <c:pt idx="980">
                  <c:v>3804.52</c:v>
                </c:pt>
                <c:pt idx="981">
                  <c:v>3804.52</c:v>
                </c:pt>
                <c:pt idx="982">
                  <c:v>3804.52</c:v>
                </c:pt>
                <c:pt idx="983">
                  <c:v>3805.35</c:v>
                </c:pt>
                <c:pt idx="984">
                  <c:v>4135.35</c:v>
                </c:pt>
                <c:pt idx="985">
                  <c:v>3804.52</c:v>
                </c:pt>
                <c:pt idx="986">
                  <c:v>3804.52</c:v>
                </c:pt>
                <c:pt idx="987">
                  <c:v>3804.52</c:v>
                </c:pt>
                <c:pt idx="988">
                  <c:v>3804.52</c:v>
                </c:pt>
                <c:pt idx="989">
                  <c:v>3804.52</c:v>
                </c:pt>
                <c:pt idx="990">
                  <c:v>3816.93</c:v>
                </c:pt>
                <c:pt idx="991">
                  <c:v>3803.69</c:v>
                </c:pt>
                <c:pt idx="992">
                  <c:v>3802.04</c:v>
                </c:pt>
                <c:pt idx="993">
                  <c:v>3680.46</c:v>
                </c:pt>
                <c:pt idx="994">
                  <c:v>3680.46</c:v>
                </c:pt>
                <c:pt idx="995">
                  <c:v>3680.46</c:v>
                </c:pt>
                <c:pt idx="996">
                  <c:v>3713.54</c:v>
                </c:pt>
                <c:pt idx="997">
                  <c:v>3597.75</c:v>
                </c:pt>
                <c:pt idx="998">
                  <c:v>3639.11</c:v>
                </c:pt>
                <c:pt idx="999">
                  <c:v>3639.11</c:v>
                </c:pt>
                <c:pt idx="1000">
                  <c:v>3680.46</c:v>
                </c:pt>
                <c:pt idx="1001">
                  <c:v>3721.81</c:v>
                </c:pt>
                <c:pt idx="1002">
                  <c:v>3721.81</c:v>
                </c:pt>
                <c:pt idx="1003">
                  <c:v>3721.81</c:v>
                </c:pt>
                <c:pt idx="1004">
                  <c:v>3721.81</c:v>
                </c:pt>
                <c:pt idx="1005">
                  <c:v>3721.81</c:v>
                </c:pt>
                <c:pt idx="1006">
                  <c:v>3721.81</c:v>
                </c:pt>
                <c:pt idx="1007">
                  <c:v>3730.08</c:v>
                </c:pt>
                <c:pt idx="1008">
                  <c:v>3800.38</c:v>
                </c:pt>
                <c:pt idx="1009">
                  <c:v>3787.98</c:v>
                </c:pt>
                <c:pt idx="1010">
                  <c:v>3803.69</c:v>
                </c:pt>
                <c:pt idx="1011">
                  <c:v>3802.86</c:v>
                </c:pt>
                <c:pt idx="1012">
                  <c:v>3804.52</c:v>
                </c:pt>
                <c:pt idx="1013">
                  <c:v>3735.87</c:v>
                </c:pt>
                <c:pt idx="1014">
                  <c:v>3886.4</c:v>
                </c:pt>
                <c:pt idx="1015">
                  <c:v>3886.4</c:v>
                </c:pt>
                <c:pt idx="1016">
                  <c:v>3887.23</c:v>
                </c:pt>
                <c:pt idx="1017">
                  <c:v>3887.23</c:v>
                </c:pt>
                <c:pt idx="1018">
                  <c:v>4051.81</c:v>
                </c:pt>
                <c:pt idx="1019">
                  <c:v>3969.93</c:v>
                </c:pt>
                <c:pt idx="1020">
                  <c:v>3888.88</c:v>
                </c:pt>
                <c:pt idx="1021">
                  <c:v>3887.23</c:v>
                </c:pt>
                <c:pt idx="1022">
                  <c:v>3887.23</c:v>
                </c:pt>
                <c:pt idx="1023">
                  <c:v>3887.23</c:v>
                </c:pt>
                <c:pt idx="1024">
                  <c:v>3887.23</c:v>
                </c:pt>
                <c:pt idx="1025">
                  <c:v>3887.23</c:v>
                </c:pt>
                <c:pt idx="1026">
                  <c:v>3887.23</c:v>
                </c:pt>
                <c:pt idx="1027">
                  <c:v>3852.49</c:v>
                </c:pt>
                <c:pt idx="1028">
                  <c:v>3830.16</c:v>
                </c:pt>
                <c:pt idx="1029">
                  <c:v>3826.02</c:v>
                </c:pt>
                <c:pt idx="1030">
                  <c:v>3734.22</c:v>
                </c:pt>
                <c:pt idx="1031">
                  <c:v>3812.79</c:v>
                </c:pt>
                <c:pt idx="1032">
                  <c:v>3804.52</c:v>
                </c:pt>
                <c:pt idx="1033">
                  <c:v>3811.96</c:v>
                </c:pt>
                <c:pt idx="1034">
                  <c:v>3812.79</c:v>
                </c:pt>
                <c:pt idx="1035">
                  <c:v>3680.46</c:v>
                </c:pt>
                <c:pt idx="1036">
                  <c:v>3730.08</c:v>
                </c:pt>
                <c:pt idx="1037">
                  <c:v>3723.47</c:v>
                </c:pt>
                <c:pt idx="1038">
                  <c:v>3721.81</c:v>
                </c:pt>
                <c:pt idx="1039">
                  <c:v>3721.81</c:v>
                </c:pt>
                <c:pt idx="1040">
                  <c:v>3680.46</c:v>
                </c:pt>
                <c:pt idx="1041">
                  <c:v>3818.58</c:v>
                </c:pt>
                <c:pt idx="1042">
                  <c:v>3721.81</c:v>
                </c:pt>
                <c:pt idx="1043">
                  <c:v>3639.11</c:v>
                </c:pt>
                <c:pt idx="1044">
                  <c:v>3680.46</c:v>
                </c:pt>
                <c:pt idx="1045">
                  <c:v>3680.46</c:v>
                </c:pt>
                <c:pt idx="1046">
                  <c:v>3680.46</c:v>
                </c:pt>
                <c:pt idx="1047">
                  <c:v>3680.46</c:v>
                </c:pt>
                <c:pt idx="1048">
                  <c:v>3680.46</c:v>
                </c:pt>
                <c:pt idx="1049">
                  <c:v>3746.62</c:v>
                </c:pt>
                <c:pt idx="1050">
                  <c:v>3746.62</c:v>
                </c:pt>
                <c:pt idx="1051">
                  <c:v>3746.62</c:v>
                </c:pt>
                <c:pt idx="1052">
                  <c:v>3722.64</c:v>
                </c:pt>
                <c:pt idx="1053">
                  <c:v>3736.7</c:v>
                </c:pt>
                <c:pt idx="1054">
                  <c:v>3730.91</c:v>
                </c:pt>
                <c:pt idx="1055">
                  <c:v>3818.58</c:v>
                </c:pt>
                <c:pt idx="1056">
                  <c:v>3812.79</c:v>
                </c:pt>
                <c:pt idx="1057">
                  <c:v>3816.93</c:v>
                </c:pt>
                <c:pt idx="1058">
                  <c:v>3804.52</c:v>
                </c:pt>
                <c:pt idx="1059">
                  <c:v>3719.33</c:v>
                </c:pt>
                <c:pt idx="1060">
                  <c:v>3721.81</c:v>
                </c:pt>
                <c:pt idx="1061">
                  <c:v>3589.48</c:v>
                </c:pt>
                <c:pt idx="1062">
                  <c:v>3818.58</c:v>
                </c:pt>
                <c:pt idx="1063">
                  <c:v>3804.52</c:v>
                </c:pt>
                <c:pt idx="1064">
                  <c:v>3804.52</c:v>
                </c:pt>
                <c:pt idx="1065">
                  <c:v>3721.81</c:v>
                </c:pt>
                <c:pt idx="1066">
                  <c:v>3720.16</c:v>
                </c:pt>
                <c:pt idx="1067">
                  <c:v>3721.81</c:v>
                </c:pt>
                <c:pt idx="1068">
                  <c:v>3672.19</c:v>
                </c:pt>
                <c:pt idx="1069">
                  <c:v>3639.11</c:v>
                </c:pt>
                <c:pt idx="1070">
                  <c:v>3675.5</c:v>
                </c:pt>
                <c:pt idx="1071">
                  <c:v>3721.81</c:v>
                </c:pt>
                <c:pt idx="1072">
                  <c:v>3763.17</c:v>
                </c:pt>
                <c:pt idx="1073">
                  <c:v>3779.71</c:v>
                </c:pt>
                <c:pt idx="1074">
                  <c:v>3783.84</c:v>
                </c:pt>
                <c:pt idx="1075">
                  <c:v>3739.18</c:v>
                </c:pt>
                <c:pt idx="1076">
                  <c:v>3804.52</c:v>
                </c:pt>
                <c:pt idx="1077">
                  <c:v>3804.52</c:v>
                </c:pt>
                <c:pt idx="1078">
                  <c:v>3841.74</c:v>
                </c:pt>
                <c:pt idx="1079">
                  <c:v>3694.52</c:v>
                </c:pt>
                <c:pt idx="1080">
                  <c:v>3734.24</c:v>
                </c:pt>
                <c:pt idx="1081">
                  <c:v>3734.24</c:v>
                </c:pt>
                <c:pt idx="1082">
                  <c:v>3813.7</c:v>
                </c:pt>
                <c:pt idx="1083">
                  <c:v>3813.7</c:v>
                </c:pt>
                <c:pt idx="1084">
                  <c:v>3773.18</c:v>
                </c:pt>
                <c:pt idx="1085">
                  <c:v>3892.35</c:v>
                </c:pt>
                <c:pt idx="1086">
                  <c:v>3773.97</c:v>
                </c:pt>
                <c:pt idx="1087">
                  <c:v>3734.24</c:v>
                </c:pt>
                <c:pt idx="1088">
                  <c:v>3654.79</c:v>
                </c:pt>
                <c:pt idx="1089">
                  <c:v>3654.79</c:v>
                </c:pt>
                <c:pt idx="1090">
                  <c:v>3575.34</c:v>
                </c:pt>
                <c:pt idx="1091">
                  <c:v>3575.34</c:v>
                </c:pt>
                <c:pt idx="1092">
                  <c:v>3686.57</c:v>
                </c:pt>
                <c:pt idx="1093">
                  <c:v>3607.12</c:v>
                </c:pt>
                <c:pt idx="1094">
                  <c:v>3607.12</c:v>
                </c:pt>
                <c:pt idx="1095">
                  <c:v>3587.26</c:v>
                </c:pt>
                <c:pt idx="1096">
                  <c:v>3595.2</c:v>
                </c:pt>
                <c:pt idx="1097">
                  <c:v>3694.52</c:v>
                </c:pt>
                <c:pt idx="1098">
                  <c:v>3417.23</c:v>
                </c:pt>
                <c:pt idx="1099">
                  <c:v>3417.23</c:v>
                </c:pt>
                <c:pt idx="1100">
                  <c:v>3376.71</c:v>
                </c:pt>
                <c:pt idx="1101">
                  <c:v>3336.98</c:v>
                </c:pt>
                <c:pt idx="1102">
                  <c:v>3336.98</c:v>
                </c:pt>
                <c:pt idx="1103">
                  <c:v>3336.98</c:v>
                </c:pt>
                <c:pt idx="1104">
                  <c:v>3335.4</c:v>
                </c:pt>
                <c:pt idx="1105">
                  <c:v>3336.98</c:v>
                </c:pt>
                <c:pt idx="1106">
                  <c:v>3313.15</c:v>
                </c:pt>
                <c:pt idx="1107">
                  <c:v>3313.15</c:v>
                </c:pt>
                <c:pt idx="1108">
                  <c:v>3313.15</c:v>
                </c:pt>
                <c:pt idx="1109">
                  <c:v>3358.44</c:v>
                </c:pt>
                <c:pt idx="1110">
                  <c:v>3404.52</c:v>
                </c:pt>
                <c:pt idx="1111">
                  <c:v>3416.44</c:v>
                </c:pt>
                <c:pt idx="1112">
                  <c:v>3416.44</c:v>
                </c:pt>
                <c:pt idx="1113">
                  <c:v>3416.44</c:v>
                </c:pt>
                <c:pt idx="1114">
                  <c:v>3376.71</c:v>
                </c:pt>
                <c:pt idx="1115">
                  <c:v>3338.57</c:v>
                </c:pt>
                <c:pt idx="1116">
                  <c:v>3338.57</c:v>
                </c:pt>
                <c:pt idx="1117">
                  <c:v>3377.51</c:v>
                </c:pt>
                <c:pt idx="1118">
                  <c:v>3436.3</c:v>
                </c:pt>
                <c:pt idx="1119">
                  <c:v>3467.29</c:v>
                </c:pt>
                <c:pt idx="1120">
                  <c:v>3495.89</c:v>
                </c:pt>
                <c:pt idx="1121">
                  <c:v>3575.34</c:v>
                </c:pt>
                <c:pt idx="1122">
                  <c:v>3444.24</c:v>
                </c:pt>
                <c:pt idx="1123">
                  <c:v>3456.16</c:v>
                </c:pt>
                <c:pt idx="1124">
                  <c:v>3384.66</c:v>
                </c:pt>
                <c:pt idx="1125">
                  <c:v>3416.44</c:v>
                </c:pt>
                <c:pt idx="1126">
                  <c:v>3358.44</c:v>
                </c:pt>
                <c:pt idx="1127">
                  <c:v>3337.78</c:v>
                </c:pt>
                <c:pt idx="1128">
                  <c:v>3336.98</c:v>
                </c:pt>
                <c:pt idx="1129">
                  <c:v>3336.98</c:v>
                </c:pt>
                <c:pt idx="1130">
                  <c:v>3336.98</c:v>
                </c:pt>
                <c:pt idx="1131">
                  <c:v>3178.08</c:v>
                </c:pt>
                <c:pt idx="1132">
                  <c:v>3138.35</c:v>
                </c:pt>
                <c:pt idx="1133">
                  <c:v>3138.35</c:v>
                </c:pt>
                <c:pt idx="1134">
                  <c:v>3139.94</c:v>
                </c:pt>
                <c:pt idx="1135">
                  <c:v>3027.12</c:v>
                </c:pt>
                <c:pt idx="1136">
                  <c:v>3019.18</c:v>
                </c:pt>
                <c:pt idx="1137">
                  <c:v>3027.12</c:v>
                </c:pt>
                <c:pt idx="1138">
                  <c:v>3019.18</c:v>
                </c:pt>
                <c:pt idx="1139">
                  <c:v>3018.38</c:v>
                </c:pt>
                <c:pt idx="1140">
                  <c:v>2947.67</c:v>
                </c:pt>
                <c:pt idx="1141">
                  <c:v>2963.56</c:v>
                </c:pt>
                <c:pt idx="1142">
                  <c:v>2963.56</c:v>
                </c:pt>
                <c:pt idx="1143">
                  <c:v>2939.72</c:v>
                </c:pt>
                <c:pt idx="1144">
                  <c:v>2975.48</c:v>
                </c:pt>
                <c:pt idx="1145">
                  <c:v>2975.48</c:v>
                </c:pt>
                <c:pt idx="1146">
                  <c:v>2959.59</c:v>
                </c:pt>
                <c:pt idx="1147">
                  <c:v>2959.59</c:v>
                </c:pt>
                <c:pt idx="1148">
                  <c:v>2963.56</c:v>
                </c:pt>
                <c:pt idx="1149">
                  <c:v>2971.51</c:v>
                </c:pt>
                <c:pt idx="1150">
                  <c:v>2971.51</c:v>
                </c:pt>
                <c:pt idx="1151">
                  <c:v>2979.45</c:v>
                </c:pt>
                <c:pt idx="1152">
                  <c:v>2979.45</c:v>
                </c:pt>
                <c:pt idx="1153">
                  <c:v>3031.09</c:v>
                </c:pt>
                <c:pt idx="1154">
                  <c:v>2995.34</c:v>
                </c:pt>
                <c:pt idx="1155">
                  <c:v>2939.72</c:v>
                </c:pt>
                <c:pt idx="1156">
                  <c:v>2860.27</c:v>
                </c:pt>
                <c:pt idx="1157">
                  <c:v>3000.9</c:v>
                </c:pt>
                <c:pt idx="1158">
                  <c:v>2980.25</c:v>
                </c:pt>
                <c:pt idx="1159">
                  <c:v>2939.72</c:v>
                </c:pt>
                <c:pt idx="1160">
                  <c:v>2943.7</c:v>
                </c:pt>
                <c:pt idx="1161">
                  <c:v>3019.18</c:v>
                </c:pt>
                <c:pt idx="1162">
                  <c:v>3011.23</c:v>
                </c:pt>
                <c:pt idx="1163">
                  <c:v>3008.85</c:v>
                </c:pt>
                <c:pt idx="1164">
                  <c:v>3008.85</c:v>
                </c:pt>
                <c:pt idx="1165">
                  <c:v>2861.07</c:v>
                </c:pt>
                <c:pt idx="1166">
                  <c:v>3019.18</c:v>
                </c:pt>
                <c:pt idx="1167">
                  <c:v>3019.18</c:v>
                </c:pt>
                <c:pt idx="1168">
                  <c:v>3011.23</c:v>
                </c:pt>
                <c:pt idx="1169">
                  <c:v>3018.38</c:v>
                </c:pt>
                <c:pt idx="1170">
                  <c:v>2979.45</c:v>
                </c:pt>
                <c:pt idx="1171">
                  <c:v>2979.45</c:v>
                </c:pt>
                <c:pt idx="1172">
                  <c:v>2919.86</c:v>
                </c:pt>
                <c:pt idx="1173">
                  <c:v>2979.45</c:v>
                </c:pt>
                <c:pt idx="1174">
                  <c:v>2979.45</c:v>
                </c:pt>
                <c:pt idx="1175">
                  <c:v>2979.45</c:v>
                </c:pt>
                <c:pt idx="1176">
                  <c:v>2979.45</c:v>
                </c:pt>
                <c:pt idx="1177">
                  <c:v>2979.45</c:v>
                </c:pt>
                <c:pt idx="1178">
                  <c:v>2919.86</c:v>
                </c:pt>
                <c:pt idx="1179">
                  <c:v>2919.86</c:v>
                </c:pt>
                <c:pt idx="1180">
                  <c:v>2939.72</c:v>
                </c:pt>
                <c:pt idx="1181">
                  <c:v>2947.67</c:v>
                </c:pt>
                <c:pt idx="1182">
                  <c:v>2941.31</c:v>
                </c:pt>
                <c:pt idx="1183">
                  <c:v>2979.45</c:v>
                </c:pt>
                <c:pt idx="1184">
                  <c:v>2979.45</c:v>
                </c:pt>
                <c:pt idx="1185">
                  <c:v>2860.27</c:v>
                </c:pt>
                <c:pt idx="1186">
                  <c:v>2979.45</c:v>
                </c:pt>
                <c:pt idx="1187">
                  <c:v>2979.45</c:v>
                </c:pt>
                <c:pt idx="1188">
                  <c:v>3011.23</c:v>
                </c:pt>
                <c:pt idx="1189">
                  <c:v>3011.23</c:v>
                </c:pt>
                <c:pt idx="1190">
                  <c:v>3011.23</c:v>
                </c:pt>
                <c:pt idx="1191">
                  <c:v>3011.23</c:v>
                </c:pt>
                <c:pt idx="1192">
                  <c:v>3010.44</c:v>
                </c:pt>
                <c:pt idx="1193">
                  <c:v>3011.23</c:v>
                </c:pt>
                <c:pt idx="1194">
                  <c:v>3007.26</c:v>
                </c:pt>
                <c:pt idx="1195">
                  <c:v>3011.23</c:v>
                </c:pt>
                <c:pt idx="1196">
                  <c:v>3019.18</c:v>
                </c:pt>
                <c:pt idx="1197">
                  <c:v>2939.72</c:v>
                </c:pt>
                <c:pt idx="1198">
                  <c:v>2939.72</c:v>
                </c:pt>
                <c:pt idx="1199">
                  <c:v>2939.72</c:v>
                </c:pt>
                <c:pt idx="1200">
                  <c:v>2939.72</c:v>
                </c:pt>
                <c:pt idx="1201">
                  <c:v>2939.72</c:v>
                </c:pt>
                <c:pt idx="1202">
                  <c:v>2939.72</c:v>
                </c:pt>
                <c:pt idx="1203">
                  <c:v>2939.72</c:v>
                </c:pt>
                <c:pt idx="1204">
                  <c:v>2939.72</c:v>
                </c:pt>
                <c:pt idx="1205">
                  <c:v>2880.14</c:v>
                </c:pt>
                <c:pt idx="1206">
                  <c:v>2879.34</c:v>
                </c:pt>
                <c:pt idx="1207">
                  <c:v>2879.34</c:v>
                </c:pt>
                <c:pt idx="1208">
                  <c:v>2821.34</c:v>
                </c:pt>
                <c:pt idx="1209">
                  <c:v>2880.14</c:v>
                </c:pt>
                <c:pt idx="1210">
                  <c:v>2876.96</c:v>
                </c:pt>
                <c:pt idx="1211">
                  <c:v>2923.83</c:v>
                </c:pt>
                <c:pt idx="1212">
                  <c:v>2931.78</c:v>
                </c:pt>
                <c:pt idx="1213">
                  <c:v>2938.93</c:v>
                </c:pt>
                <c:pt idx="1214">
                  <c:v>2910.33</c:v>
                </c:pt>
                <c:pt idx="1215">
                  <c:v>2988.98</c:v>
                </c:pt>
                <c:pt idx="1216">
                  <c:v>2910.33</c:v>
                </c:pt>
                <c:pt idx="1217">
                  <c:v>2980.33</c:v>
                </c:pt>
                <c:pt idx="1218">
                  <c:v>2988.98</c:v>
                </c:pt>
                <c:pt idx="1219">
                  <c:v>2988.98</c:v>
                </c:pt>
                <c:pt idx="1220">
                  <c:v>2988.98</c:v>
                </c:pt>
                <c:pt idx="1221">
                  <c:v>2933.92</c:v>
                </c:pt>
                <c:pt idx="1222">
                  <c:v>2949.66</c:v>
                </c:pt>
                <c:pt idx="1223">
                  <c:v>2988.98</c:v>
                </c:pt>
                <c:pt idx="1224">
                  <c:v>2929.99</c:v>
                </c:pt>
                <c:pt idx="1225">
                  <c:v>2941.79</c:v>
                </c:pt>
                <c:pt idx="1226">
                  <c:v>2949.66</c:v>
                </c:pt>
                <c:pt idx="1227">
                  <c:v>2949.66</c:v>
                </c:pt>
                <c:pt idx="1228">
                  <c:v>2949.66</c:v>
                </c:pt>
                <c:pt idx="1229">
                  <c:v>2949.66</c:v>
                </c:pt>
                <c:pt idx="1230">
                  <c:v>2949.66</c:v>
                </c:pt>
                <c:pt idx="1231">
                  <c:v>2949.66</c:v>
                </c:pt>
                <c:pt idx="1232">
                  <c:v>2886.73</c:v>
                </c:pt>
                <c:pt idx="1233">
                  <c:v>2910.33</c:v>
                </c:pt>
                <c:pt idx="1234">
                  <c:v>2900.1</c:v>
                </c:pt>
                <c:pt idx="1235">
                  <c:v>2910.33</c:v>
                </c:pt>
                <c:pt idx="1236">
                  <c:v>2879.65</c:v>
                </c:pt>
                <c:pt idx="1237">
                  <c:v>2879.65</c:v>
                </c:pt>
                <c:pt idx="1238">
                  <c:v>2910.33</c:v>
                </c:pt>
                <c:pt idx="1239">
                  <c:v>2949.66</c:v>
                </c:pt>
                <c:pt idx="1240">
                  <c:v>3012.58</c:v>
                </c:pt>
                <c:pt idx="1241">
                  <c:v>3028.31</c:v>
                </c:pt>
                <c:pt idx="1242">
                  <c:v>3044.05</c:v>
                </c:pt>
                <c:pt idx="1243">
                  <c:v>3067.64</c:v>
                </c:pt>
                <c:pt idx="1244">
                  <c:v>3087.31</c:v>
                </c:pt>
                <c:pt idx="1245">
                  <c:v>3087.31</c:v>
                </c:pt>
                <c:pt idx="1246">
                  <c:v>3146.3</c:v>
                </c:pt>
                <c:pt idx="1247">
                  <c:v>3146.3</c:v>
                </c:pt>
                <c:pt idx="1248">
                  <c:v>3138.43</c:v>
                </c:pt>
                <c:pt idx="1249">
                  <c:v>3165.96</c:v>
                </c:pt>
                <c:pt idx="1250">
                  <c:v>3146.3</c:v>
                </c:pt>
                <c:pt idx="1251">
                  <c:v>3067.64</c:v>
                </c:pt>
                <c:pt idx="1252">
                  <c:v>3067.64</c:v>
                </c:pt>
                <c:pt idx="1253">
                  <c:v>3067.64</c:v>
                </c:pt>
                <c:pt idx="1254">
                  <c:v>2996.85</c:v>
                </c:pt>
                <c:pt idx="1255">
                  <c:v>3028.31</c:v>
                </c:pt>
                <c:pt idx="1256">
                  <c:v>2988.98</c:v>
                </c:pt>
                <c:pt idx="1257">
                  <c:v>2988.98</c:v>
                </c:pt>
                <c:pt idx="1258">
                  <c:v>3008.65</c:v>
                </c:pt>
                <c:pt idx="1259">
                  <c:v>3028.31</c:v>
                </c:pt>
                <c:pt idx="1260">
                  <c:v>3028.31</c:v>
                </c:pt>
                <c:pt idx="1261">
                  <c:v>3028.31</c:v>
                </c:pt>
                <c:pt idx="1262">
                  <c:v>3028.31</c:v>
                </c:pt>
                <c:pt idx="1263">
                  <c:v>3020.45</c:v>
                </c:pt>
                <c:pt idx="1264">
                  <c:v>3028.31</c:v>
                </c:pt>
                <c:pt idx="1265">
                  <c:v>3059.78</c:v>
                </c:pt>
                <c:pt idx="1266">
                  <c:v>3059.78</c:v>
                </c:pt>
                <c:pt idx="1267">
                  <c:v>3067.64</c:v>
                </c:pt>
                <c:pt idx="1268">
                  <c:v>3067.64</c:v>
                </c:pt>
                <c:pt idx="1269">
                  <c:v>3067.64</c:v>
                </c:pt>
                <c:pt idx="1270">
                  <c:v>3067.64</c:v>
                </c:pt>
                <c:pt idx="1271">
                  <c:v>3036.18</c:v>
                </c:pt>
                <c:pt idx="1272">
                  <c:v>3042.47</c:v>
                </c:pt>
                <c:pt idx="1273">
                  <c:v>2988.98</c:v>
                </c:pt>
                <c:pt idx="1274">
                  <c:v>2988.98</c:v>
                </c:pt>
                <c:pt idx="1275">
                  <c:v>2988.98</c:v>
                </c:pt>
                <c:pt idx="1276">
                  <c:v>2988.98</c:v>
                </c:pt>
                <c:pt idx="1277">
                  <c:v>2949.66</c:v>
                </c:pt>
                <c:pt idx="1278">
                  <c:v>2988.98</c:v>
                </c:pt>
                <c:pt idx="1279">
                  <c:v>3044.05</c:v>
                </c:pt>
                <c:pt idx="1280">
                  <c:v>3044.05</c:v>
                </c:pt>
                <c:pt idx="1281">
                  <c:v>2949.66</c:v>
                </c:pt>
                <c:pt idx="1282">
                  <c:v>2985.05</c:v>
                </c:pt>
                <c:pt idx="1283">
                  <c:v>2949.66</c:v>
                </c:pt>
                <c:pt idx="1284">
                  <c:v>2988.98</c:v>
                </c:pt>
                <c:pt idx="1285">
                  <c:v>2988.98</c:v>
                </c:pt>
                <c:pt idx="1286">
                  <c:v>2914.26</c:v>
                </c:pt>
                <c:pt idx="1287">
                  <c:v>2988.98</c:v>
                </c:pt>
                <c:pt idx="1288">
                  <c:v>2911.11</c:v>
                </c:pt>
                <c:pt idx="1289">
                  <c:v>2911.11</c:v>
                </c:pt>
                <c:pt idx="1290">
                  <c:v>2949.66</c:v>
                </c:pt>
                <c:pt idx="1291">
                  <c:v>2988.2</c:v>
                </c:pt>
                <c:pt idx="1292">
                  <c:v>2949.66</c:v>
                </c:pt>
                <c:pt idx="1293">
                  <c:v>2910.33</c:v>
                </c:pt>
                <c:pt idx="1294">
                  <c:v>2958.31</c:v>
                </c:pt>
                <c:pt idx="1295">
                  <c:v>2974.04</c:v>
                </c:pt>
                <c:pt idx="1296">
                  <c:v>3036.18</c:v>
                </c:pt>
                <c:pt idx="1297">
                  <c:v>2988.98</c:v>
                </c:pt>
                <c:pt idx="1298">
                  <c:v>2987.41</c:v>
                </c:pt>
                <c:pt idx="1299">
                  <c:v>2831.67</c:v>
                </c:pt>
                <c:pt idx="1300">
                  <c:v>2800.21</c:v>
                </c:pt>
                <c:pt idx="1301">
                  <c:v>2833.24</c:v>
                </c:pt>
                <c:pt idx="1302">
                  <c:v>2871.0</c:v>
                </c:pt>
                <c:pt idx="1303">
                  <c:v>2910.33</c:v>
                </c:pt>
                <c:pt idx="1304">
                  <c:v>2910.33</c:v>
                </c:pt>
                <c:pt idx="1305">
                  <c:v>2910.33</c:v>
                </c:pt>
                <c:pt idx="1306">
                  <c:v>2910.33</c:v>
                </c:pt>
                <c:pt idx="1307">
                  <c:v>2918.19</c:v>
                </c:pt>
                <c:pt idx="1308">
                  <c:v>2910.33</c:v>
                </c:pt>
                <c:pt idx="1309">
                  <c:v>2890.66</c:v>
                </c:pt>
                <c:pt idx="1310">
                  <c:v>2800.21</c:v>
                </c:pt>
                <c:pt idx="1311">
                  <c:v>2878.08</c:v>
                </c:pt>
                <c:pt idx="1312">
                  <c:v>2886.73</c:v>
                </c:pt>
                <c:pt idx="1313">
                  <c:v>2910.33</c:v>
                </c:pt>
                <c:pt idx="1314">
                  <c:v>2902.46</c:v>
                </c:pt>
                <c:pt idx="1315">
                  <c:v>2949.66</c:v>
                </c:pt>
                <c:pt idx="1316">
                  <c:v>2949.66</c:v>
                </c:pt>
                <c:pt idx="1317">
                  <c:v>2910.33</c:v>
                </c:pt>
                <c:pt idx="1318">
                  <c:v>2910.33</c:v>
                </c:pt>
                <c:pt idx="1319">
                  <c:v>2910.33</c:v>
                </c:pt>
                <c:pt idx="1320">
                  <c:v>2949.66</c:v>
                </c:pt>
                <c:pt idx="1321">
                  <c:v>2949.66</c:v>
                </c:pt>
                <c:pt idx="1322">
                  <c:v>2949.66</c:v>
                </c:pt>
                <c:pt idx="1323">
                  <c:v>2930.78</c:v>
                </c:pt>
                <c:pt idx="1324">
                  <c:v>2915.05</c:v>
                </c:pt>
                <c:pt idx="1325">
                  <c:v>2988.98</c:v>
                </c:pt>
                <c:pt idx="1326">
                  <c:v>2988.98</c:v>
                </c:pt>
                <c:pt idx="1327">
                  <c:v>2933.92</c:v>
                </c:pt>
                <c:pt idx="1328">
                  <c:v>3005.3</c:v>
                </c:pt>
                <c:pt idx="1329">
                  <c:v>3005.3</c:v>
                </c:pt>
                <c:pt idx="1330">
                  <c:v>3005.3</c:v>
                </c:pt>
                <c:pt idx="1331">
                  <c:v>3005.3</c:v>
                </c:pt>
                <c:pt idx="1332">
                  <c:v>2892.6</c:v>
                </c:pt>
                <c:pt idx="1333">
                  <c:v>2892.6</c:v>
                </c:pt>
                <c:pt idx="1334">
                  <c:v>2888.85</c:v>
                </c:pt>
                <c:pt idx="1335">
                  <c:v>2892.6</c:v>
                </c:pt>
                <c:pt idx="1336">
                  <c:v>2817.47</c:v>
                </c:pt>
                <c:pt idx="1337">
                  <c:v>2817.47</c:v>
                </c:pt>
                <c:pt idx="1338">
                  <c:v>2818.22</c:v>
                </c:pt>
                <c:pt idx="1339">
                  <c:v>2817.47</c:v>
                </c:pt>
                <c:pt idx="1340">
                  <c:v>2779.9</c:v>
                </c:pt>
                <c:pt idx="1341">
                  <c:v>2705.52</c:v>
                </c:pt>
                <c:pt idx="1342">
                  <c:v>2877.58</c:v>
                </c:pt>
                <c:pt idx="1343">
                  <c:v>2846.77</c:v>
                </c:pt>
                <c:pt idx="1344">
                  <c:v>2794.93</c:v>
                </c:pt>
                <c:pt idx="1345">
                  <c:v>2779.9</c:v>
                </c:pt>
                <c:pt idx="1346">
                  <c:v>2708.53</c:v>
                </c:pt>
                <c:pt idx="1347">
                  <c:v>2706.27</c:v>
                </c:pt>
                <c:pt idx="1348">
                  <c:v>2704.77</c:v>
                </c:pt>
                <c:pt idx="1349">
                  <c:v>2779.9</c:v>
                </c:pt>
                <c:pt idx="1350">
                  <c:v>2784.41</c:v>
                </c:pt>
                <c:pt idx="1351">
                  <c:v>2817.47</c:v>
                </c:pt>
                <c:pt idx="1352">
                  <c:v>2817.47</c:v>
                </c:pt>
                <c:pt idx="1353">
                  <c:v>2817.47</c:v>
                </c:pt>
                <c:pt idx="1354">
                  <c:v>2779.9</c:v>
                </c:pt>
                <c:pt idx="1355">
                  <c:v>2704.77</c:v>
                </c:pt>
                <c:pt idx="1356">
                  <c:v>2704.77</c:v>
                </c:pt>
                <c:pt idx="1357">
                  <c:v>2704.77</c:v>
                </c:pt>
                <c:pt idx="1358">
                  <c:v>2704.77</c:v>
                </c:pt>
                <c:pt idx="1359">
                  <c:v>2704.77</c:v>
                </c:pt>
                <c:pt idx="1360">
                  <c:v>2779.9</c:v>
                </c:pt>
                <c:pt idx="1361">
                  <c:v>2704.77</c:v>
                </c:pt>
                <c:pt idx="1362">
                  <c:v>2667.2</c:v>
                </c:pt>
                <c:pt idx="1363">
                  <c:v>2742.34</c:v>
                </c:pt>
                <c:pt idx="1364">
                  <c:v>2794.93</c:v>
                </c:pt>
                <c:pt idx="1365">
                  <c:v>2704.02</c:v>
                </c:pt>
                <c:pt idx="1366">
                  <c:v>2710.03</c:v>
                </c:pt>
                <c:pt idx="1367">
                  <c:v>2629.64</c:v>
                </c:pt>
                <c:pt idx="1368">
                  <c:v>2704.77</c:v>
                </c:pt>
                <c:pt idx="1369">
                  <c:v>2523.7</c:v>
                </c:pt>
                <c:pt idx="1370">
                  <c:v>2441.81</c:v>
                </c:pt>
                <c:pt idx="1371">
                  <c:v>2498.16</c:v>
                </c:pt>
                <c:pt idx="1372">
                  <c:v>2498.16</c:v>
                </c:pt>
                <c:pt idx="1373">
                  <c:v>2498.16</c:v>
                </c:pt>
                <c:pt idx="1374">
                  <c:v>2479.37</c:v>
                </c:pt>
                <c:pt idx="1375">
                  <c:v>2479.37</c:v>
                </c:pt>
                <c:pt idx="1376">
                  <c:v>2479.37</c:v>
                </c:pt>
                <c:pt idx="1377">
                  <c:v>2479.37</c:v>
                </c:pt>
                <c:pt idx="1378">
                  <c:v>2479.37</c:v>
                </c:pt>
                <c:pt idx="1379">
                  <c:v>2479.37</c:v>
                </c:pt>
                <c:pt idx="1380">
                  <c:v>2478.62</c:v>
                </c:pt>
                <c:pt idx="1381">
                  <c:v>2464.35</c:v>
                </c:pt>
                <c:pt idx="1382">
                  <c:v>2471.11</c:v>
                </c:pt>
                <c:pt idx="1383">
                  <c:v>2478.62</c:v>
                </c:pt>
                <c:pt idx="1384">
                  <c:v>2478.62</c:v>
                </c:pt>
                <c:pt idx="1385">
                  <c:v>2479.37</c:v>
                </c:pt>
                <c:pt idx="1386">
                  <c:v>2479.37</c:v>
                </c:pt>
                <c:pt idx="1387">
                  <c:v>2479.37</c:v>
                </c:pt>
                <c:pt idx="1388">
                  <c:v>2516.94</c:v>
                </c:pt>
                <c:pt idx="1389">
                  <c:v>2550.75</c:v>
                </c:pt>
                <c:pt idx="1390">
                  <c:v>2592.07</c:v>
                </c:pt>
                <c:pt idx="1391">
                  <c:v>2592.07</c:v>
                </c:pt>
                <c:pt idx="1392">
                  <c:v>2629.64</c:v>
                </c:pt>
                <c:pt idx="1393">
                  <c:v>2492.9</c:v>
                </c:pt>
                <c:pt idx="1394">
                  <c:v>2479.37</c:v>
                </c:pt>
                <c:pt idx="1395">
                  <c:v>2415.51</c:v>
                </c:pt>
                <c:pt idx="1396">
                  <c:v>2404.24</c:v>
                </c:pt>
                <c:pt idx="1397">
                  <c:v>2404.24</c:v>
                </c:pt>
                <c:pt idx="1398">
                  <c:v>2329.11</c:v>
                </c:pt>
                <c:pt idx="1399">
                  <c:v>2366.67</c:v>
                </c:pt>
                <c:pt idx="1400">
                  <c:v>2366.67</c:v>
                </c:pt>
                <c:pt idx="1401">
                  <c:v>2366.67</c:v>
                </c:pt>
                <c:pt idx="1402">
                  <c:v>2329.11</c:v>
                </c:pt>
                <c:pt idx="1403">
                  <c:v>2329.11</c:v>
                </c:pt>
                <c:pt idx="1404">
                  <c:v>2329.11</c:v>
                </c:pt>
                <c:pt idx="1405">
                  <c:v>2329.11</c:v>
                </c:pt>
                <c:pt idx="1406">
                  <c:v>2329.11</c:v>
                </c:pt>
                <c:pt idx="1407">
                  <c:v>2329.11</c:v>
                </c:pt>
                <c:pt idx="1408">
                  <c:v>2328.36</c:v>
                </c:pt>
                <c:pt idx="1409">
                  <c:v>2329.11</c:v>
                </c:pt>
                <c:pt idx="1410">
                  <c:v>2329.11</c:v>
                </c:pt>
                <c:pt idx="1411">
                  <c:v>2329.11</c:v>
                </c:pt>
                <c:pt idx="1412">
                  <c:v>2404.24</c:v>
                </c:pt>
                <c:pt idx="1413">
                  <c:v>2404.24</c:v>
                </c:pt>
                <c:pt idx="1414">
                  <c:v>2329.11</c:v>
                </c:pt>
                <c:pt idx="1415">
                  <c:v>2329.11</c:v>
                </c:pt>
                <c:pt idx="1416">
                  <c:v>2327.61</c:v>
                </c:pt>
                <c:pt idx="1417">
                  <c:v>2329.11</c:v>
                </c:pt>
                <c:pt idx="1418">
                  <c:v>2321.59</c:v>
                </c:pt>
                <c:pt idx="1419">
                  <c:v>2321.59</c:v>
                </c:pt>
                <c:pt idx="1420">
                  <c:v>2328.36</c:v>
                </c:pt>
                <c:pt idx="1421">
                  <c:v>2329.11</c:v>
                </c:pt>
                <c:pt idx="1422">
                  <c:v>2329.11</c:v>
                </c:pt>
                <c:pt idx="1423">
                  <c:v>2367.43</c:v>
                </c:pt>
                <c:pt idx="1424">
                  <c:v>2329.11</c:v>
                </c:pt>
                <c:pt idx="1425">
                  <c:v>2269.0</c:v>
                </c:pt>
                <c:pt idx="1426">
                  <c:v>2253.98</c:v>
                </c:pt>
                <c:pt idx="1427">
                  <c:v>2253.98</c:v>
                </c:pt>
                <c:pt idx="1428">
                  <c:v>2253.98</c:v>
                </c:pt>
                <c:pt idx="1429">
                  <c:v>2253.98</c:v>
                </c:pt>
                <c:pt idx="1430">
                  <c:v>2253.98</c:v>
                </c:pt>
                <c:pt idx="1431">
                  <c:v>2160.06</c:v>
                </c:pt>
                <c:pt idx="1432">
                  <c:v>2160.06</c:v>
                </c:pt>
                <c:pt idx="1433">
                  <c:v>2216.41</c:v>
                </c:pt>
                <c:pt idx="1434">
                  <c:v>2216.41</c:v>
                </c:pt>
                <c:pt idx="1435">
                  <c:v>2182.6</c:v>
                </c:pt>
                <c:pt idx="1436">
                  <c:v>2205.14</c:v>
                </c:pt>
                <c:pt idx="1437">
                  <c:v>2205.14</c:v>
                </c:pt>
                <c:pt idx="1438">
                  <c:v>2193.87</c:v>
                </c:pt>
                <c:pt idx="1439">
                  <c:v>2141.28</c:v>
                </c:pt>
                <c:pt idx="1440">
                  <c:v>2141.28</c:v>
                </c:pt>
                <c:pt idx="1441">
                  <c:v>2178.84</c:v>
                </c:pt>
                <c:pt idx="1442">
                  <c:v>2178.84</c:v>
                </c:pt>
                <c:pt idx="1443">
                  <c:v>2193.87</c:v>
                </c:pt>
                <c:pt idx="1444">
                  <c:v>2193.87</c:v>
                </c:pt>
                <c:pt idx="1445">
                  <c:v>2193.12</c:v>
                </c:pt>
                <c:pt idx="1446">
                  <c:v>2193.12</c:v>
                </c:pt>
                <c:pt idx="1447">
                  <c:v>2207.39</c:v>
                </c:pt>
                <c:pt idx="1448">
                  <c:v>2253.22</c:v>
                </c:pt>
                <c:pt idx="1449">
                  <c:v>2253.22</c:v>
                </c:pt>
                <c:pt idx="1450">
                  <c:v>2280.27</c:v>
                </c:pt>
                <c:pt idx="1451">
                  <c:v>2280.27</c:v>
                </c:pt>
                <c:pt idx="1452">
                  <c:v>2269.0</c:v>
                </c:pt>
                <c:pt idx="1453">
                  <c:v>2329.11</c:v>
                </c:pt>
                <c:pt idx="1454">
                  <c:v>2253.98</c:v>
                </c:pt>
                <c:pt idx="1455">
                  <c:v>2178.84</c:v>
                </c:pt>
                <c:pt idx="1456">
                  <c:v>2178.84</c:v>
                </c:pt>
                <c:pt idx="1457">
                  <c:v>2178.84</c:v>
                </c:pt>
                <c:pt idx="1458">
                  <c:v>2178.84</c:v>
                </c:pt>
                <c:pt idx="1459">
                  <c:v>2175.09</c:v>
                </c:pt>
                <c:pt idx="1460">
                  <c:v>2175.09</c:v>
                </c:pt>
                <c:pt idx="1461">
                  <c:v>2156.3</c:v>
                </c:pt>
                <c:pt idx="1462">
                  <c:v>2160.06</c:v>
                </c:pt>
                <c:pt idx="1463">
                  <c:v>2153.3</c:v>
                </c:pt>
                <c:pt idx="1464">
                  <c:v>2078.28</c:v>
                </c:pt>
                <c:pt idx="1465">
                  <c:v>2078.28</c:v>
                </c:pt>
                <c:pt idx="1466">
                  <c:v>2079.76</c:v>
                </c:pt>
                <c:pt idx="1467">
                  <c:v>2116.9</c:v>
                </c:pt>
                <c:pt idx="1468">
                  <c:v>2042.62</c:v>
                </c:pt>
                <c:pt idx="1469">
                  <c:v>2190.44</c:v>
                </c:pt>
                <c:pt idx="1470">
                  <c:v>2228.32</c:v>
                </c:pt>
                <c:pt idx="1471">
                  <c:v>2259.51</c:v>
                </c:pt>
                <c:pt idx="1472">
                  <c:v>2259.51</c:v>
                </c:pt>
                <c:pt idx="1473">
                  <c:v>2265.46</c:v>
                </c:pt>
                <c:pt idx="1474">
                  <c:v>2209.75</c:v>
                </c:pt>
                <c:pt idx="1475">
                  <c:v>2209.75</c:v>
                </c:pt>
                <c:pt idx="1476">
                  <c:v>2338.99</c:v>
                </c:pt>
                <c:pt idx="1477">
                  <c:v>2338.99</c:v>
                </c:pt>
                <c:pt idx="1478">
                  <c:v>2338.99</c:v>
                </c:pt>
                <c:pt idx="1479">
                  <c:v>2228.32</c:v>
                </c:pt>
                <c:pt idx="1480">
                  <c:v>2205.29</c:v>
                </c:pt>
                <c:pt idx="1481">
                  <c:v>2217.18</c:v>
                </c:pt>
                <c:pt idx="1482">
                  <c:v>2217.18</c:v>
                </c:pt>
                <c:pt idx="1483">
                  <c:v>2228.32</c:v>
                </c:pt>
                <c:pt idx="1484">
                  <c:v>2220.89</c:v>
                </c:pt>
                <c:pt idx="1485">
                  <c:v>2124.33</c:v>
                </c:pt>
                <c:pt idx="1486">
                  <c:v>2124.33</c:v>
                </c:pt>
                <c:pt idx="1487">
                  <c:v>2154.04</c:v>
                </c:pt>
                <c:pt idx="1488">
                  <c:v>2154.04</c:v>
                </c:pt>
                <c:pt idx="1489">
                  <c:v>2157.75</c:v>
                </c:pt>
                <c:pt idx="1490">
                  <c:v>2332.31</c:v>
                </c:pt>
                <c:pt idx="1491">
                  <c:v>2336.02</c:v>
                </c:pt>
                <c:pt idx="1492">
                  <c:v>2229.06</c:v>
                </c:pt>
                <c:pt idx="1493">
                  <c:v>2339.73</c:v>
                </c:pt>
                <c:pt idx="1494">
                  <c:v>2339.73</c:v>
                </c:pt>
                <c:pt idx="1495">
                  <c:v>2339.73</c:v>
                </c:pt>
                <c:pt idx="1496">
                  <c:v>2339.73</c:v>
                </c:pt>
                <c:pt idx="1497">
                  <c:v>2339.73</c:v>
                </c:pt>
                <c:pt idx="1498">
                  <c:v>2339.73</c:v>
                </c:pt>
                <c:pt idx="1499">
                  <c:v>2339.73</c:v>
                </c:pt>
                <c:pt idx="1500">
                  <c:v>2376.87</c:v>
                </c:pt>
                <c:pt idx="1501">
                  <c:v>2339.73</c:v>
                </c:pt>
                <c:pt idx="1502">
                  <c:v>2376.13</c:v>
                </c:pt>
                <c:pt idx="1503">
                  <c:v>2302.6</c:v>
                </c:pt>
                <c:pt idx="1504">
                  <c:v>2347.16</c:v>
                </c:pt>
                <c:pt idx="1505">
                  <c:v>2376.87</c:v>
                </c:pt>
                <c:pt idx="1506">
                  <c:v>2376.87</c:v>
                </c:pt>
                <c:pt idx="1507">
                  <c:v>2339.73</c:v>
                </c:pt>
                <c:pt idx="1508">
                  <c:v>2339.73</c:v>
                </c:pt>
                <c:pt idx="1509">
                  <c:v>2339.73</c:v>
                </c:pt>
                <c:pt idx="1510">
                  <c:v>2368.7</c:v>
                </c:pt>
                <c:pt idx="1511">
                  <c:v>2369.44</c:v>
                </c:pt>
                <c:pt idx="1512">
                  <c:v>2369.44</c:v>
                </c:pt>
                <c:pt idx="1513">
                  <c:v>2362.02</c:v>
                </c:pt>
                <c:pt idx="1514">
                  <c:v>2265.46</c:v>
                </c:pt>
                <c:pt idx="1515">
                  <c:v>2228.32</c:v>
                </c:pt>
                <c:pt idx="1516">
                  <c:v>2228.32</c:v>
                </c:pt>
                <c:pt idx="1517">
                  <c:v>2228.32</c:v>
                </c:pt>
                <c:pt idx="1518">
                  <c:v>2228.32</c:v>
                </c:pt>
                <c:pt idx="1519">
                  <c:v>2213.46</c:v>
                </c:pt>
                <c:pt idx="1520">
                  <c:v>2210.49</c:v>
                </c:pt>
                <c:pt idx="1521">
                  <c:v>2228.32</c:v>
                </c:pt>
                <c:pt idx="1522">
                  <c:v>2217.18</c:v>
                </c:pt>
                <c:pt idx="1523">
                  <c:v>2228.32</c:v>
                </c:pt>
                <c:pt idx="1524">
                  <c:v>2228.32</c:v>
                </c:pt>
                <c:pt idx="1525">
                  <c:v>2228.32</c:v>
                </c:pt>
                <c:pt idx="1526">
                  <c:v>2249.86</c:v>
                </c:pt>
                <c:pt idx="1527">
                  <c:v>2250.6</c:v>
                </c:pt>
                <c:pt idx="1528">
                  <c:v>2250.6</c:v>
                </c:pt>
                <c:pt idx="1529">
                  <c:v>2291.45</c:v>
                </c:pt>
                <c:pt idx="1530">
                  <c:v>2302.6</c:v>
                </c:pt>
                <c:pt idx="1531">
                  <c:v>2302.6</c:v>
                </c:pt>
                <c:pt idx="1532">
                  <c:v>2346.42</c:v>
                </c:pt>
                <c:pt idx="1533">
                  <c:v>2346.42</c:v>
                </c:pt>
                <c:pt idx="1534">
                  <c:v>2362.02</c:v>
                </c:pt>
                <c:pt idx="1535">
                  <c:v>2362.02</c:v>
                </c:pt>
                <c:pt idx="1536">
                  <c:v>2374.64</c:v>
                </c:pt>
                <c:pt idx="1537">
                  <c:v>2374.64</c:v>
                </c:pt>
                <c:pt idx="1538">
                  <c:v>2376.87</c:v>
                </c:pt>
                <c:pt idx="1539">
                  <c:v>2376.87</c:v>
                </c:pt>
                <c:pt idx="1540">
                  <c:v>2376.87</c:v>
                </c:pt>
                <c:pt idx="1541">
                  <c:v>2376.87</c:v>
                </c:pt>
                <c:pt idx="1542">
                  <c:v>2228.32</c:v>
                </c:pt>
                <c:pt idx="1543">
                  <c:v>2376.87</c:v>
                </c:pt>
                <c:pt idx="1544">
                  <c:v>2376.87</c:v>
                </c:pt>
                <c:pt idx="1545">
                  <c:v>2376.87</c:v>
                </c:pt>
                <c:pt idx="1546">
                  <c:v>2376.87</c:v>
                </c:pt>
                <c:pt idx="1547">
                  <c:v>2376.87</c:v>
                </c:pt>
                <c:pt idx="1548">
                  <c:v>2317.45</c:v>
                </c:pt>
                <c:pt idx="1549">
                  <c:v>2302.6</c:v>
                </c:pt>
                <c:pt idx="1550">
                  <c:v>2443.72</c:v>
                </c:pt>
                <c:pt idx="1551">
                  <c:v>2306.31</c:v>
                </c:pt>
                <c:pt idx="1552">
                  <c:v>2405.84</c:v>
                </c:pt>
                <c:pt idx="1553">
                  <c:v>2228.32</c:v>
                </c:pt>
                <c:pt idx="1554">
                  <c:v>2284.03</c:v>
                </c:pt>
                <c:pt idx="1555">
                  <c:v>2228.32</c:v>
                </c:pt>
                <c:pt idx="1556">
                  <c:v>2206.03</c:v>
                </c:pt>
                <c:pt idx="1557">
                  <c:v>2198.61</c:v>
                </c:pt>
                <c:pt idx="1558">
                  <c:v>2302.6</c:v>
                </c:pt>
                <c:pt idx="1559">
                  <c:v>2183.75</c:v>
                </c:pt>
                <c:pt idx="1560">
                  <c:v>2191.18</c:v>
                </c:pt>
                <c:pt idx="1561">
                  <c:v>2154.04</c:v>
                </c:pt>
                <c:pt idx="1562">
                  <c:v>2154.04</c:v>
                </c:pt>
                <c:pt idx="1563">
                  <c:v>2191.18</c:v>
                </c:pt>
                <c:pt idx="1564">
                  <c:v>2154.04</c:v>
                </c:pt>
                <c:pt idx="1565">
                  <c:v>2154.04</c:v>
                </c:pt>
                <c:pt idx="1566">
                  <c:v>2154.04</c:v>
                </c:pt>
                <c:pt idx="1567">
                  <c:v>2190.44</c:v>
                </c:pt>
                <c:pt idx="1568">
                  <c:v>2154.04</c:v>
                </c:pt>
                <c:pt idx="1569">
                  <c:v>2191.18</c:v>
                </c:pt>
                <c:pt idx="1570">
                  <c:v>2191.18</c:v>
                </c:pt>
                <c:pt idx="1571">
                  <c:v>2161.47</c:v>
                </c:pt>
                <c:pt idx="1572">
                  <c:v>2168.9</c:v>
                </c:pt>
                <c:pt idx="1573">
                  <c:v>2168.9</c:v>
                </c:pt>
                <c:pt idx="1574">
                  <c:v>2168.9</c:v>
                </c:pt>
                <c:pt idx="1575">
                  <c:v>2168.9</c:v>
                </c:pt>
                <c:pt idx="1576">
                  <c:v>2191.18</c:v>
                </c:pt>
                <c:pt idx="1577">
                  <c:v>2191.18</c:v>
                </c:pt>
                <c:pt idx="1578">
                  <c:v>2215.69</c:v>
                </c:pt>
                <c:pt idx="1579">
                  <c:v>2215.69</c:v>
                </c:pt>
                <c:pt idx="1580">
                  <c:v>2228.32</c:v>
                </c:pt>
                <c:pt idx="1581">
                  <c:v>2228.32</c:v>
                </c:pt>
                <c:pt idx="1582">
                  <c:v>2228.32</c:v>
                </c:pt>
                <c:pt idx="1583">
                  <c:v>2188.95</c:v>
                </c:pt>
                <c:pt idx="1584">
                  <c:v>2187.54</c:v>
                </c:pt>
                <c:pt idx="1585">
                  <c:v>2160.71</c:v>
                </c:pt>
                <c:pt idx="1586">
                  <c:v>2259.56</c:v>
                </c:pt>
                <c:pt idx="1587">
                  <c:v>2259.56</c:v>
                </c:pt>
                <c:pt idx="1588">
                  <c:v>2259.56</c:v>
                </c:pt>
                <c:pt idx="1589">
                  <c:v>2259.56</c:v>
                </c:pt>
                <c:pt idx="1590">
                  <c:v>2259.56</c:v>
                </c:pt>
                <c:pt idx="1591">
                  <c:v>2330.17</c:v>
                </c:pt>
                <c:pt idx="1592">
                  <c:v>2012.42</c:v>
                </c:pt>
                <c:pt idx="1593">
                  <c:v>2012.42</c:v>
                </c:pt>
                <c:pt idx="1594">
                  <c:v>2047.73</c:v>
                </c:pt>
                <c:pt idx="1595">
                  <c:v>1977.12</c:v>
                </c:pt>
                <c:pt idx="1596">
                  <c:v>1998.3</c:v>
                </c:pt>
                <c:pt idx="1597">
                  <c:v>1977.12</c:v>
                </c:pt>
                <c:pt idx="1598">
                  <c:v>1977.12</c:v>
                </c:pt>
                <c:pt idx="1599">
                  <c:v>1977.82</c:v>
                </c:pt>
                <c:pt idx="1600">
                  <c:v>1977.12</c:v>
                </c:pt>
                <c:pt idx="1601">
                  <c:v>2047.73</c:v>
                </c:pt>
                <c:pt idx="1602">
                  <c:v>2061.85</c:v>
                </c:pt>
                <c:pt idx="1603">
                  <c:v>2100.69</c:v>
                </c:pt>
                <c:pt idx="1604">
                  <c:v>2107.75</c:v>
                </c:pt>
                <c:pt idx="1605">
                  <c:v>2118.34</c:v>
                </c:pt>
                <c:pt idx="1606">
                  <c:v>2075.97</c:v>
                </c:pt>
                <c:pt idx="1607">
                  <c:v>2090.1</c:v>
                </c:pt>
                <c:pt idx="1608">
                  <c:v>2100.69</c:v>
                </c:pt>
                <c:pt idx="1609">
                  <c:v>2118.34</c:v>
                </c:pt>
                <c:pt idx="1610">
                  <c:v>2090.1</c:v>
                </c:pt>
                <c:pt idx="1611">
                  <c:v>2111.28</c:v>
                </c:pt>
                <c:pt idx="1612">
                  <c:v>2111.28</c:v>
                </c:pt>
                <c:pt idx="1613">
                  <c:v>2083.03</c:v>
                </c:pt>
                <c:pt idx="1614">
                  <c:v>2083.03</c:v>
                </c:pt>
                <c:pt idx="1615">
                  <c:v>1991.24</c:v>
                </c:pt>
                <c:pt idx="1616">
                  <c:v>1906.51</c:v>
                </c:pt>
                <c:pt idx="1617">
                  <c:v>1924.86</c:v>
                </c:pt>
                <c:pt idx="1618">
                  <c:v>1977.12</c:v>
                </c:pt>
                <c:pt idx="1619">
                  <c:v>1977.12</c:v>
                </c:pt>
                <c:pt idx="1620">
                  <c:v>1977.12</c:v>
                </c:pt>
                <c:pt idx="1621">
                  <c:v>1976.41</c:v>
                </c:pt>
                <c:pt idx="1622">
                  <c:v>2011.72</c:v>
                </c:pt>
                <c:pt idx="1623">
                  <c:v>2104.22</c:v>
                </c:pt>
                <c:pt idx="1624">
                  <c:v>2013.13</c:v>
                </c:pt>
                <c:pt idx="1625">
                  <c:v>2104.22</c:v>
                </c:pt>
                <c:pt idx="1626">
                  <c:v>2104.22</c:v>
                </c:pt>
                <c:pt idx="1627">
                  <c:v>2104.22</c:v>
                </c:pt>
                <c:pt idx="1628">
                  <c:v>2104.22</c:v>
                </c:pt>
                <c:pt idx="1629">
                  <c:v>2104.22</c:v>
                </c:pt>
                <c:pt idx="1630">
                  <c:v>2104.22</c:v>
                </c:pt>
                <c:pt idx="1631">
                  <c:v>2104.22</c:v>
                </c:pt>
                <c:pt idx="1632">
                  <c:v>2083.03</c:v>
                </c:pt>
                <c:pt idx="1633">
                  <c:v>2111.28</c:v>
                </c:pt>
                <c:pt idx="1634">
                  <c:v>2111.28</c:v>
                </c:pt>
                <c:pt idx="1635">
                  <c:v>2111.28</c:v>
                </c:pt>
                <c:pt idx="1636">
                  <c:v>2118.34</c:v>
                </c:pt>
                <c:pt idx="1637">
                  <c:v>2061.14</c:v>
                </c:pt>
                <c:pt idx="1638">
                  <c:v>1977.12</c:v>
                </c:pt>
                <c:pt idx="1639">
                  <c:v>1906.51</c:v>
                </c:pt>
                <c:pt idx="1640">
                  <c:v>1906.51</c:v>
                </c:pt>
                <c:pt idx="1641">
                  <c:v>1853.55</c:v>
                </c:pt>
                <c:pt idx="1642">
                  <c:v>1853.55</c:v>
                </c:pt>
                <c:pt idx="1643">
                  <c:v>1853.55</c:v>
                </c:pt>
                <c:pt idx="1644">
                  <c:v>1853.55</c:v>
                </c:pt>
                <c:pt idx="1645">
                  <c:v>1853.55</c:v>
                </c:pt>
                <c:pt idx="1646">
                  <c:v>1853.55</c:v>
                </c:pt>
                <c:pt idx="1647">
                  <c:v>1853.55</c:v>
                </c:pt>
                <c:pt idx="1648">
                  <c:v>1853.55</c:v>
                </c:pt>
                <c:pt idx="1649">
                  <c:v>1871.2</c:v>
                </c:pt>
                <c:pt idx="1650">
                  <c:v>1871.2</c:v>
                </c:pt>
                <c:pt idx="1651">
                  <c:v>1832.36</c:v>
                </c:pt>
                <c:pt idx="1652">
                  <c:v>1832.36</c:v>
                </c:pt>
                <c:pt idx="1653">
                  <c:v>1828.83</c:v>
                </c:pt>
                <c:pt idx="1654">
                  <c:v>1832.36</c:v>
                </c:pt>
                <c:pt idx="1655">
                  <c:v>1832.36</c:v>
                </c:pt>
                <c:pt idx="1656">
                  <c:v>1870.49</c:v>
                </c:pt>
                <c:pt idx="1657">
                  <c:v>1870.49</c:v>
                </c:pt>
                <c:pt idx="1658">
                  <c:v>1870.49</c:v>
                </c:pt>
                <c:pt idx="1659">
                  <c:v>1839.42</c:v>
                </c:pt>
                <c:pt idx="1660">
                  <c:v>1853.55</c:v>
                </c:pt>
                <c:pt idx="1661">
                  <c:v>1853.55</c:v>
                </c:pt>
                <c:pt idx="1662">
                  <c:v>1835.89</c:v>
                </c:pt>
                <c:pt idx="1663">
                  <c:v>1835.89</c:v>
                </c:pt>
                <c:pt idx="1664">
                  <c:v>1835.89</c:v>
                </c:pt>
                <c:pt idx="1665">
                  <c:v>1765.28</c:v>
                </c:pt>
                <c:pt idx="1666">
                  <c:v>1729.98</c:v>
                </c:pt>
                <c:pt idx="1667">
                  <c:v>1695.38</c:v>
                </c:pt>
                <c:pt idx="1668">
                  <c:v>1729.98</c:v>
                </c:pt>
                <c:pt idx="1669">
                  <c:v>1729.98</c:v>
                </c:pt>
                <c:pt idx="1670">
                  <c:v>1729.98</c:v>
                </c:pt>
                <c:pt idx="1671">
                  <c:v>1729.98</c:v>
                </c:pt>
                <c:pt idx="1672">
                  <c:v>1729.98</c:v>
                </c:pt>
                <c:pt idx="1673">
                  <c:v>1729.98</c:v>
                </c:pt>
                <c:pt idx="1674">
                  <c:v>1729.98</c:v>
                </c:pt>
                <c:pt idx="1675">
                  <c:v>1729.98</c:v>
                </c:pt>
                <c:pt idx="1676">
                  <c:v>1722.92</c:v>
                </c:pt>
                <c:pt idx="1677">
                  <c:v>1744.1</c:v>
                </c:pt>
                <c:pt idx="1678">
                  <c:v>1799.88</c:v>
                </c:pt>
                <c:pt idx="1679">
                  <c:v>1799.88</c:v>
                </c:pt>
                <c:pt idx="1680">
                  <c:v>1799.88</c:v>
                </c:pt>
                <c:pt idx="1681">
                  <c:v>1800.59</c:v>
                </c:pt>
                <c:pt idx="1682">
                  <c:v>1800.59</c:v>
                </c:pt>
                <c:pt idx="1683">
                  <c:v>1765.28</c:v>
                </c:pt>
                <c:pt idx="1684">
                  <c:v>1729.98</c:v>
                </c:pt>
                <c:pt idx="1685">
                  <c:v>1729.98</c:v>
                </c:pt>
                <c:pt idx="1686">
                  <c:v>1765.28</c:v>
                </c:pt>
                <c:pt idx="1687">
                  <c:v>1782.94</c:v>
                </c:pt>
                <c:pt idx="1688">
                  <c:v>1764.58</c:v>
                </c:pt>
                <c:pt idx="1689">
                  <c:v>1765.28</c:v>
                </c:pt>
                <c:pt idx="1690">
                  <c:v>1765.28</c:v>
                </c:pt>
                <c:pt idx="1691">
                  <c:v>1765.28</c:v>
                </c:pt>
                <c:pt idx="1692">
                  <c:v>1765.28</c:v>
                </c:pt>
                <c:pt idx="1693">
                  <c:v>1765.28</c:v>
                </c:pt>
                <c:pt idx="1694">
                  <c:v>1729.98</c:v>
                </c:pt>
                <c:pt idx="1695">
                  <c:v>1694.67</c:v>
                </c:pt>
                <c:pt idx="1696">
                  <c:v>1694.67</c:v>
                </c:pt>
                <c:pt idx="1697">
                  <c:v>1693.97</c:v>
                </c:pt>
                <c:pt idx="1698">
                  <c:v>1693.97</c:v>
                </c:pt>
                <c:pt idx="1699">
                  <c:v>1684.08</c:v>
                </c:pt>
                <c:pt idx="1700">
                  <c:v>1684.08</c:v>
                </c:pt>
                <c:pt idx="1701">
                  <c:v>1684.08</c:v>
                </c:pt>
                <c:pt idx="1702">
                  <c:v>1677.02</c:v>
                </c:pt>
                <c:pt idx="1703">
                  <c:v>1673.49</c:v>
                </c:pt>
                <c:pt idx="1704">
                  <c:v>1659.37</c:v>
                </c:pt>
                <c:pt idx="1705">
                  <c:v>1659.37</c:v>
                </c:pt>
                <c:pt idx="1706">
                  <c:v>1659.37</c:v>
                </c:pt>
                <c:pt idx="1707">
                  <c:v>1659.37</c:v>
                </c:pt>
                <c:pt idx="1708">
                  <c:v>1659.37</c:v>
                </c:pt>
                <c:pt idx="1709">
                  <c:v>1659.37</c:v>
                </c:pt>
                <c:pt idx="1710">
                  <c:v>1659.37</c:v>
                </c:pt>
                <c:pt idx="1711">
                  <c:v>1659.37</c:v>
                </c:pt>
                <c:pt idx="1712">
                  <c:v>1684.08</c:v>
                </c:pt>
                <c:pt idx="1713">
                  <c:v>1669.25</c:v>
                </c:pt>
                <c:pt idx="1714">
                  <c:v>1669.25</c:v>
                </c:pt>
                <c:pt idx="1715">
                  <c:v>1637.89</c:v>
                </c:pt>
                <c:pt idx="1716">
                  <c:v>1637.89</c:v>
                </c:pt>
                <c:pt idx="1717">
                  <c:v>1637.89</c:v>
                </c:pt>
                <c:pt idx="1718">
                  <c:v>1637.89</c:v>
                </c:pt>
                <c:pt idx="1719">
                  <c:v>1637.89</c:v>
                </c:pt>
                <c:pt idx="1720">
                  <c:v>1637.89</c:v>
                </c:pt>
                <c:pt idx="1721">
                  <c:v>1637.89</c:v>
                </c:pt>
                <c:pt idx="1722">
                  <c:v>1637.89</c:v>
                </c:pt>
                <c:pt idx="1723">
                  <c:v>1603.74</c:v>
                </c:pt>
                <c:pt idx="1724">
                  <c:v>1676.22</c:v>
                </c:pt>
                <c:pt idx="1725">
                  <c:v>1700.62</c:v>
                </c:pt>
                <c:pt idx="1726">
                  <c:v>1714.55</c:v>
                </c:pt>
                <c:pt idx="1727">
                  <c:v>1735.46</c:v>
                </c:pt>
                <c:pt idx="1728">
                  <c:v>1742.43</c:v>
                </c:pt>
                <c:pt idx="1729">
                  <c:v>1742.43</c:v>
                </c:pt>
                <c:pt idx="1730">
                  <c:v>1742.43</c:v>
                </c:pt>
                <c:pt idx="1731">
                  <c:v>1881.83</c:v>
                </c:pt>
                <c:pt idx="1732">
                  <c:v>1881.83</c:v>
                </c:pt>
                <c:pt idx="1733">
                  <c:v>1895.77</c:v>
                </c:pt>
                <c:pt idx="1734">
                  <c:v>1895.77</c:v>
                </c:pt>
                <c:pt idx="1735">
                  <c:v>1895.77</c:v>
                </c:pt>
                <c:pt idx="1736">
                  <c:v>1881.83</c:v>
                </c:pt>
                <c:pt idx="1737">
                  <c:v>1881.83</c:v>
                </c:pt>
                <c:pt idx="1738">
                  <c:v>1934.1</c:v>
                </c:pt>
                <c:pt idx="1739">
                  <c:v>1934.1</c:v>
                </c:pt>
                <c:pt idx="1740">
                  <c:v>1916.68</c:v>
                </c:pt>
                <c:pt idx="1741">
                  <c:v>1944.56</c:v>
                </c:pt>
                <c:pt idx="1742">
                  <c:v>1944.56</c:v>
                </c:pt>
                <c:pt idx="1743">
                  <c:v>1944.56</c:v>
                </c:pt>
                <c:pt idx="1744">
                  <c:v>1944.56</c:v>
                </c:pt>
                <c:pt idx="1745">
                  <c:v>1944.56</c:v>
                </c:pt>
                <c:pt idx="1746">
                  <c:v>1846.98</c:v>
                </c:pt>
                <c:pt idx="1747">
                  <c:v>1846.98</c:v>
                </c:pt>
                <c:pt idx="1748">
                  <c:v>1747.31</c:v>
                </c:pt>
                <c:pt idx="1749">
                  <c:v>1735.46</c:v>
                </c:pt>
                <c:pt idx="1750">
                  <c:v>1735.46</c:v>
                </c:pt>
                <c:pt idx="1751">
                  <c:v>1711.07</c:v>
                </c:pt>
                <c:pt idx="1752">
                  <c:v>1700.62</c:v>
                </c:pt>
                <c:pt idx="1753">
                  <c:v>1711.07</c:v>
                </c:pt>
                <c:pt idx="1754">
                  <c:v>1690.16</c:v>
                </c:pt>
                <c:pt idx="1755">
                  <c:v>1690.16</c:v>
                </c:pt>
                <c:pt idx="1756">
                  <c:v>1690.16</c:v>
                </c:pt>
                <c:pt idx="1757">
                  <c:v>1672.74</c:v>
                </c:pt>
                <c:pt idx="1758">
                  <c:v>1672.74</c:v>
                </c:pt>
                <c:pt idx="1759">
                  <c:v>1672.74</c:v>
                </c:pt>
                <c:pt idx="1760">
                  <c:v>1706.89</c:v>
                </c:pt>
                <c:pt idx="1761">
                  <c:v>1706.89</c:v>
                </c:pt>
                <c:pt idx="1762">
                  <c:v>1706.89</c:v>
                </c:pt>
                <c:pt idx="1763">
                  <c:v>1706.89</c:v>
                </c:pt>
                <c:pt idx="1764">
                  <c:v>1706.89</c:v>
                </c:pt>
                <c:pt idx="1765">
                  <c:v>1706.89</c:v>
                </c:pt>
                <c:pt idx="1766">
                  <c:v>1707.59</c:v>
                </c:pt>
                <c:pt idx="1767">
                  <c:v>1707.59</c:v>
                </c:pt>
                <c:pt idx="1768">
                  <c:v>1707.59</c:v>
                </c:pt>
                <c:pt idx="1769">
                  <c:v>1672.74</c:v>
                </c:pt>
                <c:pt idx="1770">
                  <c:v>1572.37</c:v>
                </c:pt>
                <c:pt idx="1771">
                  <c:v>1533.34</c:v>
                </c:pt>
                <c:pt idx="1772">
                  <c:v>1533.34</c:v>
                </c:pt>
                <c:pt idx="1773">
                  <c:v>1533.34</c:v>
                </c:pt>
                <c:pt idx="1774">
                  <c:v>1721.52</c:v>
                </c:pt>
                <c:pt idx="1775">
                  <c:v>1721.52</c:v>
                </c:pt>
                <c:pt idx="1776">
                  <c:v>1721.52</c:v>
                </c:pt>
                <c:pt idx="1777">
                  <c:v>1721.52</c:v>
                </c:pt>
                <c:pt idx="1778">
                  <c:v>1707.59</c:v>
                </c:pt>
                <c:pt idx="1779">
                  <c:v>1707.59</c:v>
                </c:pt>
                <c:pt idx="1780">
                  <c:v>1707.59</c:v>
                </c:pt>
                <c:pt idx="1781">
                  <c:v>1707.59</c:v>
                </c:pt>
                <c:pt idx="1782">
                  <c:v>1707.59</c:v>
                </c:pt>
                <c:pt idx="1783">
                  <c:v>1714.55</c:v>
                </c:pt>
                <c:pt idx="1784">
                  <c:v>1742.43</c:v>
                </c:pt>
                <c:pt idx="1785">
                  <c:v>1734.77</c:v>
                </c:pt>
                <c:pt idx="1786">
                  <c:v>1759.86</c:v>
                </c:pt>
                <c:pt idx="1787">
                  <c:v>1759.86</c:v>
                </c:pt>
                <c:pt idx="1788">
                  <c:v>1759.86</c:v>
                </c:pt>
                <c:pt idx="1789">
                  <c:v>1777.28</c:v>
                </c:pt>
                <c:pt idx="1790">
                  <c:v>1777.28</c:v>
                </c:pt>
                <c:pt idx="1791">
                  <c:v>1784.25</c:v>
                </c:pt>
                <c:pt idx="1792">
                  <c:v>1846.98</c:v>
                </c:pt>
                <c:pt idx="1793">
                  <c:v>1846.98</c:v>
                </c:pt>
                <c:pt idx="1794">
                  <c:v>1812.13</c:v>
                </c:pt>
                <c:pt idx="1795">
                  <c:v>1812.13</c:v>
                </c:pt>
                <c:pt idx="1796">
                  <c:v>1812.13</c:v>
                </c:pt>
                <c:pt idx="1797">
                  <c:v>1742.43</c:v>
                </c:pt>
                <c:pt idx="1798">
                  <c:v>1742.43</c:v>
                </c:pt>
                <c:pt idx="1799">
                  <c:v>1683.19</c:v>
                </c:pt>
                <c:pt idx="1800">
                  <c:v>1690.16</c:v>
                </c:pt>
                <c:pt idx="1801">
                  <c:v>1690.16</c:v>
                </c:pt>
                <c:pt idx="1802">
                  <c:v>1672.74</c:v>
                </c:pt>
                <c:pt idx="1803">
                  <c:v>1662.28</c:v>
                </c:pt>
                <c:pt idx="1804">
                  <c:v>1651.83</c:v>
                </c:pt>
                <c:pt idx="1805">
                  <c:v>1672.74</c:v>
                </c:pt>
                <c:pt idx="1806">
                  <c:v>1690.16</c:v>
                </c:pt>
                <c:pt idx="1807">
                  <c:v>1690.16</c:v>
                </c:pt>
                <c:pt idx="1808">
                  <c:v>1690.16</c:v>
                </c:pt>
                <c:pt idx="1809">
                  <c:v>1690.16</c:v>
                </c:pt>
                <c:pt idx="1810">
                  <c:v>1637.89</c:v>
                </c:pt>
                <c:pt idx="1811">
                  <c:v>1603.04</c:v>
                </c:pt>
                <c:pt idx="1812">
                  <c:v>1603.04</c:v>
                </c:pt>
                <c:pt idx="1813">
                  <c:v>1603.04</c:v>
                </c:pt>
                <c:pt idx="1814">
                  <c:v>1602.34</c:v>
                </c:pt>
                <c:pt idx="1815">
                  <c:v>1602.34</c:v>
                </c:pt>
                <c:pt idx="1816">
                  <c:v>1602.34</c:v>
                </c:pt>
                <c:pt idx="1817">
                  <c:v>1602.34</c:v>
                </c:pt>
                <c:pt idx="1818">
                  <c:v>1603.04</c:v>
                </c:pt>
                <c:pt idx="1819">
                  <c:v>1603.04</c:v>
                </c:pt>
                <c:pt idx="1820">
                  <c:v>1533.34</c:v>
                </c:pt>
                <c:pt idx="1821">
                  <c:v>1533.34</c:v>
                </c:pt>
                <c:pt idx="1822">
                  <c:v>1533.34</c:v>
                </c:pt>
                <c:pt idx="1823">
                  <c:v>1533.34</c:v>
                </c:pt>
                <c:pt idx="1824">
                  <c:v>1533.34</c:v>
                </c:pt>
                <c:pt idx="1825">
                  <c:v>1533.34</c:v>
                </c:pt>
                <c:pt idx="1826">
                  <c:v>1568.19</c:v>
                </c:pt>
                <c:pt idx="1827">
                  <c:v>1568.19</c:v>
                </c:pt>
                <c:pt idx="1828">
                  <c:v>1568.19</c:v>
                </c:pt>
                <c:pt idx="1829">
                  <c:v>1568.19</c:v>
                </c:pt>
                <c:pt idx="1830">
                  <c:v>1568.19</c:v>
                </c:pt>
                <c:pt idx="1831">
                  <c:v>1568.19</c:v>
                </c:pt>
                <c:pt idx="1832">
                  <c:v>1481.07</c:v>
                </c:pt>
                <c:pt idx="1833">
                  <c:v>1481.07</c:v>
                </c:pt>
                <c:pt idx="1834">
                  <c:v>1481.07</c:v>
                </c:pt>
                <c:pt idx="1835">
                  <c:v>1481.07</c:v>
                </c:pt>
                <c:pt idx="1836">
                  <c:v>1481.07</c:v>
                </c:pt>
                <c:pt idx="1837">
                  <c:v>1481.07</c:v>
                </c:pt>
                <c:pt idx="1838">
                  <c:v>1477.78</c:v>
                </c:pt>
                <c:pt idx="1839">
                  <c:v>1477.78</c:v>
                </c:pt>
                <c:pt idx="1840">
                  <c:v>1477.78</c:v>
                </c:pt>
                <c:pt idx="1841">
                  <c:v>1477.78</c:v>
                </c:pt>
                <c:pt idx="1842">
                  <c:v>1477.78</c:v>
                </c:pt>
                <c:pt idx="1843">
                  <c:v>1477.78</c:v>
                </c:pt>
                <c:pt idx="1844">
                  <c:v>1510.62</c:v>
                </c:pt>
                <c:pt idx="1845">
                  <c:v>1477.78</c:v>
                </c:pt>
                <c:pt idx="1846">
                  <c:v>1477.78</c:v>
                </c:pt>
                <c:pt idx="1847">
                  <c:v>1477.78</c:v>
                </c:pt>
                <c:pt idx="1848">
                  <c:v>1484.35</c:v>
                </c:pt>
                <c:pt idx="1849">
                  <c:v>1477.78</c:v>
                </c:pt>
                <c:pt idx="1850">
                  <c:v>1448.23</c:v>
                </c:pt>
                <c:pt idx="1851">
                  <c:v>1507.34</c:v>
                </c:pt>
                <c:pt idx="1852">
                  <c:v>1507.34</c:v>
                </c:pt>
                <c:pt idx="1853">
                  <c:v>1494.2</c:v>
                </c:pt>
                <c:pt idx="1854">
                  <c:v>1477.78</c:v>
                </c:pt>
                <c:pt idx="1855">
                  <c:v>1477.78</c:v>
                </c:pt>
                <c:pt idx="1856">
                  <c:v>1445.6</c:v>
                </c:pt>
                <c:pt idx="1857">
                  <c:v>1445.6</c:v>
                </c:pt>
                <c:pt idx="1858">
                  <c:v>1444.95</c:v>
                </c:pt>
                <c:pt idx="1859">
                  <c:v>1444.95</c:v>
                </c:pt>
                <c:pt idx="1860">
                  <c:v>1444.95</c:v>
                </c:pt>
                <c:pt idx="1861">
                  <c:v>1379.27</c:v>
                </c:pt>
                <c:pt idx="1862">
                  <c:v>1380.58</c:v>
                </c:pt>
                <c:pt idx="1863">
                  <c:v>1379.27</c:v>
                </c:pt>
                <c:pt idx="1864">
                  <c:v>1297.17</c:v>
                </c:pt>
                <c:pt idx="1865">
                  <c:v>1297.17</c:v>
                </c:pt>
                <c:pt idx="1866">
                  <c:v>1297.17</c:v>
                </c:pt>
                <c:pt idx="1867">
                  <c:v>1297.17</c:v>
                </c:pt>
                <c:pt idx="1868">
                  <c:v>1437.72</c:v>
                </c:pt>
                <c:pt idx="1869">
                  <c:v>1458.08</c:v>
                </c:pt>
                <c:pt idx="1870">
                  <c:v>1458.08</c:v>
                </c:pt>
                <c:pt idx="1871">
                  <c:v>1444.95</c:v>
                </c:pt>
                <c:pt idx="1872">
                  <c:v>1444.95</c:v>
                </c:pt>
                <c:pt idx="1873">
                  <c:v>1441.66</c:v>
                </c:pt>
                <c:pt idx="1874">
                  <c:v>1441.66</c:v>
                </c:pt>
                <c:pt idx="1875">
                  <c:v>1438.38</c:v>
                </c:pt>
                <c:pt idx="1876">
                  <c:v>1346.43</c:v>
                </c:pt>
                <c:pt idx="1877">
                  <c:v>1366.13</c:v>
                </c:pt>
                <c:pt idx="1878">
                  <c:v>1451.51</c:v>
                </c:pt>
                <c:pt idx="1879">
                  <c:v>1379.27</c:v>
                </c:pt>
                <c:pt idx="1880">
                  <c:v>1379.27</c:v>
                </c:pt>
                <c:pt idx="1881">
                  <c:v>1510.62</c:v>
                </c:pt>
                <c:pt idx="1882">
                  <c:v>1510.62</c:v>
                </c:pt>
                <c:pt idx="1883">
                  <c:v>1379.27</c:v>
                </c:pt>
                <c:pt idx="1884">
                  <c:v>1313.59</c:v>
                </c:pt>
                <c:pt idx="1885">
                  <c:v>1346.43</c:v>
                </c:pt>
                <c:pt idx="1886">
                  <c:v>1346.43</c:v>
                </c:pt>
                <c:pt idx="1887">
                  <c:v>1346.43</c:v>
                </c:pt>
                <c:pt idx="1888">
                  <c:v>1346.43</c:v>
                </c:pt>
                <c:pt idx="1889">
                  <c:v>1346.43</c:v>
                </c:pt>
                <c:pt idx="1890">
                  <c:v>1379.27</c:v>
                </c:pt>
                <c:pt idx="1891">
                  <c:v>1379.27</c:v>
                </c:pt>
                <c:pt idx="1892">
                  <c:v>1379.27</c:v>
                </c:pt>
                <c:pt idx="1893">
                  <c:v>1379.27</c:v>
                </c:pt>
                <c:pt idx="1894">
                  <c:v>1379.92</c:v>
                </c:pt>
                <c:pt idx="1895">
                  <c:v>1382.55</c:v>
                </c:pt>
                <c:pt idx="1896">
                  <c:v>1389.12</c:v>
                </c:pt>
                <c:pt idx="1897">
                  <c:v>1438.38</c:v>
                </c:pt>
                <c:pt idx="1898">
                  <c:v>1425.24</c:v>
                </c:pt>
                <c:pt idx="1899">
                  <c:v>1425.24</c:v>
                </c:pt>
                <c:pt idx="1900">
                  <c:v>1379.27</c:v>
                </c:pt>
                <c:pt idx="1901">
                  <c:v>1379.27</c:v>
                </c:pt>
                <c:pt idx="1902">
                  <c:v>1362.85</c:v>
                </c:pt>
                <c:pt idx="1903">
                  <c:v>1379.27</c:v>
                </c:pt>
                <c:pt idx="1904">
                  <c:v>1379.27</c:v>
                </c:pt>
                <c:pt idx="1905">
                  <c:v>1379.27</c:v>
                </c:pt>
                <c:pt idx="1906">
                  <c:v>1379.27</c:v>
                </c:pt>
                <c:pt idx="1907">
                  <c:v>1379.27</c:v>
                </c:pt>
                <c:pt idx="1908">
                  <c:v>1379.27</c:v>
                </c:pt>
                <c:pt idx="1909">
                  <c:v>1379.27</c:v>
                </c:pt>
                <c:pt idx="1910">
                  <c:v>1293.88</c:v>
                </c:pt>
                <c:pt idx="1911">
                  <c:v>1293.88</c:v>
                </c:pt>
                <c:pt idx="1912">
                  <c:v>1267.61</c:v>
                </c:pt>
                <c:pt idx="1913">
                  <c:v>1293.88</c:v>
                </c:pt>
                <c:pt idx="1914">
                  <c:v>1280.75</c:v>
                </c:pt>
                <c:pt idx="1915">
                  <c:v>1231.49</c:v>
                </c:pt>
                <c:pt idx="1916">
                  <c:v>1234.77</c:v>
                </c:pt>
                <c:pt idx="1917">
                  <c:v>1230.17</c:v>
                </c:pt>
                <c:pt idx="1918">
                  <c:v>1215.07</c:v>
                </c:pt>
                <c:pt idx="1919">
                  <c:v>1227.55</c:v>
                </c:pt>
                <c:pt idx="1920">
                  <c:v>1195.36</c:v>
                </c:pt>
                <c:pt idx="1921">
                  <c:v>1195.36</c:v>
                </c:pt>
                <c:pt idx="1922">
                  <c:v>1228.2</c:v>
                </c:pt>
                <c:pt idx="1923">
                  <c:v>1228.2</c:v>
                </c:pt>
                <c:pt idx="1924">
                  <c:v>1228.2</c:v>
                </c:pt>
                <c:pt idx="1925">
                  <c:v>1228.2</c:v>
                </c:pt>
                <c:pt idx="1926">
                  <c:v>1228.2</c:v>
                </c:pt>
                <c:pt idx="1927">
                  <c:v>1230.17</c:v>
                </c:pt>
                <c:pt idx="1928">
                  <c:v>1230.83</c:v>
                </c:pt>
                <c:pt idx="1929">
                  <c:v>1230.83</c:v>
                </c:pt>
                <c:pt idx="1930">
                  <c:v>1231.49</c:v>
                </c:pt>
                <c:pt idx="1931">
                  <c:v>1231.49</c:v>
                </c:pt>
                <c:pt idx="1932">
                  <c:v>1231.49</c:v>
                </c:pt>
                <c:pt idx="1933">
                  <c:v>1211.78</c:v>
                </c:pt>
                <c:pt idx="1934">
                  <c:v>1234.77</c:v>
                </c:pt>
                <c:pt idx="1935">
                  <c:v>1234.77</c:v>
                </c:pt>
                <c:pt idx="1936">
                  <c:v>1247.91</c:v>
                </c:pt>
                <c:pt idx="1937">
                  <c:v>1247.91</c:v>
                </c:pt>
                <c:pt idx="1938">
                  <c:v>1247.91</c:v>
                </c:pt>
                <c:pt idx="1939">
                  <c:v>1247.91</c:v>
                </c:pt>
                <c:pt idx="1940">
                  <c:v>1247.91</c:v>
                </c:pt>
                <c:pt idx="1941">
                  <c:v>1247.91</c:v>
                </c:pt>
                <c:pt idx="1942">
                  <c:v>1247.91</c:v>
                </c:pt>
                <c:pt idx="1943">
                  <c:v>1247.91</c:v>
                </c:pt>
                <c:pt idx="1944">
                  <c:v>1247.91</c:v>
                </c:pt>
                <c:pt idx="1945">
                  <c:v>1247.91</c:v>
                </c:pt>
                <c:pt idx="1946">
                  <c:v>1247.91</c:v>
                </c:pt>
                <c:pt idx="1947">
                  <c:v>1185.51</c:v>
                </c:pt>
                <c:pt idx="1948">
                  <c:v>1169.09</c:v>
                </c:pt>
                <c:pt idx="1949">
                  <c:v>1159.24</c:v>
                </c:pt>
                <c:pt idx="1950">
                  <c:v>1169.09</c:v>
                </c:pt>
                <c:pt idx="1951">
                  <c:v>1162.52</c:v>
                </c:pt>
                <c:pt idx="1952">
                  <c:v>1175.66</c:v>
                </c:pt>
                <c:pt idx="1953">
                  <c:v>1175.66</c:v>
                </c:pt>
                <c:pt idx="1954">
                  <c:v>1208.5</c:v>
                </c:pt>
                <c:pt idx="1955">
                  <c:v>1247.91</c:v>
                </c:pt>
                <c:pt idx="1956">
                  <c:v>1247.91</c:v>
                </c:pt>
                <c:pt idx="1957">
                  <c:v>1270.89</c:v>
                </c:pt>
                <c:pt idx="1958">
                  <c:v>1280.75</c:v>
                </c:pt>
                <c:pt idx="1959">
                  <c:v>1293.88</c:v>
                </c:pt>
                <c:pt idx="1960">
                  <c:v>1313.59</c:v>
                </c:pt>
                <c:pt idx="1961">
                  <c:v>1303.08</c:v>
                </c:pt>
                <c:pt idx="1962">
                  <c:v>1361.42</c:v>
                </c:pt>
                <c:pt idx="1963">
                  <c:v>1393.84</c:v>
                </c:pt>
                <c:pt idx="1964">
                  <c:v>1393.84</c:v>
                </c:pt>
                <c:pt idx="1965">
                  <c:v>1393.84</c:v>
                </c:pt>
                <c:pt idx="1966">
                  <c:v>1393.84</c:v>
                </c:pt>
                <c:pt idx="1967">
                  <c:v>1393.84</c:v>
                </c:pt>
                <c:pt idx="1968">
                  <c:v>1426.25</c:v>
                </c:pt>
                <c:pt idx="1969">
                  <c:v>1400.32</c:v>
                </c:pt>
                <c:pt idx="1970">
                  <c:v>1400.32</c:v>
                </c:pt>
                <c:pt idx="1971">
                  <c:v>1400.32</c:v>
                </c:pt>
                <c:pt idx="1972">
                  <c:v>1393.84</c:v>
                </c:pt>
                <c:pt idx="1973">
                  <c:v>1393.84</c:v>
                </c:pt>
                <c:pt idx="1974">
                  <c:v>1393.84</c:v>
                </c:pt>
                <c:pt idx="1975">
                  <c:v>1361.42</c:v>
                </c:pt>
                <c:pt idx="1976">
                  <c:v>1361.42</c:v>
                </c:pt>
                <c:pt idx="1977">
                  <c:v>1361.42</c:v>
                </c:pt>
                <c:pt idx="1978">
                  <c:v>1361.42</c:v>
                </c:pt>
                <c:pt idx="1979">
                  <c:v>1393.84</c:v>
                </c:pt>
                <c:pt idx="1980">
                  <c:v>1393.84</c:v>
                </c:pt>
                <c:pt idx="1981">
                  <c:v>1393.84</c:v>
                </c:pt>
                <c:pt idx="1982">
                  <c:v>1393.84</c:v>
                </c:pt>
                <c:pt idx="1983">
                  <c:v>1377.63</c:v>
                </c:pt>
                <c:pt idx="1984">
                  <c:v>1361.42</c:v>
                </c:pt>
                <c:pt idx="1985">
                  <c:v>1361.42</c:v>
                </c:pt>
                <c:pt idx="1986">
                  <c:v>1361.42</c:v>
                </c:pt>
                <c:pt idx="1987">
                  <c:v>1383.47</c:v>
                </c:pt>
                <c:pt idx="1988">
                  <c:v>1383.47</c:v>
                </c:pt>
                <c:pt idx="1989">
                  <c:v>1384.11</c:v>
                </c:pt>
                <c:pt idx="1990">
                  <c:v>1377.63</c:v>
                </c:pt>
                <c:pt idx="1991">
                  <c:v>1377.63</c:v>
                </c:pt>
                <c:pt idx="1992">
                  <c:v>1329.01</c:v>
                </c:pt>
                <c:pt idx="1993">
                  <c:v>1303.08</c:v>
                </c:pt>
                <c:pt idx="1994">
                  <c:v>1296.59</c:v>
                </c:pt>
                <c:pt idx="1995">
                  <c:v>1299.84</c:v>
                </c:pt>
                <c:pt idx="1996">
                  <c:v>1264.18</c:v>
                </c:pt>
                <c:pt idx="1997">
                  <c:v>1296.59</c:v>
                </c:pt>
                <c:pt idx="1998">
                  <c:v>1296.59</c:v>
                </c:pt>
                <c:pt idx="1999">
                  <c:v>1296.59</c:v>
                </c:pt>
                <c:pt idx="2000">
                  <c:v>1296.59</c:v>
                </c:pt>
                <c:pt idx="2001">
                  <c:v>1283.63</c:v>
                </c:pt>
                <c:pt idx="2002">
                  <c:v>1264.18</c:v>
                </c:pt>
                <c:pt idx="2003">
                  <c:v>1257.7</c:v>
                </c:pt>
                <c:pt idx="2004">
                  <c:v>1296.59</c:v>
                </c:pt>
                <c:pt idx="2005">
                  <c:v>1296.59</c:v>
                </c:pt>
                <c:pt idx="2006">
                  <c:v>1375.69</c:v>
                </c:pt>
                <c:pt idx="2007">
                  <c:v>1426.25</c:v>
                </c:pt>
                <c:pt idx="2008">
                  <c:v>1458.67</c:v>
                </c:pt>
                <c:pt idx="2009">
                  <c:v>1458.67</c:v>
                </c:pt>
                <c:pt idx="2010">
                  <c:v>1458.67</c:v>
                </c:pt>
                <c:pt idx="2011">
                  <c:v>1458.67</c:v>
                </c:pt>
                <c:pt idx="2012">
                  <c:v>1458.67</c:v>
                </c:pt>
                <c:pt idx="2013">
                  <c:v>1452.19</c:v>
                </c:pt>
                <c:pt idx="2014">
                  <c:v>1426.25</c:v>
                </c:pt>
                <c:pt idx="2015">
                  <c:v>1393.84</c:v>
                </c:pt>
                <c:pt idx="2016">
                  <c:v>1361.42</c:v>
                </c:pt>
                <c:pt idx="2017">
                  <c:v>1368.56</c:v>
                </c:pt>
                <c:pt idx="2018">
                  <c:v>1361.42</c:v>
                </c:pt>
                <c:pt idx="2019">
                  <c:v>1361.42</c:v>
                </c:pt>
                <c:pt idx="2020">
                  <c:v>1235.01</c:v>
                </c:pt>
                <c:pt idx="2021">
                  <c:v>1235.01</c:v>
                </c:pt>
                <c:pt idx="2022">
                  <c:v>1245.38</c:v>
                </c:pt>
                <c:pt idx="2023">
                  <c:v>1235.01</c:v>
                </c:pt>
                <c:pt idx="2024">
                  <c:v>1231.77</c:v>
                </c:pt>
                <c:pt idx="2025">
                  <c:v>1231.77</c:v>
                </c:pt>
                <c:pt idx="2026">
                  <c:v>1231.77</c:v>
                </c:pt>
                <c:pt idx="2027">
                  <c:v>1231.77</c:v>
                </c:pt>
                <c:pt idx="2028">
                  <c:v>1218.8</c:v>
                </c:pt>
                <c:pt idx="2029">
                  <c:v>1183.14</c:v>
                </c:pt>
                <c:pt idx="2030">
                  <c:v>1183.14</c:v>
                </c:pt>
                <c:pt idx="2031">
                  <c:v>1199.35</c:v>
                </c:pt>
                <c:pt idx="2032">
                  <c:v>1199.35</c:v>
                </c:pt>
                <c:pt idx="2033">
                  <c:v>1199.35</c:v>
                </c:pt>
                <c:pt idx="2034">
                  <c:v>1218.8</c:v>
                </c:pt>
                <c:pt idx="2035">
                  <c:v>1166.94</c:v>
                </c:pt>
                <c:pt idx="2036">
                  <c:v>1102.75</c:v>
                </c:pt>
                <c:pt idx="2037">
                  <c:v>1102.75</c:v>
                </c:pt>
                <c:pt idx="2038">
                  <c:v>1205.83</c:v>
                </c:pt>
                <c:pt idx="2039">
                  <c:v>1205.83</c:v>
                </c:pt>
                <c:pt idx="2040">
                  <c:v>1102.11</c:v>
                </c:pt>
                <c:pt idx="2041">
                  <c:v>1037.92</c:v>
                </c:pt>
                <c:pt idx="2042">
                  <c:v>1037.92</c:v>
                </c:pt>
                <c:pt idx="2043">
                  <c:v>1037.92</c:v>
                </c:pt>
                <c:pt idx="2044">
                  <c:v>1037.92</c:v>
                </c:pt>
                <c:pt idx="2045">
                  <c:v>1069.69</c:v>
                </c:pt>
                <c:pt idx="2046">
                  <c:v>1073.58</c:v>
                </c:pt>
                <c:pt idx="2047">
                  <c:v>1076.17</c:v>
                </c:pt>
                <c:pt idx="2048">
                  <c:v>1102.11</c:v>
                </c:pt>
                <c:pt idx="2049">
                  <c:v>1133.22</c:v>
                </c:pt>
                <c:pt idx="2050">
                  <c:v>1134.52</c:v>
                </c:pt>
                <c:pt idx="2051">
                  <c:v>1150.73</c:v>
                </c:pt>
                <c:pt idx="2052">
                  <c:v>1173.42</c:v>
                </c:pt>
                <c:pt idx="2053">
                  <c:v>1179.9</c:v>
                </c:pt>
                <c:pt idx="2054">
                  <c:v>1186.38</c:v>
                </c:pt>
                <c:pt idx="2055">
                  <c:v>1170.18</c:v>
                </c:pt>
                <c:pt idx="2056">
                  <c:v>1170.18</c:v>
                </c:pt>
                <c:pt idx="2057">
                  <c:v>1228.52</c:v>
                </c:pt>
                <c:pt idx="2058">
                  <c:v>1228.52</c:v>
                </c:pt>
                <c:pt idx="2059">
                  <c:v>1228.52</c:v>
                </c:pt>
                <c:pt idx="2060">
                  <c:v>1231.77</c:v>
                </c:pt>
                <c:pt idx="2061">
                  <c:v>1202.59</c:v>
                </c:pt>
                <c:pt idx="2062">
                  <c:v>1199.35</c:v>
                </c:pt>
                <c:pt idx="2063">
                  <c:v>1166.94</c:v>
                </c:pt>
                <c:pt idx="2064">
                  <c:v>1166.94</c:v>
                </c:pt>
                <c:pt idx="2065">
                  <c:v>1199.35</c:v>
                </c:pt>
                <c:pt idx="2066">
                  <c:v>1176.66</c:v>
                </c:pt>
                <c:pt idx="2067">
                  <c:v>1183.14</c:v>
                </c:pt>
                <c:pt idx="2068">
                  <c:v>1231.77</c:v>
                </c:pt>
                <c:pt idx="2069">
                  <c:v>1231.77</c:v>
                </c:pt>
                <c:pt idx="2070">
                  <c:v>1260.94</c:v>
                </c:pt>
                <c:pt idx="2071">
                  <c:v>1260.94</c:v>
                </c:pt>
                <c:pt idx="2072">
                  <c:v>1260.94</c:v>
                </c:pt>
                <c:pt idx="2073">
                  <c:v>1277.15</c:v>
                </c:pt>
                <c:pt idx="2074">
                  <c:v>1277.15</c:v>
                </c:pt>
                <c:pt idx="2075">
                  <c:v>1277.15</c:v>
                </c:pt>
                <c:pt idx="2076">
                  <c:v>1264.18</c:v>
                </c:pt>
                <c:pt idx="2077">
                  <c:v>1264.18</c:v>
                </c:pt>
                <c:pt idx="2078">
                  <c:v>1277.15</c:v>
                </c:pt>
                <c:pt idx="2079">
                  <c:v>1264.18</c:v>
                </c:pt>
                <c:pt idx="2080">
                  <c:v>1240.19</c:v>
                </c:pt>
                <c:pt idx="2081">
                  <c:v>1240.19</c:v>
                </c:pt>
                <c:pt idx="2082">
                  <c:v>1240.19</c:v>
                </c:pt>
                <c:pt idx="2083">
                  <c:v>1240.19</c:v>
                </c:pt>
                <c:pt idx="2084">
                  <c:v>1252.59</c:v>
                </c:pt>
                <c:pt idx="2085">
                  <c:v>1240.19</c:v>
                </c:pt>
                <c:pt idx="2086">
                  <c:v>1240.19</c:v>
                </c:pt>
                <c:pt idx="2087">
                  <c:v>1209.19</c:v>
                </c:pt>
                <c:pt idx="2088">
                  <c:v>1240.19</c:v>
                </c:pt>
                <c:pt idx="2089">
                  <c:v>1261.9</c:v>
                </c:pt>
                <c:pt idx="2090">
                  <c:v>1277.4</c:v>
                </c:pt>
                <c:pt idx="2091">
                  <c:v>1277.4</c:v>
                </c:pt>
                <c:pt idx="2092">
                  <c:v>1240.19</c:v>
                </c:pt>
                <c:pt idx="2093">
                  <c:v>1299.1</c:v>
                </c:pt>
                <c:pt idx="2094">
                  <c:v>1302.2</c:v>
                </c:pt>
                <c:pt idx="2095">
                  <c:v>1302.2</c:v>
                </c:pt>
                <c:pt idx="2096">
                  <c:v>1302.2</c:v>
                </c:pt>
                <c:pt idx="2097">
                  <c:v>1333.21</c:v>
                </c:pt>
                <c:pt idx="2098">
                  <c:v>1364.21</c:v>
                </c:pt>
                <c:pt idx="2099">
                  <c:v>1426.22</c:v>
                </c:pt>
                <c:pt idx="2100">
                  <c:v>1475.83</c:v>
                </c:pt>
                <c:pt idx="2101">
                  <c:v>1475.83</c:v>
                </c:pt>
                <c:pt idx="2102">
                  <c:v>1463.43</c:v>
                </c:pt>
                <c:pt idx="2103">
                  <c:v>1438.62</c:v>
                </c:pt>
                <c:pt idx="2104">
                  <c:v>1438.62</c:v>
                </c:pt>
                <c:pt idx="2105">
                  <c:v>1488.23</c:v>
                </c:pt>
                <c:pt idx="2106">
                  <c:v>1488.23</c:v>
                </c:pt>
                <c:pt idx="2107">
                  <c:v>1519.24</c:v>
                </c:pt>
                <c:pt idx="2108">
                  <c:v>1519.24</c:v>
                </c:pt>
                <c:pt idx="2109">
                  <c:v>1550.24</c:v>
                </c:pt>
                <c:pt idx="2110">
                  <c:v>1535.36</c:v>
                </c:pt>
                <c:pt idx="2111">
                  <c:v>1550.24</c:v>
                </c:pt>
                <c:pt idx="2112">
                  <c:v>1590.55</c:v>
                </c:pt>
                <c:pt idx="2113">
                  <c:v>1612.25</c:v>
                </c:pt>
                <c:pt idx="2114">
                  <c:v>1595.51</c:v>
                </c:pt>
                <c:pt idx="2115">
                  <c:v>1540.94</c:v>
                </c:pt>
                <c:pt idx="2116">
                  <c:v>1504.97</c:v>
                </c:pt>
                <c:pt idx="2117">
                  <c:v>1498.77</c:v>
                </c:pt>
                <c:pt idx="2118">
                  <c:v>1498.77</c:v>
                </c:pt>
                <c:pt idx="2119">
                  <c:v>1491.33</c:v>
                </c:pt>
                <c:pt idx="2120">
                  <c:v>1488.23</c:v>
                </c:pt>
                <c:pt idx="2121">
                  <c:v>1488.23</c:v>
                </c:pt>
                <c:pt idx="2122">
                  <c:v>1519.24</c:v>
                </c:pt>
                <c:pt idx="2123">
                  <c:v>1550.24</c:v>
                </c:pt>
                <c:pt idx="2124">
                  <c:v>1488.23</c:v>
                </c:pt>
                <c:pt idx="2125">
                  <c:v>1488.85</c:v>
                </c:pt>
                <c:pt idx="2126">
                  <c:v>1488.23</c:v>
                </c:pt>
                <c:pt idx="2127">
                  <c:v>1488.23</c:v>
                </c:pt>
                <c:pt idx="2128">
                  <c:v>1488.23</c:v>
                </c:pt>
                <c:pt idx="2129">
                  <c:v>1488.23</c:v>
                </c:pt>
                <c:pt idx="2130">
                  <c:v>1488.23</c:v>
                </c:pt>
                <c:pt idx="2131">
                  <c:v>1519.24</c:v>
                </c:pt>
                <c:pt idx="2132">
                  <c:v>1519.24</c:v>
                </c:pt>
                <c:pt idx="2133">
                  <c:v>1534.74</c:v>
                </c:pt>
                <c:pt idx="2134">
                  <c:v>1519.24</c:v>
                </c:pt>
                <c:pt idx="2135">
                  <c:v>1519.24</c:v>
                </c:pt>
                <c:pt idx="2136">
                  <c:v>1519.24</c:v>
                </c:pt>
                <c:pt idx="2137">
                  <c:v>1519.24</c:v>
                </c:pt>
                <c:pt idx="2138">
                  <c:v>1488.23</c:v>
                </c:pt>
                <c:pt idx="2139">
                  <c:v>1488.23</c:v>
                </c:pt>
                <c:pt idx="2140">
                  <c:v>1491.33</c:v>
                </c:pt>
                <c:pt idx="2141">
                  <c:v>1488.23</c:v>
                </c:pt>
                <c:pt idx="2142">
                  <c:v>1488.23</c:v>
                </c:pt>
                <c:pt idx="2143">
                  <c:v>1457.23</c:v>
                </c:pt>
                <c:pt idx="2144">
                  <c:v>1429.32</c:v>
                </c:pt>
                <c:pt idx="2145">
                  <c:v>1404.52</c:v>
                </c:pt>
                <c:pt idx="2146">
                  <c:v>1401.42</c:v>
                </c:pt>
                <c:pt idx="2147">
                  <c:v>1395.22</c:v>
                </c:pt>
                <c:pt idx="2148">
                  <c:v>1395.22</c:v>
                </c:pt>
                <c:pt idx="2149">
                  <c:v>1395.22</c:v>
                </c:pt>
                <c:pt idx="2150">
                  <c:v>1395.22</c:v>
                </c:pt>
                <c:pt idx="2151">
                  <c:v>1364.21</c:v>
                </c:pt>
                <c:pt idx="2152">
                  <c:v>1364.21</c:v>
                </c:pt>
                <c:pt idx="2153">
                  <c:v>1241.43</c:v>
                </c:pt>
                <c:pt idx="2154">
                  <c:v>1234.61</c:v>
                </c:pt>
                <c:pt idx="2155">
                  <c:v>1199.89</c:v>
                </c:pt>
                <c:pt idx="2156">
                  <c:v>1199.89</c:v>
                </c:pt>
                <c:pt idx="2157">
                  <c:v>1199.89</c:v>
                </c:pt>
                <c:pt idx="2158">
                  <c:v>1178.18</c:v>
                </c:pt>
                <c:pt idx="2159">
                  <c:v>1178.18</c:v>
                </c:pt>
                <c:pt idx="2160">
                  <c:v>1199.89</c:v>
                </c:pt>
                <c:pt idx="2161">
                  <c:v>1199.89</c:v>
                </c:pt>
                <c:pt idx="2162">
                  <c:v>1199.89</c:v>
                </c:pt>
                <c:pt idx="2163">
                  <c:v>1178.18</c:v>
                </c:pt>
                <c:pt idx="2164">
                  <c:v>1209.19</c:v>
                </c:pt>
                <c:pt idx="2165">
                  <c:v>1116.17</c:v>
                </c:pt>
                <c:pt idx="2166">
                  <c:v>1116.17</c:v>
                </c:pt>
                <c:pt idx="2167">
                  <c:v>1116.17</c:v>
                </c:pt>
                <c:pt idx="2168">
                  <c:v>1060.36</c:v>
                </c:pt>
                <c:pt idx="2169">
                  <c:v>1057.88</c:v>
                </c:pt>
                <c:pt idx="2170">
                  <c:v>1054.16</c:v>
                </c:pt>
                <c:pt idx="2171">
                  <c:v>1054.16</c:v>
                </c:pt>
                <c:pt idx="2172">
                  <c:v>1054.16</c:v>
                </c:pt>
                <c:pt idx="2173">
                  <c:v>1054.16</c:v>
                </c:pt>
                <c:pt idx="2174">
                  <c:v>1054.16</c:v>
                </c:pt>
                <c:pt idx="2175">
                  <c:v>1054.16</c:v>
                </c:pt>
                <c:pt idx="2176">
                  <c:v>1057.88</c:v>
                </c:pt>
                <c:pt idx="2177">
                  <c:v>1057.88</c:v>
                </c:pt>
                <c:pt idx="2178">
                  <c:v>1063.47</c:v>
                </c:pt>
                <c:pt idx="2179">
                  <c:v>1063.47</c:v>
                </c:pt>
                <c:pt idx="2180">
                  <c:v>1054.16</c:v>
                </c:pt>
                <c:pt idx="2181">
                  <c:v>1063.47</c:v>
                </c:pt>
                <c:pt idx="2182">
                  <c:v>1054.16</c:v>
                </c:pt>
                <c:pt idx="2183">
                  <c:v>1054.16</c:v>
                </c:pt>
                <c:pt idx="2184">
                  <c:v>1116.17</c:v>
                </c:pt>
                <c:pt idx="2185">
                  <c:v>1153.38</c:v>
                </c:pt>
                <c:pt idx="2186">
                  <c:v>1119.27</c:v>
                </c:pt>
                <c:pt idx="2187">
                  <c:v>1178.18</c:v>
                </c:pt>
                <c:pt idx="2188">
                  <c:v>1178.18</c:v>
                </c:pt>
                <c:pt idx="2189">
                  <c:v>1209.19</c:v>
                </c:pt>
                <c:pt idx="2190">
                  <c:v>1209.19</c:v>
                </c:pt>
                <c:pt idx="2191">
                  <c:v>1227.79</c:v>
                </c:pt>
                <c:pt idx="2192">
                  <c:v>1227.79</c:v>
                </c:pt>
                <c:pt idx="2193">
                  <c:v>1219.73</c:v>
                </c:pt>
                <c:pt idx="2194">
                  <c:v>1227.79</c:v>
                </c:pt>
                <c:pt idx="2195">
                  <c:v>1227.79</c:v>
                </c:pt>
                <c:pt idx="2196">
                  <c:v>1227.79</c:v>
                </c:pt>
                <c:pt idx="2197">
                  <c:v>1221.59</c:v>
                </c:pt>
                <c:pt idx="2198">
                  <c:v>1221.59</c:v>
                </c:pt>
                <c:pt idx="2199">
                  <c:v>1221.59</c:v>
                </c:pt>
                <c:pt idx="2200">
                  <c:v>1221.59</c:v>
                </c:pt>
                <c:pt idx="2201">
                  <c:v>1221.59</c:v>
                </c:pt>
                <c:pt idx="2202">
                  <c:v>1221.59</c:v>
                </c:pt>
                <c:pt idx="2203">
                  <c:v>1240.19</c:v>
                </c:pt>
                <c:pt idx="2204">
                  <c:v>1209.19</c:v>
                </c:pt>
                <c:pt idx="2205">
                  <c:v>1240.19</c:v>
                </c:pt>
                <c:pt idx="2206">
                  <c:v>1240.19</c:v>
                </c:pt>
                <c:pt idx="2207">
                  <c:v>1178.18</c:v>
                </c:pt>
                <c:pt idx="2208">
                  <c:v>1178.18</c:v>
                </c:pt>
                <c:pt idx="2209">
                  <c:v>1178.18</c:v>
                </c:pt>
                <c:pt idx="2210">
                  <c:v>1215.39</c:v>
                </c:pt>
                <c:pt idx="2211">
                  <c:v>1181.28</c:v>
                </c:pt>
                <c:pt idx="2212">
                  <c:v>1178.18</c:v>
                </c:pt>
                <c:pt idx="2213">
                  <c:v>1162.68</c:v>
                </c:pt>
                <c:pt idx="2214">
                  <c:v>1135.4</c:v>
                </c:pt>
                <c:pt idx="2215">
                  <c:v>1135.4</c:v>
                </c:pt>
                <c:pt idx="2216">
                  <c:v>1135.4</c:v>
                </c:pt>
                <c:pt idx="2217">
                  <c:v>1145.83</c:v>
                </c:pt>
                <c:pt idx="2218">
                  <c:v>1150.74</c:v>
                </c:pt>
                <c:pt idx="2219">
                  <c:v>1138.47</c:v>
                </c:pt>
                <c:pt idx="2220">
                  <c:v>1166.08</c:v>
                </c:pt>
                <c:pt idx="2221">
                  <c:v>1166.08</c:v>
                </c:pt>
                <c:pt idx="2222">
                  <c:v>1196.77</c:v>
                </c:pt>
                <c:pt idx="2223">
                  <c:v>1227.46</c:v>
                </c:pt>
                <c:pt idx="2224">
                  <c:v>1227.46</c:v>
                </c:pt>
                <c:pt idx="2225">
                  <c:v>1288.83</c:v>
                </c:pt>
                <c:pt idx="2226">
                  <c:v>1288.83</c:v>
                </c:pt>
                <c:pt idx="2227">
                  <c:v>1316.45</c:v>
                </c:pt>
                <c:pt idx="2228">
                  <c:v>1318.29</c:v>
                </c:pt>
                <c:pt idx="2229">
                  <c:v>1319.51</c:v>
                </c:pt>
                <c:pt idx="2230">
                  <c:v>1331.79</c:v>
                </c:pt>
                <c:pt idx="2231">
                  <c:v>1349.59</c:v>
                </c:pt>
                <c:pt idx="2232">
                  <c:v>1350.2</c:v>
                </c:pt>
                <c:pt idx="2233">
                  <c:v>1350.2</c:v>
                </c:pt>
                <c:pt idx="2234">
                  <c:v>1362.48</c:v>
                </c:pt>
                <c:pt idx="2235">
                  <c:v>1334.86</c:v>
                </c:pt>
                <c:pt idx="2236">
                  <c:v>1334.86</c:v>
                </c:pt>
                <c:pt idx="2237">
                  <c:v>1319.51</c:v>
                </c:pt>
                <c:pt idx="2238">
                  <c:v>1258.14</c:v>
                </c:pt>
                <c:pt idx="2239">
                  <c:v>1227.46</c:v>
                </c:pt>
                <c:pt idx="2240">
                  <c:v>1227.46</c:v>
                </c:pt>
                <c:pt idx="2241">
                  <c:v>1227.46</c:v>
                </c:pt>
                <c:pt idx="2242">
                  <c:v>1189.4</c:v>
                </c:pt>
                <c:pt idx="2243">
                  <c:v>1185.11</c:v>
                </c:pt>
                <c:pt idx="2244">
                  <c:v>1150.74</c:v>
                </c:pt>
                <c:pt idx="2245">
                  <c:v>1147.67</c:v>
                </c:pt>
                <c:pt idx="2246">
                  <c:v>1138.47</c:v>
                </c:pt>
                <c:pt idx="2247">
                  <c:v>1138.47</c:v>
                </c:pt>
                <c:pt idx="2248">
                  <c:v>1136.01</c:v>
                </c:pt>
                <c:pt idx="2249">
                  <c:v>1136.01</c:v>
                </c:pt>
                <c:pt idx="2250">
                  <c:v>1104.71</c:v>
                </c:pt>
                <c:pt idx="2251">
                  <c:v>1104.71</c:v>
                </c:pt>
                <c:pt idx="2252">
                  <c:v>1104.71</c:v>
                </c:pt>
                <c:pt idx="2253">
                  <c:v>1104.71</c:v>
                </c:pt>
                <c:pt idx="2254">
                  <c:v>1105.32</c:v>
                </c:pt>
                <c:pt idx="2255">
                  <c:v>1104.71</c:v>
                </c:pt>
                <c:pt idx="2256">
                  <c:v>1105.32</c:v>
                </c:pt>
                <c:pt idx="2257">
                  <c:v>1104.71</c:v>
                </c:pt>
                <c:pt idx="2258">
                  <c:v>1101.64</c:v>
                </c:pt>
                <c:pt idx="2259">
                  <c:v>1101.64</c:v>
                </c:pt>
                <c:pt idx="2260">
                  <c:v>1046.41</c:v>
                </c:pt>
                <c:pt idx="2261">
                  <c:v>1046.41</c:v>
                </c:pt>
                <c:pt idx="2262">
                  <c:v>1046.41</c:v>
                </c:pt>
                <c:pt idx="2263">
                  <c:v>1043.95</c:v>
                </c:pt>
                <c:pt idx="2264">
                  <c:v>1012.65</c:v>
                </c:pt>
                <c:pt idx="2265">
                  <c:v>1012.65</c:v>
                </c:pt>
                <c:pt idx="2266">
                  <c:v>1012.65</c:v>
                </c:pt>
                <c:pt idx="2267">
                  <c:v>1024.93</c:v>
                </c:pt>
                <c:pt idx="2268">
                  <c:v>1027.99</c:v>
                </c:pt>
                <c:pt idx="2269">
                  <c:v>1018.79</c:v>
                </c:pt>
                <c:pt idx="2270">
                  <c:v>1027.99</c:v>
                </c:pt>
                <c:pt idx="2271">
                  <c:v>1013.26</c:v>
                </c:pt>
                <c:pt idx="2272">
                  <c:v>1013.26</c:v>
                </c:pt>
                <c:pt idx="2273">
                  <c:v>1012.65</c:v>
                </c:pt>
                <c:pt idx="2274">
                  <c:v>1012.65</c:v>
                </c:pt>
                <c:pt idx="2275">
                  <c:v>1012.65</c:v>
                </c:pt>
                <c:pt idx="2276">
                  <c:v>1012.65</c:v>
                </c:pt>
                <c:pt idx="2277">
                  <c:v>1012.65</c:v>
                </c:pt>
                <c:pt idx="2278">
                  <c:v>1012.65</c:v>
                </c:pt>
                <c:pt idx="2279">
                  <c:v>1012.65</c:v>
                </c:pt>
                <c:pt idx="2280">
                  <c:v>1012.65</c:v>
                </c:pt>
                <c:pt idx="2281">
                  <c:v>1012.65</c:v>
                </c:pt>
                <c:pt idx="2282">
                  <c:v>1012.65</c:v>
                </c:pt>
                <c:pt idx="2283">
                  <c:v>1012.65</c:v>
                </c:pt>
                <c:pt idx="2284">
                  <c:v>981.96</c:v>
                </c:pt>
                <c:pt idx="2285">
                  <c:v>985.03</c:v>
                </c:pt>
                <c:pt idx="2286">
                  <c:v>981.96</c:v>
                </c:pt>
                <c:pt idx="2287">
                  <c:v>981.96</c:v>
                </c:pt>
                <c:pt idx="2288">
                  <c:v>957.42</c:v>
                </c:pt>
                <c:pt idx="2289">
                  <c:v>957.42</c:v>
                </c:pt>
                <c:pt idx="2290">
                  <c:v>957.42</c:v>
                </c:pt>
                <c:pt idx="2291">
                  <c:v>969.69</c:v>
                </c:pt>
                <c:pt idx="2292">
                  <c:v>988.1</c:v>
                </c:pt>
                <c:pt idx="2293">
                  <c:v>981.96</c:v>
                </c:pt>
                <c:pt idx="2294">
                  <c:v>988.1</c:v>
                </c:pt>
                <c:pt idx="2295">
                  <c:v>994.24</c:v>
                </c:pt>
                <c:pt idx="2296">
                  <c:v>997.3099999999999</c:v>
                </c:pt>
                <c:pt idx="2297">
                  <c:v>1012.65</c:v>
                </c:pt>
                <c:pt idx="2298">
                  <c:v>1012.65</c:v>
                </c:pt>
                <c:pt idx="2299">
                  <c:v>1012.65</c:v>
                </c:pt>
                <c:pt idx="2300">
                  <c:v>1012.65</c:v>
                </c:pt>
                <c:pt idx="2301">
                  <c:v>1043.34</c:v>
                </c:pt>
                <c:pt idx="2302">
                  <c:v>1012.65</c:v>
                </c:pt>
                <c:pt idx="2303">
                  <c:v>1043.34</c:v>
                </c:pt>
                <c:pt idx="2304">
                  <c:v>1070.96</c:v>
                </c:pt>
                <c:pt idx="2305">
                  <c:v>1074.02</c:v>
                </c:pt>
                <c:pt idx="2306">
                  <c:v>1092.44</c:v>
                </c:pt>
                <c:pt idx="2307">
                  <c:v>1092.44</c:v>
                </c:pt>
                <c:pt idx="2308">
                  <c:v>1074.02</c:v>
                </c:pt>
                <c:pt idx="2309">
                  <c:v>1077.09</c:v>
                </c:pt>
                <c:pt idx="2310">
                  <c:v>1086.3</c:v>
                </c:pt>
                <c:pt idx="2311">
                  <c:v>1074.02</c:v>
                </c:pt>
                <c:pt idx="2312">
                  <c:v>1074.02</c:v>
                </c:pt>
                <c:pt idx="2313">
                  <c:v>1043.34</c:v>
                </c:pt>
                <c:pt idx="2314">
                  <c:v>1043.34</c:v>
                </c:pt>
                <c:pt idx="2315">
                  <c:v>1012.65</c:v>
                </c:pt>
                <c:pt idx="2316">
                  <c:v>1012.65</c:v>
                </c:pt>
                <c:pt idx="2317">
                  <c:v>1012.65</c:v>
                </c:pt>
                <c:pt idx="2318">
                  <c:v>1018.79</c:v>
                </c:pt>
                <c:pt idx="2319">
                  <c:v>1012.65</c:v>
                </c:pt>
                <c:pt idx="2320">
                  <c:v>1012.65</c:v>
                </c:pt>
                <c:pt idx="2321">
                  <c:v>1012.65</c:v>
                </c:pt>
                <c:pt idx="2322">
                  <c:v>994.24</c:v>
                </c:pt>
                <c:pt idx="2323">
                  <c:v>985.03</c:v>
                </c:pt>
                <c:pt idx="2324">
                  <c:v>981.96</c:v>
                </c:pt>
                <c:pt idx="2325">
                  <c:v>981.96</c:v>
                </c:pt>
                <c:pt idx="2326">
                  <c:v>981.96</c:v>
                </c:pt>
                <c:pt idx="2327">
                  <c:v>981.96</c:v>
                </c:pt>
                <c:pt idx="2328">
                  <c:v>1013.26</c:v>
                </c:pt>
                <c:pt idx="2329">
                  <c:v>977.05</c:v>
                </c:pt>
                <c:pt idx="2330">
                  <c:v>977.05</c:v>
                </c:pt>
                <c:pt idx="2331">
                  <c:v>976.46</c:v>
                </c:pt>
                <c:pt idx="2332">
                  <c:v>976.46</c:v>
                </c:pt>
                <c:pt idx="2333">
                  <c:v>976.46</c:v>
                </c:pt>
                <c:pt idx="2334">
                  <c:v>994.22</c:v>
                </c:pt>
                <c:pt idx="2335">
                  <c:v>994.22</c:v>
                </c:pt>
                <c:pt idx="2336">
                  <c:v>994.22</c:v>
                </c:pt>
                <c:pt idx="2337">
                  <c:v>976.46</c:v>
                </c:pt>
                <c:pt idx="2338">
                  <c:v>976.46</c:v>
                </c:pt>
                <c:pt idx="2339">
                  <c:v>976.46</c:v>
                </c:pt>
                <c:pt idx="2340">
                  <c:v>976.46</c:v>
                </c:pt>
                <c:pt idx="2341">
                  <c:v>978.83</c:v>
                </c:pt>
                <c:pt idx="2342">
                  <c:v>976.46</c:v>
                </c:pt>
                <c:pt idx="2343">
                  <c:v>976.46</c:v>
                </c:pt>
                <c:pt idx="2344">
                  <c:v>976.46</c:v>
                </c:pt>
                <c:pt idx="2345">
                  <c:v>976.46</c:v>
                </c:pt>
                <c:pt idx="2346">
                  <c:v>976.46</c:v>
                </c:pt>
                <c:pt idx="2347">
                  <c:v>976.46</c:v>
                </c:pt>
                <c:pt idx="2348">
                  <c:v>976.46</c:v>
                </c:pt>
                <c:pt idx="2349">
                  <c:v>979.42</c:v>
                </c:pt>
                <c:pt idx="2350">
                  <c:v>976.46</c:v>
                </c:pt>
                <c:pt idx="2351">
                  <c:v>994.22</c:v>
                </c:pt>
                <c:pt idx="2352">
                  <c:v>976.46</c:v>
                </c:pt>
                <c:pt idx="2353">
                  <c:v>976.46</c:v>
                </c:pt>
                <c:pt idx="2354">
                  <c:v>1006.05</c:v>
                </c:pt>
                <c:pt idx="2355">
                  <c:v>1026.77</c:v>
                </c:pt>
                <c:pt idx="2356">
                  <c:v>1026.77</c:v>
                </c:pt>
                <c:pt idx="2357">
                  <c:v>1023.81</c:v>
                </c:pt>
                <c:pt idx="2358">
                  <c:v>1035.64</c:v>
                </c:pt>
                <c:pt idx="2359">
                  <c:v>1035.64</c:v>
                </c:pt>
                <c:pt idx="2360">
                  <c:v>1035.64</c:v>
                </c:pt>
                <c:pt idx="2361">
                  <c:v>1035.64</c:v>
                </c:pt>
                <c:pt idx="2362">
                  <c:v>1052.8</c:v>
                </c:pt>
                <c:pt idx="2363">
                  <c:v>1035.64</c:v>
                </c:pt>
                <c:pt idx="2364">
                  <c:v>1035.64</c:v>
                </c:pt>
                <c:pt idx="2365">
                  <c:v>1017.89</c:v>
                </c:pt>
                <c:pt idx="2366">
                  <c:v>1017.89</c:v>
                </c:pt>
                <c:pt idx="2367">
                  <c:v>1029.72</c:v>
                </c:pt>
                <c:pt idx="2368">
                  <c:v>1029.72</c:v>
                </c:pt>
                <c:pt idx="2369">
                  <c:v>1029.72</c:v>
                </c:pt>
                <c:pt idx="2370">
                  <c:v>1006.05</c:v>
                </c:pt>
                <c:pt idx="2371">
                  <c:v>1035.64</c:v>
                </c:pt>
                <c:pt idx="2372">
                  <c:v>1065.23</c:v>
                </c:pt>
                <c:pt idx="2373">
                  <c:v>1050.44</c:v>
                </c:pt>
                <c:pt idx="2374">
                  <c:v>1020.85</c:v>
                </c:pt>
                <c:pt idx="2375">
                  <c:v>1006.05</c:v>
                </c:pt>
                <c:pt idx="2376">
                  <c:v>1009.01</c:v>
                </c:pt>
                <c:pt idx="2377">
                  <c:v>1006.05</c:v>
                </c:pt>
                <c:pt idx="2378">
                  <c:v>1006.05</c:v>
                </c:pt>
                <c:pt idx="2379">
                  <c:v>1006.05</c:v>
                </c:pt>
                <c:pt idx="2380">
                  <c:v>1006.05</c:v>
                </c:pt>
                <c:pt idx="2381">
                  <c:v>976.46</c:v>
                </c:pt>
                <c:pt idx="2382">
                  <c:v>1006.05</c:v>
                </c:pt>
                <c:pt idx="2383">
                  <c:v>991.26</c:v>
                </c:pt>
                <c:pt idx="2384">
                  <c:v>1003.09</c:v>
                </c:pt>
                <c:pt idx="2385">
                  <c:v>1006.05</c:v>
                </c:pt>
                <c:pt idx="2386">
                  <c:v>991.26</c:v>
                </c:pt>
                <c:pt idx="2387">
                  <c:v>991.26</c:v>
                </c:pt>
                <c:pt idx="2388">
                  <c:v>991.26</c:v>
                </c:pt>
                <c:pt idx="2389">
                  <c:v>991.26</c:v>
                </c:pt>
                <c:pt idx="2390">
                  <c:v>991.26</c:v>
                </c:pt>
                <c:pt idx="2391">
                  <c:v>982.38</c:v>
                </c:pt>
                <c:pt idx="2392">
                  <c:v>982.38</c:v>
                </c:pt>
                <c:pt idx="2393">
                  <c:v>982.38</c:v>
                </c:pt>
                <c:pt idx="2394">
                  <c:v>964.63</c:v>
                </c:pt>
                <c:pt idx="2395">
                  <c:v>935.04</c:v>
                </c:pt>
                <c:pt idx="2396">
                  <c:v>935.04</c:v>
                </c:pt>
                <c:pt idx="2397">
                  <c:v>929.12</c:v>
                </c:pt>
                <c:pt idx="2398">
                  <c:v>929.12</c:v>
                </c:pt>
                <c:pt idx="2399">
                  <c:v>929.12</c:v>
                </c:pt>
                <c:pt idx="2400">
                  <c:v>923.2</c:v>
                </c:pt>
                <c:pt idx="2401">
                  <c:v>923.2</c:v>
                </c:pt>
                <c:pt idx="2402">
                  <c:v>923.2</c:v>
                </c:pt>
                <c:pt idx="2403">
                  <c:v>923.2</c:v>
                </c:pt>
                <c:pt idx="2404">
                  <c:v>929.12</c:v>
                </c:pt>
                <c:pt idx="2405">
                  <c:v>935.04</c:v>
                </c:pt>
                <c:pt idx="2406">
                  <c:v>935.04</c:v>
                </c:pt>
                <c:pt idx="2407">
                  <c:v>935.04</c:v>
                </c:pt>
                <c:pt idx="2408">
                  <c:v>952.79</c:v>
                </c:pt>
                <c:pt idx="2409">
                  <c:v>964.04</c:v>
                </c:pt>
                <c:pt idx="2410">
                  <c:v>965.8099999999999</c:v>
                </c:pt>
                <c:pt idx="2411">
                  <c:v>946.87</c:v>
                </c:pt>
                <c:pt idx="2412">
                  <c:v>952.79</c:v>
                </c:pt>
                <c:pt idx="2413">
                  <c:v>952.79</c:v>
                </c:pt>
                <c:pt idx="2414">
                  <c:v>952.79</c:v>
                </c:pt>
                <c:pt idx="2415">
                  <c:v>952.79</c:v>
                </c:pt>
                <c:pt idx="2416">
                  <c:v>923.2</c:v>
                </c:pt>
                <c:pt idx="2417">
                  <c:v>923.2</c:v>
                </c:pt>
                <c:pt idx="2418">
                  <c:v>920.83</c:v>
                </c:pt>
                <c:pt idx="2419">
                  <c:v>920.83</c:v>
                </c:pt>
                <c:pt idx="2420">
                  <c:v>917.88</c:v>
                </c:pt>
                <c:pt idx="2421">
                  <c:v>917.88</c:v>
                </c:pt>
                <c:pt idx="2422">
                  <c:v>917.28</c:v>
                </c:pt>
                <c:pt idx="2423">
                  <c:v>917.28</c:v>
                </c:pt>
                <c:pt idx="2424">
                  <c:v>946.87</c:v>
                </c:pt>
                <c:pt idx="2425">
                  <c:v>946.87</c:v>
                </c:pt>
                <c:pt idx="2426">
                  <c:v>967.59</c:v>
                </c:pt>
                <c:pt idx="2427">
                  <c:v>967.59</c:v>
                </c:pt>
                <c:pt idx="2428">
                  <c:v>976.46</c:v>
                </c:pt>
                <c:pt idx="2429">
                  <c:v>976.46</c:v>
                </c:pt>
                <c:pt idx="2430">
                  <c:v>976.46</c:v>
                </c:pt>
                <c:pt idx="2431">
                  <c:v>976.46</c:v>
                </c:pt>
                <c:pt idx="2432">
                  <c:v>982.97</c:v>
                </c:pt>
                <c:pt idx="2433">
                  <c:v>982.97</c:v>
                </c:pt>
                <c:pt idx="2434">
                  <c:v>982.97</c:v>
                </c:pt>
                <c:pt idx="2435">
                  <c:v>982.38</c:v>
                </c:pt>
                <c:pt idx="2436">
                  <c:v>994.8099999999999</c:v>
                </c:pt>
                <c:pt idx="2437">
                  <c:v>994.8099999999999</c:v>
                </c:pt>
                <c:pt idx="2438">
                  <c:v>1006.05</c:v>
                </c:pt>
                <c:pt idx="2439">
                  <c:v>1006.05</c:v>
                </c:pt>
                <c:pt idx="2440">
                  <c:v>994.22</c:v>
                </c:pt>
                <c:pt idx="2441">
                  <c:v>994.22</c:v>
                </c:pt>
                <c:pt idx="2442">
                  <c:v>994.22</c:v>
                </c:pt>
                <c:pt idx="2443">
                  <c:v>975.87</c:v>
                </c:pt>
                <c:pt idx="2444">
                  <c:v>961.67</c:v>
                </c:pt>
                <c:pt idx="2445">
                  <c:v>994.22</c:v>
                </c:pt>
                <c:pt idx="2446">
                  <c:v>994.22</c:v>
                </c:pt>
                <c:pt idx="2447">
                  <c:v>994.22</c:v>
                </c:pt>
                <c:pt idx="2448">
                  <c:v>961.67</c:v>
                </c:pt>
                <c:pt idx="2449">
                  <c:v>961.67</c:v>
                </c:pt>
                <c:pt idx="2450">
                  <c:v>976.46</c:v>
                </c:pt>
                <c:pt idx="2451">
                  <c:v>932.08</c:v>
                </c:pt>
                <c:pt idx="2452">
                  <c:v>926.16</c:v>
                </c:pt>
                <c:pt idx="2453">
                  <c:v>946.87</c:v>
                </c:pt>
                <c:pt idx="2454">
                  <c:v>946.87</c:v>
                </c:pt>
                <c:pt idx="2455">
                  <c:v>932.08</c:v>
                </c:pt>
                <c:pt idx="2456">
                  <c:v>932.08</c:v>
                </c:pt>
                <c:pt idx="2457">
                  <c:v>932.08</c:v>
                </c:pt>
                <c:pt idx="2458">
                  <c:v>932.08</c:v>
                </c:pt>
                <c:pt idx="2459">
                  <c:v>932.08</c:v>
                </c:pt>
                <c:pt idx="2460">
                  <c:v>858.1</c:v>
                </c:pt>
                <c:pt idx="2461">
                  <c:v>858.1</c:v>
                </c:pt>
                <c:pt idx="2462">
                  <c:v>932.08</c:v>
                </c:pt>
                <c:pt idx="2463">
                  <c:v>932.08</c:v>
                </c:pt>
                <c:pt idx="2464">
                  <c:v>923.2</c:v>
                </c:pt>
                <c:pt idx="2465">
                  <c:v>923.2</c:v>
                </c:pt>
                <c:pt idx="2466">
                  <c:v>914.41</c:v>
                </c:pt>
                <c:pt idx="2467">
                  <c:v>914.41</c:v>
                </c:pt>
                <c:pt idx="2468">
                  <c:v>908.55</c:v>
                </c:pt>
                <c:pt idx="2469">
                  <c:v>896.82</c:v>
                </c:pt>
                <c:pt idx="2470">
                  <c:v>893.89</c:v>
                </c:pt>
                <c:pt idx="2471">
                  <c:v>879.24</c:v>
                </c:pt>
                <c:pt idx="2472">
                  <c:v>908.55</c:v>
                </c:pt>
                <c:pt idx="2473">
                  <c:v>908.55</c:v>
                </c:pt>
                <c:pt idx="2474">
                  <c:v>908.55</c:v>
                </c:pt>
                <c:pt idx="2475">
                  <c:v>920.27</c:v>
                </c:pt>
                <c:pt idx="2476">
                  <c:v>908.55</c:v>
                </c:pt>
                <c:pt idx="2477">
                  <c:v>914.41</c:v>
                </c:pt>
                <c:pt idx="2478">
                  <c:v>908.55</c:v>
                </c:pt>
                <c:pt idx="2479">
                  <c:v>902.69</c:v>
                </c:pt>
                <c:pt idx="2480">
                  <c:v>907.96</c:v>
                </c:pt>
                <c:pt idx="2481">
                  <c:v>879.24</c:v>
                </c:pt>
                <c:pt idx="2482">
                  <c:v>879.24</c:v>
                </c:pt>
                <c:pt idx="2483">
                  <c:v>896.82</c:v>
                </c:pt>
                <c:pt idx="2484">
                  <c:v>885.1</c:v>
                </c:pt>
                <c:pt idx="2485">
                  <c:v>908.55</c:v>
                </c:pt>
                <c:pt idx="2486">
                  <c:v>879.24</c:v>
                </c:pt>
                <c:pt idx="2487">
                  <c:v>879.24</c:v>
                </c:pt>
                <c:pt idx="2488">
                  <c:v>879.24</c:v>
                </c:pt>
                <c:pt idx="2489">
                  <c:v>899.76</c:v>
                </c:pt>
                <c:pt idx="2490">
                  <c:v>890.96</c:v>
                </c:pt>
                <c:pt idx="2491">
                  <c:v>899.76</c:v>
                </c:pt>
                <c:pt idx="2492">
                  <c:v>899.76</c:v>
                </c:pt>
                <c:pt idx="2493">
                  <c:v>902.69</c:v>
                </c:pt>
                <c:pt idx="2494">
                  <c:v>902.69</c:v>
                </c:pt>
                <c:pt idx="2495">
                  <c:v>879.24</c:v>
                </c:pt>
                <c:pt idx="2496">
                  <c:v>926.13</c:v>
                </c:pt>
                <c:pt idx="2497">
                  <c:v>893.89</c:v>
                </c:pt>
                <c:pt idx="2498">
                  <c:v>885.1</c:v>
                </c:pt>
                <c:pt idx="2499">
                  <c:v>879.24</c:v>
                </c:pt>
                <c:pt idx="2500">
                  <c:v>893.89</c:v>
                </c:pt>
                <c:pt idx="2501">
                  <c:v>893.89</c:v>
                </c:pt>
                <c:pt idx="2502">
                  <c:v>893.89</c:v>
                </c:pt>
                <c:pt idx="2503">
                  <c:v>937.86</c:v>
                </c:pt>
                <c:pt idx="2504">
                  <c:v>938.4400000000001</c:v>
                </c:pt>
                <c:pt idx="2505">
                  <c:v>937.86</c:v>
                </c:pt>
                <c:pt idx="2506">
                  <c:v>943.72</c:v>
                </c:pt>
                <c:pt idx="2507">
                  <c:v>920.27</c:v>
                </c:pt>
                <c:pt idx="2508">
                  <c:v>920.27</c:v>
                </c:pt>
                <c:pt idx="2509">
                  <c:v>892.13</c:v>
                </c:pt>
                <c:pt idx="2510">
                  <c:v>867.52</c:v>
                </c:pt>
                <c:pt idx="2511">
                  <c:v>867.52</c:v>
                </c:pt>
                <c:pt idx="2512">
                  <c:v>861.65</c:v>
                </c:pt>
                <c:pt idx="2513">
                  <c:v>852.86</c:v>
                </c:pt>
                <c:pt idx="2514">
                  <c:v>858.72</c:v>
                </c:pt>
                <c:pt idx="2515">
                  <c:v>864.59</c:v>
                </c:pt>
                <c:pt idx="2516">
                  <c:v>873.38</c:v>
                </c:pt>
                <c:pt idx="2517">
                  <c:v>873.38</c:v>
                </c:pt>
                <c:pt idx="2518">
                  <c:v>876.3099999999999</c:v>
                </c:pt>
                <c:pt idx="2519">
                  <c:v>876.3099999999999</c:v>
                </c:pt>
                <c:pt idx="2520">
                  <c:v>879.24</c:v>
                </c:pt>
                <c:pt idx="2521">
                  <c:v>879.24</c:v>
                </c:pt>
                <c:pt idx="2522">
                  <c:v>908.55</c:v>
                </c:pt>
                <c:pt idx="2523">
                  <c:v>882.17</c:v>
                </c:pt>
                <c:pt idx="2524">
                  <c:v>882.17</c:v>
                </c:pt>
                <c:pt idx="2525">
                  <c:v>879.24</c:v>
                </c:pt>
                <c:pt idx="2526">
                  <c:v>878.65</c:v>
                </c:pt>
                <c:pt idx="2527">
                  <c:v>867.52</c:v>
                </c:pt>
                <c:pt idx="2528">
                  <c:v>867.52</c:v>
                </c:pt>
                <c:pt idx="2529">
                  <c:v>849.9299999999999</c:v>
                </c:pt>
                <c:pt idx="2530">
                  <c:v>849.9299999999999</c:v>
                </c:pt>
                <c:pt idx="2531">
                  <c:v>838.21</c:v>
                </c:pt>
                <c:pt idx="2532">
                  <c:v>849.9299999999999</c:v>
                </c:pt>
                <c:pt idx="2533">
                  <c:v>838.21</c:v>
                </c:pt>
                <c:pt idx="2534">
                  <c:v>849.9299999999999</c:v>
                </c:pt>
                <c:pt idx="2535">
                  <c:v>855.79</c:v>
                </c:pt>
                <c:pt idx="2536">
                  <c:v>864.59</c:v>
                </c:pt>
                <c:pt idx="2537">
                  <c:v>864.59</c:v>
                </c:pt>
                <c:pt idx="2538">
                  <c:v>867.52</c:v>
                </c:pt>
                <c:pt idx="2539">
                  <c:v>864.59</c:v>
                </c:pt>
                <c:pt idx="2540">
                  <c:v>864.59</c:v>
                </c:pt>
                <c:pt idx="2541">
                  <c:v>878.65</c:v>
                </c:pt>
                <c:pt idx="2542">
                  <c:v>879.24</c:v>
                </c:pt>
                <c:pt idx="2543">
                  <c:v>879.83</c:v>
                </c:pt>
                <c:pt idx="2544">
                  <c:v>879.83</c:v>
                </c:pt>
                <c:pt idx="2545">
                  <c:v>879.24</c:v>
                </c:pt>
                <c:pt idx="2546">
                  <c:v>908.55</c:v>
                </c:pt>
                <c:pt idx="2547">
                  <c:v>893.89</c:v>
                </c:pt>
                <c:pt idx="2548">
                  <c:v>902.69</c:v>
                </c:pt>
                <c:pt idx="2549">
                  <c:v>908.55</c:v>
                </c:pt>
                <c:pt idx="2550">
                  <c:v>908.55</c:v>
                </c:pt>
                <c:pt idx="2551">
                  <c:v>923.2</c:v>
                </c:pt>
                <c:pt idx="2552">
                  <c:v>926.13</c:v>
                </c:pt>
                <c:pt idx="2553">
                  <c:v>923.2</c:v>
                </c:pt>
                <c:pt idx="2554">
                  <c:v>890.96</c:v>
                </c:pt>
                <c:pt idx="2555">
                  <c:v>907.96</c:v>
                </c:pt>
                <c:pt idx="2556">
                  <c:v>896.82</c:v>
                </c:pt>
                <c:pt idx="2557">
                  <c:v>896.82</c:v>
                </c:pt>
                <c:pt idx="2558">
                  <c:v>896.82</c:v>
                </c:pt>
                <c:pt idx="2559">
                  <c:v>908.55</c:v>
                </c:pt>
                <c:pt idx="2560">
                  <c:v>893.89</c:v>
                </c:pt>
                <c:pt idx="2561">
                  <c:v>893.89</c:v>
                </c:pt>
                <c:pt idx="2562">
                  <c:v>885.1</c:v>
                </c:pt>
                <c:pt idx="2563">
                  <c:v>908.55</c:v>
                </c:pt>
                <c:pt idx="2564">
                  <c:v>908.55</c:v>
                </c:pt>
                <c:pt idx="2565">
                  <c:v>902.69</c:v>
                </c:pt>
                <c:pt idx="2566">
                  <c:v>885.1</c:v>
                </c:pt>
                <c:pt idx="2567">
                  <c:v>885.1</c:v>
                </c:pt>
                <c:pt idx="2568">
                  <c:v>890.96</c:v>
                </c:pt>
                <c:pt idx="2569">
                  <c:v>890.96</c:v>
                </c:pt>
                <c:pt idx="2570">
                  <c:v>879.24</c:v>
                </c:pt>
                <c:pt idx="2571">
                  <c:v>890.96</c:v>
                </c:pt>
                <c:pt idx="2572">
                  <c:v>917.34</c:v>
                </c:pt>
                <c:pt idx="2573">
                  <c:v>917.34</c:v>
                </c:pt>
                <c:pt idx="2574">
                  <c:v>917.34</c:v>
                </c:pt>
                <c:pt idx="2575">
                  <c:v>920.27</c:v>
                </c:pt>
                <c:pt idx="2576">
                  <c:v>920.27</c:v>
                </c:pt>
                <c:pt idx="2577">
                  <c:v>903.27</c:v>
                </c:pt>
                <c:pt idx="2578">
                  <c:v>903.27</c:v>
                </c:pt>
                <c:pt idx="2579">
                  <c:v>877.87</c:v>
                </c:pt>
                <c:pt idx="2580">
                  <c:v>877.87</c:v>
                </c:pt>
                <c:pt idx="2581">
                  <c:v>877.87</c:v>
                </c:pt>
                <c:pt idx="2582">
                  <c:v>877.87</c:v>
                </c:pt>
                <c:pt idx="2583">
                  <c:v>877.87</c:v>
                </c:pt>
                <c:pt idx="2584">
                  <c:v>891.98</c:v>
                </c:pt>
                <c:pt idx="2585">
                  <c:v>891.98</c:v>
                </c:pt>
                <c:pt idx="2586">
                  <c:v>900.45</c:v>
                </c:pt>
                <c:pt idx="2587">
                  <c:v>891.98</c:v>
                </c:pt>
                <c:pt idx="2588">
                  <c:v>903.27</c:v>
                </c:pt>
                <c:pt idx="2589">
                  <c:v>903.27</c:v>
                </c:pt>
                <c:pt idx="2590">
                  <c:v>903.27</c:v>
                </c:pt>
                <c:pt idx="2591">
                  <c:v>903.27</c:v>
                </c:pt>
                <c:pt idx="2592">
                  <c:v>925.85</c:v>
                </c:pt>
                <c:pt idx="2593">
                  <c:v>900.45</c:v>
                </c:pt>
                <c:pt idx="2594">
                  <c:v>900.45</c:v>
                </c:pt>
                <c:pt idx="2595">
                  <c:v>889.16</c:v>
                </c:pt>
                <c:pt idx="2596">
                  <c:v>875.04</c:v>
                </c:pt>
                <c:pt idx="2597">
                  <c:v>875.04</c:v>
                </c:pt>
                <c:pt idx="2598">
                  <c:v>880.69</c:v>
                </c:pt>
                <c:pt idx="2599">
                  <c:v>875.04</c:v>
                </c:pt>
                <c:pt idx="2600">
                  <c:v>875.04</c:v>
                </c:pt>
                <c:pt idx="2601">
                  <c:v>875.04</c:v>
                </c:pt>
                <c:pt idx="2602">
                  <c:v>880.69</c:v>
                </c:pt>
                <c:pt idx="2603">
                  <c:v>881.25</c:v>
                </c:pt>
                <c:pt idx="2604">
                  <c:v>881.25</c:v>
                </c:pt>
                <c:pt idx="2605">
                  <c:v>880.69</c:v>
                </c:pt>
                <c:pt idx="2606">
                  <c:v>880.69</c:v>
                </c:pt>
                <c:pt idx="2607">
                  <c:v>875.04</c:v>
                </c:pt>
                <c:pt idx="2608">
                  <c:v>882.95</c:v>
                </c:pt>
                <c:pt idx="2609">
                  <c:v>877.87</c:v>
                </c:pt>
                <c:pt idx="2610">
                  <c:v>875.04</c:v>
                </c:pt>
                <c:pt idx="2611">
                  <c:v>875.04</c:v>
                </c:pt>
                <c:pt idx="2612">
                  <c:v>875.04</c:v>
                </c:pt>
                <c:pt idx="2613">
                  <c:v>872.22</c:v>
                </c:pt>
                <c:pt idx="2614">
                  <c:v>875.04</c:v>
                </c:pt>
                <c:pt idx="2615">
                  <c:v>846.82</c:v>
                </c:pt>
                <c:pt idx="2616">
                  <c:v>841.17</c:v>
                </c:pt>
                <c:pt idx="2617">
                  <c:v>841.17</c:v>
                </c:pt>
                <c:pt idx="2618">
                  <c:v>827.0599999999999</c:v>
                </c:pt>
                <c:pt idx="2619">
                  <c:v>824.24</c:v>
                </c:pt>
                <c:pt idx="2620">
                  <c:v>818.59</c:v>
                </c:pt>
                <c:pt idx="2621">
                  <c:v>818.59</c:v>
                </c:pt>
                <c:pt idx="2622">
                  <c:v>798.83</c:v>
                </c:pt>
                <c:pt idx="2623">
                  <c:v>790.36</c:v>
                </c:pt>
                <c:pt idx="2624">
                  <c:v>824.24</c:v>
                </c:pt>
                <c:pt idx="2625">
                  <c:v>824.24</c:v>
                </c:pt>
                <c:pt idx="2626">
                  <c:v>818.59</c:v>
                </c:pt>
                <c:pt idx="2627">
                  <c:v>818.59</c:v>
                </c:pt>
                <c:pt idx="2628">
                  <c:v>818.59</c:v>
                </c:pt>
                <c:pt idx="2629">
                  <c:v>818.59</c:v>
                </c:pt>
                <c:pt idx="2630">
                  <c:v>818.59</c:v>
                </c:pt>
                <c:pt idx="2631">
                  <c:v>846.82</c:v>
                </c:pt>
                <c:pt idx="2632">
                  <c:v>810.12</c:v>
                </c:pt>
                <c:pt idx="2633">
                  <c:v>810.12</c:v>
                </c:pt>
                <c:pt idx="2634">
                  <c:v>810.12</c:v>
                </c:pt>
                <c:pt idx="2635">
                  <c:v>831.57</c:v>
                </c:pt>
                <c:pt idx="2636">
                  <c:v>846.82</c:v>
                </c:pt>
                <c:pt idx="2637">
                  <c:v>846.82</c:v>
                </c:pt>
                <c:pt idx="2638">
                  <c:v>846.82</c:v>
                </c:pt>
                <c:pt idx="2639">
                  <c:v>846.82</c:v>
                </c:pt>
                <c:pt idx="2640">
                  <c:v>846.82</c:v>
                </c:pt>
                <c:pt idx="2641">
                  <c:v>846.82</c:v>
                </c:pt>
                <c:pt idx="2642">
                  <c:v>846.82</c:v>
                </c:pt>
                <c:pt idx="2643">
                  <c:v>846.82</c:v>
                </c:pt>
                <c:pt idx="2644">
                  <c:v>858.11</c:v>
                </c:pt>
                <c:pt idx="2645">
                  <c:v>869.4</c:v>
                </c:pt>
                <c:pt idx="2646">
                  <c:v>869.4</c:v>
                </c:pt>
                <c:pt idx="2647">
                  <c:v>869.4</c:v>
                </c:pt>
                <c:pt idx="2648">
                  <c:v>866.58</c:v>
                </c:pt>
                <c:pt idx="2649">
                  <c:v>866.58</c:v>
                </c:pt>
                <c:pt idx="2650">
                  <c:v>877.3</c:v>
                </c:pt>
                <c:pt idx="2651">
                  <c:v>886.34</c:v>
                </c:pt>
                <c:pt idx="2652">
                  <c:v>886.34</c:v>
                </c:pt>
                <c:pt idx="2653">
                  <c:v>880.69</c:v>
                </c:pt>
                <c:pt idx="2654">
                  <c:v>886.34</c:v>
                </c:pt>
                <c:pt idx="2655">
                  <c:v>869.4</c:v>
                </c:pt>
                <c:pt idx="2656">
                  <c:v>866.58</c:v>
                </c:pt>
                <c:pt idx="2657">
                  <c:v>860.9299999999999</c:v>
                </c:pt>
                <c:pt idx="2658">
                  <c:v>847.38</c:v>
                </c:pt>
                <c:pt idx="2659">
                  <c:v>847.38</c:v>
                </c:pt>
                <c:pt idx="2660">
                  <c:v>847.38</c:v>
                </c:pt>
                <c:pt idx="2661">
                  <c:v>860.9299999999999</c:v>
                </c:pt>
                <c:pt idx="2662">
                  <c:v>875.61</c:v>
                </c:pt>
                <c:pt idx="2663">
                  <c:v>903.27</c:v>
                </c:pt>
                <c:pt idx="2664">
                  <c:v>903.27</c:v>
                </c:pt>
                <c:pt idx="2665">
                  <c:v>903.27</c:v>
                </c:pt>
                <c:pt idx="2666">
                  <c:v>903.27</c:v>
                </c:pt>
                <c:pt idx="2667">
                  <c:v>903.27</c:v>
                </c:pt>
                <c:pt idx="2668">
                  <c:v>903.27</c:v>
                </c:pt>
                <c:pt idx="2669">
                  <c:v>903.27</c:v>
                </c:pt>
                <c:pt idx="2670">
                  <c:v>903.27</c:v>
                </c:pt>
                <c:pt idx="2671">
                  <c:v>909.48</c:v>
                </c:pt>
                <c:pt idx="2672">
                  <c:v>903.27</c:v>
                </c:pt>
                <c:pt idx="2673">
                  <c:v>903.27</c:v>
                </c:pt>
                <c:pt idx="2674">
                  <c:v>875.04</c:v>
                </c:pt>
                <c:pt idx="2675">
                  <c:v>875.04</c:v>
                </c:pt>
                <c:pt idx="2676">
                  <c:v>908.92</c:v>
                </c:pt>
                <c:pt idx="2677">
                  <c:v>903.27</c:v>
                </c:pt>
                <c:pt idx="2678">
                  <c:v>903.27</c:v>
                </c:pt>
                <c:pt idx="2679">
                  <c:v>903.27</c:v>
                </c:pt>
                <c:pt idx="2680">
                  <c:v>858.11</c:v>
                </c:pt>
                <c:pt idx="2681">
                  <c:v>846.82</c:v>
                </c:pt>
                <c:pt idx="2682">
                  <c:v>846.82</c:v>
                </c:pt>
                <c:pt idx="2683">
                  <c:v>846.82</c:v>
                </c:pt>
                <c:pt idx="2684">
                  <c:v>846.82</c:v>
                </c:pt>
                <c:pt idx="2685">
                  <c:v>846.82</c:v>
                </c:pt>
                <c:pt idx="2686">
                  <c:v>832.7</c:v>
                </c:pt>
                <c:pt idx="2687">
                  <c:v>821.41</c:v>
                </c:pt>
                <c:pt idx="2688">
                  <c:v>821.41</c:v>
                </c:pt>
                <c:pt idx="2689">
                  <c:v>821.41</c:v>
                </c:pt>
                <c:pt idx="2690">
                  <c:v>818.59</c:v>
                </c:pt>
                <c:pt idx="2691">
                  <c:v>818.59</c:v>
                </c:pt>
                <c:pt idx="2692">
                  <c:v>818.59</c:v>
                </c:pt>
                <c:pt idx="2693">
                  <c:v>818.59</c:v>
                </c:pt>
                <c:pt idx="2694">
                  <c:v>798.83</c:v>
                </c:pt>
                <c:pt idx="2695">
                  <c:v>801.65</c:v>
                </c:pt>
                <c:pt idx="2696">
                  <c:v>801.65</c:v>
                </c:pt>
                <c:pt idx="2697">
                  <c:v>804.48</c:v>
                </c:pt>
                <c:pt idx="2698">
                  <c:v>804.48</c:v>
                </c:pt>
                <c:pt idx="2699">
                  <c:v>790.36</c:v>
                </c:pt>
                <c:pt idx="2700">
                  <c:v>790.36</c:v>
                </c:pt>
                <c:pt idx="2701">
                  <c:v>750.84</c:v>
                </c:pt>
                <c:pt idx="2702">
                  <c:v>750.84</c:v>
                </c:pt>
                <c:pt idx="2703">
                  <c:v>750.84</c:v>
                </c:pt>
                <c:pt idx="2704">
                  <c:v>750.84</c:v>
                </c:pt>
                <c:pt idx="2705">
                  <c:v>750.84</c:v>
                </c:pt>
                <c:pt idx="2706">
                  <c:v>762.14</c:v>
                </c:pt>
                <c:pt idx="2707">
                  <c:v>761.57</c:v>
                </c:pt>
                <c:pt idx="2708">
                  <c:v>762.14</c:v>
                </c:pt>
                <c:pt idx="2709">
                  <c:v>762.14</c:v>
                </c:pt>
                <c:pt idx="2710">
                  <c:v>762.14</c:v>
                </c:pt>
                <c:pt idx="2711">
                  <c:v>762.14</c:v>
                </c:pt>
                <c:pt idx="2712">
                  <c:v>762.14</c:v>
                </c:pt>
                <c:pt idx="2713">
                  <c:v>773.4299999999999</c:v>
                </c:pt>
                <c:pt idx="2714">
                  <c:v>767.84</c:v>
                </c:pt>
                <c:pt idx="2715">
                  <c:v>767.84</c:v>
                </c:pt>
                <c:pt idx="2716">
                  <c:v>770.08</c:v>
                </c:pt>
                <c:pt idx="2717">
                  <c:v>773.4299999999999</c:v>
                </c:pt>
                <c:pt idx="2718">
                  <c:v>781.8</c:v>
                </c:pt>
                <c:pt idx="2719">
                  <c:v>781.8</c:v>
                </c:pt>
                <c:pt idx="2720">
                  <c:v>781.8</c:v>
                </c:pt>
                <c:pt idx="2721">
                  <c:v>753.88</c:v>
                </c:pt>
                <c:pt idx="2722">
                  <c:v>742.71</c:v>
                </c:pt>
                <c:pt idx="2723">
                  <c:v>742.71</c:v>
                </c:pt>
                <c:pt idx="2724">
                  <c:v>742.71</c:v>
                </c:pt>
                <c:pt idx="2725">
                  <c:v>756.12</c:v>
                </c:pt>
                <c:pt idx="2726">
                  <c:v>759.47</c:v>
                </c:pt>
                <c:pt idx="2727">
                  <c:v>759.47</c:v>
                </c:pt>
                <c:pt idx="2728">
                  <c:v>759.47</c:v>
                </c:pt>
                <c:pt idx="2729">
                  <c:v>748.3</c:v>
                </c:pt>
                <c:pt idx="2730">
                  <c:v>737.69</c:v>
                </c:pt>
                <c:pt idx="2731">
                  <c:v>759.47</c:v>
                </c:pt>
                <c:pt idx="2732">
                  <c:v>762.82</c:v>
                </c:pt>
                <c:pt idx="2733">
                  <c:v>762.82</c:v>
                </c:pt>
                <c:pt idx="2734">
                  <c:v>753.88</c:v>
                </c:pt>
                <c:pt idx="2735">
                  <c:v>753.88</c:v>
                </c:pt>
                <c:pt idx="2736">
                  <c:v>753.88</c:v>
                </c:pt>
                <c:pt idx="2737">
                  <c:v>753.88</c:v>
                </c:pt>
                <c:pt idx="2738">
                  <c:v>753.88</c:v>
                </c:pt>
                <c:pt idx="2739">
                  <c:v>753.88</c:v>
                </c:pt>
                <c:pt idx="2740">
                  <c:v>753.88</c:v>
                </c:pt>
                <c:pt idx="2741">
                  <c:v>725.96</c:v>
                </c:pt>
                <c:pt idx="2742">
                  <c:v>734.34</c:v>
                </c:pt>
                <c:pt idx="2743">
                  <c:v>725.96</c:v>
                </c:pt>
                <c:pt idx="2744">
                  <c:v>714.79</c:v>
                </c:pt>
                <c:pt idx="2745">
                  <c:v>725.96</c:v>
                </c:pt>
                <c:pt idx="2746">
                  <c:v>725.96</c:v>
                </c:pt>
                <c:pt idx="2747">
                  <c:v>725.96</c:v>
                </c:pt>
                <c:pt idx="2748">
                  <c:v>703.62</c:v>
                </c:pt>
              </c:numCache>
            </c:numRef>
          </c:val>
          <c:smooth val="0"/>
        </c:ser>
        <c:ser>
          <c:idx val="0"/>
          <c:order val="0"/>
          <c:spPr>
            <a:ln w="12700">
              <a:solidFill>
                <a:schemeClr val="tx2">
                  <a:lumMod val="50000"/>
                </a:schemeClr>
              </a:solidFill>
            </a:ln>
          </c:spPr>
          <c:marker>
            <c:symbol val="none"/>
          </c:marker>
          <c:cat>
            <c:numRef>
              <c:f>'4g. Oceana Stock'!$A$9:$A$2757</c:f>
              <c:numCache>
                <c:formatCode>m/d/yy</c:formatCode>
                <c:ptCount val="2749"/>
                <c:pt idx="0">
                  <c:v>42494.0</c:v>
                </c:pt>
                <c:pt idx="1">
                  <c:v>42493.0</c:v>
                </c:pt>
                <c:pt idx="2">
                  <c:v>42489.0</c:v>
                </c:pt>
                <c:pt idx="3">
                  <c:v>42488.0</c:v>
                </c:pt>
                <c:pt idx="4">
                  <c:v>42486.0</c:v>
                </c:pt>
                <c:pt idx="5">
                  <c:v>42485.0</c:v>
                </c:pt>
                <c:pt idx="6">
                  <c:v>42482.0</c:v>
                </c:pt>
                <c:pt idx="7">
                  <c:v>42481.0</c:v>
                </c:pt>
                <c:pt idx="8">
                  <c:v>42480.0</c:v>
                </c:pt>
                <c:pt idx="9">
                  <c:v>42479.0</c:v>
                </c:pt>
                <c:pt idx="10">
                  <c:v>42478.0</c:v>
                </c:pt>
                <c:pt idx="11">
                  <c:v>42475.0</c:v>
                </c:pt>
                <c:pt idx="12">
                  <c:v>42474.0</c:v>
                </c:pt>
                <c:pt idx="13">
                  <c:v>42473.0</c:v>
                </c:pt>
                <c:pt idx="14">
                  <c:v>42472.0</c:v>
                </c:pt>
                <c:pt idx="15">
                  <c:v>42471.0</c:v>
                </c:pt>
                <c:pt idx="16">
                  <c:v>42468.0</c:v>
                </c:pt>
                <c:pt idx="17">
                  <c:v>42467.0</c:v>
                </c:pt>
                <c:pt idx="18">
                  <c:v>42466.0</c:v>
                </c:pt>
                <c:pt idx="19">
                  <c:v>42465.0</c:v>
                </c:pt>
                <c:pt idx="20">
                  <c:v>42464.0</c:v>
                </c:pt>
                <c:pt idx="21">
                  <c:v>42461.0</c:v>
                </c:pt>
                <c:pt idx="22">
                  <c:v>42460.0</c:v>
                </c:pt>
                <c:pt idx="23">
                  <c:v>42459.0</c:v>
                </c:pt>
                <c:pt idx="24">
                  <c:v>42458.0</c:v>
                </c:pt>
                <c:pt idx="25">
                  <c:v>42453.0</c:v>
                </c:pt>
                <c:pt idx="26">
                  <c:v>42452.0</c:v>
                </c:pt>
                <c:pt idx="27">
                  <c:v>42451.0</c:v>
                </c:pt>
                <c:pt idx="28">
                  <c:v>42447.0</c:v>
                </c:pt>
                <c:pt idx="29">
                  <c:v>42446.0</c:v>
                </c:pt>
                <c:pt idx="30">
                  <c:v>42445.0</c:v>
                </c:pt>
                <c:pt idx="31">
                  <c:v>42444.0</c:v>
                </c:pt>
                <c:pt idx="32">
                  <c:v>42443.0</c:v>
                </c:pt>
                <c:pt idx="33">
                  <c:v>42440.0</c:v>
                </c:pt>
                <c:pt idx="34">
                  <c:v>42439.0</c:v>
                </c:pt>
                <c:pt idx="35">
                  <c:v>42438.0</c:v>
                </c:pt>
                <c:pt idx="36">
                  <c:v>42437.0</c:v>
                </c:pt>
                <c:pt idx="37">
                  <c:v>42436.0</c:v>
                </c:pt>
                <c:pt idx="38">
                  <c:v>42433.0</c:v>
                </c:pt>
                <c:pt idx="39">
                  <c:v>42432.0</c:v>
                </c:pt>
                <c:pt idx="40">
                  <c:v>42431.0</c:v>
                </c:pt>
                <c:pt idx="41">
                  <c:v>42430.0</c:v>
                </c:pt>
                <c:pt idx="42">
                  <c:v>42429.0</c:v>
                </c:pt>
                <c:pt idx="43">
                  <c:v>42426.0</c:v>
                </c:pt>
                <c:pt idx="44">
                  <c:v>42425.0</c:v>
                </c:pt>
                <c:pt idx="45">
                  <c:v>42424.0</c:v>
                </c:pt>
                <c:pt idx="46">
                  <c:v>42423.0</c:v>
                </c:pt>
                <c:pt idx="47">
                  <c:v>42422.0</c:v>
                </c:pt>
                <c:pt idx="48">
                  <c:v>42419.0</c:v>
                </c:pt>
                <c:pt idx="49">
                  <c:v>42418.0</c:v>
                </c:pt>
                <c:pt idx="50">
                  <c:v>42417.0</c:v>
                </c:pt>
                <c:pt idx="51">
                  <c:v>42416.0</c:v>
                </c:pt>
                <c:pt idx="52">
                  <c:v>42415.0</c:v>
                </c:pt>
                <c:pt idx="53">
                  <c:v>42412.0</c:v>
                </c:pt>
                <c:pt idx="54">
                  <c:v>42411.0</c:v>
                </c:pt>
                <c:pt idx="55">
                  <c:v>42410.0</c:v>
                </c:pt>
                <c:pt idx="56">
                  <c:v>42409.0</c:v>
                </c:pt>
                <c:pt idx="57">
                  <c:v>42408.0</c:v>
                </c:pt>
                <c:pt idx="58">
                  <c:v>42405.0</c:v>
                </c:pt>
                <c:pt idx="59">
                  <c:v>42404.0</c:v>
                </c:pt>
                <c:pt idx="60">
                  <c:v>42403.0</c:v>
                </c:pt>
                <c:pt idx="61">
                  <c:v>42402.0</c:v>
                </c:pt>
                <c:pt idx="62">
                  <c:v>42401.0</c:v>
                </c:pt>
                <c:pt idx="63">
                  <c:v>42398.0</c:v>
                </c:pt>
                <c:pt idx="64">
                  <c:v>42397.0</c:v>
                </c:pt>
                <c:pt idx="65">
                  <c:v>42396.0</c:v>
                </c:pt>
                <c:pt idx="66">
                  <c:v>42395.0</c:v>
                </c:pt>
                <c:pt idx="67">
                  <c:v>42394.0</c:v>
                </c:pt>
                <c:pt idx="68">
                  <c:v>42391.0</c:v>
                </c:pt>
                <c:pt idx="69">
                  <c:v>42390.0</c:v>
                </c:pt>
                <c:pt idx="70">
                  <c:v>42389.0</c:v>
                </c:pt>
                <c:pt idx="71">
                  <c:v>42388.0</c:v>
                </c:pt>
                <c:pt idx="72">
                  <c:v>42387.0</c:v>
                </c:pt>
                <c:pt idx="73">
                  <c:v>42384.0</c:v>
                </c:pt>
                <c:pt idx="74">
                  <c:v>42383.0</c:v>
                </c:pt>
                <c:pt idx="75">
                  <c:v>42382.0</c:v>
                </c:pt>
                <c:pt idx="76">
                  <c:v>42381.0</c:v>
                </c:pt>
                <c:pt idx="77">
                  <c:v>42380.0</c:v>
                </c:pt>
                <c:pt idx="78">
                  <c:v>42377.0</c:v>
                </c:pt>
                <c:pt idx="79">
                  <c:v>42376.0</c:v>
                </c:pt>
                <c:pt idx="80">
                  <c:v>42375.0</c:v>
                </c:pt>
                <c:pt idx="81">
                  <c:v>42374.0</c:v>
                </c:pt>
                <c:pt idx="82">
                  <c:v>42373.0</c:v>
                </c:pt>
                <c:pt idx="83">
                  <c:v>42369.0</c:v>
                </c:pt>
                <c:pt idx="84">
                  <c:v>42368.0</c:v>
                </c:pt>
                <c:pt idx="85">
                  <c:v>42367.0</c:v>
                </c:pt>
                <c:pt idx="86">
                  <c:v>42366.0</c:v>
                </c:pt>
                <c:pt idx="87">
                  <c:v>42362.0</c:v>
                </c:pt>
                <c:pt idx="88">
                  <c:v>42361.0</c:v>
                </c:pt>
                <c:pt idx="89">
                  <c:v>42360.0</c:v>
                </c:pt>
                <c:pt idx="90">
                  <c:v>42359.0</c:v>
                </c:pt>
                <c:pt idx="91">
                  <c:v>42356.0</c:v>
                </c:pt>
                <c:pt idx="92">
                  <c:v>42355.0</c:v>
                </c:pt>
                <c:pt idx="93">
                  <c:v>42353.0</c:v>
                </c:pt>
                <c:pt idx="94">
                  <c:v>42352.0</c:v>
                </c:pt>
                <c:pt idx="95">
                  <c:v>42349.0</c:v>
                </c:pt>
                <c:pt idx="96">
                  <c:v>42348.0</c:v>
                </c:pt>
                <c:pt idx="97">
                  <c:v>42347.0</c:v>
                </c:pt>
                <c:pt idx="98">
                  <c:v>42346.0</c:v>
                </c:pt>
                <c:pt idx="99">
                  <c:v>42345.0</c:v>
                </c:pt>
                <c:pt idx="100">
                  <c:v>42342.0</c:v>
                </c:pt>
                <c:pt idx="101">
                  <c:v>42341.0</c:v>
                </c:pt>
                <c:pt idx="102">
                  <c:v>42340.0</c:v>
                </c:pt>
                <c:pt idx="103">
                  <c:v>42339.0</c:v>
                </c:pt>
                <c:pt idx="104">
                  <c:v>42338.0</c:v>
                </c:pt>
                <c:pt idx="105">
                  <c:v>42335.0</c:v>
                </c:pt>
                <c:pt idx="106">
                  <c:v>42334.0</c:v>
                </c:pt>
                <c:pt idx="107">
                  <c:v>42333.0</c:v>
                </c:pt>
                <c:pt idx="108">
                  <c:v>42332.0</c:v>
                </c:pt>
                <c:pt idx="109">
                  <c:v>42331.0</c:v>
                </c:pt>
                <c:pt idx="110">
                  <c:v>42328.0</c:v>
                </c:pt>
                <c:pt idx="111">
                  <c:v>42327.0</c:v>
                </c:pt>
                <c:pt idx="112">
                  <c:v>42326.0</c:v>
                </c:pt>
                <c:pt idx="113">
                  <c:v>42325.0</c:v>
                </c:pt>
                <c:pt idx="114">
                  <c:v>42324.0</c:v>
                </c:pt>
                <c:pt idx="115">
                  <c:v>42321.0</c:v>
                </c:pt>
                <c:pt idx="116">
                  <c:v>42320.0</c:v>
                </c:pt>
                <c:pt idx="117">
                  <c:v>42319.0</c:v>
                </c:pt>
                <c:pt idx="118">
                  <c:v>42318.0</c:v>
                </c:pt>
                <c:pt idx="119">
                  <c:v>42317.0</c:v>
                </c:pt>
                <c:pt idx="120">
                  <c:v>42314.0</c:v>
                </c:pt>
                <c:pt idx="121">
                  <c:v>42313.0</c:v>
                </c:pt>
                <c:pt idx="122">
                  <c:v>42312.0</c:v>
                </c:pt>
                <c:pt idx="123">
                  <c:v>42311.0</c:v>
                </c:pt>
                <c:pt idx="124">
                  <c:v>42310.0</c:v>
                </c:pt>
                <c:pt idx="125">
                  <c:v>42307.0</c:v>
                </c:pt>
                <c:pt idx="126">
                  <c:v>42306.0</c:v>
                </c:pt>
                <c:pt idx="127">
                  <c:v>42305.0</c:v>
                </c:pt>
                <c:pt idx="128">
                  <c:v>42304.0</c:v>
                </c:pt>
                <c:pt idx="129">
                  <c:v>42303.0</c:v>
                </c:pt>
                <c:pt idx="130">
                  <c:v>42300.0</c:v>
                </c:pt>
                <c:pt idx="131">
                  <c:v>42299.0</c:v>
                </c:pt>
                <c:pt idx="132">
                  <c:v>42298.0</c:v>
                </c:pt>
                <c:pt idx="133">
                  <c:v>42297.0</c:v>
                </c:pt>
                <c:pt idx="134">
                  <c:v>42296.0</c:v>
                </c:pt>
                <c:pt idx="135">
                  <c:v>42293.0</c:v>
                </c:pt>
                <c:pt idx="136">
                  <c:v>42292.0</c:v>
                </c:pt>
                <c:pt idx="137">
                  <c:v>42291.0</c:v>
                </c:pt>
                <c:pt idx="138">
                  <c:v>42290.0</c:v>
                </c:pt>
                <c:pt idx="139">
                  <c:v>42289.0</c:v>
                </c:pt>
                <c:pt idx="140">
                  <c:v>42286.0</c:v>
                </c:pt>
                <c:pt idx="141">
                  <c:v>42285.0</c:v>
                </c:pt>
                <c:pt idx="142">
                  <c:v>42284.0</c:v>
                </c:pt>
                <c:pt idx="143">
                  <c:v>42283.0</c:v>
                </c:pt>
                <c:pt idx="144">
                  <c:v>42282.0</c:v>
                </c:pt>
                <c:pt idx="145">
                  <c:v>42279.0</c:v>
                </c:pt>
                <c:pt idx="146">
                  <c:v>42278.0</c:v>
                </c:pt>
                <c:pt idx="147">
                  <c:v>42277.0</c:v>
                </c:pt>
                <c:pt idx="148">
                  <c:v>42276.0</c:v>
                </c:pt>
                <c:pt idx="149">
                  <c:v>42275.0</c:v>
                </c:pt>
                <c:pt idx="150">
                  <c:v>42272.0</c:v>
                </c:pt>
                <c:pt idx="151">
                  <c:v>42270.0</c:v>
                </c:pt>
                <c:pt idx="152">
                  <c:v>42269.0</c:v>
                </c:pt>
                <c:pt idx="153">
                  <c:v>42268.0</c:v>
                </c:pt>
                <c:pt idx="154">
                  <c:v>42265.0</c:v>
                </c:pt>
                <c:pt idx="155">
                  <c:v>42264.0</c:v>
                </c:pt>
                <c:pt idx="156">
                  <c:v>42263.0</c:v>
                </c:pt>
                <c:pt idx="157">
                  <c:v>42262.0</c:v>
                </c:pt>
                <c:pt idx="158">
                  <c:v>42261.0</c:v>
                </c:pt>
                <c:pt idx="159">
                  <c:v>42258.0</c:v>
                </c:pt>
                <c:pt idx="160">
                  <c:v>42257.0</c:v>
                </c:pt>
                <c:pt idx="161">
                  <c:v>42256.0</c:v>
                </c:pt>
                <c:pt idx="162">
                  <c:v>42255.0</c:v>
                </c:pt>
                <c:pt idx="163">
                  <c:v>42254.0</c:v>
                </c:pt>
                <c:pt idx="164">
                  <c:v>42251.0</c:v>
                </c:pt>
                <c:pt idx="165">
                  <c:v>42250.0</c:v>
                </c:pt>
                <c:pt idx="166">
                  <c:v>42249.0</c:v>
                </c:pt>
                <c:pt idx="167">
                  <c:v>42248.0</c:v>
                </c:pt>
                <c:pt idx="168">
                  <c:v>42247.0</c:v>
                </c:pt>
                <c:pt idx="169">
                  <c:v>42244.0</c:v>
                </c:pt>
                <c:pt idx="170">
                  <c:v>42243.0</c:v>
                </c:pt>
                <c:pt idx="171">
                  <c:v>42242.0</c:v>
                </c:pt>
                <c:pt idx="172">
                  <c:v>42241.0</c:v>
                </c:pt>
                <c:pt idx="173">
                  <c:v>42240.0</c:v>
                </c:pt>
                <c:pt idx="174">
                  <c:v>42237.0</c:v>
                </c:pt>
                <c:pt idx="175">
                  <c:v>42236.0</c:v>
                </c:pt>
                <c:pt idx="176">
                  <c:v>42235.0</c:v>
                </c:pt>
                <c:pt idx="177">
                  <c:v>42234.0</c:v>
                </c:pt>
                <c:pt idx="178">
                  <c:v>42233.0</c:v>
                </c:pt>
                <c:pt idx="179">
                  <c:v>42230.0</c:v>
                </c:pt>
                <c:pt idx="180">
                  <c:v>42229.0</c:v>
                </c:pt>
                <c:pt idx="181">
                  <c:v>42228.0</c:v>
                </c:pt>
                <c:pt idx="182">
                  <c:v>42227.0</c:v>
                </c:pt>
                <c:pt idx="183">
                  <c:v>42223.0</c:v>
                </c:pt>
                <c:pt idx="184">
                  <c:v>42222.0</c:v>
                </c:pt>
                <c:pt idx="185">
                  <c:v>42221.0</c:v>
                </c:pt>
                <c:pt idx="186">
                  <c:v>42220.0</c:v>
                </c:pt>
                <c:pt idx="187">
                  <c:v>42219.0</c:v>
                </c:pt>
                <c:pt idx="188">
                  <c:v>42216.0</c:v>
                </c:pt>
                <c:pt idx="189">
                  <c:v>42215.0</c:v>
                </c:pt>
                <c:pt idx="190">
                  <c:v>42214.0</c:v>
                </c:pt>
                <c:pt idx="191">
                  <c:v>42213.0</c:v>
                </c:pt>
                <c:pt idx="192">
                  <c:v>42212.0</c:v>
                </c:pt>
                <c:pt idx="193">
                  <c:v>42209.0</c:v>
                </c:pt>
                <c:pt idx="194">
                  <c:v>42208.0</c:v>
                </c:pt>
                <c:pt idx="195">
                  <c:v>42207.0</c:v>
                </c:pt>
                <c:pt idx="196">
                  <c:v>42206.0</c:v>
                </c:pt>
                <c:pt idx="197">
                  <c:v>42205.0</c:v>
                </c:pt>
                <c:pt idx="198">
                  <c:v>42202.0</c:v>
                </c:pt>
                <c:pt idx="199">
                  <c:v>42201.0</c:v>
                </c:pt>
                <c:pt idx="200">
                  <c:v>42200.0</c:v>
                </c:pt>
                <c:pt idx="201">
                  <c:v>42199.0</c:v>
                </c:pt>
                <c:pt idx="202">
                  <c:v>42198.0</c:v>
                </c:pt>
                <c:pt idx="203">
                  <c:v>42195.0</c:v>
                </c:pt>
                <c:pt idx="204">
                  <c:v>42194.0</c:v>
                </c:pt>
                <c:pt idx="205">
                  <c:v>42193.0</c:v>
                </c:pt>
                <c:pt idx="206">
                  <c:v>42192.0</c:v>
                </c:pt>
                <c:pt idx="207">
                  <c:v>42191.0</c:v>
                </c:pt>
                <c:pt idx="208">
                  <c:v>42188.0</c:v>
                </c:pt>
                <c:pt idx="209">
                  <c:v>42187.0</c:v>
                </c:pt>
                <c:pt idx="210">
                  <c:v>42186.0</c:v>
                </c:pt>
                <c:pt idx="211">
                  <c:v>42185.0</c:v>
                </c:pt>
                <c:pt idx="212">
                  <c:v>42184.0</c:v>
                </c:pt>
                <c:pt idx="213">
                  <c:v>42181.0</c:v>
                </c:pt>
                <c:pt idx="214">
                  <c:v>42180.0</c:v>
                </c:pt>
                <c:pt idx="215">
                  <c:v>42179.0</c:v>
                </c:pt>
                <c:pt idx="216">
                  <c:v>42178.0</c:v>
                </c:pt>
                <c:pt idx="217">
                  <c:v>42177.0</c:v>
                </c:pt>
                <c:pt idx="218">
                  <c:v>42174.0</c:v>
                </c:pt>
                <c:pt idx="219">
                  <c:v>42173.0</c:v>
                </c:pt>
                <c:pt idx="220">
                  <c:v>42172.0</c:v>
                </c:pt>
                <c:pt idx="221">
                  <c:v>42170.0</c:v>
                </c:pt>
                <c:pt idx="222">
                  <c:v>42167.0</c:v>
                </c:pt>
                <c:pt idx="223">
                  <c:v>42166.0</c:v>
                </c:pt>
                <c:pt idx="224">
                  <c:v>42165.0</c:v>
                </c:pt>
                <c:pt idx="225">
                  <c:v>42164.0</c:v>
                </c:pt>
                <c:pt idx="226">
                  <c:v>42163.0</c:v>
                </c:pt>
                <c:pt idx="227">
                  <c:v>42160.0</c:v>
                </c:pt>
                <c:pt idx="228">
                  <c:v>42159.0</c:v>
                </c:pt>
                <c:pt idx="229">
                  <c:v>42158.0</c:v>
                </c:pt>
                <c:pt idx="230">
                  <c:v>42157.0</c:v>
                </c:pt>
                <c:pt idx="231">
                  <c:v>42156.0</c:v>
                </c:pt>
                <c:pt idx="232">
                  <c:v>42153.0</c:v>
                </c:pt>
                <c:pt idx="233">
                  <c:v>42152.0</c:v>
                </c:pt>
                <c:pt idx="234">
                  <c:v>42151.0</c:v>
                </c:pt>
                <c:pt idx="235">
                  <c:v>42150.0</c:v>
                </c:pt>
                <c:pt idx="236">
                  <c:v>42149.0</c:v>
                </c:pt>
                <c:pt idx="237">
                  <c:v>42146.0</c:v>
                </c:pt>
                <c:pt idx="238">
                  <c:v>42145.0</c:v>
                </c:pt>
                <c:pt idx="239">
                  <c:v>42144.0</c:v>
                </c:pt>
                <c:pt idx="240">
                  <c:v>42143.0</c:v>
                </c:pt>
                <c:pt idx="241">
                  <c:v>42142.0</c:v>
                </c:pt>
                <c:pt idx="242">
                  <c:v>42139.0</c:v>
                </c:pt>
                <c:pt idx="243">
                  <c:v>42138.0</c:v>
                </c:pt>
                <c:pt idx="244">
                  <c:v>42137.0</c:v>
                </c:pt>
                <c:pt idx="245">
                  <c:v>42136.0</c:v>
                </c:pt>
                <c:pt idx="246">
                  <c:v>42135.0</c:v>
                </c:pt>
                <c:pt idx="247">
                  <c:v>42132.0</c:v>
                </c:pt>
                <c:pt idx="248">
                  <c:v>42131.0</c:v>
                </c:pt>
                <c:pt idx="249">
                  <c:v>42130.0</c:v>
                </c:pt>
                <c:pt idx="250">
                  <c:v>42129.0</c:v>
                </c:pt>
                <c:pt idx="251">
                  <c:v>42128.0</c:v>
                </c:pt>
                <c:pt idx="252">
                  <c:v>42124.0</c:v>
                </c:pt>
                <c:pt idx="253">
                  <c:v>42123.0</c:v>
                </c:pt>
                <c:pt idx="254">
                  <c:v>42122.0</c:v>
                </c:pt>
                <c:pt idx="255">
                  <c:v>42118.0</c:v>
                </c:pt>
                <c:pt idx="256">
                  <c:v>42117.0</c:v>
                </c:pt>
                <c:pt idx="257">
                  <c:v>42116.0</c:v>
                </c:pt>
                <c:pt idx="258">
                  <c:v>42115.0</c:v>
                </c:pt>
                <c:pt idx="259">
                  <c:v>42114.0</c:v>
                </c:pt>
                <c:pt idx="260">
                  <c:v>42111.0</c:v>
                </c:pt>
                <c:pt idx="261">
                  <c:v>42110.0</c:v>
                </c:pt>
                <c:pt idx="262">
                  <c:v>42109.0</c:v>
                </c:pt>
                <c:pt idx="263">
                  <c:v>42108.0</c:v>
                </c:pt>
                <c:pt idx="264">
                  <c:v>42107.0</c:v>
                </c:pt>
                <c:pt idx="265">
                  <c:v>42104.0</c:v>
                </c:pt>
                <c:pt idx="266">
                  <c:v>42103.0</c:v>
                </c:pt>
                <c:pt idx="267">
                  <c:v>42102.0</c:v>
                </c:pt>
                <c:pt idx="268">
                  <c:v>42101.0</c:v>
                </c:pt>
                <c:pt idx="269">
                  <c:v>42096.0</c:v>
                </c:pt>
                <c:pt idx="270">
                  <c:v>42095.0</c:v>
                </c:pt>
                <c:pt idx="271">
                  <c:v>42094.0</c:v>
                </c:pt>
                <c:pt idx="272">
                  <c:v>42093.0</c:v>
                </c:pt>
                <c:pt idx="273">
                  <c:v>42090.0</c:v>
                </c:pt>
                <c:pt idx="274">
                  <c:v>42089.0</c:v>
                </c:pt>
                <c:pt idx="275">
                  <c:v>42088.0</c:v>
                </c:pt>
                <c:pt idx="276">
                  <c:v>42087.0</c:v>
                </c:pt>
                <c:pt idx="277">
                  <c:v>42086.0</c:v>
                </c:pt>
                <c:pt idx="278">
                  <c:v>42083.0</c:v>
                </c:pt>
                <c:pt idx="279">
                  <c:v>42082.0</c:v>
                </c:pt>
                <c:pt idx="280">
                  <c:v>42081.0</c:v>
                </c:pt>
                <c:pt idx="281">
                  <c:v>42080.0</c:v>
                </c:pt>
                <c:pt idx="282">
                  <c:v>42079.0</c:v>
                </c:pt>
                <c:pt idx="283">
                  <c:v>42076.0</c:v>
                </c:pt>
                <c:pt idx="284">
                  <c:v>42075.0</c:v>
                </c:pt>
                <c:pt idx="285">
                  <c:v>42074.0</c:v>
                </c:pt>
                <c:pt idx="286">
                  <c:v>42073.0</c:v>
                </c:pt>
                <c:pt idx="287">
                  <c:v>42072.0</c:v>
                </c:pt>
                <c:pt idx="288">
                  <c:v>42069.0</c:v>
                </c:pt>
                <c:pt idx="289">
                  <c:v>42068.0</c:v>
                </c:pt>
                <c:pt idx="290">
                  <c:v>42067.0</c:v>
                </c:pt>
                <c:pt idx="291">
                  <c:v>42066.0</c:v>
                </c:pt>
                <c:pt idx="292">
                  <c:v>42065.0</c:v>
                </c:pt>
                <c:pt idx="293">
                  <c:v>42062.0</c:v>
                </c:pt>
                <c:pt idx="294">
                  <c:v>42061.0</c:v>
                </c:pt>
                <c:pt idx="295">
                  <c:v>42060.0</c:v>
                </c:pt>
                <c:pt idx="296">
                  <c:v>42059.0</c:v>
                </c:pt>
                <c:pt idx="297">
                  <c:v>42058.0</c:v>
                </c:pt>
                <c:pt idx="298">
                  <c:v>42055.0</c:v>
                </c:pt>
                <c:pt idx="299">
                  <c:v>42054.0</c:v>
                </c:pt>
                <c:pt idx="300">
                  <c:v>42053.0</c:v>
                </c:pt>
                <c:pt idx="301">
                  <c:v>42052.0</c:v>
                </c:pt>
                <c:pt idx="302">
                  <c:v>42051.0</c:v>
                </c:pt>
                <c:pt idx="303">
                  <c:v>42048.0</c:v>
                </c:pt>
                <c:pt idx="304">
                  <c:v>42047.0</c:v>
                </c:pt>
                <c:pt idx="305">
                  <c:v>42046.0</c:v>
                </c:pt>
                <c:pt idx="306">
                  <c:v>42045.0</c:v>
                </c:pt>
                <c:pt idx="307">
                  <c:v>42044.0</c:v>
                </c:pt>
                <c:pt idx="308">
                  <c:v>42041.0</c:v>
                </c:pt>
                <c:pt idx="309">
                  <c:v>42040.0</c:v>
                </c:pt>
                <c:pt idx="310">
                  <c:v>42039.0</c:v>
                </c:pt>
                <c:pt idx="311">
                  <c:v>42038.0</c:v>
                </c:pt>
                <c:pt idx="312">
                  <c:v>42037.0</c:v>
                </c:pt>
                <c:pt idx="313">
                  <c:v>42034.0</c:v>
                </c:pt>
                <c:pt idx="314">
                  <c:v>42033.0</c:v>
                </c:pt>
                <c:pt idx="315">
                  <c:v>42032.0</c:v>
                </c:pt>
                <c:pt idx="316">
                  <c:v>42031.0</c:v>
                </c:pt>
                <c:pt idx="317">
                  <c:v>42030.0</c:v>
                </c:pt>
                <c:pt idx="318">
                  <c:v>42027.0</c:v>
                </c:pt>
                <c:pt idx="319">
                  <c:v>42026.0</c:v>
                </c:pt>
                <c:pt idx="320">
                  <c:v>42025.0</c:v>
                </c:pt>
                <c:pt idx="321">
                  <c:v>42024.0</c:v>
                </c:pt>
                <c:pt idx="322">
                  <c:v>42023.0</c:v>
                </c:pt>
                <c:pt idx="323">
                  <c:v>42020.0</c:v>
                </c:pt>
                <c:pt idx="324">
                  <c:v>42019.0</c:v>
                </c:pt>
                <c:pt idx="325">
                  <c:v>42018.0</c:v>
                </c:pt>
                <c:pt idx="326">
                  <c:v>42017.0</c:v>
                </c:pt>
                <c:pt idx="327">
                  <c:v>42016.0</c:v>
                </c:pt>
                <c:pt idx="328">
                  <c:v>42013.0</c:v>
                </c:pt>
                <c:pt idx="329">
                  <c:v>42012.0</c:v>
                </c:pt>
                <c:pt idx="330">
                  <c:v>42011.0</c:v>
                </c:pt>
                <c:pt idx="331">
                  <c:v>42010.0</c:v>
                </c:pt>
                <c:pt idx="332">
                  <c:v>42009.0</c:v>
                </c:pt>
                <c:pt idx="333">
                  <c:v>42006.0</c:v>
                </c:pt>
                <c:pt idx="334">
                  <c:v>42004.0</c:v>
                </c:pt>
                <c:pt idx="335">
                  <c:v>42003.0</c:v>
                </c:pt>
                <c:pt idx="336">
                  <c:v>42002.0</c:v>
                </c:pt>
                <c:pt idx="337">
                  <c:v>41997.0</c:v>
                </c:pt>
                <c:pt idx="338">
                  <c:v>41996.0</c:v>
                </c:pt>
                <c:pt idx="339">
                  <c:v>41995.0</c:v>
                </c:pt>
                <c:pt idx="340">
                  <c:v>41992.0</c:v>
                </c:pt>
                <c:pt idx="341">
                  <c:v>41991.0</c:v>
                </c:pt>
                <c:pt idx="342">
                  <c:v>41990.0</c:v>
                </c:pt>
                <c:pt idx="343">
                  <c:v>41988.0</c:v>
                </c:pt>
                <c:pt idx="344">
                  <c:v>41985.0</c:v>
                </c:pt>
                <c:pt idx="345">
                  <c:v>41984.0</c:v>
                </c:pt>
                <c:pt idx="346">
                  <c:v>41983.0</c:v>
                </c:pt>
                <c:pt idx="347">
                  <c:v>41982.0</c:v>
                </c:pt>
                <c:pt idx="348">
                  <c:v>41981.0</c:v>
                </c:pt>
                <c:pt idx="349">
                  <c:v>41978.0</c:v>
                </c:pt>
                <c:pt idx="350">
                  <c:v>41977.0</c:v>
                </c:pt>
                <c:pt idx="351">
                  <c:v>41976.0</c:v>
                </c:pt>
                <c:pt idx="352">
                  <c:v>41975.0</c:v>
                </c:pt>
                <c:pt idx="353">
                  <c:v>41974.0</c:v>
                </c:pt>
                <c:pt idx="354">
                  <c:v>41971.0</c:v>
                </c:pt>
                <c:pt idx="355">
                  <c:v>41970.0</c:v>
                </c:pt>
                <c:pt idx="356">
                  <c:v>41969.0</c:v>
                </c:pt>
                <c:pt idx="357">
                  <c:v>41968.0</c:v>
                </c:pt>
                <c:pt idx="358">
                  <c:v>41967.0</c:v>
                </c:pt>
                <c:pt idx="359">
                  <c:v>41964.0</c:v>
                </c:pt>
                <c:pt idx="360">
                  <c:v>41963.0</c:v>
                </c:pt>
                <c:pt idx="361">
                  <c:v>41962.0</c:v>
                </c:pt>
                <c:pt idx="362">
                  <c:v>41961.0</c:v>
                </c:pt>
                <c:pt idx="363">
                  <c:v>41960.0</c:v>
                </c:pt>
                <c:pt idx="364">
                  <c:v>41957.0</c:v>
                </c:pt>
                <c:pt idx="365">
                  <c:v>41956.0</c:v>
                </c:pt>
                <c:pt idx="366">
                  <c:v>41955.0</c:v>
                </c:pt>
                <c:pt idx="367">
                  <c:v>41954.0</c:v>
                </c:pt>
                <c:pt idx="368">
                  <c:v>41953.0</c:v>
                </c:pt>
                <c:pt idx="369">
                  <c:v>41950.0</c:v>
                </c:pt>
                <c:pt idx="370">
                  <c:v>41949.0</c:v>
                </c:pt>
                <c:pt idx="371">
                  <c:v>41948.0</c:v>
                </c:pt>
                <c:pt idx="372">
                  <c:v>41947.0</c:v>
                </c:pt>
                <c:pt idx="373">
                  <c:v>41946.0</c:v>
                </c:pt>
                <c:pt idx="374">
                  <c:v>41943.0</c:v>
                </c:pt>
                <c:pt idx="375">
                  <c:v>41942.0</c:v>
                </c:pt>
                <c:pt idx="376">
                  <c:v>41941.0</c:v>
                </c:pt>
                <c:pt idx="377">
                  <c:v>41940.0</c:v>
                </c:pt>
                <c:pt idx="378">
                  <c:v>41939.0</c:v>
                </c:pt>
                <c:pt idx="379">
                  <c:v>41936.0</c:v>
                </c:pt>
                <c:pt idx="380">
                  <c:v>41935.0</c:v>
                </c:pt>
                <c:pt idx="381">
                  <c:v>41934.0</c:v>
                </c:pt>
                <c:pt idx="382">
                  <c:v>41933.0</c:v>
                </c:pt>
                <c:pt idx="383">
                  <c:v>41932.0</c:v>
                </c:pt>
                <c:pt idx="384">
                  <c:v>41929.0</c:v>
                </c:pt>
                <c:pt idx="385">
                  <c:v>41928.0</c:v>
                </c:pt>
                <c:pt idx="386">
                  <c:v>41927.0</c:v>
                </c:pt>
                <c:pt idx="387">
                  <c:v>41926.0</c:v>
                </c:pt>
                <c:pt idx="388">
                  <c:v>41925.0</c:v>
                </c:pt>
                <c:pt idx="389">
                  <c:v>41922.0</c:v>
                </c:pt>
                <c:pt idx="390">
                  <c:v>41921.0</c:v>
                </c:pt>
                <c:pt idx="391">
                  <c:v>41920.0</c:v>
                </c:pt>
                <c:pt idx="392">
                  <c:v>41919.0</c:v>
                </c:pt>
                <c:pt idx="393">
                  <c:v>41918.0</c:v>
                </c:pt>
                <c:pt idx="394">
                  <c:v>41915.0</c:v>
                </c:pt>
                <c:pt idx="395">
                  <c:v>41914.0</c:v>
                </c:pt>
                <c:pt idx="396">
                  <c:v>41913.0</c:v>
                </c:pt>
                <c:pt idx="397">
                  <c:v>41912.0</c:v>
                </c:pt>
                <c:pt idx="398">
                  <c:v>41911.0</c:v>
                </c:pt>
                <c:pt idx="399">
                  <c:v>41908.0</c:v>
                </c:pt>
                <c:pt idx="400">
                  <c:v>41907.0</c:v>
                </c:pt>
                <c:pt idx="401">
                  <c:v>41905.0</c:v>
                </c:pt>
                <c:pt idx="402">
                  <c:v>41904.0</c:v>
                </c:pt>
                <c:pt idx="403">
                  <c:v>41901.0</c:v>
                </c:pt>
                <c:pt idx="404">
                  <c:v>41900.0</c:v>
                </c:pt>
                <c:pt idx="405">
                  <c:v>41899.0</c:v>
                </c:pt>
                <c:pt idx="406">
                  <c:v>41898.0</c:v>
                </c:pt>
                <c:pt idx="407">
                  <c:v>41897.0</c:v>
                </c:pt>
                <c:pt idx="408">
                  <c:v>41894.0</c:v>
                </c:pt>
                <c:pt idx="409">
                  <c:v>41893.0</c:v>
                </c:pt>
                <c:pt idx="410">
                  <c:v>41892.0</c:v>
                </c:pt>
                <c:pt idx="411">
                  <c:v>41891.0</c:v>
                </c:pt>
                <c:pt idx="412">
                  <c:v>41890.0</c:v>
                </c:pt>
                <c:pt idx="413">
                  <c:v>41887.0</c:v>
                </c:pt>
                <c:pt idx="414">
                  <c:v>41886.0</c:v>
                </c:pt>
                <c:pt idx="415">
                  <c:v>41885.0</c:v>
                </c:pt>
                <c:pt idx="416">
                  <c:v>41884.0</c:v>
                </c:pt>
                <c:pt idx="417">
                  <c:v>41883.0</c:v>
                </c:pt>
                <c:pt idx="418">
                  <c:v>41880.0</c:v>
                </c:pt>
                <c:pt idx="419">
                  <c:v>41879.0</c:v>
                </c:pt>
                <c:pt idx="420">
                  <c:v>41878.0</c:v>
                </c:pt>
                <c:pt idx="421">
                  <c:v>41877.0</c:v>
                </c:pt>
                <c:pt idx="422">
                  <c:v>41876.0</c:v>
                </c:pt>
                <c:pt idx="423">
                  <c:v>41873.0</c:v>
                </c:pt>
                <c:pt idx="424">
                  <c:v>41872.0</c:v>
                </c:pt>
                <c:pt idx="425">
                  <c:v>41871.0</c:v>
                </c:pt>
                <c:pt idx="426">
                  <c:v>41870.0</c:v>
                </c:pt>
                <c:pt idx="427">
                  <c:v>41869.0</c:v>
                </c:pt>
                <c:pt idx="428">
                  <c:v>41866.0</c:v>
                </c:pt>
                <c:pt idx="429">
                  <c:v>41865.0</c:v>
                </c:pt>
                <c:pt idx="430">
                  <c:v>41864.0</c:v>
                </c:pt>
                <c:pt idx="431">
                  <c:v>41863.0</c:v>
                </c:pt>
                <c:pt idx="432">
                  <c:v>41862.0</c:v>
                </c:pt>
                <c:pt idx="433">
                  <c:v>41859.0</c:v>
                </c:pt>
                <c:pt idx="434">
                  <c:v>41858.0</c:v>
                </c:pt>
                <c:pt idx="435">
                  <c:v>41857.0</c:v>
                </c:pt>
                <c:pt idx="436">
                  <c:v>41856.0</c:v>
                </c:pt>
                <c:pt idx="437">
                  <c:v>41855.0</c:v>
                </c:pt>
                <c:pt idx="438">
                  <c:v>41852.0</c:v>
                </c:pt>
                <c:pt idx="439">
                  <c:v>41851.0</c:v>
                </c:pt>
                <c:pt idx="440">
                  <c:v>41850.0</c:v>
                </c:pt>
                <c:pt idx="441">
                  <c:v>41849.0</c:v>
                </c:pt>
                <c:pt idx="442">
                  <c:v>41848.0</c:v>
                </c:pt>
                <c:pt idx="443">
                  <c:v>41845.0</c:v>
                </c:pt>
                <c:pt idx="444">
                  <c:v>41844.0</c:v>
                </c:pt>
                <c:pt idx="445">
                  <c:v>41843.0</c:v>
                </c:pt>
                <c:pt idx="446">
                  <c:v>41842.0</c:v>
                </c:pt>
                <c:pt idx="447">
                  <c:v>41841.0</c:v>
                </c:pt>
                <c:pt idx="448">
                  <c:v>41838.0</c:v>
                </c:pt>
                <c:pt idx="449">
                  <c:v>41837.0</c:v>
                </c:pt>
                <c:pt idx="450">
                  <c:v>41836.0</c:v>
                </c:pt>
                <c:pt idx="451">
                  <c:v>41835.0</c:v>
                </c:pt>
                <c:pt idx="452">
                  <c:v>41834.0</c:v>
                </c:pt>
                <c:pt idx="453">
                  <c:v>41831.0</c:v>
                </c:pt>
                <c:pt idx="454">
                  <c:v>41830.0</c:v>
                </c:pt>
                <c:pt idx="455">
                  <c:v>41829.0</c:v>
                </c:pt>
                <c:pt idx="456">
                  <c:v>41828.0</c:v>
                </c:pt>
                <c:pt idx="457">
                  <c:v>41827.0</c:v>
                </c:pt>
                <c:pt idx="458">
                  <c:v>41824.0</c:v>
                </c:pt>
                <c:pt idx="459">
                  <c:v>41823.0</c:v>
                </c:pt>
                <c:pt idx="460">
                  <c:v>41822.0</c:v>
                </c:pt>
                <c:pt idx="461">
                  <c:v>41821.0</c:v>
                </c:pt>
                <c:pt idx="462">
                  <c:v>41820.0</c:v>
                </c:pt>
                <c:pt idx="463">
                  <c:v>41817.0</c:v>
                </c:pt>
                <c:pt idx="464">
                  <c:v>41816.0</c:v>
                </c:pt>
                <c:pt idx="465">
                  <c:v>41815.0</c:v>
                </c:pt>
                <c:pt idx="466">
                  <c:v>41814.0</c:v>
                </c:pt>
                <c:pt idx="467">
                  <c:v>41813.0</c:v>
                </c:pt>
                <c:pt idx="468">
                  <c:v>41810.0</c:v>
                </c:pt>
                <c:pt idx="469">
                  <c:v>41809.0</c:v>
                </c:pt>
                <c:pt idx="470">
                  <c:v>41808.0</c:v>
                </c:pt>
                <c:pt idx="471">
                  <c:v>41807.0</c:v>
                </c:pt>
                <c:pt idx="472">
                  <c:v>41803.0</c:v>
                </c:pt>
                <c:pt idx="473">
                  <c:v>41802.0</c:v>
                </c:pt>
                <c:pt idx="474">
                  <c:v>41801.0</c:v>
                </c:pt>
                <c:pt idx="475">
                  <c:v>41800.0</c:v>
                </c:pt>
                <c:pt idx="476">
                  <c:v>41799.0</c:v>
                </c:pt>
                <c:pt idx="477">
                  <c:v>41796.0</c:v>
                </c:pt>
                <c:pt idx="478">
                  <c:v>41795.0</c:v>
                </c:pt>
                <c:pt idx="479">
                  <c:v>41794.0</c:v>
                </c:pt>
                <c:pt idx="480">
                  <c:v>41793.0</c:v>
                </c:pt>
                <c:pt idx="481">
                  <c:v>41792.0</c:v>
                </c:pt>
                <c:pt idx="482">
                  <c:v>41789.0</c:v>
                </c:pt>
                <c:pt idx="483">
                  <c:v>41788.0</c:v>
                </c:pt>
                <c:pt idx="484">
                  <c:v>41787.0</c:v>
                </c:pt>
                <c:pt idx="485">
                  <c:v>41786.0</c:v>
                </c:pt>
                <c:pt idx="486">
                  <c:v>41785.0</c:v>
                </c:pt>
                <c:pt idx="487">
                  <c:v>41782.0</c:v>
                </c:pt>
                <c:pt idx="488">
                  <c:v>41781.0</c:v>
                </c:pt>
                <c:pt idx="489">
                  <c:v>41780.0</c:v>
                </c:pt>
                <c:pt idx="490">
                  <c:v>41779.0</c:v>
                </c:pt>
                <c:pt idx="491">
                  <c:v>41778.0</c:v>
                </c:pt>
                <c:pt idx="492">
                  <c:v>41775.0</c:v>
                </c:pt>
                <c:pt idx="493">
                  <c:v>41774.0</c:v>
                </c:pt>
                <c:pt idx="494">
                  <c:v>41773.0</c:v>
                </c:pt>
                <c:pt idx="495">
                  <c:v>41772.0</c:v>
                </c:pt>
                <c:pt idx="496">
                  <c:v>41771.0</c:v>
                </c:pt>
                <c:pt idx="497">
                  <c:v>41768.0</c:v>
                </c:pt>
                <c:pt idx="498">
                  <c:v>41767.0</c:v>
                </c:pt>
                <c:pt idx="499">
                  <c:v>41765.0</c:v>
                </c:pt>
                <c:pt idx="500">
                  <c:v>41764.0</c:v>
                </c:pt>
                <c:pt idx="501">
                  <c:v>41761.0</c:v>
                </c:pt>
                <c:pt idx="502">
                  <c:v>41759.0</c:v>
                </c:pt>
                <c:pt idx="503">
                  <c:v>41758.0</c:v>
                </c:pt>
                <c:pt idx="504">
                  <c:v>41754.0</c:v>
                </c:pt>
                <c:pt idx="505">
                  <c:v>41753.0</c:v>
                </c:pt>
                <c:pt idx="506">
                  <c:v>41752.0</c:v>
                </c:pt>
                <c:pt idx="507">
                  <c:v>41751.0</c:v>
                </c:pt>
                <c:pt idx="508">
                  <c:v>41746.0</c:v>
                </c:pt>
                <c:pt idx="509">
                  <c:v>41745.0</c:v>
                </c:pt>
                <c:pt idx="510">
                  <c:v>41744.0</c:v>
                </c:pt>
                <c:pt idx="511">
                  <c:v>41743.0</c:v>
                </c:pt>
                <c:pt idx="512">
                  <c:v>41740.0</c:v>
                </c:pt>
                <c:pt idx="513">
                  <c:v>41739.0</c:v>
                </c:pt>
                <c:pt idx="514">
                  <c:v>41738.0</c:v>
                </c:pt>
                <c:pt idx="515">
                  <c:v>41737.0</c:v>
                </c:pt>
                <c:pt idx="516">
                  <c:v>41736.0</c:v>
                </c:pt>
                <c:pt idx="517">
                  <c:v>41733.0</c:v>
                </c:pt>
                <c:pt idx="518">
                  <c:v>41732.0</c:v>
                </c:pt>
                <c:pt idx="519">
                  <c:v>41731.0</c:v>
                </c:pt>
                <c:pt idx="520">
                  <c:v>41730.0</c:v>
                </c:pt>
                <c:pt idx="521">
                  <c:v>41729.0</c:v>
                </c:pt>
                <c:pt idx="522">
                  <c:v>41726.0</c:v>
                </c:pt>
                <c:pt idx="523">
                  <c:v>41725.0</c:v>
                </c:pt>
                <c:pt idx="524">
                  <c:v>41724.0</c:v>
                </c:pt>
                <c:pt idx="525">
                  <c:v>41723.0</c:v>
                </c:pt>
                <c:pt idx="526">
                  <c:v>41722.0</c:v>
                </c:pt>
                <c:pt idx="527">
                  <c:v>41718.0</c:v>
                </c:pt>
                <c:pt idx="528">
                  <c:v>41717.0</c:v>
                </c:pt>
                <c:pt idx="529">
                  <c:v>41716.0</c:v>
                </c:pt>
                <c:pt idx="530">
                  <c:v>41715.0</c:v>
                </c:pt>
                <c:pt idx="531">
                  <c:v>41712.0</c:v>
                </c:pt>
                <c:pt idx="532">
                  <c:v>41711.0</c:v>
                </c:pt>
                <c:pt idx="533">
                  <c:v>41710.0</c:v>
                </c:pt>
                <c:pt idx="534">
                  <c:v>41709.0</c:v>
                </c:pt>
                <c:pt idx="535">
                  <c:v>41708.0</c:v>
                </c:pt>
                <c:pt idx="536">
                  <c:v>41705.0</c:v>
                </c:pt>
                <c:pt idx="537">
                  <c:v>41704.0</c:v>
                </c:pt>
                <c:pt idx="538">
                  <c:v>41703.0</c:v>
                </c:pt>
                <c:pt idx="539">
                  <c:v>41702.0</c:v>
                </c:pt>
                <c:pt idx="540">
                  <c:v>41701.0</c:v>
                </c:pt>
                <c:pt idx="541">
                  <c:v>41698.0</c:v>
                </c:pt>
                <c:pt idx="542">
                  <c:v>41697.0</c:v>
                </c:pt>
                <c:pt idx="543">
                  <c:v>41696.0</c:v>
                </c:pt>
                <c:pt idx="544">
                  <c:v>41695.0</c:v>
                </c:pt>
                <c:pt idx="545">
                  <c:v>41694.0</c:v>
                </c:pt>
                <c:pt idx="546">
                  <c:v>41691.0</c:v>
                </c:pt>
                <c:pt idx="547">
                  <c:v>41690.0</c:v>
                </c:pt>
                <c:pt idx="548">
                  <c:v>41689.0</c:v>
                </c:pt>
                <c:pt idx="549">
                  <c:v>41688.0</c:v>
                </c:pt>
                <c:pt idx="550">
                  <c:v>41687.0</c:v>
                </c:pt>
                <c:pt idx="551">
                  <c:v>41684.0</c:v>
                </c:pt>
                <c:pt idx="552">
                  <c:v>41683.0</c:v>
                </c:pt>
                <c:pt idx="553">
                  <c:v>41682.0</c:v>
                </c:pt>
                <c:pt idx="554">
                  <c:v>41681.0</c:v>
                </c:pt>
                <c:pt idx="555">
                  <c:v>41680.0</c:v>
                </c:pt>
                <c:pt idx="556">
                  <c:v>41677.0</c:v>
                </c:pt>
                <c:pt idx="557">
                  <c:v>41676.0</c:v>
                </c:pt>
                <c:pt idx="558">
                  <c:v>41675.0</c:v>
                </c:pt>
                <c:pt idx="559">
                  <c:v>41674.0</c:v>
                </c:pt>
                <c:pt idx="560">
                  <c:v>41673.0</c:v>
                </c:pt>
                <c:pt idx="561">
                  <c:v>41670.0</c:v>
                </c:pt>
                <c:pt idx="562">
                  <c:v>41669.0</c:v>
                </c:pt>
                <c:pt idx="563">
                  <c:v>41668.0</c:v>
                </c:pt>
                <c:pt idx="564">
                  <c:v>41667.0</c:v>
                </c:pt>
                <c:pt idx="565">
                  <c:v>41666.0</c:v>
                </c:pt>
                <c:pt idx="566">
                  <c:v>41663.0</c:v>
                </c:pt>
                <c:pt idx="567">
                  <c:v>41662.0</c:v>
                </c:pt>
                <c:pt idx="568">
                  <c:v>41661.0</c:v>
                </c:pt>
                <c:pt idx="569">
                  <c:v>41660.0</c:v>
                </c:pt>
                <c:pt idx="570">
                  <c:v>41659.0</c:v>
                </c:pt>
                <c:pt idx="571">
                  <c:v>41656.0</c:v>
                </c:pt>
                <c:pt idx="572">
                  <c:v>41655.0</c:v>
                </c:pt>
                <c:pt idx="573">
                  <c:v>41654.0</c:v>
                </c:pt>
                <c:pt idx="574">
                  <c:v>41653.0</c:v>
                </c:pt>
                <c:pt idx="575">
                  <c:v>41652.0</c:v>
                </c:pt>
                <c:pt idx="576">
                  <c:v>41649.0</c:v>
                </c:pt>
                <c:pt idx="577">
                  <c:v>41648.0</c:v>
                </c:pt>
                <c:pt idx="578">
                  <c:v>41647.0</c:v>
                </c:pt>
                <c:pt idx="579">
                  <c:v>41646.0</c:v>
                </c:pt>
                <c:pt idx="580">
                  <c:v>41645.0</c:v>
                </c:pt>
                <c:pt idx="581">
                  <c:v>41642.0</c:v>
                </c:pt>
                <c:pt idx="582">
                  <c:v>41641.0</c:v>
                </c:pt>
                <c:pt idx="583">
                  <c:v>41639.0</c:v>
                </c:pt>
                <c:pt idx="584">
                  <c:v>41638.0</c:v>
                </c:pt>
                <c:pt idx="585">
                  <c:v>41635.0</c:v>
                </c:pt>
                <c:pt idx="586">
                  <c:v>41632.0</c:v>
                </c:pt>
                <c:pt idx="587">
                  <c:v>41631.0</c:v>
                </c:pt>
                <c:pt idx="588">
                  <c:v>41628.0</c:v>
                </c:pt>
                <c:pt idx="589">
                  <c:v>41627.0</c:v>
                </c:pt>
                <c:pt idx="590">
                  <c:v>41626.0</c:v>
                </c:pt>
                <c:pt idx="591">
                  <c:v>41625.0</c:v>
                </c:pt>
                <c:pt idx="592">
                  <c:v>41621.0</c:v>
                </c:pt>
                <c:pt idx="593">
                  <c:v>41620.0</c:v>
                </c:pt>
                <c:pt idx="594">
                  <c:v>41619.0</c:v>
                </c:pt>
                <c:pt idx="595">
                  <c:v>41618.0</c:v>
                </c:pt>
                <c:pt idx="596">
                  <c:v>41617.0</c:v>
                </c:pt>
                <c:pt idx="597">
                  <c:v>41614.0</c:v>
                </c:pt>
                <c:pt idx="598">
                  <c:v>41613.0</c:v>
                </c:pt>
                <c:pt idx="599">
                  <c:v>41612.0</c:v>
                </c:pt>
                <c:pt idx="600">
                  <c:v>41611.0</c:v>
                </c:pt>
                <c:pt idx="601">
                  <c:v>41610.0</c:v>
                </c:pt>
                <c:pt idx="602">
                  <c:v>41607.0</c:v>
                </c:pt>
                <c:pt idx="603">
                  <c:v>41606.0</c:v>
                </c:pt>
                <c:pt idx="604">
                  <c:v>41605.0</c:v>
                </c:pt>
                <c:pt idx="605">
                  <c:v>41604.0</c:v>
                </c:pt>
                <c:pt idx="606">
                  <c:v>41603.0</c:v>
                </c:pt>
                <c:pt idx="607">
                  <c:v>41600.0</c:v>
                </c:pt>
                <c:pt idx="608">
                  <c:v>41599.0</c:v>
                </c:pt>
                <c:pt idx="609">
                  <c:v>41598.0</c:v>
                </c:pt>
                <c:pt idx="610">
                  <c:v>41597.0</c:v>
                </c:pt>
                <c:pt idx="611">
                  <c:v>41596.0</c:v>
                </c:pt>
                <c:pt idx="612">
                  <c:v>41593.0</c:v>
                </c:pt>
                <c:pt idx="613">
                  <c:v>41592.0</c:v>
                </c:pt>
                <c:pt idx="614">
                  <c:v>41591.0</c:v>
                </c:pt>
                <c:pt idx="615">
                  <c:v>41590.0</c:v>
                </c:pt>
                <c:pt idx="616">
                  <c:v>41589.0</c:v>
                </c:pt>
                <c:pt idx="617">
                  <c:v>41586.0</c:v>
                </c:pt>
                <c:pt idx="618">
                  <c:v>41585.0</c:v>
                </c:pt>
                <c:pt idx="619">
                  <c:v>41584.0</c:v>
                </c:pt>
                <c:pt idx="620">
                  <c:v>41583.0</c:v>
                </c:pt>
                <c:pt idx="621">
                  <c:v>41582.0</c:v>
                </c:pt>
                <c:pt idx="622">
                  <c:v>41579.0</c:v>
                </c:pt>
                <c:pt idx="623">
                  <c:v>41578.0</c:v>
                </c:pt>
                <c:pt idx="624">
                  <c:v>41577.0</c:v>
                </c:pt>
                <c:pt idx="625">
                  <c:v>41576.0</c:v>
                </c:pt>
                <c:pt idx="626">
                  <c:v>41575.0</c:v>
                </c:pt>
                <c:pt idx="627">
                  <c:v>41572.0</c:v>
                </c:pt>
                <c:pt idx="628">
                  <c:v>41571.0</c:v>
                </c:pt>
                <c:pt idx="629">
                  <c:v>41570.0</c:v>
                </c:pt>
                <c:pt idx="630">
                  <c:v>41569.0</c:v>
                </c:pt>
                <c:pt idx="631">
                  <c:v>41568.0</c:v>
                </c:pt>
                <c:pt idx="632">
                  <c:v>41565.0</c:v>
                </c:pt>
                <c:pt idx="633">
                  <c:v>41564.0</c:v>
                </c:pt>
                <c:pt idx="634">
                  <c:v>41563.0</c:v>
                </c:pt>
                <c:pt idx="635">
                  <c:v>41562.0</c:v>
                </c:pt>
                <c:pt idx="636">
                  <c:v>41561.0</c:v>
                </c:pt>
                <c:pt idx="637">
                  <c:v>41558.0</c:v>
                </c:pt>
                <c:pt idx="638">
                  <c:v>41557.0</c:v>
                </c:pt>
                <c:pt idx="639">
                  <c:v>41556.0</c:v>
                </c:pt>
                <c:pt idx="640">
                  <c:v>41555.0</c:v>
                </c:pt>
                <c:pt idx="641">
                  <c:v>41554.0</c:v>
                </c:pt>
                <c:pt idx="642">
                  <c:v>41551.0</c:v>
                </c:pt>
                <c:pt idx="643">
                  <c:v>41550.0</c:v>
                </c:pt>
                <c:pt idx="644">
                  <c:v>41549.0</c:v>
                </c:pt>
                <c:pt idx="645">
                  <c:v>41548.0</c:v>
                </c:pt>
                <c:pt idx="646">
                  <c:v>41547.0</c:v>
                </c:pt>
                <c:pt idx="647">
                  <c:v>41544.0</c:v>
                </c:pt>
                <c:pt idx="648">
                  <c:v>41543.0</c:v>
                </c:pt>
                <c:pt idx="649">
                  <c:v>41542.0</c:v>
                </c:pt>
                <c:pt idx="650">
                  <c:v>41540.0</c:v>
                </c:pt>
                <c:pt idx="651">
                  <c:v>41537.0</c:v>
                </c:pt>
                <c:pt idx="652">
                  <c:v>41536.0</c:v>
                </c:pt>
                <c:pt idx="653">
                  <c:v>41535.0</c:v>
                </c:pt>
                <c:pt idx="654">
                  <c:v>41534.0</c:v>
                </c:pt>
                <c:pt idx="655">
                  <c:v>41533.0</c:v>
                </c:pt>
                <c:pt idx="656">
                  <c:v>41530.0</c:v>
                </c:pt>
                <c:pt idx="657">
                  <c:v>41529.0</c:v>
                </c:pt>
                <c:pt idx="658">
                  <c:v>41528.0</c:v>
                </c:pt>
                <c:pt idx="659">
                  <c:v>41527.0</c:v>
                </c:pt>
                <c:pt idx="660">
                  <c:v>41526.0</c:v>
                </c:pt>
                <c:pt idx="661">
                  <c:v>41523.0</c:v>
                </c:pt>
                <c:pt idx="662">
                  <c:v>41522.0</c:v>
                </c:pt>
                <c:pt idx="663">
                  <c:v>41521.0</c:v>
                </c:pt>
                <c:pt idx="664">
                  <c:v>41520.0</c:v>
                </c:pt>
                <c:pt idx="665">
                  <c:v>41519.0</c:v>
                </c:pt>
                <c:pt idx="666">
                  <c:v>41516.0</c:v>
                </c:pt>
                <c:pt idx="667">
                  <c:v>41515.0</c:v>
                </c:pt>
                <c:pt idx="668">
                  <c:v>41514.0</c:v>
                </c:pt>
                <c:pt idx="669">
                  <c:v>41513.0</c:v>
                </c:pt>
                <c:pt idx="670">
                  <c:v>41512.0</c:v>
                </c:pt>
                <c:pt idx="671">
                  <c:v>41509.0</c:v>
                </c:pt>
                <c:pt idx="672">
                  <c:v>41508.0</c:v>
                </c:pt>
                <c:pt idx="673">
                  <c:v>41507.0</c:v>
                </c:pt>
                <c:pt idx="674">
                  <c:v>41506.0</c:v>
                </c:pt>
                <c:pt idx="675">
                  <c:v>41505.0</c:v>
                </c:pt>
                <c:pt idx="676">
                  <c:v>41502.0</c:v>
                </c:pt>
                <c:pt idx="677">
                  <c:v>41501.0</c:v>
                </c:pt>
                <c:pt idx="678">
                  <c:v>41500.0</c:v>
                </c:pt>
                <c:pt idx="679">
                  <c:v>41499.0</c:v>
                </c:pt>
                <c:pt idx="680">
                  <c:v>41498.0</c:v>
                </c:pt>
                <c:pt idx="681">
                  <c:v>41494.0</c:v>
                </c:pt>
                <c:pt idx="682">
                  <c:v>41493.0</c:v>
                </c:pt>
                <c:pt idx="683">
                  <c:v>41492.0</c:v>
                </c:pt>
                <c:pt idx="684">
                  <c:v>41491.0</c:v>
                </c:pt>
                <c:pt idx="685">
                  <c:v>41488.0</c:v>
                </c:pt>
                <c:pt idx="686">
                  <c:v>41487.0</c:v>
                </c:pt>
                <c:pt idx="687">
                  <c:v>41486.0</c:v>
                </c:pt>
                <c:pt idx="688">
                  <c:v>41485.0</c:v>
                </c:pt>
                <c:pt idx="689">
                  <c:v>41484.0</c:v>
                </c:pt>
                <c:pt idx="690">
                  <c:v>41481.0</c:v>
                </c:pt>
                <c:pt idx="691">
                  <c:v>41480.0</c:v>
                </c:pt>
                <c:pt idx="692">
                  <c:v>41479.0</c:v>
                </c:pt>
                <c:pt idx="693">
                  <c:v>41478.0</c:v>
                </c:pt>
                <c:pt idx="694">
                  <c:v>41477.0</c:v>
                </c:pt>
                <c:pt idx="695">
                  <c:v>41474.0</c:v>
                </c:pt>
                <c:pt idx="696">
                  <c:v>41473.0</c:v>
                </c:pt>
                <c:pt idx="697">
                  <c:v>41472.0</c:v>
                </c:pt>
                <c:pt idx="698">
                  <c:v>41471.0</c:v>
                </c:pt>
                <c:pt idx="699">
                  <c:v>41470.0</c:v>
                </c:pt>
                <c:pt idx="700">
                  <c:v>41467.0</c:v>
                </c:pt>
                <c:pt idx="701">
                  <c:v>41466.0</c:v>
                </c:pt>
                <c:pt idx="702">
                  <c:v>41465.0</c:v>
                </c:pt>
                <c:pt idx="703">
                  <c:v>41464.0</c:v>
                </c:pt>
                <c:pt idx="704">
                  <c:v>41463.0</c:v>
                </c:pt>
                <c:pt idx="705">
                  <c:v>41460.0</c:v>
                </c:pt>
                <c:pt idx="706">
                  <c:v>41459.0</c:v>
                </c:pt>
                <c:pt idx="707">
                  <c:v>41458.0</c:v>
                </c:pt>
                <c:pt idx="708">
                  <c:v>41457.0</c:v>
                </c:pt>
                <c:pt idx="709">
                  <c:v>41456.0</c:v>
                </c:pt>
                <c:pt idx="710">
                  <c:v>41453.0</c:v>
                </c:pt>
                <c:pt idx="711">
                  <c:v>41452.0</c:v>
                </c:pt>
                <c:pt idx="712">
                  <c:v>41451.0</c:v>
                </c:pt>
                <c:pt idx="713">
                  <c:v>41450.0</c:v>
                </c:pt>
                <c:pt idx="714">
                  <c:v>41449.0</c:v>
                </c:pt>
                <c:pt idx="715">
                  <c:v>41446.0</c:v>
                </c:pt>
                <c:pt idx="716">
                  <c:v>41445.0</c:v>
                </c:pt>
                <c:pt idx="717">
                  <c:v>41444.0</c:v>
                </c:pt>
                <c:pt idx="718">
                  <c:v>41443.0</c:v>
                </c:pt>
                <c:pt idx="719">
                  <c:v>41439.0</c:v>
                </c:pt>
                <c:pt idx="720">
                  <c:v>41438.0</c:v>
                </c:pt>
                <c:pt idx="721">
                  <c:v>41437.0</c:v>
                </c:pt>
                <c:pt idx="722">
                  <c:v>41436.0</c:v>
                </c:pt>
                <c:pt idx="723">
                  <c:v>41435.0</c:v>
                </c:pt>
                <c:pt idx="724">
                  <c:v>41432.0</c:v>
                </c:pt>
                <c:pt idx="725">
                  <c:v>41431.0</c:v>
                </c:pt>
                <c:pt idx="726">
                  <c:v>41430.0</c:v>
                </c:pt>
                <c:pt idx="727">
                  <c:v>41429.0</c:v>
                </c:pt>
                <c:pt idx="728">
                  <c:v>41428.0</c:v>
                </c:pt>
                <c:pt idx="729">
                  <c:v>41425.0</c:v>
                </c:pt>
                <c:pt idx="730">
                  <c:v>41424.0</c:v>
                </c:pt>
                <c:pt idx="731">
                  <c:v>41423.0</c:v>
                </c:pt>
                <c:pt idx="732">
                  <c:v>41422.0</c:v>
                </c:pt>
                <c:pt idx="733">
                  <c:v>41421.0</c:v>
                </c:pt>
                <c:pt idx="734">
                  <c:v>41418.0</c:v>
                </c:pt>
                <c:pt idx="735">
                  <c:v>41417.0</c:v>
                </c:pt>
                <c:pt idx="736">
                  <c:v>41416.0</c:v>
                </c:pt>
                <c:pt idx="737">
                  <c:v>41415.0</c:v>
                </c:pt>
                <c:pt idx="738">
                  <c:v>41414.0</c:v>
                </c:pt>
                <c:pt idx="739">
                  <c:v>41411.0</c:v>
                </c:pt>
                <c:pt idx="740">
                  <c:v>41410.0</c:v>
                </c:pt>
                <c:pt idx="741">
                  <c:v>41409.0</c:v>
                </c:pt>
                <c:pt idx="742">
                  <c:v>41408.0</c:v>
                </c:pt>
                <c:pt idx="743">
                  <c:v>41407.0</c:v>
                </c:pt>
                <c:pt idx="744">
                  <c:v>41404.0</c:v>
                </c:pt>
                <c:pt idx="745">
                  <c:v>41403.0</c:v>
                </c:pt>
                <c:pt idx="746">
                  <c:v>41402.0</c:v>
                </c:pt>
                <c:pt idx="747">
                  <c:v>41401.0</c:v>
                </c:pt>
                <c:pt idx="748">
                  <c:v>41400.0</c:v>
                </c:pt>
                <c:pt idx="749">
                  <c:v>41397.0</c:v>
                </c:pt>
                <c:pt idx="750">
                  <c:v>41396.0</c:v>
                </c:pt>
                <c:pt idx="751">
                  <c:v>41394.0</c:v>
                </c:pt>
                <c:pt idx="752">
                  <c:v>41393.0</c:v>
                </c:pt>
                <c:pt idx="753">
                  <c:v>41390.0</c:v>
                </c:pt>
                <c:pt idx="754">
                  <c:v>41389.0</c:v>
                </c:pt>
                <c:pt idx="755">
                  <c:v>41388.0</c:v>
                </c:pt>
                <c:pt idx="756">
                  <c:v>41387.0</c:v>
                </c:pt>
                <c:pt idx="757">
                  <c:v>41386.0</c:v>
                </c:pt>
                <c:pt idx="758">
                  <c:v>41383.0</c:v>
                </c:pt>
                <c:pt idx="759">
                  <c:v>41382.0</c:v>
                </c:pt>
                <c:pt idx="760">
                  <c:v>41381.0</c:v>
                </c:pt>
                <c:pt idx="761">
                  <c:v>41380.0</c:v>
                </c:pt>
                <c:pt idx="762">
                  <c:v>41379.0</c:v>
                </c:pt>
                <c:pt idx="763">
                  <c:v>41376.0</c:v>
                </c:pt>
                <c:pt idx="764">
                  <c:v>41375.0</c:v>
                </c:pt>
                <c:pt idx="765">
                  <c:v>41374.0</c:v>
                </c:pt>
                <c:pt idx="766">
                  <c:v>41373.0</c:v>
                </c:pt>
                <c:pt idx="767">
                  <c:v>41372.0</c:v>
                </c:pt>
                <c:pt idx="768">
                  <c:v>41369.0</c:v>
                </c:pt>
                <c:pt idx="769">
                  <c:v>41368.0</c:v>
                </c:pt>
                <c:pt idx="770">
                  <c:v>41367.0</c:v>
                </c:pt>
                <c:pt idx="771">
                  <c:v>41366.0</c:v>
                </c:pt>
                <c:pt idx="772">
                  <c:v>41361.0</c:v>
                </c:pt>
                <c:pt idx="773">
                  <c:v>41360.0</c:v>
                </c:pt>
                <c:pt idx="774">
                  <c:v>41359.0</c:v>
                </c:pt>
                <c:pt idx="775">
                  <c:v>41358.0</c:v>
                </c:pt>
                <c:pt idx="776">
                  <c:v>41355.0</c:v>
                </c:pt>
                <c:pt idx="777">
                  <c:v>41353.0</c:v>
                </c:pt>
                <c:pt idx="778">
                  <c:v>41352.0</c:v>
                </c:pt>
                <c:pt idx="779">
                  <c:v>41351.0</c:v>
                </c:pt>
                <c:pt idx="780">
                  <c:v>41348.0</c:v>
                </c:pt>
                <c:pt idx="781">
                  <c:v>41347.0</c:v>
                </c:pt>
                <c:pt idx="782">
                  <c:v>41346.0</c:v>
                </c:pt>
                <c:pt idx="783">
                  <c:v>41345.0</c:v>
                </c:pt>
                <c:pt idx="784">
                  <c:v>41344.0</c:v>
                </c:pt>
                <c:pt idx="785">
                  <c:v>41341.0</c:v>
                </c:pt>
                <c:pt idx="786">
                  <c:v>41340.0</c:v>
                </c:pt>
                <c:pt idx="787">
                  <c:v>41339.0</c:v>
                </c:pt>
                <c:pt idx="788">
                  <c:v>41338.0</c:v>
                </c:pt>
                <c:pt idx="789">
                  <c:v>41337.0</c:v>
                </c:pt>
                <c:pt idx="790">
                  <c:v>41334.0</c:v>
                </c:pt>
                <c:pt idx="791">
                  <c:v>41333.0</c:v>
                </c:pt>
                <c:pt idx="792">
                  <c:v>41332.0</c:v>
                </c:pt>
                <c:pt idx="793">
                  <c:v>41331.0</c:v>
                </c:pt>
                <c:pt idx="794">
                  <c:v>41330.0</c:v>
                </c:pt>
                <c:pt idx="795">
                  <c:v>41327.0</c:v>
                </c:pt>
                <c:pt idx="796">
                  <c:v>41326.0</c:v>
                </c:pt>
                <c:pt idx="797">
                  <c:v>41325.0</c:v>
                </c:pt>
                <c:pt idx="798">
                  <c:v>41324.0</c:v>
                </c:pt>
                <c:pt idx="799">
                  <c:v>41323.0</c:v>
                </c:pt>
                <c:pt idx="800">
                  <c:v>41320.0</c:v>
                </c:pt>
                <c:pt idx="801">
                  <c:v>41319.0</c:v>
                </c:pt>
                <c:pt idx="802">
                  <c:v>41318.0</c:v>
                </c:pt>
                <c:pt idx="803">
                  <c:v>41317.0</c:v>
                </c:pt>
                <c:pt idx="804">
                  <c:v>41316.0</c:v>
                </c:pt>
                <c:pt idx="805">
                  <c:v>41313.0</c:v>
                </c:pt>
                <c:pt idx="806">
                  <c:v>41312.0</c:v>
                </c:pt>
                <c:pt idx="807">
                  <c:v>41311.0</c:v>
                </c:pt>
                <c:pt idx="808">
                  <c:v>41310.0</c:v>
                </c:pt>
                <c:pt idx="809">
                  <c:v>41309.0</c:v>
                </c:pt>
                <c:pt idx="810">
                  <c:v>41306.0</c:v>
                </c:pt>
                <c:pt idx="811">
                  <c:v>41305.0</c:v>
                </c:pt>
                <c:pt idx="812">
                  <c:v>41304.0</c:v>
                </c:pt>
                <c:pt idx="813">
                  <c:v>41303.0</c:v>
                </c:pt>
                <c:pt idx="814">
                  <c:v>41302.0</c:v>
                </c:pt>
                <c:pt idx="815">
                  <c:v>41299.0</c:v>
                </c:pt>
                <c:pt idx="816">
                  <c:v>41298.0</c:v>
                </c:pt>
                <c:pt idx="817">
                  <c:v>41297.0</c:v>
                </c:pt>
                <c:pt idx="818">
                  <c:v>41296.0</c:v>
                </c:pt>
                <c:pt idx="819">
                  <c:v>41295.0</c:v>
                </c:pt>
                <c:pt idx="820">
                  <c:v>41292.0</c:v>
                </c:pt>
                <c:pt idx="821">
                  <c:v>41291.0</c:v>
                </c:pt>
                <c:pt idx="822">
                  <c:v>41290.0</c:v>
                </c:pt>
                <c:pt idx="823">
                  <c:v>41289.0</c:v>
                </c:pt>
                <c:pt idx="824">
                  <c:v>41288.0</c:v>
                </c:pt>
                <c:pt idx="825">
                  <c:v>41285.0</c:v>
                </c:pt>
                <c:pt idx="826">
                  <c:v>41284.0</c:v>
                </c:pt>
                <c:pt idx="827">
                  <c:v>41283.0</c:v>
                </c:pt>
                <c:pt idx="828">
                  <c:v>41282.0</c:v>
                </c:pt>
                <c:pt idx="829">
                  <c:v>41281.0</c:v>
                </c:pt>
                <c:pt idx="830">
                  <c:v>41278.0</c:v>
                </c:pt>
                <c:pt idx="831">
                  <c:v>41277.0</c:v>
                </c:pt>
                <c:pt idx="832">
                  <c:v>41276.0</c:v>
                </c:pt>
                <c:pt idx="833">
                  <c:v>41274.0</c:v>
                </c:pt>
                <c:pt idx="834">
                  <c:v>41271.0</c:v>
                </c:pt>
                <c:pt idx="835">
                  <c:v>41270.0</c:v>
                </c:pt>
                <c:pt idx="836">
                  <c:v>41267.0</c:v>
                </c:pt>
                <c:pt idx="837">
                  <c:v>41264.0</c:v>
                </c:pt>
                <c:pt idx="838">
                  <c:v>41263.0</c:v>
                </c:pt>
                <c:pt idx="839">
                  <c:v>41262.0</c:v>
                </c:pt>
                <c:pt idx="840">
                  <c:v>41261.0</c:v>
                </c:pt>
                <c:pt idx="841">
                  <c:v>41257.0</c:v>
                </c:pt>
                <c:pt idx="842">
                  <c:v>41256.0</c:v>
                </c:pt>
                <c:pt idx="843">
                  <c:v>41255.0</c:v>
                </c:pt>
                <c:pt idx="844">
                  <c:v>41254.0</c:v>
                </c:pt>
                <c:pt idx="845">
                  <c:v>41253.0</c:v>
                </c:pt>
                <c:pt idx="846">
                  <c:v>41250.0</c:v>
                </c:pt>
                <c:pt idx="847">
                  <c:v>41249.0</c:v>
                </c:pt>
                <c:pt idx="848">
                  <c:v>41248.0</c:v>
                </c:pt>
                <c:pt idx="849">
                  <c:v>41247.0</c:v>
                </c:pt>
                <c:pt idx="850">
                  <c:v>41246.0</c:v>
                </c:pt>
                <c:pt idx="851">
                  <c:v>41243.0</c:v>
                </c:pt>
                <c:pt idx="852">
                  <c:v>41242.0</c:v>
                </c:pt>
                <c:pt idx="853">
                  <c:v>41241.0</c:v>
                </c:pt>
                <c:pt idx="854">
                  <c:v>41240.0</c:v>
                </c:pt>
                <c:pt idx="855">
                  <c:v>41239.0</c:v>
                </c:pt>
                <c:pt idx="856">
                  <c:v>41236.0</c:v>
                </c:pt>
                <c:pt idx="857">
                  <c:v>41235.0</c:v>
                </c:pt>
                <c:pt idx="858">
                  <c:v>41234.0</c:v>
                </c:pt>
                <c:pt idx="859">
                  <c:v>41233.0</c:v>
                </c:pt>
                <c:pt idx="860">
                  <c:v>41232.0</c:v>
                </c:pt>
                <c:pt idx="861">
                  <c:v>41229.0</c:v>
                </c:pt>
                <c:pt idx="862">
                  <c:v>41228.0</c:v>
                </c:pt>
                <c:pt idx="863">
                  <c:v>41227.0</c:v>
                </c:pt>
                <c:pt idx="864">
                  <c:v>41226.0</c:v>
                </c:pt>
                <c:pt idx="865">
                  <c:v>41225.0</c:v>
                </c:pt>
                <c:pt idx="866">
                  <c:v>41222.0</c:v>
                </c:pt>
                <c:pt idx="867">
                  <c:v>41221.0</c:v>
                </c:pt>
                <c:pt idx="868">
                  <c:v>41220.0</c:v>
                </c:pt>
                <c:pt idx="869">
                  <c:v>41219.0</c:v>
                </c:pt>
                <c:pt idx="870">
                  <c:v>41218.0</c:v>
                </c:pt>
                <c:pt idx="871">
                  <c:v>41215.0</c:v>
                </c:pt>
                <c:pt idx="872">
                  <c:v>41214.0</c:v>
                </c:pt>
                <c:pt idx="873">
                  <c:v>41213.0</c:v>
                </c:pt>
                <c:pt idx="874">
                  <c:v>41212.0</c:v>
                </c:pt>
                <c:pt idx="875">
                  <c:v>41211.0</c:v>
                </c:pt>
                <c:pt idx="876">
                  <c:v>41208.0</c:v>
                </c:pt>
                <c:pt idx="877">
                  <c:v>41207.0</c:v>
                </c:pt>
                <c:pt idx="878">
                  <c:v>41206.0</c:v>
                </c:pt>
                <c:pt idx="879">
                  <c:v>41205.0</c:v>
                </c:pt>
                <c:pt idx="880">
                  <c:v>41204.0</c:v>
                </c:pt>
                <c:pt idx="881">
                  <c:v>41201.0</c:v>
                </c:pt>
                <c:pt idx="882">
                  <c:v>41200.0</c:v>
                </c:pt>
                <c:pt idx="883">
                  <c:v>41199.0</c:v>
                </c:pt>
                <c:pt idx="884">
                  <c:v>41198.0</c:v>
                </c:pt>
                <c:pt idx="885">
                  <c:v>41197.0</c:v>
                </c:pt>
                <c:pt idx="886">
                  <c:v>41194.0</c:v>
                </c:pt>
                <c:pt idx="887">
                  <c:v>41193.0</c:v>
                </c:pt>
                <c:pt idx="888">
                  <c:v>41192.0</c:v>
                </c:pt>
                <c:pt idx="889">
                  <c:v>41191.0</c:v>
                </c:pt>
                <c:pt idx="890">
                  <c:v>41190.0</c:v>
                </c:pt>
                <c:pt idx="891">
                  <c:v>41187.0</c:v>
                </c:pt>
                <c:pt idx="892">
                  <c:v>41186.0</c:v>
                </c:pt>
                <c:pt idx="893">
                  <c:v>41185.0</c:v>
                </c:pt>
                <c:pt idx="894">
                  <c:v>41184.0</c:v>
                </c:pt>
                <c:pt idx="895">
                  <c:v>41183.0</c:v>
                </c:pt>
                <c:pt idx="896">
                  <c:v>41180.0</c:v>
                </c:pt>
                <c:pt idx="897">
                  <c:v>41179.0</c:v>
                </c:pt>
                <c:pt idx="898">
                  <c:v>41178.0</c:v>
                </c:pt>
                <c:pt idx="899">
                  <c:v>41177.0</c:v>
                </c:pt>
                <c:pt idx="900">
                  <c:v>41173.0</c:v>
                </c:pt>
                <c:pt idx="901">
                  <c:v>41172.0</c:v>
                </c:pt>
                <c:pt idx="902">
                  <c:v>41171.0</c:v>
                </c:pt>
                <c:pt idx="903">
                  <c:v>41170.0</c:v>
                </c:pt>
                <c:pt idx="904">
                  <c:v>41169.0</c:v>
                </c:pt>
                <c:pt idx="905">
                  <c:v>41166.0</c:v>
                </c:pt>
                <c:pt idx="906">
                  <c:v>41165.0</c:v>
                </c:pt>
                <c:pt idx="907">
                  <c:v>41164.0</c:v>
                </c:pt>
                <c:pt idx="908">
                  <c:v>41163.0</c:v>
                </c:pt>
                <c:pt idx="909">
                  <c:v>41162.0</c:v>
                </c:pt>
                <c:pt idx="910">
                  <c:v>41159.0</c:v>
                </c:pt>
                <c:pt idx="911">
                  <c:v>41158.0</c:v>
                </c:pt>
                <c:pt idx="912">
                  <c:v>41157.0</c:v>
                </c:pt>
                <c:pt idx="913">
                  <c:v>41156.0</c:v>
                </c:pt>
                <c:pt idx="914">
                  <c:v>41155.0</c:v>
                </c:pt>
                <c:pt idx="915">
                  <c:v>41152.0</c:v>
                </c:pt>
                <c:pt idx="916">
                  <c:v>41151.0</c:v>
                </c:pt>
                <c:pt idx="917">
                  <c:v>41150.0</c:v>
                </c:pt>
                <c:pt idx="918">
                  <c:v>41149.0</c:v>
                </c:pt>
                <c:pt idx="919">
                  <c:v>41148.0</c:v>
                </c:pt>
                <c:pt idx="920">
                  <c:v>41145.0</c:v>
                </c:pt>
                <c:pt idx="921">
                  <c:v>41144.0</c:v>
                </c:pt>
                <c:pt idx="922">
                  <c:v>41143.0</c:v>
                </c:pt>
                <c:pt idx="923">
                  <c:v>41142.0</c:v>
                </c:pt>
                <c:pt idx="924">
                  <c:v>41141.0</c:v>
                </c:pt>
                <c:pt idx="925">
                  <c:v>41138.0</c:v>
                </c:pt>
                <c:pt idx="926">
                  <c:v>41137.0</c:v>
                </c:pt>
                <c:pt idx="927">
                  <c:v>41136.0</c:v>
                </c:pt>
                <c:pt idx="928">
                  <c:v>41135.0</c:v>
                </c:pt>
                <c:pt idx="929">
                  <c:v>41134.0</c:v>
                </c:pt>
                <c:pt idx="930">
                  <c:v>41131.0</c:v>
                </c:pt>
                <c:pt idx="931">
                  <c:v>41129.0</c:v>
                </c:pt>
                <c:pt idx="932">
                  <c:v>41128.0</c:v>
                </c:pt>
                <c:pt idx="933">
                  <c:v>41127.0</c:v>
                </c:pt>
                <c:pt idx="934">
                  <c:v>41124.0</c:v>
                </c:pt>
                <c:pt idx="935">
                  <c:v>41123.0</c:v>
                </c:pt>
                <c:pt idx="936">
                  <c:v>41122.0</c:v>
                </c:pt>
                <c:pt idx="937">
                  <c:v>41121.0</c:v>
                </c:pt>
                <c:pt idx="938">
                  <c:v>41120.0</c:v>
                </c:pt>
                <c:pt idx="939">
                  <c:v>41117.0</c:v>
                </c:pt>
                <c:pt idx="940">
                  <c:v>41116.0</c:v>
                </c:pt>
                <c:pt idx="941">
                  <c:v>41115.0</c:v>
                </c:pt>
                <c:pt idx="942">
                  <c:v>41114.0</c:v>
                </c:pt>
                <c:pt idx="943">
                  <c:v>41113.0</c:v>
                </c:pt>
                <c:pt idx="944">
                  <c:v>41110.0</c:v>
                </c:pt>
                <c:pt idx="945">
                  <c:v>41109.0</c:v>
                </c:pt>
                <c:pt idx="946">
                  <c:v>41108.0</c:v>
                </c:pt>
                <c:pt idx="947">
                  <c:v>41107.0</c:v>
                </c:pt>
                <c:pt idx="948">
                  <c:v>41106.0</c:v>
                </c:pt>
                <c:pt idx="949">
                  <c:v>41103.0</c:v>
                </c:pt>
                <c:pt idx="950">
                  <c:v>41102.0</c:v>
                </c:pt>
                <c:pt idx="951">
                  <c:v>41101.0</c:v>
                </c:pt>
                <c:pt idx="952">
                  <c:v>41100.0</c:v>
                </c:pt>
                <c:pt idx="953">
                  <c:v>41099.0</c:v>
                </c:pt>
                <c:pt idx="954">
                  <c:v>41096.0</c:v>
                </c:pt>
                <c:pt idx="955">
                  <c:v>41095.0</c:v>
                </c:pt>
                <c:pt idx="956">
                  <c:v>41094.0</c:v>
                </c:pt>
                <c:pt idx="957">
                  <c:v>41093.0</c:v>
                </c:pt>
                <c:pt idx="958">
                  <c:v>41092.0</c:v>
                </c:pt>
                <c:pt idx="959">
                  <c:v>41089.0</c:v>
                </c:pt>
                <c:pt idx="960">
                  <c:v>41088.0</c:v>
                </c:pt>
                <c:pt idx="961">
                  <c:v>41087.0</c:v>
                </c:pt>
                <c:pt idx="962">
                  <c:v>41086.0</c:v>
                </c:pt>
                <c:pt idx="963">
                  <c:v>41085.0</c:v>
                </c:pt>
                <c:pt idx="964">
                  <c:v>41082.0</c:v>
                </c:pt>
                <c:pt idx="965">
                  <c:v>41081.0</c:v>
                </c:pt>
                <c:pt idx="966">
                  <c:v>41080.0</c:v>
                </c:pt>
                <c:pt idx="967">
                  <c:v>41079.0</c:v>
                </c:pt>
                <c:pt idx="968">
                  <c:v>41078.0</c:v>
                </c:pt>
                <c:pt idx="969">
                  <c:v>41075.0</c:v>
                </c:pt>
                <c:pt idx="970">
                  <c:v>41074.0</c:v>
                </c:pt>
                <c:pt idx="971">
                  <c:v>41073.0</c:v>
                </c:pt>
                <c:pt idx="972">
                  <c:v>41072.0</c:v>
                </c:pt>
                <c:pt idx="973">
                  <c:v>41071.0</c:v>
                </c:pt>
                <c:pt idx="974">
                  <c:v>41068.0</c:v>
                </c:pt>
                <c:pt idx="975">
                  <c:v>41067.0</c:v>
                </c:pt>
                <c:pt idx="976">
                  <c:v>41066.0</c:v>
                </c:pt>
                <c:pt idx="977">
                  <c:v>41065.0</c:v>
                </c:pt>
                <c:pt idx="978">
                  <c:v>41064.0</c:v>
                </c:pt>
                <c:pt idx="979">
                  <c:v>41061.0</c:v>
                </c:pt>
                <c:pt idx="980">
                  <c:v>41060.0</c:v>
                </c:pt>
                <c:pt idx="981">
                  <c:v>41059.0</c:v>
                </c:pt>
                <c:pt idx="982">
                  <c:v>41058.0</c:v>
                </c:pt>
                <c:pt idx="983">
                  <c:v>41057.0</c:v>
                </c:pt>
                <c:pt idx="984">
                  <c:v>41054.0</c:v>
                </c:pt>
                <c:pt idx="985">
                  <c:v>41053.0</c:v>
                </c:pt>
                <c:pt idx="986">
                  <c:v>41052.0</c:v>
                </c:pt>
                <c:pt idx="987">
                  <c:v>41051.0</c:v>
                </c:pt>
                <c:pt idx="988">
                  <c:v>41050.0</c:v>
                </c:pt>
                <c:pt idx="989">
                  <c:v>41047.0</c:v>
                </c:pt>
                <c:pt idx="990">
                  <c:v>41046.0</c:v>
                </c:pt>
                <c:pt idx="991">
                  <c:v>41045.0</c:v>
                </c:pt>
                <c:pt idx="992">
                  <c:v>41044.0</c:v>
                </c:pt>
                <c:pt idx="993">
                  <c:v>41043.0</c:v>
                </c:pt>
                <c:pt idx="994">
                  <c:v>41040.0</c:v>
                </c:pt>
                <c:pt idx="995">
                  <c:v>41039.0</c:v>
                </c:pt>
                <c:pt idx="996">
                  <c:v>41038.0</c:v>
                </c:pt>
                <c:pt idx="997">
                  <c:v>41037.0</c:v>
                </c:pt>
                <c:pt idx="998">
                  <c:v>41036.0</c:v>
                </c:pt>
                <c:pt idx="999">
                  <c:v>41033.0</c:v>
                </c:pt>
                <c:pt idx="1000">
                  <c:v>41032.0</c:v>
                </c:pt>
                <c:pt idx="1001">
                  <c:v>41031.0</c:v>
                </c:pt>
                <c:pt idx="1002">
                  <c:v>41029.0</c:v>
                </c:pt>
                <c:pt idx="1003">
                  <c:v>41025.0</c:v>
                </c:pt>
                <c:pt idx="1004">
                  <c:v>41024.0</c:v>
                </c:pt>
                <c:pt idx="1005">
                  <c:v>41023.0</c:v>
                </c:pt>
                <c:pt idx="1006">
                  <c:v>41022.0</c:v>
                </c:pt>
                <c:pt idx="1007">
                  <c:v>41019.0</c:v>
                </c:pt>
                <c:pt idx="1008">
                  <c:v>41018.0</c:v>
                </c:pt>
                <c:pt idx="1009">
                  <c:v>41017.0</c:v>
                </c:pt>
                <c:pt idx="1010">
                  <c:v>41016.0</c:v>
                </c:pt>
                <c:pt idx="1011">
                  <c:v>41015.0</c:v>
                </c:pt>
                <c:pt idx="1012">
                  <c:v>41012.0</c:v>
                </c:pt>
                <c:pt idx="1013">
                  <c:v>41011.0</c:v>
                </c:pt>
                <c:pt idx="1014">
                  <c:v>41010.0</c:v>
                </c:pt>
                <c:pt idx="1015">
                  <c:v>41009.0</c:v>
                </c:pt>
                <c:pt idx="1016">
                  <c:v>41004.0</c:v>
                </c:pt>
                <c:pt idx="1017">
                  <c:v>41003.0</c:v>
                </c:pt>
                <c:pt idx="1018">
                  <c:v>41002.0</c:v>
                </c:pt>
                <c:pt idx="1019">
                  <c:v>41001.0</c:v>
                </c:pt>
                <c:pt idx="1020">
                  <c:v>40998.0</c:v>
                </c:pt>
                <c:pt idx="1021">
                  <c:v>40997.0</c:v>
                </c:pt>
                <c:pt idx="1022">
                  <c:v>40996.0</c:v>
                </c:pt>
                <c:pt idx="1023">
                  <c:v>40995.0</c:v>
                </c:pt>
                <c:pt idx="1024">
                  <c:v>40994.0</c:v>
                </c:pt>
                <c:pt idx="1025">
                  <c:v>40991.0</c:v>
                </c:pt>
                <c:pt idx="1026">
                  <c:v>40990.0</c:v>
                </c:pt>
                <c:pt idx="1027">
                  <c:v>40988.0</c:v>
                </c:pt>
                <c:pt idx="1028">
                  <c:v>40987.0</c:v>
                </c:pt>
                <c:pt idx="1029">
                  <c:v>40984.0</c:v>
                </c:pt>
                <c:pt idx="1030">
                  <c:v>40983.0</c:v>
                </c:pt>
                <c:pt idx="1031">
                  <c:v>40982.0</c:v>
                </c:pt>
                <c:pt idx="1032">
                  <c:v>40981.0</c:v>
                </c:pt>
                <c:pt idx="1033">
                  <c:v>40980.0</c:v>
                </c:pt>
                <c:pt idx="1034">
                  <c:v>40977.0</c:v>
                </c:pt>
                <c:pt idx="1035">
                  <c:v>40976.0</c:v>
                </c:pt>
                <c:pt idx="1036">
                  <c:v>40975.0</c:v>
                </c:pt>
                <c:pt idx="1037">
                  <c:v>40974.0</c:v>
                </c:pt>
                <c:pt idx="1038">
                  <c:v>40973.0</c:v>
                </c:pt>
                <c:pt idx="1039">
                  <c:v>40970.0</c:v>
                </c:pt>
                <c:pt idx="1040">
                  <c:v>40969.0</c:v>
                </c:pt>
                <c:pt idx="1041">
                  <c:v>40968.0</c:v>
                </c:pt>
                <c:pt idx="1042">
                  <c:v>40967.0</c:v>
                </c:pt>
                <c:pt idx="1043">
                  <c:v>40966.0</c:v>
                </c:pt>
                <c:pt idx="1044">
                  <c:v>40963.0</c:v>
                </c:pt>
                <c:pt idx="1045">
                  <c:v>40962.0</c:v>
                </c:pt>
                <c:pt idx="1046">
                  <c:v>40961.0</c:v>
                </c:pt>
                <c:pt idx="1047">
                  <c:v>40960.0</c:v>
                </c:pt>
                <c:pt idx="1048">
                  <c:v>40959.0</c:v>
                </c:pt>
                <c:pt idx="1049">
                  <c:v>40956.0</c:v>
                </c:pt>
                <c:pt idx="1050">
                  <c:v>40955.0</c:v>
                </c:pt>
                <c:pt idx="1051">
                  <c:v>40954.0</c:v>
                </c:pt>
                <c:pt idx="1052">
                  <c:v>40953.0</c:v>
                </c:pt>
                <c:pt idx="1053">
                  <c:v>40952.0</c:v>
                </c:pt>
                <c:pt idx="1054">
                  <c:v>40949.0</c:v>
                </c:pt>
                <c:pt idx="1055">
                  <c:v>40948.0</c:v>
                </c:pt>
                <c:pt idx="1056">
                  <c:v>40947.0</c:v>
                </c:pt>
                <c:pt idx="1057">
                  <c:v>40946.0</c:v>
                </c:pt>
                <c:pt idx="1058">
                  <c:v>40945.0</c:v>
                </c:pt>
                <c:pt idx="1059">
                  <c:v>40942.0</c:v>
                </c:pt>
                <c:pt idx="1060">
                  <c:v>40941.0</c:v>
                </c:pt>
                <c:pt idx="1061">
                  <c:v>40940.0</c:v>
                </c:pt>
                <c:pt idx="1062">
                  <c:v>40939.0</c:v>
                </c:pt>
                <c:pt idx="1063">
                  <c:v>40938.0</c:v>
                </c:pt>
                <c:pt idx="1064">
                  <c:v>40935.0</c:v>
                </c:pt>
                <c:pt idx="1065">
                  <c:v>40934.0</c:v>
                </c:pt>
                <c:pt idx="1066">
                  <c:v>40933.0</c:v>
                </c:pt>
                <c:pt idx="1067">
                  <c:v>40932.0</c:v>
                </c:pt>
                <c:pt idx="1068">
                  <c:v>40931.0</c:v>
                </c:pt>
                <c:pt idx="1069">
                  <c:v>40928.0</c:v>
                </c:pt>
                <c:pt idx="1070">
                  <c:v>40927.0</c:v>
                </c:pt>
                <c:pt idx="1071">
                  <c:v>40926.0</c:v>
                </c:pt>
                <c:pt idx="1072">
                  <c:v>40925.0</c:v>
                </c:pt>
                <c:pt idx="1073">
                  <c:v>40924.0</c:v>
                </c:pt>
                <c:pt idx="1074">
                  <c:v>40921.0</c:v>
                </c:pt>
                <c:pt idx="1075">
                  <c:v>40920.0</c:v>
                </c:pt>
                <c:pt idx="1076">
                  <c:v>40919.0</c:v>
                </c:pt>
                <c:pt idx="1077">
                  <c:v>40918.0</c:v>
                </c:pt>
                <c:pt idx="1078">
                  <c:v>40917.0</c:v>
                </c:pt>
                <c:pt idx="1079">
                  <c:v>40914.0</c:v>
                </c:pt>
                <c:pt idx="1080">
                  <c:v>40913.0</c:v>
                </c:pt>
                <c:pt idx="1081">
                  <c:v>40912.0</c:v>
                </c:pt>
                <c:pt idx="1082">
                  <c:v>40911.0</c:v>
                </c:pt>
                <c:pt idx="1083">
                  <c:v>40907.0</c:v>
                </c:pt>
                <c:pt idx="1084">
                  <c:v>40906.0</c:v>
                </c:pt>
                <c:pt idx="1085">
                  <c:v>40905.0</c:v>
                </c:pt>
                <c:pt idx="1086">
                  <c:v>40900.0</c:v>
                </c:pt>
                <c:pt idx="1087">
                  <c:v>40899.0</c:v>
                </c:pt>
                <c:pt idx="1088">
                  <c:v>40898.0</c:v>
                </c:pt>
                <c:pt idx="1089">
                  <c:v>40897.0</c:v>
                </c:pt>
                <c:pt idx="1090">
                  <c:v>40896.0</c:v>
                </c:pt>
                <c:pt idx="1091">
                  <c:v>40892.0</c:v>
                </c:pt>
                <c:pt idx="1092">
                  <c:v>40891.0</c:v>
                </c:pt>
                <c:pt idx="1093">
                  <c:v>40890.0</c:v>
                </c:pt>
                <c:pt idx="1094">
                  <c:v>40889.0</c:v>
                </c:pt>
                <c:pt idx="1095">
                  <c:v>40886.0</c:v>
                </c:pt>
                <c:pt idx="1096">
                  <c:v>40885.0</c:v>
                </c:pt>
                <c:pt idx="1097">
                  <c:v>40884.0</c:v>
                </c:pt>
                <c:pt idx="1098">
                  <c:v>40883.0</c:v>
                </c:pt>
                <c:pt idx="1099">
                  <c:v>40882.0</c:v>
                </c:pt>
                <c:pt idx="1100">
                  <c:v>40879.0</c:v>
                </c:pt>
                <c:pt idx="1101">
                  <c:v>40878.0</c:v>
                </c:pt>
                <c:pt idx="1102">
                  <c:v>40877.0</c:v>
                </c:pt>
                <c:pt idx="1103">
                  <c:v>40876.0</c:v>
                </c:pt>
                <c:pt idx="1104">
                  <c:v>40875.0</c:v>
                </c:pt>
                <c:pt idx="1105">
                  <c:v>40872.0</c:v>
                </c:pt>
                <c:pt idx="1106">
                  <c:v>40871.0</c:v>
                </c:pt>
                <c:pt idx="1107">
                  <c:v>40870.0</c:v>
                </c:pt>
                <c:pt idx="1108">
                  <c:v>40869.0</c:v>
                </c:pt>
                <c:pt idx="1109">
                  <c:v>40868.0</c:v>
                </c:pt>
                <c:pt idx="1110">
                  <c:v>40865.0</c:v>
                </c:pt>
                <c:pt idx="1111">
                  <c:v>40864.0</c:v>
                </c:pt>
                <c:pt idx="1112">
                  <c:v>40863.0</c:v>
                </c:pt>
                <c:pt idx="1113">
                  <c:v>40862.0</c:v>
                </c:pt>
                <c:pt idx="1114">
                  <c:v>40861.0</c:v>
                </c:pt>
                <c:pt idx="1115">
                  <c:v>40858.0</c:v>
                </c:pt>
                <c:pt idx="1116">
                  <c:v>40857.0</c:v>
                </c:pt>
                <c:pt idx="1117">
                  <c:v>40856.0</c:v>
                </c:pt>
                <c:pt idx="1118">
                  <c:v>40855.0</c:v>
                </c:pt>
                <c:pt idx="1119">
                  <c:v>40854.0</c:v>
                </c:pt>
                <c:pt idx="1120">
                  <c:v>40851.0</c:v>
                </c:pt>
                <c:pt idx="1121">
                  <c:v>40850.0</c:v>
                </c:pt>
                <c:pt idx="1122">
                  <c:v>40849.0</c:v>
                </c:pt>
                <c:pt idx="1123">
                  <c:v>40848.0</c:v>
                </c:pt>
                <c:pt idx="1124">
                  <c:v>40847.0</c:v>
                </c:pt>
                <c:pt idx="1125">
                  <c:v>40844.0</c:v>
                </c:pt>
                <c:pt idx="1126">
                  <c:v>40843.0</c:v>
                </c:pt>
                <c:pt idx="1127">
                  <c:v>40842.0</c:v>
                </c:pt>
                <c:pt idx="1128">
                  <c:v>40841.0</c:v>
                </c:pt>
                <c:pt idx="1129">
                  <c:v>40840.0</c:v>
                </c:pt>
                <c:pt idx="1130">
                  <c:v>40837.0</c:v>
                </c:pt>
                <c:pt idx="1131">
                  <c:v>40836.0</c:v>
                </c:pt>
                <c:pt idx="1132">
                  <c:v>40835.0</c:v>
                </c:pt>
                <c:pt idx="1133">
                  <c:v>40834.0</c:v>
                </c:pt>
                <c:pt idx="1134">
                  <c:v>40833.0</c:v>
                </c:pt>
                <c:pt idx="1135">
                  <c:v>40830.0</c:v>
                </c:pt>
                <c:pt idx="1136">
                  <c:v>40829.0</c:v>
                </c:pt>
                <c:pt idx="1137">
                  <c:v>40828.0</c:v>
                </c:pt>
                <c:pt idx="1138">
                  <c:v>40827.0</c:v>
                </c:pt>
                <c:pt idx="1139">
                  <c:v>40826.0</c:v>
                </c:pt>
                <c:pt idx="1140">
                  <c:v>40823.0</c:v>
                </c:pt>
                <c:pt idx="1141">
                  <c:v>40822.0</c:v>
                </c:pt>
                <c:pt idx="1142">
                  <c:v>40821.0</c:v>
                </c:pt>
                <c:pt idx="1143">
                  <c:v>40820.0</c:v>
                </c:pt>
                <c:pt idx="1144">
                  <c:v>40819.0</c:v>
                </c:pt>
                <c:pt idx="1145">
                  <c:v>40816.0</c:v>
                </c:pt>
                <c:pt idx="1146">
                  <c:v>40815.0</c:v>
                </c:pt>
                <c:pt idx="1147">
                  <c:v>40814.0</c:v>
                </c:pt>
                <c:pt idx="1148">
                  <c:v>40813.0</c:v>
                </c:pt>
                <c:pt idx="1149">
                  <c:v>40812.0</c:v>
                </c:pt>
                <c:pt idx="1150">
                  <c:v>40809.0</c:v>
                </c:pt>
                <c:pt idx="1151">
                  <c:v>40808.0</c:v>
                </c:pt>
                <c:pt idx="1152">
                  <c:v>40807.0</c:v>
                </c:pt>
                <c:pt idx="1153">
                  <c:v>40806.0</c:v>
                </c:pt>
                <c:pt idx="1154">
                  <c:v>40805.0</c:v>
                </c:pt>
                <c:pt idx="1155">
                  <c:v>40802.0</c:v>
                </c:pt>
                <c:pt idx="1156">
                  <c:v>40801.0</c:v>
                </c:pt>
                <c:pt idx="1157">
                  <c:v>40800.0</c:v>
                </c:pt>
                <c:pt idx="1158">
                  <c:v>40799.0</c:v>
                </c:pt>
                <c:pt idx="1159">
                  <c:v>40798.0</c:v>
                </c:pt>
                <c:pt idx="1160">
                  <c:v>40795.0</c:v>
                </c:pt>
                <c:pt idx="1161">
                  <c:v>40794.0</c:v>
                </c:pt>
                <c:pt idx="1162">
                  <c:v>40793.0</c:v>
                </c:pt>
                <c:pt idx="1163">
                  <c:v>40792.0</c:v>
                </c:pt>
                <c:pt idx="1164">
                  <c:v>40791.0</c:v>
                </c:pt>
                <c:pt idx="1165">
                  <c:v>40788.0</c:v>
                </c:pt>
                <c:pt idx="1166">
                  <c:v>40787.0</c:v>
                </c:pt>
                <c:pt idx="1167">
                  <c:v>40786.0</c:v>
                </c:pt>
                <c:pt idx="1168">
                  <c:v>40785.0</c:v>
                </c:pt>
                <c:pt idx="1169">
                  <c:v>40784.0</c:v>
                </c:pt>
                <c:pt idx="1170">
                  <c:v>40781.0</c:v>
                </c:pt>
                <c:pt idx="1171">
                  <c:v>40780.0</c:v>
                </c:pt>
                <c:pt idx="1172">
                  <c:v>40779.0</c:v>
                </c:pt>
                <c:pt idx="1173">
                  <c:v>40778.0</c:v>
                </c:pt>
                <c:pt idx="1174">
                  <c:v>40777.0</c:v>
                </c:pt>
                <c:pt idx="1175">
                  <c:v>40774.0</c:v>
                </c:pt>
                <c:pt idx="1176">
                  <c:v>40773.0</c:v>
                </c:pt>
                <c:pt idx="1177">
                  <c:v>40772.0</c:v>
                </c:pt>
                <c:pt idx="1178">
                  <c:v>40771.0</c:v>
                </c:pt>
                <c:pt idx="1179">
                  <c:v>40770.0</c:v>
                </c:pt>
                <c:pt idx="1180">
                  <c:v>40767.0</c:v>
                </c:pt>
                <c:pt idx="1181">
                  <c:v>40766.0</c:v>
                </c:pt>
                <c:pt idx="1182">
                  <c:v>40765.0</c:v>
                </c:pt>
                <c:pt idx="1183">
                  <c:v>40763.0</c:v>
                </c:pt>
                <c:pt idx="1184">
                  <c:v>40760.0</c:v>
                </c:pt>
                <c:pt idx="1185">
                  <c:v>40759.0</c:v>
                </c:pt>
                <c:pt idx="1186">
                  <c:v>40758.0</c:v>
                </c:pt>
                <c:pt idx="1187">
                  <c:v>40757.0</c:v>
                </c:pt>
                <c:pt idx="1188">
                  <c:v>40756.0</c:v>
                </c:pt>
                <c:pt idx="1189">
                  <c:v>40753.0</c:v>
                </c:pt>
                <c:pt idx="1190">
                  <c:v>40752.0</c:v>
                </c:pt>
                <c:pt idx="1191">
                  <c:v>40751.0</c:v>
                </c:pt>
                <c:pt idx="1192">
                  <c:v>40750.0</c:v>
                </c:pt>
                <c:pt idx="1193">
                  <c:v>40749.0</c:v>
                </c:pt>
                <c:pt idx="1194">
                  <c:v>40746.0</c:v>
                </c:pt>
                <c:pt idx="1195">
                  <c:v>40745.0</c:v>
                </c:pt>
                <c:pt idx="1196">
                  <c:v>40744.0</c:v>
                </c:pt>
                <c:pt idx="1197">
                  <c:v>40743.0</c:v>
                </c:pt>
                <c:pt idx="1198">
                  <c:v>40742.0</c:v>
                </c:pt>
                <c:pt idx="1199">
                  <c:v>40739.0</c:v>
                </c:pt>
                <c:pt idx="1200">
                  <c:v>40738.0</c:v>
                </c:pt>
                <c:pt idx="1201">
                  <c:v>40737.0</c:v>
                </c:pt>
                <c:pt idx="1202">
                  <c:v>40736.0</c:v>
                </c:pt>
                <c:pt idx="1203">
                  <c:v>40735.0</c:v>
                </c:pt>
                <c:pt idx="1204">
                  <c:v>40732.0</c:v>
                </c:pt>
                <c:pt idx="1205">
                  <c:v>40731.0</c:v>
                </c:pt>
                <c:pt idx="1206">
                  <c:v>40730.0</c:v>
                </c:pt>
                <c:pt idx="1207">
                  <c:v>40729.0</c:v>
                </c:pt>
                <c:pt idx="1208">
                  <c:v>40728.0</c:v>
                </c:pt>
                <c:pt idx="1209">
                  <c:v>40725.0</c:v>
                </c:pt>
                <c:pt idx="1210">
                  <c:v>40724.0</c:v>
                </c:pt>
                <c:pt idx="1211">
                  <c:v>40723.0</c:v>
                </c:pt>
                <c:pt idx="1212">
                  <c:v>40722.0</c:v>
                </c:pt>
                <c:pt idx="1213">
                  <c:v>40721.0</c:v>
                </c:pt>
                <c:pt idx="1214">
                  <c:v>40718.0</c:v>
                </c:pt>
                <c:pt idx="1215">
                  <c:v>40717.0</c:v>
                </c:pt>
                <c:pt idx="1216">
                  <c:v>40716.0</c:v>
                </c:pt>
                <c:pt idx="1217">
                  <c:v>40715.0</c:v>
                </c:pt>
                <c:pt idx="1218">
                  <c:v>40714.0</c:v>
                </c:pt>
                <c:pt idx="1219">
                  <c:v>40711.0</c:v>
                </c:pt>
                <c:pt idx="1220">
                  <c:v>40709.0</c:v>
                </c:pt>
                <c:pt idx="1221">
                  <c:v>40708.0</c:v>
                </c:pt>
                <c:pt idx="1222">
                  <c:v>40707.0</c:v>
                </c:pt>
                <c:pt idx="1223">
                  <c:v>40704.0</c:v>
                </c:pt>
                <c:pt idx="1224">
                  <c:v>40703.0</c:v>
                </c:pt>
                <c:pt idx="1225">
                  <c:v>40702.0</c:v>
                </c:pt>
                <c:pt idx="1226">
                  <c:v>40701.0</c:v>
                </c:pt>
                <c:pt idx="1227">
                  <c:v>40700.0</c:v>
                </c:pt>
                <c:pt idx="1228">
                  <c:v>40697.0</c:v>
                </c:pt>
                <c:pt idx="1229">
                  <c:v>40696.0</c:v>
                </c:pt>
                <c:pt idx="1230">
                  <c:v>40695.0</c:v>
                </c:pt>
                <c:pt idx="1231">
                  <c:v>40694.0</c:v>
                </c:pt>
                <c:pt idx="1232">
                  <c:v>40693.0</c:v>
                </c:pt>
                <c:pt idx="1233">
                  <c:v>40690.0</c:v>
                </c:pt>
                <c:pt idx="1234">
                  <c:v>40689.0</c:v>
                </c:pt>
                <c:pt idx="1235">
                  <c:v>40688.0</c:v>
                </c:pt>
                <c:pt idx="1236">
                  <c:v>40687.0</c:v>
                </c:pt>
                <c:pt idx="1237">
                  <c:v>40686.0</c:v>
                </c:pt>
                <c:pt idx="1238">
                  <c:v>40683.0</c:v>
                </c:pt>
                <c:pt idx="1239">
                  <c:v>40682.0</c:v>
                </c:pt>
                <c:pt idx="1240">
                  <c:v>40680.0</c:v>
                </c:pt>
                <c:pt idx="1241">
                  <c:v>40679.0</c:v>
                </c:pt>
                <c:pt idx="1242">
                  <c:v>40676.0</c:v>
                </c:pt>
                <c:pt idx="1243">
                  <c:v>40675.0</c:v>
                </c:pt>
                <c:pt idx="1244">
                  <c:v>40674.0</c:v>
                </c:pt>
                <c:pt idx="1245">
                  <c:v>40673.0</c:v>
                </c:pt>
                <c:pt idx="1246">
                  <c:v>40672.0</c:v>
                </c:pt>
                <c:pt idx="1247">
                  <c:v>40669.0</c:v>
                </c:pt>
                <c:pt idx="1248">
                  <c:v>40668.0</c:v>
                </c:pt>
                <c:pt idx="1249">
                  <c:v>40667.0</c:v>
                </c:pt>
                <c:pt idx="1250">
                  <c:v>40666.0</c:v>
                </c:pt>
                <c:pt idx="1251">
                  <c:v>40662.0</c:v>
                </c:pt>
                <c:pt idx="1252">
                  <c:v>40661.0</c:v>
                </c:pt>
                <c:pt idx="1253">
                  <c:v>40659.0</c:v>
                </c:pt>
                <c:pt idx="1254">
                  <c:v>40654.0</c:v>
                </c:pt>
                <c:pt idx="1255">
                  <c:v>40653.0</c:v>
                </c:pt>
                <c:pt idx="1256">
                  <c:v>40652.0</c:v>
                </c:pt>
                <c:pt idx="1257">
                  <c:v>40651.0</c:v>
                </c:pt>
                <c:pt idx="1258">
                  <c:v>40648.0</c:v>
                </c:pt>
                <c:pt idx="1259">
                  <c:v>40647.0</c:v>
                </c:pt>
                <c:pt idx="1260">
                  <c:v>40646.0</c:v>
                </c:pt>
                <c:pt idx="1261">
                  <c:v>40645.0</c:v>
                </c:pt>
                <c:pt idx="1262">
                  <c:v>40644.0</c:v>
                </c:pt>
                <c:pt idx="1263">
                  <c:v>40641.0</c:v>
                </c:pt>
                <c:pt idx="1264">
                  <c:v>40640.0</c:v>
                </c:pt>
                <c:pt idx="1265">
                  <c:v>40639.0</c:v>
                </c:pt>
                <c:pt idx="1266">
                  <c:v>40638.0</c:v>
                </c:pt>
                <c:pt idx="1267">
                  <c:v>40637.0</c:v>
                </c:pt>
                <c:pt idx="1268">
                  <c:v>40634.0</c:v>
                </c:pt>
                <c:pt idx="1269">
                  <c:v>40633.0</c:v>
                </c:pt>
                <c:pt idx="1270">
                  <c:v>40632.0</c:v>
                </c:pt>
                <c:pt idx="1271">
                  <c:v>40631.0</c:v>
                </c:pt>
                <c:pt idx="1272">
                  <c:v>40630.0</c:v>
                </c:pt>
                <c:pt idx="1273">
                  <c:v>40627.0</c:v>
                </c:pt>
                <c:pt idx="1274">
                  <c:v>40626.0</c:v>
                </c:pt>
                <c:pt idx="1275">
                  <c:v>40625.0</c:v>
                </c:pt>
                <c:pt idx="1276">
                  <c:v>40624.0</c:v>
                </c:pt>
                <c:pt idx="1277">
                  <c:v>40620.0</c:v>
                </c:pt>
                <c:pt idx="1278">
                  <c:v>40619.0</c:v>
                </c:pt>
                <c:pt idx="1279">
                  <c:v>40618.0</c:v>
                </c:pt>
                <c:pt idx="1280">
                  <c:v>40617.0</c:v>
                </c:pt>
                <c:pt idx="1281">
                  <c:v>40616.0</c:v>
                </c:pt>
                <c:pt idx="1282">
                  <c:v>40613.0</c:v>
                </c:pt>
                <c:pt idx="1283">
                  <c:v>40612.0</c:v>
                </c:pt>
                <c:pt idx="1284">
                  <c:v>40611.0</c:v>
                </c:pt>
                <c:pt idx="1285">
                  <c:v>40610.0</c:v>
                </c:pt>
                <c:pt idx="1286">
                  <c:v>40609.0</c:v>
                </c:pt>
                <c:pt idx="1287">
                  <c:v>40606.0</c:v>
                </c:pt>
                <c:pt idx="1288">
                  <c:v>40605.0</c:v>
                </c:pt>
                <c:pt idx="1289">
                  <c:v>40604.0</c:v>
                </c:pt>
                <c:pt idx="1290">
                  <c:v>40603.0</c:v>
                </c:pt>
                <c:pt idx="1291">
                  <c:v>40602.0</c:v>
                </c:pt>
                <c:pt idx="1292">
                  <c:v>40599.0</c:v>
                </c:pt>
                <c:pt idx="1293">
                  <c:v>40598.0</c:v>
                </c:pt>
                <c:pt idx="1294">
                  <c:v>40597.0</c:v>
                </c:pt>
                <c:pt idx="1295">
                  <c:v>40596.0</c:v>
                </c:pt>
                <c:pt idx="1296">
                  <c:v>40595.0</c:v>
                </c:pt>
                <c:pt idx="1297">
                  <c:v>40592.0</c:v>
                </c:pt>
                <c:pt idx="1298">
                  <c:v>40591.0</c:v>
                </c:pt>
                <c:pt idx="1299">
                  <c:v>40590.0</c:v>
                </c:pt>
                <c:pt idx="1300">
                  <c:v>40589.0</c:v>
                </c:pt>
                <c:pt idx="1301">
                  <c:v>40588.0</c:v>
                </c:pt>
                <c:pt idx="1302">
                  <c:v>40585.0</c:v>
                </c:pt>
                <c:pt idx="1303">
                  <c:v>40584.0</c:v>
                </c:pt>
                <c:pt idx="1304">
                  <c:v>40583.0</c:v>
                </c:pt>
                <c:pt idx="1305">
                  <c:v>40582.0</c:v>
                </c:pt>
                <c:pt idx="1306">
                  <c:v>40581.0</c:v>
                </c:pt>
                <c:pt idx="1307">
                  <c:v>40578.0</c:v>
                </c:pt>
                <c:pt idx="1308">
                  <c:v>40577.0</c:v>
                </c:pt>
                <c:pt idx="1309">
                  <c:v>40576.0</c:v>
                </c:pt>
                <c:pt idx="1310">
                  <c:v>40575.0</c:v>
                </c:pt>
                <c:pt idx="1311">
                  <c:v>40574.0</c:v>
                </c:pt>
                <c:pt idx="1312">
                  <c:v>40571.0</c:v>
                </c:pt>
                <c:pt idx="1313">
                  <c:v>40570.0</c:v>
                </c:pt>
                <c:pt idx="1314">
                  <c:v>40569.0</c:v>
                </c:pt>
                <c:pt idx="1315">
                  <c:v>40568.0</c:v>
                </c:pt>
                <c:pt idx="1316">
                  <c:v>40567.0</c:v>
                </c:pt>
                <c:pt idx="1317">
                  <c:v>40564.0</c:v>
                </c:pt>
                <c:pt idx="1318">
                  <c:v>40563.0</c:v>
                </c:pt>
                <c:pt idx="1319">
                  <c:v>40562.0</c:v>
                </c:pt>
                <c:pt idx="1320">
                  <c:v>40561.0</c:v>
                </c:pt>
                <c:pt idx="1321">
                  <c:v>40560.0</c:v>
                </c:pt>
                <c:pt idx="1322">
                  <c:v>40557.0</c:v>
                </c:pt>
                <c:pt idx="1323">
                  <c:v>40556.0</c:v>
                </c:pt>
                <c:pt idx="1324">
                  <c:v>40555.0</c:v>
                </c:pt>
                <c:pt idx="1325">
                  <c:v>40554.0</c:v>
                </c:pt>
                <c:pt idx="1326">
                  <c:v>40553.0</c:v>
                </c:pt>
                <c:pt idx="1327">
                  <c:v>40550.0</c:v>
                </c:pt>
                <c:pt idx="1328">
                  <c:v>40549.0</c:v>
                </c:pt>
                <c:pt idx="1329">
                  <c:v>40548.0</c:v>
                </c:pt>
                <c:pt idx="1330">
                  <c:v>40547.0</c:v>
                </c:pt>
                <c:pt idx="1331">
                  <c:v>40546.0</c:v>
                </c:pt>
                <c:pt idx="1332">
                  <c:v>40543.0</c:v>
                </c:pt>
                <c:pt idx="1333">
                  <c:v>40542.0</c:v>
                </c:pt>
                <c:pt idx="1334">
                  <c:v>40541.0</c:v>
                </c:pt>
                <c:pt idx="1335">
                  <c:v>40540.0</c:v>
                </c:pt>
                <c:pt idx="1336">
                  <c:v>40536.0</c:v>
                </c:pt>
                <c:pt idx="1337">
                  <c:v>40535.0</c:v>
                </c:pt>
                <c:pt idx="1338">
                  <c:v>40534.0</c:v>
                </c:pt>
                <c:pt idx="1339">
                  <c:v>40533.0</c:v>
                </c:pt>
                <c:pt idx="1340">
                  <c:v>40532.0</c:v>
                </c:pt>
                <c:pt idx="1341">
                  <c:v>40529.0</c:v>
                </c:pt>
                <c:pt idx="1342">
                  <c:v>40527.0</c:v>
                </c:pt>
                <c:pt idx="1343">
                  <c:v>40526.0</c:v>
                </c:pt>
                <c:pt idx="1344">
                  <c:v>40525.0</c:v>
                </c:pt>
                <c:pt idx="1345">
                  <c:v>40522.0</c:v>
                </c:pt>
                <c:pt idx="1346">
                  <c:v>40521.0</c:v>
                </c:pt>
                <c:pt idx="1347">
                  <c:v>40520.0</c:v>
                </c:pt>
                <c:pt idx="1348">
                  <c:v>40519.0</c:v>
                </c:pt>
                <c:pt idx="1349">
                  <c:v>40518.0</c:v>
                </c:pt>
                <c:pt idx="1350">
                  <c:v>40515.0</c:v>
                </c:pt>
                <c:pt idx="1351">
                  <c:v>40514.0</c:v>
                </c:pt>
                <c:pt idx="1352">
                  <c:v>40513.0</c:v>
                </c:pt>
                <c:pt idx="1353">
                  <c:v>40512.0</c:v>
                </c:pt>
                <c:pt idx="1354">
                  <c:v>40511.0</c:v>
                </c:pt>
                <c:pt idx="1355">
                  <c:v>40508.0</c:v>
                </c:pt>
                <c:pt idx="1356">
                  <c:v>40507.0</c:v>
                </c:pt>
                <c:pt idx="1357">
                  <c:v>40506.0</c:v>
                </c:pt>
                <c:pt idx="1358">
                  <c:v>40505.0</c:v>
                </c:pt>
                <c:pt idx="1359">
                  <c:v>40504.0</c:v>
                </c:pt>
                <c:pt idx="1360">
                  <c:v>40501.0</c:v>
                </c:pt>
                <c:pt idx="1361">
                  <c:v>40500.0</c:v>
                </c:pt>
                <c:pt idx="1362">
                  <c:v>40499.0</c:v>
                </c:pt>
                <c:pt idx="1363">
                  <c:v>40498.0</c:v>
                </c:pt>
                <c:pt idx="1364">
                  <c:v>40497.0</c:v>
                </c:pt>
                <c:pt idx="1365">
                  <c:v>40494.0</c:v>
                </c:pt>
                <c:pt idx="1366">
                  <c:v>40493.0</c:v>
                </c:pt>
                <c:pt idx="1367">
                  <c:v>40492.0</c:v>
                </c:pt>
                <c:pt idx="1368">
                  <c:v>40491.0</c:v>
                </c:pt>
                <c:pt idx="1369">
                  <c:v>40490.0</c:v>
                </c:pt>
                <c:pt idx="1370">
                  <c:v>40487.0</c:v>
                </c:pt>
                <c:pt idx="1371">
                  <c:v>40486.0</c:v>
                </c:pt>
                <c:pt idx="1372">
                  <c:v>40485.0</c:v>
                </c:pt>
                <c:pt idx="1373">
                  <c:v>40484.0</c:v>
                </c:pt>
                <c:pt idx="1374">
                  <c:v>40483.0</c:v>
                </c:pt>
                <c:pt idx="1375">
                  <c:v>40480.0</c:v>
                </c:pt>
                <c:pt idx="1376">
                  <c:v>40479.0</c:v>
                </c:pt>
                <c:pt idx="1377">
                  <c:v>40478.0</c:v>
                </c:pt>
                <c:pt idx="1378">
                  <c:v>40477.0</c:v>
                </c:pt>
                <c:pt idx="1379">
                  <c:v>40476.0</c:v>
                </c:pt>
                <c:pt idx="1380">
                  <c:v>40473.0</c:v>
                </c:pt>
                <c:pt idx="1381">
                  <c:v>40472.0</c:v>
                </c:pt>
                <c:pt idx="1382">
                  <c:v>40471.0</c:v>
                </c:pt>
                <c:pt idx="1383">
                  <c:v>40470.0</c:v>
                </c:pt>
                <c:pt idx="1384">
                  <c:v>40469.0</c:v>
                </c:pt>
                <c:pt idx="1385">
                  <c:v>40466.0</c:v>
                </c:pt>
                <c:pt idx="1386">
                  <c:v>40465.0</c:v>
                </c:pt>
                <c:pt idx="1387">
                  <c:v>40464.0</c:v>
                </c:pt>
                <c:pt idx="1388">
                  <c:v>40463.0</c:v>
                </c:pt>
                <c:pt idx="1389">
                  <c:v>40462.0</c:v>
                </c:pt>
                <c:pt idx="1390">
                  <c:v>40459.0</c:v>
                </c:pt>
                <c:pt idx="1391">
                  <c:v>40458.0</c:v>
                </c:pt>
                <c:pt idx="1392">
                  <c:v>40457.0</c:v>
                </c:pt>
                <c:pt idx="1393">
                  <c:v>40456.0</c:v>
                </c:pt>
                <c:pt idx="1394">
                  <c:v>40455.0</c:v>
                </c:pt>
                <c:pt idx="1395">
                  <c:v>40452.0</c:v>
                </c:pt>
                <c:pt idx="1396">
                  <c:v>40451.0</c:v>
                </c:pt>
                <c:pt idx="1397">
                  <c:v>40450.0</c:v>
                </c:pt>
                <c:pt idx="1398">
                  <c:v>40449.0</c:v>
                </c:pt>
                <c:pt idx="1399">
                  <c:v>40448.0</c:v>
                </c:pt>
                <c:pt idx="1400">
                  <c:v>40444.0</c:v>
                </c:pt>
                <c:pt idx="1401">
                  <c:v>40443.0</c:v>
                </c:pt>
                <c:pt idx="1402">
                  <c:v>40442.0</c:v>
                </c:pt>
                <c:pt idx="1403">
                  <c:v>40441.0</c:v>
                </c:pt>
                <c:pt idx="1404">
                  <c:v>40438.0</c:v>
                </c:pt>
                <c:pt idx="1405">
                  <c:v>40437.0</c:v>
                </c:pt>
                <c:pt idx="1406">
                  <c:v>40436.0</c:v>
                </c:pt>
                <c:pt idx="1407">
                  <c:v>40435.0</c:v>
                </c:pt>
                <c:pt idx="1408">
                  <c:v>40434.0</c:v>
                </c:pt>
                <c:pt idx="1409">
                  <c:v>40431.0</c:v>
                </c:pt>
                <c:pt idx="1410">
                  <c:v>40430.0</c:v>
                </c:pt>
                <c:pt idx="1411">
                  <c:v>40429.0</c:v>
                </c:pt>
                <c:pt idx="1412">
                  <c:v>40428.0</c:v>
                </c:pt>
                <c:pt idx="1413">
                  <c:v>40427.0</c:v>
                </c:pt>
                <c:pt idx="1414">
                  <c:v>40424.0</c:v>
                </c:pt>
                <c:pt idx="1415">
                  <c:v>40423.0</c:v>
                </c:pt>
                <c:pt idx="1416">
                  <c:v>40422.0</c:v>
                </c:pt>
                <c:pt idx="1417">
                  <c:v>40421.0</c:v>
                </c:pt>
                <c:pt idx="1418">
                  <c:v>40420.0</c:v>
                </c:pt>
                <c:pt idx="1419">
                  <c:v>40417.0</c:v>
                </c:pt>
                <c:pt idx="1420">
                  <c:v>40416.0</c:v>
                </c:pt>
                <c:pt idx="1421">
                  <c:v>40415.0</c:v>
                </c:pt>
                <c:pt idx="1422">
                  <c:v>40414.0</c:v>
                </c:pt>
                <c:pt idx="1423">
                  <c:v>40413.0</c:v>
                </c:pt>
                <c:pt idx="1424">
                  <c:v>40410.0</c:v>
                </c:pt>
                <c:pt idx="1425">
                  <c:v>40409.0</c:v>
                </c:pt>
                <c:pt idx="1426">
                  <c:v>40408.0</c:v>
                </c:pt>
                <c:pt idx="1427">
                  <c:v>40407.0</c:v>
                </c:pt>
                <c:pt idx="1428">
                  <c:v>40406.0</c:v>
                </c:pt>
                <c:pt idx="1429">
                  <c:v>40403.0</c:v>
                </c:pt>
                <c:pt idx="1430">
                  <c:v>40402.0</c:v>
                </c:pt>
                <c:pt idx="1431">
                  <c:v>40401.0</c:v>
                </c:pt>
                <c:pt idx="1432">
                  <c:v>40400.0</c:v>
                </c:pt>
                <c:pt idx="1433">
                  <c:v>40396.0</c:v>
                </c:pt>
                <c:pt idx="1434">
                  <c:v>40395.0</c:v>
                </c:pt>
                <c:pt idx="1435">
                  <c:v>40394.0</c:v>
                </c:pt>
                <c:pt idx="1436">
                  <c:v>40393.0</c:v>
                </c:pt>
                <c:pt idx="1437">
                  <c:v>40392.0</c:v>
                </c:pt>
                <c:pt idx="1438">
                  <c:v>40389.0</c:v>
                </c:pt>
                <c:pt idx="1439">
                  <c:v>40388.0</c:v>
                </c:pt>
                <c:pt idx="1440">
                  <c:v>40387.0</c:v>
                </c:pt>
                <c:pt idx="1441">
                  <c:v>40386.0</c:v>
                </c:pt>
                <c:pt idx="1442">
                  <c:v>40385.0</c:v>
                </c:pt>
                <c:pt idx="1443">
                  <c:v>40382.0</c:v>
                </c:pt>
                <c:pt idx="1444">
                  <c:v>40381.0</c:v>
                </c:pt>
                <c:pt idx="1445">
                  <c:v>40380.0</c:v>
                </c:pt>
                <c:pt idx="1446">
                  <c:v>40379.0</c:v>
                </c:pt>
                <c:pt idx="1447">
                  <c:v>40378.0</c:v>
                </c:pt>
                <c:pt idx="1448">
                  <c:v>40375.0</c:v>
                </c:pt>
                <c:pt idx="1449">
                  <c:v>40374.0</c:v>
                </c:pt>
                <c:pt idx="1450">
                  <c:v>40373.0</c:v>
                </c:pt>
                <c:pt idx="1451">
                  <c:v>40372.0</c:v>
                </c:pt>
                <c:pt idx="1452">
                  <c:v>40371.0</c:v>
                </c:pt>
                <c:pt idx="1453">
                  <c:v>40368.0</c:v>
                </c:pt>
                <c:pt idx="1454">
                  <c:v>40367.0</c:v>
                </c:pt>
                <c:pt idx="1455">
                  <c:v>40366.0</c:v>
                </c:pt>
                <c:pt idx="1456">
                  <c:v>40365.0</c:v>
                </c:pt>
                <c:pt idx="1457">
                  <c:v>40364.0</c:v>
                </c:pt>
                <c:pt idx="1458">
                  <c:v>40361.0</c:v>
                </c:pt>
                <c:pt idx="1459">
                  <c:v>40360.0</c:v>
                </c:pt>
                <c:pt idx="1460">
                  <c:v>40359.0</c:v>
                </c:pt>
                <c:pt idx="1461">
                  <c:v>40358.0</c:v>
                </c:pt>
                <c:pt idx="1462">
                  <c:v>40357.0</c:v>
                </c:pt>
                <c:pt idx="1463">
                  <c:v>40354.0</c:v>
                </c:pt>
                <c:pt idx="1464">
                  <c:v>40353.0</c:v>
                </c:pt>
                <c:pt idx="1465">
                  <c:v>40352.0</c:v>
                </c:pt>
                <c:pt idx="1466">
                  <c:v>40351.0</c:v>
                </c:pt>
                <c:pt idx="1467">
                  <c:v>40350.0</c:v>
                </c:pt>
                <c:pt idx="1468">
                  <c:v>40347.0</c:v>
                </c:pt>
                <c:pt idx="1469">
                  <c:v>40346.0</c:v>
                </c:pt>
                <c:pt idx="1470">
                  <c:v>40344.0</c:v>
                </c:pt>
                <c:pt idx="1471">
                  <c:v>40343.0</c:v>
                </c:pt>
                <c:pt idx="1472">
                  <c:v>40340.0</c:v>
                </c:pt>
                <c:pt idx="1473">
                  <c:v>40339.0</c:v>
                </c:pt>
                <c:pt idx="1474">
                  <c:v>40338.0</c:v>
                </c:pt>
                <c:pt idx="1475">
                  <c:v>40337.0</c:v>
                </c:pt>
                <c:pt idx="1476">
                  <c:v>40336.0</c:v>
                </c:pt>
                <c:pt idx="1477">
                  <c:v>40333.0</c:v>
                </c:pt>
                <c:pt idx="1478">
                  <c:v>40332.0</c:v>
                </c:pt>
                <c:pt idx="1479">
                  <c:v>40331.0</c:v>
                </c:pt>
                <c:pt idx="1480">
                  <c:v>40330.0</c:v>
                </c:pt>
                <c:pt idx="1481">
                  <c:v>40329.0</c:v>
                </c:pt>
                <c:pt idx="1482">
                  <c:v>40326.0</c:v>
                </c:pt>
                <c:pt idx="1483">
                  <c:v>40325.0</c:v>
                </c:pt>
                <c:pt idx="1484">
                  <c:v>40324.0</c:v>
                </c:pt>
                <c:pt idx="1485">
                  <c:v>40323.0</c:v>
                </c:pt>
                <c:pt idx="1486">
                  <c:v>40322.0</c:v>
                </c:pt>
                <c:pt idx="1487">
                  <c:v>40319.0</c:v>
                </c:pt>
                <c:pt idx="1488">
                  <c:v>40318.0</c:v>
                </c:pt>
                <c:pt idx="1489">
                  <c:v>40317.0</c:v>
                </c:pt>
                <c:pt idx="1490">
                  <c:v>40316.0</c:v>
                </c:pt>
                <c:pt idx="1491">
                  <c:v>40315.0</c:v>
                </c:pt>
                <c:pt idx="1492">
                  <c:v>40312.0</c:v>
                </c:pt>
                <c:pt idx="1493">
                  <c:v>40311.0</c:v>
                </c:pt>
                <c:pt idx="1494">
                  <c:v>40310.0</c:v>
                </c:pt>
                <c:pt idx="1495">
                  <c:v>40309.0</c:v>
                </c:pt>
                <c:pt idx="1496">
                  <c:v>40308.0</c:v>
                </c:pt>
                <c:pt idx="1497">
                  <c:v>40305.0</c:v>
                </c:pt>
                <c:pt idx="1498">
                  <c:v>40304.0</c:v>
                </c:pt>
                <c:pt idx="1499">
                  <c:v>40303.0</c:v>
                </c:pt>
                <c:pt idx="1500">
                  <c:v>40302.0</c:v>
                </c:pt>
                <c:pt idx="1501">
                  <c:v>40301.0</c:v>
                </c:pt>
                <c:pt idx="1502">
                  <c:v>40298.0</c:v>
                </c:pt>
                <c:pt idx="1503">
                  <c:v>40297.0</c:v>
                </c:pt>
                <c:pt idx="1504">
                  <c:v>40296.0</c:v>
                </c:pt>
                <c:pt idx="1505">
                  <c:v>40294.0</c:v>
                </c:pt>
                <c:pt idx="1506">
                  <c:v>40291.0</c:v>
                </c:pt>
                <c:pt idx="1507">
                  <c:v>40290.0</c:v>
                </c:pt>
                <c:pt idx="1508">
                  <c:v>40289.0</c:v>
                </c:pt>
                <c:pt idx="1509">
                  <c:v>40288.0</c:v>
                </c:pt>
                <c:pt idx="1510">
                  <c:v>40287.0</c:v>
                </c:pt>
                <c:pt idx="1511">
                  <c:v>40284.0</c:v>
                </c:pt>
                <c:pt idx="1512">
                  <c:v>40283.0</c:v>
                </c:pt>
                <c:pt idx="1513">
                  <c:v>40282.0</c:v>
                </c:pt>
                <c:pt idx="1514">
                  <c:v>40281.0</c:v>
                </c:pt>
                <c:pt idx="1515">
                  <c:v>40280.0</c:v>
                </c:pt>
                <c:pt idx="1516">
                  <c:v>40277.0</c:v>
                </c:pt>
                <c:pt idx="1517">
                  <c:v>40276.0</c:v>
                </c:pt>
                <c:pt idx="1518">
                  <c:v>40275.0</c:v>
                </c:pt>
                <c:pt idx="1519">
                  <c:v>40274.0</c:v>
                </c:pt>
                <c:pt idx="1520">
                  <c:v>40269.0</c:v>
                </c:pt>
                <c:pt idx="1521">
                  <c:v>40268.0</c:v>
                </c:pt>
                <c:pt idx="1522">
                  <c:v>40267.0</c:v>
                </c:pt>
                <c:pt idx="1523">
                  <c:v>40266.0</c:v>
                </c:pt>
                <c:pt idx="1524">
                  <c:v>40263.0</c:v>
                </c:pt>
                <c:pt idx="1525">
                  <c:v>40262.0</c:v>
                </c:pt>
                <c:pt idx="1526">
                  <c:v>40261.0</c:v>
                </c:pt>
                <c:pt idx="1527">
                  <c:v>40260.0</c:v>
                </c:pt>
                <c:pt idx="1528">
                  <c:v>40256.0</c:v>
                </c:pt>
                <c:pt idx="1529">
                  <c:v>40255.0</c:v>
                </c:pt>
                <c:pt idx="1530">
                  <c:v>40254.0</c:v>
                </c:pt>
                <c:pt idx="1531">
                  <c:v>40253.0</c:v>
                </c:pt>
                <c:pt idx="1532">
                  <c:v>40252.0</c:v>
                </c:pt>
                <c:pt idx="1533">
                  <c:v>40249.0</c:v>
                </c:pt>
                <c:pt idx="1534">
                  <c:v>40248.0</c:v>
                </c:pt>
                <c:pt idx="1535">
                  <c:v>40247.0</c:v>
                </c:pt>
                <c:pt idx="1536">
                  <c:v>40246.0</c:v>
                </c:pt>
                <c:pt idx="1537">
                  <c:v>40245.0</c:v>
                </c:pt>
                <c:pt idx="1538">
                  <c:v>40242.0</c:v>
                </c:pt>
                <c:pt idx="1539">
                  <c:v>40241.0</c:v>
                </c:pt>
                <c:pt idx="1540">
                  <c:v>40240.0</c:v>
                </c:pt>
                <c:pt idx="1541">
                  <c:v>40239.0</c:v>
                </c:pt>
                <c:pt idx="1542">
                  <c:v>40238.0</c:v>
                </c:pt>
                <c:pt idx="1543">
                  <c:v>40235.0</c:v>
                </c:pt>
                <c:pt idx="1544">
                  <c:v>40234.0</c:v>
                </c:pt>
                <c:pt idx="1545">
                  <c:v>40233.0</c:v>
                </c:pt>
                <c:pt idx="1546">
                  <c:v>40232.0</c:v>
                </c:pt>
                <c:pt idx="1547">
                  <c:v>40231.0</c:v>
                </c:pt>
                <c:pt idx="1548">
                  <c:v>40228.0</c:v>
                </c:pt>
                <c:pt idx="1549">
                  <c:v>40227.0</c:v>
                </c:pt>
                <c:pt idx="1550">
                  <c:v>40226.0</c:v>
                </c:pt>
                <c:pt idx="1551">
                  <c:v>40225.0</c:v>
                </c:pt>
                <c:pt idx="1552">
                  <c:v>40224.0</c:v>
                </c:pt>
                <c:pt idx="1553">
                  <c:v>40221.0</c:v>
                </c:pt>
                <c:pt idx="1554">
                  <c:v>40220.0</c:v>
                </c:pt>
                <c:pt idx="1555">
                  <c:v>40219.0</c:v>
                </c:pt>
                <c:pt idx="1556">
                  <c:v>40218.0</c:v>
                </c:pt>
                <c:pt idx="1557">
                  <c:v>40217.0</c:v>
                </c:pt>
                <c:pt idx="1558">
                  <c:v>40214.0</c:v>
                </c:pt>
                <c:pt idx="1559">
                  <c:v>40213.0</c:v>
                </c:pt>
                <c:pt idx="1560">
                  <c:v>40212.0</c:v>
                </c:pt>
                <c:pt idx="1561">
                  <c:v>40211.0</c:v>
                </c:pt>
                <c:pt idx="1562">
                  <c:v>40210.0</c:v>
                </c:pt>
                <c:pt idx="1563">
                  <c:v>40207.0</c:v>
                </c:pt>
                <c:pt idx="1564">
                  <c:v>40206.0</c:v>
                </c:pt>
                <c:pt idx="1565">
                  <c:v>40205.0</c:v>
                </c:pt>
                <c:pt idx="1566">
                  <c:v>40204.0</c:v>
                </c:pt>
                <c:pt idx="1567">
                  <c:v>40203.0</c:v>
                </c:pt>
                <c:pt idx="1568">
                  <c:v>40200.0</c:v>
                </c:pt>
                <c:pt idx="1569">
                  <c:v>40199.0</c:v>
                </c:pt>
                <c:pt idx="1570">
                  <c:v>40198.0</c:v>
                </c:pt>
                <c:pt idx="1571">
                  <c:v>40197.0</c:v>
                </c:pt>
                <c:pt idx="1572">
                  <c:v>40196.0</c:v>
                </c:pt>
                <c:pt idx="1573">
                  <c:v>40193.0</c:v>
                </c:pt>
                <c:pt idx="1574">
                  <c:v>40192.0</c:v>
                </c:pt>
                <c:pt idx="1575">
                  <c:v>40191.0</c:v>
                </c:pt>
                <c:pt idx="1576">
                  <c:v>40190.0</c:v>
                </c:pt>
                <c:pt idx="1577">
                  <c:v>40189.0</c:v>
                </c:pt>
                <c:pt idx="1578">
                  <c:v>40186.0</c:v>
                </c:pt>
                <c:pt idx="1579">
                  <c:v>40185.0</c:v>
                </c:pt>
                <c:pt idx="1580">
                  <c:v>40184.0</c:v>
                </c:pt>
                <c:pt idx="1581">
                  <c:v>40183.0</c:v>
                </c:pt>
                <c:pt idx="1582">
                  <c:v>40182.0</c:v>
                </c:pt>
                <c:pt idx="1583">
                  <c:v>40178.0</c:v>
                </c:pt>
                <c:pt idx="1584">
                  <c:v>40177.0</c:v>
                </c:pt>
                <c:pt idx="1585">
                  <c:v>40176.0</c:v>
                </c:pt>
                <c:pt idx="1586">
                  <c:v>40175.0</c:v>
                </c:pt>
                <c:pt idx="1587">
                  <c:v>40171.0</c:v>
                </c:pt>
                <c:pt idx="1588">
                  <c:v>40170.0</c:v>
                </c:pt>
                <c:pt idx="1589">
                  <c:v>40169.0</c:v>
                </c:pt>
                <c:pt idx="1590">
                  <c:v>40168.0</c:v>
                </c:pt>
                <c:pt idx="1591">
                  <c:v>40165.0</c:v>
                </c:pt>
                <c:pt idx="1592">
                  <c:v>40164.0</c:v>
                </c:pt>
                <c:pt idx="1593">
                  <c:v>40162.0</c:v>
                </c:pt>
                <c:pt idx="1594">
                  <c:v>40161.0</c:v>
                </c:pt>
                <c:pt idx="1595">
                  <c:v>40158.0</c:v>
                </c:pt>
                <c:pt idx="1596">
                  <c:v>40157.0</c:v>
                </c:pt>
                <c:pt idx="1597">
                  <c:v>40156.0</c:v>
                </c:pt>
                <c:pt idx="1598">
                  <c:v>40155.0</c:v>
                </c:pt>
                <c:pt idx="1599">
                  <c:v>40154.0</c:v>
                </c:pt>
                <c:pt idx="1600">
                  <c:v>40151.0</c:v>
                </c:pt>
                <c:pt idx="1601">
                  <c:v>40150.0</c:v>
                </c:pt>
                <c:pt idx="1602">
                  <c:v>40149.0</c:v>
                </c:pt>
                <c:pt idx="1603">
                  <c:v>40148.0</c:v>
                </c:pt>
                <c:pt idx="1604">
                  <c:v>40147.0</c:v>
                </c:pt>
                <c:pt idx="1605">
                  <c:v>40144.0</c:v>
                </c:pt>
                <c:pt idx="1606">
                  <c:v>40143.0</c:v>
                </c:pt>
                <c:pt idx="1607">
                  <c:v>40142.0</c:v>
                </c:pt>
                <c:pt idx="1608">
                  <c:v>40141.0</c:v>
                </c:pt>
                <c:pt idx="1609">
                  <c:v>40140.0</c:v>
                </c:pt>
                <c:pt idx="1610">
                  <c:v>40137.0</c:v>
                </c:pt>
                <c:pt idx="1611">
                  <c:v>40136.0</c:v>
                </c:pt>
                <c:pt idx="1612">
                  <c:v>40135.0</c:v>
                </c:pt>
                <c:pt idx="1613">
                  <c:v>40134.0</c:v>
                </c:pt>
                <c:pt idx="1614">
                  <c:v>40133.0</c:v>
                </c:pt>
                <c:pt idx="1615">
                  <c:v>40130.0</c:v>
                </c:pt>
                <c:pt idx="1616">
                  <c:v>40129.0</c:v>
                </c:pt>
                <c:pt idx="1617">
                  <c:v>40128.0</c:v>
                </c:pt>
                <c:pt idx="1618">
                  <c:v>40127.0</c:v>
                </c:pt>
                <c:pt idx="1619">
                  <c:v>40126.0</c:v>
                </c:pt>
                <c:pt idx="1620">
                  <c:v>40123.0</c:v>
                </c:pt>
                <c:pt idx="1621">
                  <c:v>40122.0</c:v>
                </c:pt>
                <c:pt idx="1622">
                  <c:v>40121.0</c:v>
                </c:pt>
                <c:pt idx="1623">
                  <c:v>40120.0</c:v>
                </c:pt>
                <c:pt idx="1624">
                  <c:v>40119.0</c:v>
                </c:pt>
                <c:pt idx="1625">
                  <c:v>40116.0</c:v>
                </c:pt>
                <c:pt idx="1626">
                  <c:v>40115.0</c:v>
                </c:pt>
                <c:pt idx="1627">
                  <c:v>40114.0</c:v>
                </c:pt>
                <c:pt idx="1628">
                  <c:v>40113.0</c:v>
                </c:pt>
                <c:pt idx="1629">
                  <c:v>40112.0</c:v>
                </c:pt>
                <c:pt idx="1630">
                  <c:v>40109.0</c:v>
                </c:pt>
                <c:pt idx="1631">
                  <c:v>40108.0</c:v>
                </c:pt>
                <c:pt idx="1632">
                  <c:v>40107.0</c:v>
                </c:pt>
                <c:pt idx="1633">
                  <c:v>40106.0</c:v>
                </c:pt>
                <c:pt idx="1634">
                  <c:v>40105.0</c:v>
                </c:pt>
                <c:pt idx="1635">
                  <c:v>40102.0</c:v>
                </c:pt>
                <c:pt idx="1636">
                  <c:v>40101.0</c:v>
                </c:pt>
                <c:pt idx="1637">
                  <c:v>40100.0</c:v>
                </c:pt>
                <c:pt idx="1638">
                  <c:v>40099.0</c:v>
                </c:pt>
                <c:pt idx="1639">
                  <c:v>40098.0</c:v>
                </c:pt>
                <c:pt idx="1640">
                  <c:v>40095.0</c:v>
                </c:pt>
                <c:pt idx="1641">
                  <c:v>40094.0</c:v>
                </c:pt>
                <c:pt idx="1642">
                  <c:v>40093.0</c:v>
                </c:pt>
                <c:pt idx="1643">
                  <c:v>40092.0</c:v>
                </c:pt>
                <c:pt idx="1644">
                  <c:v>40091.0</c:v>
                </c:pt>
                <c:pt idx="1645">
                  <c:v>40088.0</c:v>
                </c:pt>
                <c:pt idx="1646">
                  <c:v>40087.0</c:v>
                </c:pt>
                <c:pt idx="1647">
                  <c:v>40086.0</c:v>
                </c:pt>
                <c:pt idx="1648">
                  <c:v>40085.0</c:v>
                </c:pt>
                <c:pt idx="1649">
                  <c:v>40084.0</c:v>
                </c:pt>
                <c:pt idx="1650">
                  <c:v>40081.0</c:v>
                </c:pt>
                <c:pt idx="1651">
                  <c:v>40079.0</c:v>
                </c:pt>
                <c:pt idx="1652">
                  <c:v>40078.0</c:v>
                </c:pt>
                <c:pt idx="1653">
                  <c:v>40077.0</c:v>
                </c:pt>
                <c:pt idx="1654">
                  <c:v>40074.0</c:v>
                </c:pt>
                <c:pt idx="1655">
                  <c:v>40073.0</c:v>
                </c:pt>
                <c:pt idx="1656">
                  <c:v>40072.0</c:v>
                </c:pt>
                <c:pt idx="1657">
                  <c:v>40071.0</c:v>
                </c:pt>
                <c:pt idx="1658">
                  <c:v>40070.0</c:v>
                </c:pt>
                <c:pt idx="1659">
                  <c:v>40067.0</c:v>
                </c:pt>
                <c:pt idx="1660">
                  <c:v>40066.0</c:v>
                </c:pt>
                <c:pt idx="1661">
                  <c:v>40065.0</c:v>
                </c:pt>
                <c:pt idx="1662">
                  <c:v>40064.0</c:v>
                </c:pt>
                <c:pt idx="1663">
                  <c:v>40063.0</c:v>
                </c:pt>
                <c:pt idx="1664">
                  <c:v>40060.0</c:v>
                </c:pt>
                <c:pt idx="1665">
                  <c:v>40059.0</c:v>
                </c:pt>
                <c:pt idx="1666">
                  <c:v>40058.0</c:v>
                </c:pt>
                <c:pt idx="1667">
                  <c:v>40057.0</c:v>
                </c:pt>
                <c:pt idx="1668">
                  <c:v>40056.0</c:v>
                </c:pt>
                <c:pt idx="1669">
                  <c:v>40053.0</c:v>
                </c:pt>
                <c:pt idx="1670">
                  <c:v>40052.0</c:v>
                </c:pt>
                <c:pt idx="1671">
                  <c:v>40051.0</c:v>
                </c:pt>
                <c:pt idx="1672">
                  <c:v>40050.0</c:v>
                </c:pt>
                <c:pt idx="1673">
                  <c:v>40049.0</c:v>
                </c:pt>
                <c:pt idx="1674">
                  <c:v>40046.0</c:v>
                </c:pt>
                <c:pt idx="1675">
                  <c:v>40045.0</c:v>
                </c:pt>
                <c:pt idx="1676">
                  <c:v>40044.0</c:v>
                </c:pt>
                <c:pt idx="1677">
                  <c:v>40043.0</c:v>
                </c:pt>
                <c:pt idx="1678">
                  <c:v>40042.0</c:v>
                </c:pt>
                <c:pt idx="1679">
                  <c:v>40039.0</c:v>
                </c:pt>
                <c:pt idx="1680">
                  <c:v>40038.0</c:v>
                </c:pt>
                <c:pt idx="1681">
                  <c:v>40037.0</c:v>
                </c:pt>
                <c:pt idx="1682">
                  <c:v>40036.0</c:v>
                </c:pt>
                <c:pt idx="1683">
                  <c:v>40032.0</c:v>
                </c:pt>
                <c:pt idx="1684">
                  <c:v>40031.0</c:v>
                </c:pt>
                <c:pt idx="1685">
                  <c:v>40030.0</c:v>
                </c:pt>
                <c:pt idx="1686">
                  <c:v>40029.0</c:v>
                </c:pt>
                <c:pt idx="1687">
                  <c:v>40028.0</c:v>
                </c:pt>
                <c:pt idx="1688">
                  <c:v>40025.0</c:v>
                </c:pt>
                <c:pt idx="1689">
                  <c:v>40024.0</c:v>
                </c:pt>
                <c:pt idx="1690">
                  <c:v>40023.0</c:v>
                </c:pt>
                <c:pt idx="1691">
                  <c:v>40022.0</c:v>
                </c:pt>
                <c:pt idx="1692">
                  <c:v>40021.0</c:v>
                </c:pt>
                <c:pt idx="1693">
                  <c:v>40018.0</c:v>
                </c:pt>
                <c:pt idx="1694">
                  <c:v>40017.0</c:v>
                </c:pt>
                <c:pt idx="1695">
                  <c:v>40016.0</c:v>
                </c:pt>
                <c:pt idx="1696">
                  <c:v>40015.0</c:v>
                </c:pt>
                <c:pt idx="1697">
                  <c:v>40014.0</c:v>
                </c:pt>
                <c:pt idx="1698">
                  <c:v>40011.0</c:v>
                </c:pt>
                <c:pt idx="1699">
                  <c:v>40010.0</c:v>
                </c:pt>
                <c:pt idx="1700">
                  <c:v>40009.0</c:v>
                </c:pt>
                <c:pt idx="1701">
                  <c:v>40008.0</c:v>
                </c:pt>
                <c:pt idx="1702">
                  <c:v>40007.0</c:v>
                </c:pt>
                <c:pt idx="1703">
                  <c:v>40004.0</c:v>
                </c:pt>
                <c:pt idx="1704">
                  <c:v>40003.0</c:v>
                </c:pt>
                <c:pt idx="1705">
                  <c:v>40002.0</c:v>
                </c:pt>
                <c:pt idx="1706">
                  <c:v>40001.0</c:v>
                </c:pt>
                <c:pt idx="1707">
                  <c:v>40000.0</c:v>
                </c:pt>
                <c:pt idx="1708">
                  <c:v>39997.0</c:v>
                </c:pt>
                <c:pt idx="1709">
                  <c:v>39996.0</c:v>
                </c:pt>
                <c:pt idx="1710">
                  <c:v>39995.0</c:v>
                </c:pt>
                <c:pt idx="1711">
                  <c:v>39994.0</c:v>
                </c:pt>
                <c:pt idx="1712">
                  <c:v>39993.0</c:v>
                </c:pt>
                <c:pt idx="1713">
                  <c:v>39990.0</c:v>
                </c:pt>
                <c:pt idx="1714">
                  <c:v>39989.0</c:v>
                </c:pt>
                <c:pt idx="1715">
                  <c:v>39988.0</c:v>
                </c:pt>
                <c:pt idx="1716">
                  <c:v>39987.0</c:v>
                </c:pt>
                <c:pt idx="1717">
                  <c:v>39986.0</c:v>
                </c:pt>
                <c:pt idx="1718">
                  <c:v>39983.0</c:v>
                </c:pt>
                <c:pt idx="1719">
                  <c:v>39982.0</c:v>
                </c:pt>
                <c:pt idx="1720">
                  <c:v>39981.0</c:v>
                </c:pt>
                <c:pt idx="1721">
                  <c:v>39979.0</c:v>
                </c:pt>
                <c:pt idx="1722">
                  <c:v>39976.0</c:v>
                </c:pt>
                <c:pt idx="1723">
                  <c:v>39975.0</c:v>
                </c:pt>
                <c:pt idx="1724">
                  <c:v>39974.0</c:v>
                </c:pt>
                <c:pt idx="1725">
                  <c:v>39973.0</c:v>
                </c:pt>
                <c:pt idx="1726">
                  <c:v>39972.0</c:v>
                </c:pt>
                <c:pt idx="1727">
                  <c:v>39969.0</c:v>
                </c:pt>
                <c:pt idx="1728">
                  <c:v>39968.0</c:v>
                </c:pt>
                <c:pt idx="1729">
                  <c:v>39967.0</c:v>
                </c:pt>
                <c:pt idx="1730">
                  <c:v>39966.0</c:v>
                </c:pt>
                <c:pt idx="1731">
                  <c:v>39965.0</c:v>
                </c:pt>
                <c:pt idx="1732">
                  <c:v>39962.0</c:v>
                </c:pt>
                <c:pt idx="1733">
                  <c:v>39961.0</c:v>
                </c:pt>
                <c:pt idx="1734">
                  <c:v>39960.0</c:v>
                </c:pt>
                <c:pt idx="1735">
                  <c:v>39959.0</c:v>
                </c:pt>
                <c:pt idx="1736">
                  <c:v>39958.0</c:v>
                </c:pt>
                <c:pt idx="1737">
                  <c:v>39955.0</c:v>
                </c:pt>
                <c:pt idx="1738">
                  <c:v>39954.0</c:v>
                </c:pt>
                <c:pt idx="1739">
                  <c:v>39953.0</c:v>
                </c:pt>
                <c:pt idx="1740">
                  <c:v>39952.0</c:v>
                </c:pt>
                <c:pt idx="1741">
                  <c:v>39951.0</c:v>
                </c:pt>
                <c:pt idx="1742">
                  <c:v>39948.0</c:v>
                </c:pt>
                <c:pt idx="1743">
                  <c:v>39947.0</c:v>
                </c:pt>
                <c:pt idx="1744">
                  <c:v>39946.0</c:v>
                </c:pt>
                <c:pt idx="1745">
                  <c:v>39945.0</c:v>
                </c:pt>
                <c:pt idx="1746">
                  <c:v>39944.0</c:v>
                </c:pt>
                <c:pt idx="1747">
                  <c:v>39941.0</c:v>
                </c:pt>
                <c:pt idx="1748">
                  <c:v>39940.0</c:v>
                </c:pt>
                <c:pt idx="1749">
                  <c:v>39939.0</c:v>
                </c:pt>
                <c:pt idx="1750">
                  <c:v>39938.0</c:v>
                </c:pt>
                <c:pt idx="1751">
                  <c:v>39937.0</c:v>
                </c:pt>
                <c:pt idx="1752">
                  <c:v>39933.0</c:v>
                </c:pt>
                <c:pt idx="1753">
                  <c:v>39932.0</c:v>
                </c:pt>
                <c:pt idx="1754">
                  <c:v>39931.0</c:v>
                </c:pt>
                <c:pt idx="1755">
                  <c:v>39927.0</c:v>
                </c:pt>
                <c:pt idx="1756">
                  <c:v>39926.0</c:v>
                </c:pt>
                <c:pt idx="1757">
                  <c:v>39924.0</c:v>
                </c:pt>
                <c:pt idx="1758">
                  <c:v>39923.0</c:v>
                </c:pt>
                <c:pt idx="1759">
                  <c:v>39920.0</c:v>
                </c:pt>
                <c:pt idx="1760">
                  <c:v>39919.0</c:v>
                </c:pt>
                <c:pt idx="1761">
                  <c:v>39918.0</c:v>
                </c:pt>
                <c:pt idx="1762">
                  <c:v>39917.0</c:v>
                </c:pt>
                <c:pt idx="1763">
                  <c:v>39912.0</c:v>
                </c:pt>
                <c:pt idx="1764">
                  <c:v>39911.0</c:v>
                </c:pt>
                <c:pt idx="1765">
                  <c:v>39910.0</c:v>
                </c:pt>
                <c:pt idx="1766">
                  <c:v>39909.0</c:v>
                </c:pt>
                <c:pt idx="1767">
                  <c:v>39906.0</c:v>
                </c:pt>
                <c:pt idx="1768">
                  <c:v>39905.0</c:v>
                </c:pt>
                <c:pt idx="1769">
                  <c:v>39904.0</c:v>
                </c:pt>
                <c:pt idx="1770">
                  <c:v>39903.0</c:v>
                </c:pt>
                <c:pt idx="1771">
                  <c:v>39902.0</c:v>
                </c:pt>
                <c:pt idx="1772">
                  <c:v>39899.0</c:v>
                </c:pt>
                <c:pt idx="1773">
                  <c:v>39898.0</c:v>
                </c:pt>
                <c:pt idx="1774">
                  <c:v>39897.0</c:v>
                </c:pt>
                <c:pt idx="1775">
                  <c:v>39896.0</c:v>
                </c:pt>
                <c:pt idx="1776">
                  <c:v>39895.0</c:v>
                </c:pt>
                <c:pt idx="1777">
                  <c:v>39892.0</c:v>
                </c:pt>
                <c:pt idx="1778">
                  <c:v>39891.0</c:v>
                </c:pt>
                <c:pt idx="1779">
                  <c:v>39890.0</c:v>
                </c:pt>
                <c:pt idx="1780">
                  <c:v>39889.0</c:v>
                </c:pt>
                <c:pt idx="1781">
                  <c:v>39888.0</c:v>
                </c:pt>
                <c:pt idx="1782">
                  <c:v>39885.0</c:v>
                </c:pt>
                <c:pt idx="1783">
                  <c:v>39884.0</c:v>
                </c:pt>
                <c:pt idx="1784">
                  <c:v>39883.0</c:v>
                </c:pt>
                <c:pt idx="1785">
                  <c:v>39882.0</c:v>
                </c:pt>
                <c:pt idx="1786">
                  <c:v>39881.0</c:v>
                </c:pt>
                <c:pt idx="1787">
                  <c:v>39878.0</c:v>
                </c:pt>
                <c:pt idx="1788">
                  <c:v>39877.0</c:v>
                </c:pt>
                <c:pt idx="1789">
                  <c:v>39876.0</c:v>
                </c:pt>
                <c:pt idx="1790">
                  <c:v>39875.0</c:v>
                </c:pt>
                <c:pt idx="1791">
                  <c:v>39874.0</c:v>
                </c:pt>
                <c:pt idx="1792">
                  <c:v>39871.0</c:v>
                </c:pt>
                <c:pt idx="1793">
                  <c:v>39870.0</c:v>
                </c:pt>
                <c:pt idx="1794">
                  <c:v>39869.0</c:v>
                </c:pt>
                <c:pt idx="1795">
                  <c:v>39868.0</c:v>
                </c:pt>
                <c:pt idx="1796">
                  <c:v>39867.0</c:v>
                </c:pt>
                <c:pt idx="1797">
                  <c:v>39864.0</c:v>
                </c:pt>
                <c:pt idx="1798">
                  <c:v>39863.0</c:v>
                </c:pt>
                <c:pt idx="1799">
                  <c:v>39862.0</c:v>
                </c:pt>
                <c:pt idx="1800">
                  <c:v>39861.0</c:v>
                </c:pt>
                <c:pt idx="1801">
                  <c:v>39860.0</c:v>
                </c:pt>
                <c:pt idx="1802">
                  <c:v>39857.0</c:v>
                </c:pt>
                <c:pt idx="1803">
                  <c:v>39856.0</c:v>
                </c:pt>
                <c:pt idx="1804">
                  <c:v>39855.0</c:v>
                </c:pt>
                <c:pt idx="1805">
                  <c:v>39854.0</c:v>
                </c:pt>
                <c:pt idx="1806">
                  <c:v>39853.0</c:v>
                </c:pt>
                <c:pt idx="1807">
                  <c:v>39850.0</c:v>
                </c:pt>
                <c:pt idx="1808">
                  <c:v>39849.0</c:v>
                </c:pt>
                <c:pt idx="1809">
                  <c:v>39848.0</c:v>
                </c:pt>
                <c:pt idx="1810">
                  <c:v>39847.0</c:v>
                </c:pt>
                <c:pt idx="1811">
                  <c:v>39846.0</c:v>
                </c:pt>
                <c:pt idx="1812">
                  <c:v>39843.0</c:v>
                </c:pt>
                <c:pt idx="1813">
                  <c:v>39842.0</c:v>
                </c:pt>
                <c:pt idx="1814">
                  <c:v>39841.0</c:v>
                </c:pt>
                <c:pt idx="1815">
                  <c:v>39840.0</c:v>
                </c:pt>
                <c:pt idx="1816">
                  <c:v>39839.0</c:v>
                </c:pt>
                <c:pt idx="1817">
                  <c:v>39836.0</c:v>
                </c:pt>
                <c:pt idx="1818">
                  <c:v>39835.0</c:v>
                </c:pt>
                <c:pt idx="1819">
                  <c:v>39834.0</c:v>
                </c:pt>
                <c:pt idx="1820">
                  <c:v>39833.0</c:v>
                </c:pt>
                <c:pt idx="1821">
                  <c:v>39832.0</c:v>
                </c:pt>
                <c:pt idx="1822">
                  <c:v>39829.0</c:v>
                </c:pt>
                <c:pt idx="1823">
                  <c:v>39828.0</c:v>
                </c:pt>
                <c:pt idx="1824">
                  <c:v>39827.0</c:v>
                </c:pt>
                <c:pt idx="1825">
                  <c:v>39826.0</c:v>
                </c:pt>
                <c:pt idx="1826">
                  <c:v>39825.0</c:v>
                </c:pt>
                <c:pt idx="1827">
                  <c:v>39822.0</c:v>
                </c:pt>
                <c:pt idx="1828">
                  <c:v>39821.0</c:v>
                </c:pt>
                <c:pt idx="1829">
                  <c:v>39820.0</c:v>
                </c:pt>
                <c:pt idx="1830">
                  <c:v>39819.0</c:v>
                </c:pt>
                <c:pt idx="1831">
                  <c:v>39818.0</c:v>
                </c:pt>
                <c:pt idx="1832">
                  <c:v>39815.0</c:v>
                </c:pt>
                <c:pt idx="1833">
                  <c:v>39813.0</c:v>
                </c:pt>
                <c:pt idx="1834">
                  <c:v>39812.0</c:v>
                </c:pt>
                <c:pt idx="1835">
                  <c:v>39811.0</c:v>
                </c:pt>
                <c:pt idx="1836">
                  <c:v>39806.0</c:v>
                </c:pt>
                <c:pt idx="1837">
                  <c:v>39805.0</c:v>
                </c:pt>
                <c:pt idx="1838">
                  <c:v>39804.0</c:v>
                </c:pt>
                <c:pt idx="1839">
                  <c:v>39801.0</c:v>
                </c:pt>
                <c:pt idx="1840">
                  <c:v>39800.0</c:v>
                </c:pt>
                <c:pt idx="1841">
                  <c:v>39799.0</c:v>
                </c:pt>
                <c:pt idx="1842">
                  <c:v>39797.0</c:v>
                </c:pt>
                <c:pt idx="1843">
                  <c:v>39794.0</c:v>
                </c:pt>
                <c:pt idx="1844">
                  <c:v>39793.0</c:v>
                </c:pt>
                <c:pt idx="1845">
                  <c:v>39792.0</c:v>
                </c:pt>
                <c:pt idx="1846">
                  <c:v>39791.0</c:v>
                </c:pt>
                <c:pt idx="1847">
                  <c:v>39790.0</c:v>
                </c:pt>
                <c:pt idx="1848">
                  <c:v>39787.0</c:v>
                </c:pt>
                <c:pt idx="1849">
                  <c:v>39786.0</c:v>
                </c:pt>
                <c:pt idx="1850">
                  <c:v>39785.0</c:v>
                </c:pt>
                <c:pt idx="1851">
                  <c:v>39784.0</c:v>
                </c:pt>
                <c:pt idx="1852">
                  <c:v>39783.0</c:v>
                </c:pt>
                <c:pt idx="1853">
                  <c:v>39780.0</c:v>
                </c:pt>
                <c:pt idx="1854">
                  <c:v>39779.0</c:v>
                </c:pt>
                <c:pt idx="1855">
                  <c:v>39778.0</c:v>
                </c:pt>
                <c:pt idx="1856">
                  <c:v>39777.0</c:v>
                </c:pt>
                <c:pt idx="1857">
                  <c:v>39776.0</c:v>
                </c:pt>
                <c:pt idx="1858">
                  <c:v>39773.0</c:v>
                </c:pt>
                <c:pt idx="1859">
                  <c:v>39772.0</c:v>
                </c:pt>
                <c:pt idx="1860">
                  <c:v>39771.0</c:v>
                </c:pt>
                <c:pt idx="1861">
                  <c:v>39769.0</c:v>
                </c:pt>
                <c:pt idx="1862">
                  <c:v>39766.0</c:v>
                </c:pt>
                <c:pt idx="1863">
                  <c:v>39765.0</c:v>
                </c:pt>
                <c:pt idx="1864">
                  <c:v>39764.0</c:v>
                </c:pt>
                <c:pt idx="1865">
                  <c:v>39763.0</c:v>
                </c:pt>
                <c:pt idx="1866">
                  <c:v>39762.0</c:v>
                </c:pt>
                <c:pt idx="1867">
                  <c:v>39759.0</c:v>
                </c:pt>
                <c:pt idx="1868">
                  <c:v>39758.0</c:v>
                </c:pt>
                <c:pt idx="1869">
                  <c:v>39757.0</c:v>
                </c:pt>
                <c:pt idx="1870">
                  <c:v>39756.0</c:v>
                </c:pt>
                <c:pt idx="1871">
                  <c:v>39755.0</c:v>
                </c:pt>
                <c:pt idx="1872">
                  <c:v>39752.0</c:v>
                </c:pt>
                <c:pt idx="1873">
                  <c:v>39751.0</c:v>
                </c:pt>
                <c:pt idx="1874">
                  <c:v>39750.0</c:v>
                </c:pt>
                <c:pt idx="1875">
                  <c:v>39749.0</c:v>
                </c:pt>
                <c:pt idx="1876">
                  <c:v>39748.0</c:v>
                </c:pt>
                <c:pt idx="1877">
                  <c:v>39745.0</c:v>
                </c:pt>
                <c:pt idx="1878">
                  <c:v>39744.0</c:v>
                </c:pt>
                <c:pt idx="1879">
                  <c:v>39743.0</c:v>
                </c:pt>
                <c:pt idx="1880">
                  <c:v>39742.0</c:v>
                </c:pt>
                <c:pt idx="1881">
                  <c:v>39741.0</c:v>
                </c:pt>
                <c:pt idx="1882">
                  <c:v>39738.0</c:v>
                </c:pt>
                <c:pt idx="1883">
                  <c:v>39737.0</c:v>
                </c:pt>
                <c:pt idx="1884">
                  <c:v>39736.0</c:v>
                </c:pt>
                <c:pt idx="1885">
                  <c:v>39735.0</c:v>
                </c:pt>
                <c:pt idx="1886">
                  <c:v>39734.0</c:v>
                </c:pt>
                <c:pt idx="1887">
                  <c:v>39731.0</c:v>
                </c:pt>
                <c:pt idx="1888">
                  <c:v>39730.0</c:v>
                </c:pt>
                <c:pt idx="1889">
                  <c:v>39729.0</c:v>
                </c:pt>
                <c:pt idx="1890">
                  <c:v>39728.0</c:v>
                </c:pt>
                <c:pt idx="1891">
                  <c:v>39727.0</c:v>
                </c:pt>
                <c:pt idx="1892">
                  <c:v>39724.0</c:v>
                </c:pt>
                <c:pt idx="1893">
                  <c:v>39723.0</c:v>
                </c:pt>
                <c:pt idx="1894">
                  <c:v>39722.0</c:v>
                </c:pt>
                <c:pt idx="1895">
                  <c:v>39721.0</c:v>
                </c:pt>
                <c:pt idx="1896">
                  <c:v>39720.0</c:v>
                </c:pt>
                <c:pt idx="1897">
                  <c:v>39717.0</c:v>
                </c:pt>
                <c:pt idx="1898">
                  <c:v>39716.0</c:v>
                </c:pt>
                <c:pt idx="1899">
                  <c:v>39714.0</c:v>
                </c:pt>
                <c:pt idx="1900">
                  <c:v>39713.0</c:v>
                </c:pt>
                <c:pt idx="1901">
                  <c:v>39710.0</c:v>
                </c:pt>
                <c:pt idx="1902">
                  <c:v>39709.0</c:v>
                </c:pt>
                <c:pt idx="1903">
                  <c:v>39708.0</c:v>
                </c:pt>
                <c:pt idx="1904">
                  <c:v>39707.0</c:v>
                </c:pt>
                <c:pt idx="1905">
                  <c:v>39706.0</c:v>
                </c:pt>
                <c:pt idx="1906">
                  <c:v>39703.0</c:v>
                </c:pt>
                <c:pt idx="1907">
                  <c:v>39702.0</c:v>
                </c:pt>
                <c:pt idx="1908">
                  <c:v>39701.0</c:v>
                </c:pt>
                <c:pt idx="1909">
                  <c:v>39700.0</c:v>
                </c:pt>
                <c:pt idx="1910">
                  <c:v>39699.0</c:v>
                </c:pt>
                <c:pt idx="1911">
                  <c:v>39696.0</c:v>
                </c:pt>
                <c:pt idx="1912">
                  <c:v>39695.0</c:v>
                </c:pt>
                <c:pt idx="1913">
                  <c:v>39694.0</c:v>
                </c:pt>
                <c:pt idx="1914">
                  <c:v>39693.0</c:v>
                </c:pt>
                <c:pt idx="1915">
                  <c:v>39692.0</c:v>
                </c:pt>
                <c:pt idx="1916">
                  <c:v>39689.0</c:v>
                </c:pt>
                <c:pt idx="1917">
                  <c:v>39688.0</c:v>
                </c:pt>
                <c:pt idx="1918">
                  <c:v>39687.0</c:v>
                </c:pt>
                <c:pt idx="1919">
                  <c:v>39686.0</c:v>
                </c:pt>
                <c:pt idx="1920">
                  <c:v>39685.0</c:v>
                </c:pt>
                <c:pt idx="1921">
                  <c:v>39682.0</c:v>
                </c:pt>
                <c:pt idx="1922">
                  <c:v>39681.0</c:v>
                </c:pt>
                <c:pt idx="1923">
                  <c:v>39680.0</c:v>
                </c:pt>
                <c:pt idx="1924">
                  <c:v>39679.0</c:v>
                </c:pt>
                <c:pt idx="1925">
                  <c:v>39678.0</c:v>
                </c:pt>
                <c:pt idx="1926">
                  <c:v>39675.0</c:v>
                </c:pt>
                <c:pt idx="1927">
                  <c:v>39674.0</c:v>
                </c:pt>
                <c:pt idx="1928">
                  <c:v>39673.0</c:v>
                </c:pt>
                <c:pt idx="1929">
                  <c:v>39672.0</c:v>
                </c:pt>
                <c:pt idx="1930">
                  <c:v>39671.0</c:v>
                </c:pt>
                <c:pt idx="1931">
                  <c:v>39668.0</c:v>
                </c:pt>
                <c:pt idx="1932">
                  <c:v>39667.0</c:v>
                </c:pt>
                <c:pt idx="1933">
                  <c:v>39666.0</c:v>
                </c:pt>
                <c:pt idx="1934">
                  <c:v>39665.0</c:v>
                </c:pt>
                <c:pt idx="1935">
                  <c:v>39664.0</c:v>
                </c:pt>
                <c:pt idx="1936">
                  <c:v>39661.0</c:v>
                </c:pt>
                <c:pt idx="1937">
                  <c:v>39660.0</c:v>
                </c:pt>
                <c:pt idx="1938">
                  <c:v>39659.0</c:v>
                </c:pt>
                <c:pt idx="1939">
                  <c:v>39658.0</c:v>
                </c:pt>
                <c:pt idx="1940">
                  <c:v>39657.0</c:v>
                </c:pt>
                <c:pt idx="1941">
                  <c:v>39654.0</c:v>
                </c:pt>
                <c:pt idx="1942">
                  <c:v>39653.0</c:v>
                </c:pt>
                <c:pt idx="1943">
                  <c:v>39652.0</c:v>
                </c:pt>
                <c:pt idx="1944">
                  <c:v>39651.0</c:v>
                </c:pt>
                <c:pt idx="1945">
                  <c:v>39650.0</c:v>
                </c:pt>
                <c:pt idx="1946">
                  <c:v>39647.0</c:v>
                </c:pt>
                <c:pt idx="1947">
                  <c:v>39646.0</c:v>
                </c:pt>
                <c:pt idx="1948">
                  <c:v>39645.0</c:v>
                </c:pt>
                <c:pt idx="1949">
                  <c:v>39644.0</c:v>
                </c:pt>
                <c:pt idx="1950">
                  <c:v>39643.0</c:v>
                </c:pt>
                <c:pt idx="1951">
                  <c:v>39640.0</c:v>
                </c:pt>
                <c:pt idx="1952">
                  <c:v>39639.0</c:v>
                </c:pt>
                <c:pt idx="1953">
                  <c:v>39638.0</c:v>
                </c:pt>
                <c:pt idx="1954">
                  <c:v>39637.0</c:v>
                </c:pt>
                <c:pt idx="1955">
                  <c:v>39636.0</c:v>
                </c:pt>
                <c:pt idx="1956">
                  <c:v>39633.0</c:v>
                </c:pt>
                <c:pt idx="1957">
                  <c:v>39632.0</c:v>
                </c:pt>
                <c:pt idx="1958">
                  <c:v>39631.0</c:v>
                </c:pt>
                <c:pt idx="1959">
                  <c:v>39630.0</c:v>
                </c:pt>
                <c:pt idx="1960">
                  <c:v>39629.0</c:v>
                </c:pt>
                <c:pt idx="1961">
                  <c:v>39626.0</c:v>
                </c:pt>
                <c:pt idx="1962">
                  <c:v>39625.0</c:v>
                </c:pt>
                <c:pt idx="1963">
                  <c:v>39624.0</c:v>
                </c:pt>
                <c:pt idx="1964">
                  <c:v>39623.0</c:v>
                </c:pt>
                <c:pt idx="1965">
                  <c:v>39622.0</c:v>
                </c:pt>
                <c:pt idx="1966">
                  <c:v>39619.0</c:v>
                </c:pt>
                <c:pt idx="1967">
                  <c:v>39618.0</c:v>
                </c:pt>
                <c:pt idx="1968">
                  <c:v>39617.0</c:v>
                </c:pt>
                <c:pt idx="1969">
                  <c:v>39616.0</c:v>
                </c:pt>
                <c:pt idx="1970">
                  <c:v>39612.0</c:v>
                </c:pt>
                <c:pt idx="1971">
                  <c:v>39611.0</c:v>
                </c:pt>
                <c:pt idx="1972">
                  <c:v>39610.0</c:v>
                </c:pt>
                <c:pt idx="1973">
                  <c:v>39609.0</c:v>
                </c:pt>
                <c:pt idx="1974">
                  <c:v>39608.0</c:v>
                </c:pt>
                <c:pt idx="1975">
                  <c:v>39605.0</c:v>
                </c:pt>
                <c:pt idx="1976">
                  <c:v>39604.0</c:v>
                </c:pt>
                <c:pt idx="1977">
                  <c:v>39603.0</c:v>
                </c:pt>
                <c:pt idx="1978">
                  <c:v>39602.0</c:v>
                </c:pt>
                <c:pt idx="1979">
                  <c:v>39601.0</c:v>
                </c:pt>
                <c:pt idx="1980">
                  <c:v>39598.0</c:v>
                </c:pt>
                <c:pt idx="1981">
                  <c:v>39597.0</c:v>
                </c:pt>
                <c:pt idx="1982">
                  <c:v>39596.0</c:v>
                </c:pt>
                <c:pt idx="1983">
                  <c:v>39595.0</c:v>
                </c:pt>
                <c:pt idx="1984">
                  <c:v>39594.0</c:v>
                </c:pt>
                <c:pt idx="1985">
                  <c:v>39591.0</c:v>
                </c:pt>
                <c:pt idx="1986">
                  <c:v>39590.0</c:v>
                </c:pt>
                <c:pt idx="1987">
                  <c:v>39589.0</c:v>
                </c:pt>
                <c:pt idx="1988">
                  <c:v>39588.0</c:v>
                </c:pt>
                <c:pt idx="1989">
                  <c:v>39587.0</c:v>
                </c:pt>
                <c:pt idx="1990">
                  <c:v>39584.0</c:v>
                </c:pt>
                <c:pt idx="1991">
                  <c:v>39583.0</c:v>
                </c:pt>
                <c:pt idx="1992">
                  <c:v>39582.0</c:v>
                </c:pt>
                <c:pt idx="1993">
                  <c:v>39581.0</c:v>
                </c:pt>
                <c:pt idx="1994">
                  <c:v>39580.0</c:v>
                </c:pt>
                <c:pt idx="1995">
                  <c:v>39577.0</c:v>
                </c:pt>
                <c:pt idx="1996">
                  <c:v>39576.0</c:v>
                </c:pt>
                <c:pt idx="1997">
                  <c:v>39575.0</c:v>
                </c:pt>
                <c:pt idx="1998">
                  <c:v>39574.0</c:v>
                </c:pt>
                <c:pt idx="1999">
                  <c:v>39573.0</c:v>
                </c:pt>
                <c:pt idx="2000">
                  <c:v>39568.0</c:v>
                </c:pt>
                <c:pt idx="2001">
                  <c:v>39567.0</c:v>
                </c:pt>
                <c:pt idx="2002">
                  <c:v>39563.0</c:v>
                </c:pt>
                <c:pt idx="2003">
                  <c:v>39562.0</c:v>
                </c:pt>
                <c:pt idx="2004">
                  <c:v>39561.0</c:v>
                </c:pt>
                <c:pt idx="2005">
                  <c:v>39560.0</c:v>
                </c:pt>
                <c:pt idx="2006">
                  <c:v>39559.0</c:v>
                </c:pt>
                <c:pt idx="2007">
                  <c:v>39556.0</c:v>
                </c:pt>
                <c:pt idx="2008">
                  <c:v>39555.0</c:v>
                </c:pt>
                <c:pt idx="2009">
                  <c:v>39554.0</c:v>
                </c:pt>
                <c:pt idx="2010">
                  <c:v>39553.0</c:v>
                </c:pt>
                <c:pt idx="2011">
                  <c:v>39552.0</c:v>
                </c:pt>
                <c:pt idx="2012">
                  <c:v>39549.0</c:v>
                </c:pt>
                <c:pt idx="2013">
                  <c:v>39548.0</c:v>
                </c:pt>
                <c:pt idx="2014">
                  <c:v>39547.0</c:v>
                </c:pt>
                <c:pt idx="2015">
                  <c:v>39546.0</c:v>
                </c:pt>
                <c:pt idx="2016">
                  <c:v>39545.0</c:v>
                </c:pt>
                <c:pt idx="2017">
                  <c:v>39542.0</c:v>
                </c:pt>
                <c:pt idx="2018">
                  <c:v>39541.0</c:v>
                </c:pt>
                <c:pt idx="2019">
                  <c:v>39540.0</c:v>
                </c:pt>
                <c:pt idx="2020">
                  <c:v>39539.0</c:v>
                </c:pt>
                <c:pt idx="2021">
                  <c:v>39538.0</c:v>
                </c:pt>
                <c:pt idx="2022">
                  <c:v>39535.0</c:v>
                </c:pt>
                <c:pt idx="2023">
                  <c:v>39534.0</c:v>
                </c:pt>
                <c:pt idx="2024">
                  <c:v>39533.0</c:v>
                </c:pt>
                <c:pt idx="2025">
                  <c:v>39532.0</c:v>
                </c:pt>
                <c:pt idx="2026">
                  <c:v>39527.0</c:v>
                </c:pt>
                <c:pt idx="2027">
                  <c:v>39526.0</c:v>
                </c:pt>
                <c:pt idx="2028">
                  <c:v>39525.0</c:v>
                </c:pt>
                <c:pt idx="2029">
                  <c:v>39524.0</c:v>
                </c:pt>
                <c:pt idx="2030">
                  <c:v>39521.0</c:v>
                </c:pt>
                <c:pt idx="2031">
                  <c:v>39520.0</c:v>
                </c:pt>
                <c:pt idx="2032">
                  <c:v>39519.0</c:v>
                </c:pt>
                <c:pt idx="2033">
                  <c:v>39518.0</c:v>
                </c:pt>
                <c:pt idx="2034">
                  <c:v>39517.0</c:v>
                </c:pt>
                <c:pt idx="2035">
                  <c:v>39514.0</c:v>
                </c:pt>
                <c:pt idx="2036">
                  <c:v>39513.0</c:v>
                </c:pt>
                <c:pt idx="2037">
                  <c:v>39512.0</c:v>
                </c:pt>
                <c:pt idx="2038">
                  <c:v>39511.0</c:v>
                </c:pt>
                <c:pt idx="2039">
                  <c:v>39510.0</c:v>
                </c:pt>
                <c:pt idx="2040">
                  <c:v>39507.0</c:v>
                </c:pt>
                <c:pt idx="2041">
                  <c:v>39506.0</c:v>
                </c:pt>
                <c:pt idx="2042">
                  <c:v>39505.0</c:v>
                </c:pt>
                <c:pt idx="2043">
                  <c:v>39504.0</c:v>
                </c:pt>
                <c:pt idx="2044">
                  <c:v>39503.0</c:v>
                </c:pt>
                <c:pt idx="2045">
                  <c:v>39500.0</c:v>
                </c:pt>
                <c:pt idx="2046">
                  <c:v>39499.0</c:v>
                </c:pt>
                <c:pt idx="2047">
                  <c:v>39498.0</c:v>
                </c:pt>
                <c:pt idx="2048">
                  <c:v>39497.0</c:v>
                </c:pt>
                <c:pt idx="2049">
                  <c:v>39496.0</c:v>
                </c:pt>
                <c:pt idx="2050">
                  <c:v>39493.0</c:v>
                </c:pt>
                <c:pt idx="2051">
                  <c:v>39492.0</c:v>
                </c:pt>
                <c:pt idx="2052">
                  <c:v>39491.0</c:v>
                </c:pt>
                <c:pt idx="2053">
                  <c:v>39490.0</c:v>
                </c:pt>
                <c:pt idx="2054">
                  <c:v>39489.0</c:v>
                </c:pt>
                <c:pt idx="2055">
                  <c:v>39486.0</c:v>
                </c:pt>
                <c:pt idx="2056">
                  <c:v>39485.0</c:v>
                </c:pt>
                <c:pt idx="2057">
                  <c:v>39484.0</c:v>
                </c:pt>
                <c:pt idx="2058">
                  <c:v>39483.0</c:v>
                </c:pt>
                <c:pt idx="2059">
                  <c:v>39482.0</c:v>
                </c:pt>
                <c:pt idx="2060">
                  <c:v>39479.0</c:v>
                </c:pt>
                <c:pt idx="2061">
                  <c:v>39478.0</c:v>
                </c:pt>
                <c:pt idx="2062">
                  <c:v>39477.0</c:v>
                </c:pt>
                <c:pt idx="2063">
                  <c:v>39476.0</c:v>
                </c:pt>
                <c:pt idx="2064">
                  <c:v>39475.0</c:v>
                </c:pt>
                <c:pt idx="2065">
                  <c:v>39472.0</c:v>
                </c:pt>
                <c:pt idx="2066">
                  <c:v>39471.0</c:v>
                </c:pt>
                <c:pt idx="2067">
                  <c:v>39470.0</c:v>
                </c:pt>
                <c:pt idx="2068">
                  <c:v>39469.0</c:v>
                </c:pt>
                <c:pt idx="2069">
                  <c:v>39468.0</c:v>
                </c:pt>
                <c:pt idx="2070">
                  <c:v>39465.0</c:v>
                </c:pt>
                <c:pt idx="2071">
                  <c:v>39464.0</c:v>
                </c:pt>
                <c:pt idx="2072">
                  <c:v>39463.0</c:v>
                </c:pt>
                <c:pt idx="2073">
                  <c:v>39462.0</c:v>
                </c:pt>
                <c:pt idx="2074">
                  <c:v>39461.0</c:v>
                </c:pt>
                <c:pt idx="2075">
                  <c:v>39458.0</c:v>
                </c:pt>
                <c:pt idx="2076">
                  <c:v>39457.0</c:v>
                </c:pt>
                <c:pt idx="2077">
                  <c:v>39456.0</c:v>
                </c:pt>
                <c:pt idx="2078">
                  <c:v>39455.0</c:v>
                </c:pt>
                <c:pt idx="2079">
                  <c:v>39454.0</c:v>
                </c:pt>
                <c:pt idx="2080">
                  <c:v>39451.0</c:v>
                </c:pt>
                <c:pt idx="2081">
                  <c:v>39450.0</c:v>
                </c:pt>
                <c:pt idx="2082">
                  <c:v>39449.0</c:v>
                </c:pt>
                <c:pt idx="2083">
                  <c:v>39447.0</c:v>
                </c:pt>
                <c:pt idx="2084">
                  <c:v>39444.0</c:v>
                </c:pt>
                <c:pt idx="2085">
                  <c:v>39443.0</c:v>
                </c:pt>
                <c:pt idx="2086">
                  <c:v>39440.0</c:v>
                </c:pt>
                <c:pt idx="2087">
                  <c:v>39437.0</c:v>
                </c:pt>
                <c:pt idx="2088">
                  <c:v>39436.0</c:v>
                </c:pt>
                <c:pt idx="2089">
                  <c:v>39435.0</c:v>
                </c:pt>
                <c:pt idx="2090">
                  <c:v>39434.0</c:v>
                </c:pt>
                <c:pt idx="2091">
                  <c:v>39430.0</c:v>
                </c:pt>
                <c:pt idx="2092">
                  <c:v>39429.0</c:v>
                </c:pt>
                <c:pt idx="2093">
                  <c:v>39428.0</c:v>
                </c:pt>
                <c:pt idx="2094">
                  <c:v>39427.0</c:v>
                </c:pt>
                <c:pt idx="2095">
                  <c:v>39426.0</c:v>
                </c:pt>
                <c:pt idx="2096">
                  <c:v>39423.0</c:v>
                </c:pt>
                <c:pt idx="2097">
                  <c:v>39422.0</c:v>
                </c:pt>
                <c:pt idx="2098">
                  <c:v>39421.0</c:v>
                </c:pt>
                <c:pt idx="2099">
                  <c:v>39420.0</c:v>
                </c:pt>
                <c:pt idx="2100">
                  <c:v>39419.0</c:v>
                </c:pt>
                <c:pt idx="2101">
                  <c:v>39416.0</c:v>
                </c:pt>
                <c:pt idx="2102">
                  <c:v>39415.0</c:v>
                </c:pt>
                <c:pt idx="2103">
                  <c:v>39414.0</c:v>
                </c:pt>
                <c:pt idx="2104">
                  <c:v>39413.0</c:v>
                </c:pt>
                <c:pt idx="2105">
                  <c:v>39412.0</c:v>
                </c:pt>
                <c:pt idx="2106">
                  <c:v>39409.0</c:v>
                </c:pt>
                <c:pt idx="2107">
                  <c:v>39408.0</c:v>
                </c:pt>
                <c:pt idx="2108">
                  <c:v>39407.0</c:v>
                </c:pt>
                <c:pt idx="2109">
                  <c:v>39406.0</c:v>
                </c:pt>
                <c:pt idx="2110">
                  <c:v>39405.0</c:v>
                </c:pt>
                <c:pt idx="2111">
                  <c:v>39402.0</c:v>
                </c:pt>
                <c:pt idx="2112">
                  <c:v>39401.0</c:v>
                </c:pt>
                <c:pt idx="2113">
                  <c:v>39400.0</c:v>
                </c:pt>
                <c:pt idx="2114">
                  <c:v>39399.0</c:v>
                </c:pt>
                <c:pt idx="2115">
                  <c:v>39398.0</c:v>
                </c:pt>
                <c:pt idx="2116">
                  <c:v>39395.0</c:v>
                </c:pt>
                <c:pt idx="2117">
                  <c:v>39394.0</c:v>
                </c:pt>
                <c:pt idx="2118">
                  <c:v>39393.0</c:v>
                </c:pt>
                <c:pt idx="2119">
                  <c:v>39392.0</c:v>
                </c:pt>
                <c:pt idx="2120">
                  <c:v>39391.0</c:v>
                </c:pt>
                <c:pt idx="2121">
                  <c:v>39388.0</c:v>
                </c:pt>
                <c:pt idx="2122">
                  <c:v>39387.0</c:v>
                </c:pt>
                <c:pt idx="2123">
                  <c:v>39386.0</c:v>
                </c:pt>
                <c:pt idx="2124">
                  <c:v>39385.0</c:v>
                </c:pt>
                <c:pt idx="2125">
                  <c:v>39384.0</c:v>
                </c:pt>
                <c:pt idx="2126">
                  <c:v>39381.0</c:v>
                </c:pt>
                <c:pt idx="2127">
                  <c:v>39380.0</c:v>
                </c:pt>
                <c:pt idx="2128">
                  <c:v>39379.0</c:v>
                </c:pt>
                <c:pt idx="2129">
                  <c:v>39378.0</c:v>
                </c:pt>
                <c:pt idx="2130">
                  <c:v>39377.0</c:v>
                </c:pt>
                <c:pt idx="2131">
                  <c:v>39374.0</c:v>
                </c:pt>
                <c:pt idx="2132">
                  <c:v>39373.0</c:v>
                </c:pt>
                <c:pt idx="2133">
                  <c:v>39372.0</c:v>
                </c:pt>
                <c:pt idx="2134">
                  <c:v>39371.0</c:v>
                </c:pt>
                <c:pt idx="2135">
                  <c:v>39370.0</c:v>
                </c:pt>
                <c:pt idx="2136">
                  <c:v>39367.0</c:v>
                </c:pt>
                <c:pt idx="2137">
                  <c:v>39366.0</c:v>
                </c:pt>
                <c:pt idx="2138">
                  <c:v>39365.0</c:v>
                </c:pt>
                <c:pt idx="2139">
                  <c:v>39364.0</c:v>
                </c:pt>
                <c:pt idx="2140">
                  <c:v>39363.0</c:v>
                </c:pt>
                <c:pt idx="2141">
                  <c:v>39360.0</c:v>
                </c:pt>
                <c:pt idx="2142">
                  <c:v>39359.0</c:v>
                </c:pt>
                <c:pt idx="2143">
                  <c:v>39358.0</c:v>
                </c:pt>
                <c:pt idx="2144">
                  <c:v>39357.0</c:v>
                </c:pt>
                <c:pt idx="2145">
                  <c:v>39356.0</c:v>
                </c:pt>
                <c:pt idx="2146">
                  <c:v>39353.0</c:v>
                </c:pt>
                <c:pt idx="2147">
                  <c:v>39352.0</c:v>
                </c:pt>
                <c:pt idx="2148">
                  <c:v>39351.0</c:v>
                </c:pt>
                <c:pt idx="2149">
                  <c:v>39350.0</c:v>
                </c:pt>
                <c:pt idx="2150">
                  <c:v>39346.0</c:v>
                </c:pt>
                <c:pt idx="2151">
                  <c:v>39345.0</c:v>
                </c:pt>
                <c:pt idx="2152">
                  <c:v>39344.0</c:v>
                </c:pt>
                <c:pt idx="2153">
                  <c:v>39343.0</c:v>
                </c:pt>
                <c:pt idx="2154">
                  <c:v>39342.0</c:v>
                </c:pt>
                <c:pt idx="2155">
                  <c:v>39339.0</c:v>
                </c:pt>
                <c:pt idx="2156">
                  <c:v>39338.0</c:v>
                </c:pt>
                <c:pt idx="2157">
                  <c:v>39337.0</c:v>
                </c:pt>
                <c:pt idx="2158">
                  <c:v>39336.0</c:v>
                </c:pt>
                <c:pt idx="2159">
                  <c:v>39335.0</c:v>
                </c:pt>
                <c:pt idx="2160">
                  <c:v>39332.0</c:v>
                </c:pt>
                <c:pt idx="2161">
                  <c:v>39331.0</c:v>
                </c:pt>
                <c:pt idx="2162">
                  <c:v>39330.0</c:v>
                </c:pt>
                <c:pt idx="2163">
                  <c:v>39329.0</c:v>
                </c:pt>
                <c:pt idx="2164">
                  <c:v>39328.0</c:v>
                </c:pt>
                <c:pt idx="2165">
                  <c:v>39325.0</c:v>
                </c:pt>
                <c:pt idx="2166">
                  <c:v>39324.0</c:v>
                </c:pt>
                <c:pt idx="2167">
                  <c:v>39323.0</c:v>
                </c:pt>
                <c:pt idx="2168">
                  <c:v>39322.0</c:v>
                </c:pt>
                <c:pt idx="2169">
                  <c:v>39321.0</c:v>
                </c:pt>
                <c:pt idx="2170">
                  <c:v>39318.0</c:v>
                </c:pt>
                <c:pt idx="2171">
                  <c:v>39317.0</c:v>
                </c:pt>
                <c:pt idx="2172">
                  <c:v>39316.0</c:v>
                </c:pt>
                <c:pt idx="2173">
                  <c:v>39315.0</c:v>
                </c:pt>
                <c:pt idx="2174">
                  <c:v>39314.0</c:v>
                </c:pt>
                <c:pt idx="2175">
                  <c:v>39311.0</c:v>
                </c:pt>
                <c:pt idx="2176">
                  <c:v>39310.0</c:v>
                </c:pt>
                <c:pt idx="2177">
                  <c:v>39309.0</c:v>
                </c:pt>
                <c:pt idx="2178">
                  <c:v>39308.0</c:v>
                </c:pt>
                <c:pt idx="2179">
                  <c:v>39307.0</c:v>
                </c:pt>
                <c:pt idx="2180">
                  <c:v>39304.0</c:v>
                </c:pt>
                <c:pt idx="2181">
                  <c:v>39302.0</c:v>
                </c:pt>
                <c:pt idx="2182">
                  <c:v>39301.0</c:v>
                </c:pt>
                <c:pt idx="2183">
                  <c:v>39300.0</c:v>
                </c:pt>
                <c:pt idx="2184">
                  <c:v>39297.0</c:v>
                </c:pt>
                <c:pt idx="2185">
                  <c:v>39296.0</c:v>
                </c:pt>
                <c:pt idx="2186">
                  <c:v>39295.0</c:v>
                </c:pt>
                <c:pt idx="2187">
                  <c:v>39294.0</c:v>
                </c:pt>
                <c:pt idx="2188">
                  <c:v>39293.0</c:v>
                </c:pt>
                <c:pt idx="2189">
                  <c:v>39290.0</c:v>
                </c:pt>
                <c:pt idx="2190">
                  <c:v>39289.0</c:v>
                </c:pt>
                <c:pt idx="2191">
                  <c:v>39288.0</c:v>
                </c:pt>
                <c:pt idx="2192">
                  <c:v>39287.0</c:v>
                </c:pt>
                <c:pt idx="2193">
                  <c:v>39286.0</c:v>
                </c:pt>
                <c:pt idx="2194">
                  <c:v>39283.0</c:v>
                </c:pt>
                <c:pt idx="2195">
                  <c:v>39282.0</c:v>
                </c:pt>
                <c:pt idx="2196">
                  <c:v>39281.0</c:v>
                </c:pt>
                <c:pt idx="2197">
                  <c:v>39280.0</c:v>
                </c:pt>
                <c:pt idx="2198">
                  <c:v>39279.0</c:v>
                </c:pt>
                <c:pt idx="2199">
                  <c:v>39276.0</c:v>
                </c:pt>
                <c:pt idx="2200">
                  <c:v>39275.0</c:v>
                </c:pt>
                <c:pt idx="2201">
                  <c:v>39274.0</c:v>
                </c:pt>
                <c:pt idx="2202">
                  <c:v>39273.0</c:v>
                </c:pt>
                <c:pt idx="2203">
                  <c:v>39272.0</c:v>
                </c:pt>
                <c:pt idx="2204">
                  <c:v>39269.0</c:v>
                </c:pt>
                <c:pt idx="2205">
                  <c:v>39268.0</c:v>
                </c:pt>
                <c:pt idx="2206">
                  <c:v>39267.0</c:v>
                </c:pt>
                <c:pt idx="2207">
                  <c:v>39266.0</c:v>
                </c:pt>
                <c:pt idx="2208">
                  <c:v>39265.0</c:v>
                </c:pt>
                <c:pt idx="2209">
                  <c:v>39262.0</c:v>
                </c:pt>
                <c:pt idx="2210">
                  <c:v>39261.0</c:v>
                </c:pt>
                <c:pt idx="2211">
                  <c:v>39260.0</c:v>
                </c:pt>
                <c:pt idx="2212">
                  <c:v>39259.0</c:v>
                </c:pt>
                <c:pt idx="2213">
                  <c:v>39258.0</c:v>
                </c:pt>
                <c:pt idx="2214">
                  <c:v>39255.0</c:v>
                </c:pt>
                <c:pt idx="2215">
                  <c:v>39254.0</c:v>
                </c:pt>
                <c:pt idx="2216">
                  <c:v>39253.0</c:v>
                </c:pt>
                <c:pt idx="2217">
                  <c:v>39252.0</c:v>
                </c:pt>
                <c:pt idx="2218">
                  <c:v>39251.0</c:v>
                </c:pt>
                <c:pt idx="2219">
                  <c:v>39248.0</c:v>
                </c:pt>
                <c:pt idx="2220">
                  <c:v>39247.0</c:v>
                </c:pt>
                <c:pt idx="2221">
                  <c:v>39246.0</c:v>
                </c:pt>
                <c:pt idx="2222">
                  <c:v>39245.0</c:v>
                </c:pt>
                <c:pt idx="2223">
                  <c:v>39244.0</c:v>
                </c:pt>
                <c:pt idx="2224">
                  <c:v>39241.0</c:v>
                </c:pt>
                <c:pt idx="2225">
                  <c:v>39240.0</c:v>
                </c:pt>
                <c:pt idx="2226">
                  <c:v>39239.0</c:v>
                </c:pt>
                <c:pt idx="2227">
                  <c:v>39238.0</c:v>
                </c:pt>
                <c:pt idx="2228">
                  <c:v>39237.0</c:v>
                </c:pt>
                <c:pt idx="2229">
                  <c:v>39234.0</c:v>
                </c:pt>
                <c:pt idx="2230">
                  <c:v>39233.0</c:v>
                </c:pt>
                <c:pt idx="2231">
                  <c:v>39232.0</c:v>
                </c:pt>
                <c:pt idx="2232">
                  <c:v>39231.0</c:v>
                </c:pt>
                <c:pt idx="2233">
                  <c:v>39230.0</c:v>
                </c:pt>
                <c:pt idx="2234">
                  <c:v>39227.0</c:v>
                </c:pt>
                <c:pt idx="2235">
                  <c:v>39226.0</c:v>
                </c:pt>
                <c:pt idx="2236">
                  <c:v>39225.0</c:v>
                </c:pt>
                <c:pt idx="2237">
                  <c:v>39224.0</c:v>
                </c:pt>
                <c:pt idx="2238">
                  <c:v>39223.0</c:v>
                </c:pt>
                <c:pt idx="2239">
                  <c:v>39220.0</c:v>
                </c:pt>
                <c:pt idx="2240">
                  <c:v>39219.0</c:v>
                </c:pt>
                <c:pt idx="2241">
                  <c:v>39218.0</c:v>
                </c:pt>
                <c:pt idx="2242">
                  <c:v>39217.0</c:v>
                </c:pt>
                <c:pt idx="2243">
                  <c:v>39216.0</c:v>
                </c:pt>
                <c:pt idx="2244">
                  <c:v>39213.0</c:v>
                </c:pt>
                <c:pt idx="2245">
                  <c:v>39212.0</c:v>
                </c:pt>
                <c:pt idx="2246">
                  <c:v>39211.0</c:v>
                </c:pt>
                <c:pt idx="2247">
                  <c:v>39210.0</c:v>
                </c:pt>
                <c:pt idx="2248">
                  <c:v>39209.0</c:v>
                </c:pt>
                <c:pt idx="2249">
                  <c:v>39206.0</c:v>
                </c:pt>
                <c:pt idx="2250">
                  <c:v>39205.0</c:v>
                </c:pt>
                <c:pt idx="2251">
                  <c:v>39204.0</c:v>
                </c:pt>
                <c:pt idx="2252">
                  <c:v>39202.0</c:v>
                </c:pt>
                <c:pt idx="2253">
                  <c:v>39198.0</c:v>
                </c:pt>
                <c:pt idx="2254">
                  <c:v>39197.0</c:v>
                </c:pt>
                <c:pt idx="2255">
                  <c:v>39196.0</c:v>
                </c:pt>
                <c:pt idx="2256">
                  <c:v>39195.0</c:v>
                </c:pt>
                <c:pt idx="2257">
                  <c:v>39192.0</c:v>
                </c:pt>
                <c:pt idx="2258">
                  <c:v>39191.0</c:v>
                </c:pt>
                <c:pt idx="2259">
                  <c:v>39190.0</c:v>
                </c:pt>
                <c:pt idx="2260">
                  <c:v>39189.0</c:v>
                </c:pt>
                <c:pt idx="2261">
                  <c:v>39188.0</c:v>
                </c:pt>
                <c:pt idx="2262">
                  <c:v>39185.0</c:v>
                </c:pt>
                <c:pt idx="2263">
                  <c:v>39184.0</c:v>
                </c:pt>
                <c:pt idx="2264">
                  <c:v>39183.0</c:v>
                </c:pt>
                <c:pt idx="2265">
                  <c:v>39182.0</c:v>
                </c:pt>
                <c:pt idx="2266">
                  <c:v>39177.0</c:v>
                </c:pt>
                <c:pt idx="2267">
                  <c:v>39176.0</c:v>
                </c:pt>
                <c:pt idx="2268">
                  <c:v>39175.0</c:v>
                </c:pt>
                <c:pt idx="2269">
                  <c:v>39174.0</c:v>
                </c:pt>
                <c:pt idx="2270">
                  <c:v>39171.0</c:v>
                </c:pt>
                <c:pt idx="2271">
                  <c:v>39170.0</c:v>
                </c:pt>
                <c:pt idx="2272">
                  <c:v>39169.0</c:v>
                </c:pt>
                <c:pt idx="2273">
                  <c:v>39168.0</c:v>
                </c:pt>
                <c:pt idx="2274">
                  <c:v>39167.0</c:v>
                </c:pt>
                <c:pt idx="2275">
                  <c:v>39164.0</c:v>
                </c:pt>
                <c:pt idx="2276">
                  <c:v>39163.0</c:v>
                </c:pt>
                <c:pt idx="2277">
                  <c:v>39161.0</c:v>
                </c:pt>
                <c:pt idx="2278">
                  <c:v>39160.0</c:v>
                </c:pt>
                <c:pt idx="2279">
                  <c:v>39157.0</c:v>
                </c:pt>
                <c:pt idx="2280">
                  <c:v>39156.0</c:v>
                </c:pt>
                <c:pt idx="2281">
                  <c:v>39155.0</c:v>
                </c:pt>
                <c:pt idx="2282">
                  <c:v>39154.0</c:v>
                </c:pt>
                <c:pt idx="2283">
                  <c:v>39153.0</c:v>
                </c:pt>
                <c:pt idx="2284">
                  <c:v>39150.0</c:v>
                </c:pt>
                <c:pt idx="2285">
                  <c:v>39149.0</c:v>
                </c:pt>
                <c:pt idx="2286">
                  <c:v>39148.0</c:v>
                </c:pt>
                <c:pt idx="2287">
                  <c:v>39147.0</c:v>
                </c:pt>
                <c:pt idx="2288">
                  <c:v>39146.0</c:v>
                </c:pt>
                <c:pt idx="2289">
                  <c:v>39143.0</c:v>
                </c:pt>
                <c:pt idx="2290">
                  <c:v>39142.0</c:v>
                </c:pt>
                <c:pt idx="2291">
                  <c:v>39141.0</c:v>
                </c:pt>
                <c:pt idx="2292">
                  <c:v>39140.0</c:v>
                </c:pt>
                <c:pt idx="2293">
                  <c:v>39139.0</c:v>
                </c:pt>
                <c:pt idx="2294">
                  <c:v>39136.0</c:v>
                </c:pt>
                <c:pt idx="2295">
                  <c:v>39135.0</c:v>
                </c:pt>
                <c:pt idx="2296">
                  <c:v>39134.0</c:v>
                </c:pt>
                <c:pt idx="2297">
                  <c:v>39133.0</c:v>
                </c:pt>
                <c:pt idx="2298">
                  <c:v>39132.0</c:v>
                </c:pt>
                <c:pt idx="2299">
                  <c:v>39129.0</c:v>
                </c:pt>
                <c:pt idx="2300">
                  <c:v>39128.0</c:v>
                </c:pt>
                <c:pt idx="2301">
                  <c:v>39127.0</c:v>
                </c:pt>
                <c:pt idx="2302">
                  <c:v>39126.0</c:v>
                </c:pt>
                <c:pt idx="2303">
                  <c:v>39125.0</c:v>
                </c:pt>
                <c:pt idx="2304">
                  <c:v>39122.0</c:v>
                </c:pt>
                <c:pt idx="2305">
                  <c:v>39121.0</c:v>
                </c:pt>
                <c:pt idx="2306">
                  <c:v>39120.0</c:v>
                </c:pt>
                <c:pt idx="2307">
                  <c:v>39119.0</c:v>
                </c:pt>
                <c:pt idx="2308">
                  <c:v>39118.0</c:v>
                </c:pt>
                <c:pt idx="2309">
                  <c:v>39115.0</c:v>
                </c:pt>
                <c:pt idx="2310">
                  <c:v>39114.0</c:v>
                </c:pt>
                <c:pt idx="2311">
                  <c:v>39113.0</c:v>
                </c:pt>
                <c:pt idx="2312">
                  <c:v>39112.0</c:v>
                </c:pt>
                <c:pt idx="2313">
                  <c:v>39111.0</c:v>
                </c:pt>
                <c:pt idx="2314">
                  <c:v>39108.0</c:v>
                </c:pt>
                <c:pt idx="2315">
                  <c:v>39107.0</c:v>
                </c:pt>
                <c:pt idx="2316">
                  <c:v>39106.0</c:v>
                </c:pt>
                <c:pt idx="2317">
                  <c:v>39105.0</c:v>
                </c:pt>
                <c:pt idx="2318">
                  <c:v>39104.0</c:v>
                </c:pt>
                <c:pt idx="2319">
                  <c:v>39101.0</c:v>
                </c:pt>
                <c:pt idx="2320">
                  <c:v>39100.0</c:v>
                </c:pt>
                <c:pt idx="2321">
                  <c:v>39099.0</c:v>
                </c:pt>
                <c:pt idx="2322">
                  <c:v>39098.0</c:v>
                </c:pt>
                <c:pt idx="2323">
                  <c:v>39097.0</c:v>
                </c:pt>
                <c:pt idx="2324">
                  <c:v>39094.0</c:v>
                </c:pt>
                <c:pt idx="2325">
                  <c:v>39093.0</c:v>
                </c:pt>
                <c:pt idx="2326">
                  <c:v>39092.0</c:v>
                </c:pt>
                <c:pt idx="2327">
                  <c:v>39091.0</c:v>
                </c:pt>
                <c:pt idx="2328">
                  <c:v>39090.0</c:v>
                </c:pt>
                <c:pt idx="2329">
                  <c:v>39087.0</c:v>
                </c:pt>
                <c:pt idx="2330">
                  <c:v>39086.0</c:v>
                </c:pt>
                <c:pt idx="2331">
                  <c:v>39085.0</c:v>
                </c:pt>
                <c:pt idx="2332">
                  <c:v>39084.0</c:v>
                </c:pt>
                <c:pt idx="2333">
                  <c:v>39080.0</c:v>
                </c:pt>
                <c:pt idx="2334">
                  <c:v>39079.0</c:v>
                </c:pt>
                <c:pt idx="2335">
                  <c:v>39078.0</c:v>
                </c:pt>
                <c:pt idx="2336">
                  <c:v>39073.0</c:v>
                </c:pt>
                <c:pt idx="2337">
                  <c:v>39072.0</c:v>
                </c:pt>
                <c:pt idx="2338">
                  <c:v>39071.0</c:v>
                </c:pt>
                <c:pt idx="2339">
                  <c:v>39070.0</c:v>
                </c:pt>
                <c:pt idx="2340">
                  <c:v>39069.0</c:v>
                </c:pt>
                <c:pt idx="2341">
                  <c:v>39066.0</c:v>
                </c:pt>
                <c:pt idx="2342">
                  <c:v>39065.0</c:v>
                </c:pt>
                <c:pt idx="2343">
                  <c:v>39064.0</c:v>
                </c:pt>
                <c:pt idx="2344">
                  <c:v>39063.0</c:v>
                </c:pt>
                <c:pt idx="2345">
                  <c:v>39062.0</c:v>
                </c:pt>
                <c:pt idx="2346">
                  <c:v>39059.0</c:v>
                </c:pt>
                <c:pt idx="2347">
                  <c:v>39058.0</c:v>
                </c:pt>
                <c:pt idx="2348">
                  <c:v>39057.0</c:v>
                </c:pt>
                <c:pt idx="2349">
                  <c:v>39056.0</c:v>
                </c:pt>
                <c:pt idx="2350">
                  <c:v>39055.0</c:v>
                </c:pt>
                <c:pt idx="2351">
                  <c:v>39052.0</c:v>
                </c:pt>
                <c:pt idx="2352">
                  <c:v>39051.0</c:v>
                </c:pt>
                <c:pt idx="2353">
                  <c:v>39050.0</c:v>
                </c:pt>
                <c:pt idx="2354">
                  <c:v>39049.0</c:v>
                </c:pt>
                <c:pt idx="2355">
                  <c:v>39048.0</c:v>
                </c:pt>
                <c:pt idx="2356">
                  <c:v>39045.0</c:v>
                </c:pt>
                <c:pt idx="2357">
                  <c:v>39044.0</c:v>
                </c:pt>
                <c:pt idx="2358">
                  <c:v>39043.0</c:v>
                </c:pt>
                <c:pt idx="2359">
                  <c:v>39042.0</c:v>
                </c:pt>
                <c:pt idx="2360">
                  <c:v>39041.0</c:v>
                </c:pt>
                <c:pt idx="2361">
                  <c:v>39038.0</c:v>
                </c:pt>
                <c:pt idx="2362">
                  <c:v>39037.0</c:v>
                </c:pt>
                <c:pt idx="2363">
                  <c:v>39036.0</c:v>
                </c:pt>
                <c:pt idx="2364">
                  <c:v>39035.0</c:v>
                </c:pt>
                <c:pt idx="2365">
                  <c:v>39034.0</c:v>
                </c:pt>
                <c:pt idx="2366">
                  <c:v>39031.0</c:v>
                </c:pt>
                <c:pt idx="2367">
                  <c:v>39030.0</c:v>
                </c:pt>
                <c:pt idx="2368">
                  <c:v>39029.0</c:v>
                </c:pt>
                <c:pt idx="2369">
                  <c:v>39028.0</c:v>
                </c:pt>
                <c:pt idx="2370">
                  <c:v>39027.0</c:v>
                </c:pt>
                <c:pt idx="2371">
                  <c:v>39024.0</c:v>
                </c:pt>
                <c:pt idx="2372">
                  <c:v>39023.0</c:v>
                </c:pt>
                <c:pt idx="2373">
                  <c:v>39022.0</c:v>
                </c:pt>
                <c:pt idx="2374">
                  <c:v>39021.0</c:v>
                </c:pt>
                <c:pt idx="2375">
                  <c:v>39020.0</c:v>
                </c:pt>
                <c:pt idx="2376">
                  <c:v>39017.0</c:v>
                </c:pt>
                <c:pt idx="2377">
                  <c:v>39016.0</c:v>
                </c:pt>
                <c:pt idx="2378">
                  <c:v>39015.0</c:v>
                </c:pt>
                <c:pt idx="2379">
                  <c:v>39014.0</c:v>
                </c:pt>
                <c:pt idx="2380">
                  <c:v>39013.0</c:v>
                </c:pt>
                <c:pt idx="2381">
                  <c:v>39010.0</c:v>
                </c:pt>
                <c:pt idx="2382">
                  <c:v>39009.0</c:v>
                </c:pt>
                <c:pt idx="2383">
                  <c:v>39008.0</c:v>
                </c:pt>
                <c:pt idx="2384">
                  <c:v>39007.0</c:v>
                </c:pt>
                <c:pt idx="2385">
                  <c:v>39006.0</c:v>
                </c:pt>
                <c:pt idx="2386">
                  <c:v>39003.0</c:v>
                </c:pt>
                <c:pt idx="2387">
                  <c:v>39002.0</c:v>
                </c:pt>
                <c:pt idx="2388">
                  <c:v>39001.0</c:v>
                </c:pt>
                <c:pt idx="2389">
                  <c:v>39000.0</c:v>
                </c:pt>
                <c:pt idx="2390">
                  <c:v>38999.0</c:v>
                </c:pt>
                <c:pt idx="2391">
                  <c:v>38996.0</c:v>
                </c:pt>
                <c:pt idx="2392">
                  <c:v>38995.0</c:v>
                </c:pt>
                <c:pt idx="2393">
                  <c:v>38994.0</c:v>
                </c:pt>
                <c:pt idx="2394">
                  <c:v>38993.0</c:v>
                </c:pt>
                <c:pt idx="2395">
                  <c:v>38992.0</c:v>
                </c:pt>
                <c:pt idx="2396">
                  <c:v>38989.0</c:v>
                </c:pt>
                <c:pt idx="2397">
                  <c:v>38988.0</c:v>
                </c:pt>
                <c:pt idx="2398">
                  <c:v>38987.0</c:v>
                </c:pt>
                <c:pt idx="2399">
                  <c:v>38986.0</c:v>
                </c:pt>
                <c:pt idx="2400">
                  <c:v>38982.0</c:v>
                </c:pt>
                <c:pt idx="2401">
                  <c:v>38981.0</c:v>
                </c:pt>
                <c:pt idx="2402">
                  <c:v>38980.0</c:v>
                </c:pt>
                <c:pt idx="2403">
                  <c:v>38979.0</c:v>
                </c:pt>
                <c:pt idx="2404">
                  <c:v>38978.0</c:v>
                </c:pt>
                <c:pt idx="2405">
                  <c:v>38975.0</c:v>
                </c:pt>
                <c:pt idx="2406">
                  <c:v>38974.0</c:v>
                </c:pt>
                <c:pt idx="2407">
                  <c:v>38973.0</c:v>
                </c:pt>
                <c:pt idx="2408">
                  <c:v>38972.0</c:v>
                </c:pt>
                <c:pt idx="2409">
                  <c:v>38971.0</c:v>
                </c:pt>
                <c:pt idx="2410">
                  <c:v>38968.0</c:v>
                </c:pt>
                <c:pt idx="2411">
                  <c:v>38967.0</c:v>
                </c:pt>
                <c:pt idx="2412">
                  <c:v>38966.0</c:v>
                </c:pt>
                <c:pt idx="2413">
                  <c:v>38965.0</c:v>
                </c:pt>
                <c:pt idx="2414">
                  <c:v>38964.0</c:v>
                </c:pt>
                <c:pt idx="2415">
                  <c:v>38961.0</c:v>
                </c:pt>
                <c:pt idx="2416">
                  <c:v>38960.0</c:v>
                </c:pt>
                <c:pt idx="2417">
                  <c:v>38959.0</c:v>
                </c:pt>
                <c:pt idx="2418">
                  <c:v>38958.0</c:v>
                </c:pt>
                <c:pt idx="2419">
                  <c:v>38957.0</c:v>
                </c:pt>
                <c:pt idx="2420">
                  <c:v>38954.0</c:v>
                </c:pt>
                <c:pt idx="2421">
                  <c:v>38953.0</c:v>
                </c:pt>
                <c:pt idx="2422">
                  <c:v>38952.0</c:v>
                </c:pt>
                <c:pt idx="2423">
                  <c:v>38951.0</c:v>
                </c:pt>
                <c:pt idx="2424">
                  <c:v>38950.0</c:v>
                </c:pt>
                <c:pt idx="2425">
                  <c:v>38947.0</c:v>
                </c:pt>
                <c:pt idx="2426">
                  <c:v>38946.0</c:v>
                </c:pt>
                <c:pt idx="2427">
                  <c:v>38945.0</c:v>
                </c:pt>
                <c:pt idx="2428">
                  <c:v>38944.0</c:v>
                </c:pt>
                <c:pt idx="2429">
                  <c:v>38943.0</c:v>
                </c:pt>
                <c:pt idx="2430">
                  <c:v>38940.0</c:v>
                </c:pt>
                <c:pt idx="2431">
                  <c:v>38939.0</c:v>
                </c:pt>
                <c:pt idx="2432">
                  <c:v>38937.0</c:v>
                </c:pt>
                <c:pt idx="2433">
                  <c:v>38936.0</c:v>
                </c:pt>
                <c:pt idx="2434">
                  <c:v>38933.0</c:v>
                </c:pt>
                <c:pt idx="2435">
                  <c:v>38932.0</c:v>
                </c:pt>
                <c:pt idx="2436">
                  <c:v>38931.0</c:v>
                </c:pt>
                <c:pt idx="2437">
                  <c:v>38930.0</c:v>
                </c:pt>
                <c:pt idx="2438">
                  <c:v>38929.0</c:v>
                </c:pt>
                <c:pt idx="2439">
                  <c:v>38926.0</c:v>
                </c:pt>
                <c:pt idx="2440">
                  <c:v>38925.0</c:v>
                </c:pt>
                <c:pt idx="2441">
                  <c:v>38924.0</c:v>
                </c:pt>
                <c:pt idx="2442">
                  <c:v>38923.0</c:v>
                </c:pt>
                <c:pt idx="2443">
                  <c:v>38922.0</c:v>
                </c:pt>
                <c:pt idx="2444">
                  <c:v>38919.0</c:v>
                </c:pt>
                <c:pt idx="2445">
                  <c:v>38918.0</c:v>
                </c:pt>
                <c:pt idx="2446">
                  <c:v>38917.0</c:v>
                </c:pt>
                <c:pt idx="2447">
                  <c:v>38916.0</c:v>
                </c:pt>
                <c:pt idx="2448">
                  <c:v>38915.0</c:v>
                </c:pt>
                <c:pt idx="2449">
                  <c:v>38912.0</c:v>
                </c:pt>
                <c:pt idx="2450">
                  <c:v>38911.0</c:v>
                </c:pt>
                <c:pt idx="2451">
                  <c:v>38910.0</c:v>
                </c:pt>
                <c:pt idx="2452">
                  <c:v>38909.0</c:v>
                </c:pt>
                <c:pt idx="2453">
                  <c:v>38908.0</c:v>
                </c:pt>
                <c:pt idx="2454">
                  <c:v>38905.0</c:v>
                </c:pt>
                <c:pt idx="2455">
                  <c:v>38904.0</c:v>
                </c:pt>
                <c:pt idx="2456">
                  <c:v>38903.0</c:v>
                </c:pt>
                <c:pt idx="2457">
                  <c:v>38902.0</c:v>
                </c:pt>
                <c:pt idx="2458">
                  <c:v>38901.0</c:v>
                </c:pt>
                <c:pt idx="2459">
                  <c:v>38898.0</c:v>
                </c:pt>
                <c:pt idx="2460">
                  <c:v>38897.0</c:v>
                </c:pt>
                <c:pt idx="2461">
                  <c:v>38896.0</c:v>
                </c:pt>
                <c:pt idx="2462">
                  <c:v>38895.0</c:v>
                </c:pt>
                <c:pt idx="2463">
                  <c:v>38894.0</c:v>
                </c:pt>
                <c:pt idx="2464">
                  <c:v>38891.0</c:v>
                </c:pt>
                <c:pt idx="2465">
                  <c:v>38890.0</c:v>
                </c:pt>
                <c:pt idx="2466">
                  <c:v>38889.0</c:v>
                </c:pt>
                <c:pt idx="2467">
                  <c:v>38888.0</c:v>
                </c:pt>
                <c:pt idx="2468">
                  <c:v>38887.0</c:v>
                </c:pt>
                <c:pt idx="2469">
                  <c:v>38883.0</c:v>
                </c:pt>
                <c:pt idx="2470">
                  <c:v>38882.0</c:v>
                </c:pt>
                <c:pt idx="2471">
                  <c:v>38881.0</c:v>
                </c:pt>
                <c:pt idx="2472">
                  <c:v>38880.0</c:v>
                </c:pt>
                <c:pt idx="2473">
                  <c:v>38877.0</c:v>
                </c:pt>
                <c:pt idx="2474">
                  <c:v>38876.0</c:v>
                </c:pt>
                <c:pt idx="2475">
                  <c:v>38875.0</c:v>
                </c:pt>
                <c:pt idx="2476">
                  <c:v>38874.0</c:v>
                </c:pt>
                <c:pt idx="2477">
                  <c:v>38873.0</c:v>
                </c:pt>
                <c:pt idx="2478">
                  <c:v>38870.0</c:v>
                </c:pt>
                <c:pt idx="2479">
                  <c:v>38869.0</c:v>
                </c:pt>
                <c:pt idx="2480">
                  <c:v>38868.0</c:v>
                </c:pt>
                <c:pt idx="2481">
                  <c:v>38867.0</c:v>
                </c:pt>
                <c:pt idx="2482">
                  <c:v>38866.0</c:v>
                </c:pt>
                <c:pt idx="2483">
                  <c:v>38863.0</c:v>
                </c:pt>
                <c:pt idx="2484">
                  <c:v>38862.0</c:v>
                </c:pt>
                <c:pt idx="2485">
                  <c:v>38861.0</c:v>
                </c:pt>
                <c:pt idx="2486">
                  <c:v>38860.0</c:v>
                </c:pt>
                <c:pt idx="2487">
                  <c:v>38859.0</c:v>
                </c:pt>
                <c:pt idx="2488">
                  <c:v>38856.0</c:v>
                </c:pt>
                <c:pt idx="2489">
                  <c:v>38855.0</c:v>
                </c:pt>
                <c:pt idx="2490">
                  <c:v>38854.0</c:v>
                </c:pt>
                <c:pt idx="2491">
                  <c:v>38853.0</c:v>
                </c:pt>
                <c:pt idx="2492">
                  <c:v>38852.0</c:v>
                </c:pt>
                <c:pt idx="2493">
                  <c:v>38849.0</c:v>
                </c:pt>
                <c:pt idx="2494">
                  <c:v>38848.0</c:v>
                </c:pt>
                <c:pt idx="2495">
                  <c:v>38847.0</c:v>
                </c:pt>
                <c:pt idx="2496">
                  <c:v>38846.0</c:v>
                </c:pt>
                <c:pt idx="2497">
                  <c:v>38845.0</c:v>
                </c:pt>
                <c:pt idx="2498">
                  <c:v>38842.0</c:v>
                </c:pt>
                <c:pt idx="2499">
                  <c:v>38841.0</c:v>
                </c:pt>
                <c:pt idx="2500">
                  <c:v>38840.0</c:v>
                </c:pt>
                <c:pt idx="2501">
                  <c:v>38839.0</c:v>
                </c:pt>
                <c:pt idx="2502">
                  <c:v>38835.0</c:v>
                </c:pt>
                <c:pt idx="2503">
                  <c:v>38833.0</c:v>
                </c:pt>
                <c:pt idx="2504">
                  <c:v>38832.0</c:v>
                </c:pt>
                <c:pt idx="2505">
                  <c:v>38831.0</c:v>
                </c:pt>
                <c:pt idx="2506">
                  <c:v>38828.0</c:v>
                </c:pt>
                <c:pt idx="2507">
                  <c:v>38827.0</c:v>
                </c:pt>
                <c:pt idx="2508">
                  <c:v>38826.0</c:v>
                </c:pt>
                <c:pt idx="2509">
                  <c:v>38825.0</c:v>
                </c:pt>
                <c:pt idx="2510">
                  <c:v>38820.0</c:v>
                </c:pt>
                <c:pt idx="2511">
                  <c:v>38819.0</c:v>
                </c:pt>
                <c:pt idx="2512">
                  <c:v>38818.0</c:v>
                </c:pt>
                <c:pt idx="2513">
                  <c:v>38817.0</c:v>
                </c:pt>
                <c:pt idx="2514">
                  <c:v>38814.0</c:v>
                </c:pt>
                <c:pt idx="2515">
                  <c:v>38813.0</c:v>
                </c:pt>
                <c:pt idx="2516">
                  <c:v>38812.0</c:v>
                </c:pt>
                <c:pt idx="2517">
                  <c:v>38811.0</c:v>
                </c:pt>
                <c:pt idx="2518">
                  <c:v>38810.0</c:v>
                </c:pt>
                <c:pt idx="2519">
                  <c:v>38807.0</c:v>
                </c:pt>
                <c:pt idx="2520">
                  <c:v>38806.0</c:v>
                </c:pt>
                <c:pt idx="2521">
                  <c:v>38805.0</c:v>
                </c:pt>
                <c:pt idx="2522">
                  <c:v>38804.0</c:v>
                </c:pt>
                <c:pt idx="2523">
                  <c:v>38803.0</c:v>
                </c:pt>
                <c:pt idx="2524">
                  <c:v>38800.0</c:v>
                </c:pt>
                <c:pt idx="2525">
                  <c:v>38799.0</c:v>
                </c:pt>
                <c:pt idx="2526">
                  <c:v>38798.0</c:v>
                </c:pt>
                <c:pt idx="2527">
                  <c:v>38796.0</c:v>
                </c:pt>
                <c:pt idx="2528">
                  <c:v>38793.0</c:v>
                </c:pt>
                <c:pt idx="2529">
                  <c:v>38792.0</c:v>
                </c:pt>
                <c:pt idx="2530">
                  <c:v>38791.0</c:v>
                </c:pt>
                <c:pt idx="2531">
                  <c:v>38790.0</c:v>
                </c:pt>
                <c:pt idx="2532">
                  <c:v>38789.0</c:v>
                </c:pt>
                <c:pt idx="2533">
                  <c:v>38786.0</c:v>
                </c:pt>
                <c:pt idx="2534">
                  <c:v>38785.0</c:v>
                </c:pt>
                <c:pt idx="2535">
                  <c:v>38784.0</c:v>
                </c:pt>
                <c:pt idx="2536">
                  <c:v>38783.0</c:v>
                </c:pt>
                <c:pt idx="2537">
                  <c:v>38782.0</c:v>
                </c:pt>
                <c:pt idx="2538">
                  <c:v>38779.0</c:v>
                </c:pt>
                <c:pt idx="2539">
                  <c:v>38778.0</c:v>
                </c:pt>
                <c:pt idx="2540">
                  <c:v>38776.0</c:v>
                </c:pt>
                <c:pt idx="2541">
                  <c:v>38775.0</c:v>
                </c:pt>
                <c:pt idx="2542">
                  <c:v>38772.0</c:v>
                </c:pt>
                <c:pt idx="2543">
                  <c:v>38771.0</c:v>
                </c:pt>
                <c:pt idx="2544">
                  <c:v>38770.0</c:v>
                </c:pt>
                <c:pt idx="2545">
                  <c:v>38769.0</c:v>
                </c:pt>
                <c:pt idx="2546">
                  <c:v>38768.0</c:v>
                </c:pt>
                <c:pt idx="2547">
                  <c:v>38765.0</c:v>
                </c:pt>
                <c:pt idx="2548">
                  <c:v>38764.0</c:v>
                </c:pt>
                <c:pt idx="2549">
                  <c:v>38763.0</c:v>
                </c:pt>
                <c:pt idx="2550">
                  <c:v>38762.0</c:v>
                </c:pt>
                <c:pt idx="2551">
                  <c:v>38761.0</c:v>
                </c:pt>
                <c:pt idx="2552">
                  <c:v>38758.0</c:v>
                </c:pt>
                <c:pt idx="2553">
                  <c:v>38757.0</c:v>
                </c:pt>
                <c:pt idx="2554">
                  <c:v>38756.0</c:v>
                </c:pt>
                <c:pt idx="2555">
                  <c:v>38755.0</c:v>
                </c:pt>
                <c:pt idx="2556">
                  <c:v>38754.0</c:v>
                </c:pt>
                <c:pt idx="2557">
                  <c:v>38751.0</c:v>
                </c:pt>
                <c:pt idx="2558">
                  <c:v>38750.0</c:v>
                </c:pt>
                <c:pt idx="2559">
                  <c:v>38749.0</c:v>
                </c:pt>
                <c:pt idx="2560">
                  <c:v>38748.0</c:v>
                </c:pt>
                <c:pt idx="2561">
                  <c:v>38747.0</c:v>
                </c:pt>
                <c:pt idx="2562">
                  <c:v>38744.0</c:v>
                </c:pt>
                <c:pt idx="2563">
                  <c:v>38743.0</c:v>
                </c:pt>
                <c:pt idx="2564">
                  <c:v>38742.0</c:v>
                </c:pt>
                <c:pt idx="2565">
                  <c:v>38741.0</c:v>
                </c:pt>
                <c:pt idx="2566">
                  <c:v>38740.0</c:v>
                </c:pt>
                <c:pt idx="2567">
                  <c:v>38737.0</c:v>
                </c:pt>
                <c:pt idx="2568">
                  <c:v>38736.0</c:v>
                </c:pt>
                <c:pt idx="2569">
                  <c:v>38735.0</c:v>
                </c:pt>
                <c:pt idx="2570">
                  <c:v>38734.0</c:v>
                </c:pt>
                <c:pt idx="2571">
                  <c:v>38733.0</c:v>
                </c:pt>
                <c:pt idx="2572">
                  <c:v>38730.0</c:v>
                </c:pt>
                <c:pt idx="2573">
                  <c:v>38729.0</c:v>
                </c:pt>
                <c:pt idx="2574">
                  <c:v>38728.0</c:v>
                </c:pt>
                <c:pt idx="2575">
                  <c:v>38727.0</c:v>
                </c:pt>
                <c:pt idx="2576">
                  <c:v>38726.0</c:v>
                </c:pt>
                <c:pt idx="2577">
                  <c:v>38723.0</c:v>
                </c:pt>
                <c:pt idx="2578">
                  <c:v>38722.0</c:v>
                </c:pt>
                <c:pt idx="2579">
                  <c:v>38721.0</c:v>
                </c:pt>
                <c:pt idx="2580">
                  <c:v>38720.0</c:v>
                </c:pt>
                <c:pt idx="2581">
                  <c:v>38716.0</c:v>
                </c:pt>
                <c:pt idx="2582">
                  <c:v>38715.0</c:v>
                </c:pt>
                <c:pt idx="2583">
                  <c:v>38714.0</c:v>
                </c:pt>
                <c:pt idx="2584">
                  <c:v>38713.0</c:v>
                </c:pt>
                <c:pt idx="2585">
                  <c:v>38709.0</c:v>
                </c:pt>
                <c:pt idx="2586">
                  <c:v>38708.0</c:v>
                </c:pt>
                <c:pt idx="2587">
                  <c:v>38707.0</c:v>
                </c:pt>
                <c:pt idx="2588">
                  <c:v>38706.0</c:v>
                </c:pt>
                <c:pt idx="2589">
                  <c:v>38705.0</c:v>
                </c:pt>
                <c:pt idx="2590">
                  <c:v>38701.0</c:v>
                </c:pt>
                <c:pt idx="2591">
                  <c:v>38700.0</c:v>
                </c:pt>
                <c:pt idx="2592">
                  <c:v>38699.0</c:v>
                </c:pt>
                <c:pt idx="2593">
                  <c:v>38698.0</c:v>
                </c:pt>
                <c:pt idx="2594">
                  <c:v>38695.0</c:v>
                </c:pt>
                <c:pt idx="2595">
                  <c:v>38694.0</c:v>
                </c:pt>
                <c:pt idx="2596">
                  <c:v>38693.0</c:v>
                </c:pt>
                <c:pt idx="2597">
                  <c:v>38692.0</c:v>
                </c:pt>
                <c:pt idx="2598">
                  <c:v>38691.0</c:v>
                </c:pt>
                <c:pt idx="2599">
                  <c:v>38688.0</c:v>
                </c:pt>
                <c:pt idx="2600">
                  <c:v>38687.0</c:v>
                </c:pt>
                <c:pt idx="2601">
                  <c:v>38686.0</c:v>
                </c:pt>
                <c:pt idx="2602">
                  <c:v>38685.0</c:v>
                </c:pt>
                <c:pt idx="2603">
                  <c:v>38684.0</c:v>
                </c:pt>
                <c:pt idx="2604">
                  <c:v>38681.0</c:v>
                </c:pt>
                <c:pt idx="2605">
                  <c:v>38680.0</c:v>
                </c:pt>
                <c:pt idx="2606">
                  <c:v>38679.0</c:v>
                </c:pt>
                <c:pt idx="2607">
                  <c:v>38678.0</c:v>
                </c:pt>
                <c:pt idx="2608">
                  <c:v>38677.0</c:v>
                </c:pt>
                <c:pt idx="2609">
                  <c:v>38674.0</c:v>
                </c:pt>
                <c:pt idx="2610">
                  <c:v>38673.0</c:v>
                </c:pt>
                <c:pt idx="2611">
                  <c:v>38672.0</c:v>
                </c:pt>
                <c:pt idx="2612">
                  <c:v>38671.0</c:v>
                </c:pt>
                <c:pt idx="2613">
                  <c:v>38670.0</c:v>
                </c:pt>
                <c:pt idx="2614">
                  <c:v>38667.0</c:v>
                </c:pt>
                <c:pt idx="2615">
                  <c:v>38666.0</c:v>
                </c:pt>
                <c:pt idx="2616">
                  <c:v>38665.0</c:v>
                </c:pt>
                <c:pt idx="2617">
                  <c:v>38664.0</c:v>
                </c:pt>
                <c:pt idx="2618">
                  <c:v>38663.0</c:v>
                </c:pt>
                <c:pt idx="2619">
                  <c:v>38660.0</c:v>
                </c:pt>
                <c:pt idx="2620">
                  <c:v>38659.0</c:v>
                </c:pt>
                <c:pt idx="2621">
                  <c:v>38658.0</c:v>
                </c:pt>
                <c:pt idx="2622">
                  <c:v>38657.0</c:v>
                </c:pt>
                <c:pt idx="2623">
                  <c:v>38656.0</c:v>
                </c:pt>
                <c:pt idx="2624">
                  <c:v>38653.0</c:v>
                </c:pt>
                <c:pt idx="2625">
                  <c:v>38652.0</c:v>
                </c:pt>
                <c:pt idx="2626">
                  <c:v>38651.0</c:v>
                </c:pt>
                <c:pt idx="2627">
                  <c:v>38650.0</c:v>
                </c:pt>
                <c:pt idx="2628">
                  <c:v>38649.0</c:v>
                </c:pt>
                <c:pt idx="2629">
                  <c:v>38646.0</c:v>
                </c:pt>
                <c:pt idx="2630">
                  <c:v>38645.0</c:v>
                </c:pt>
                <c:pt idx="2631">
                  <c:v>38644.0</c:v>
                </c:pt>
                <c:pt idx="2632">
                  <c:v>38643.0</c:v>
                </c:pt>
                <c:pt idx="2633">
                  <c:v>38642.0</c:v>
                </c:pt>
                <c:pt idx="2634">
                  <c:v>38639.0</c:v>
                </c:pt>
                <c:pt idx="2635">
                  <c:v>38638.0</c:v>
                </c:pt>
                <c:pt idx="2636">
                  <c:v>38637.0</c:v>
                </c:pt>
                <c:pt idx="2637">
                  <c:v>38636.0</c:v>
                </c:pt>
                <c:pt idx="2638">
                  <c:v>38635.0</c:v>
                </c:pt>
                <c:pt idx="2639">
                  <c:v>38632.0</c:v>
                </c:pt>
                <c:pt idx="2640">
                  <c:v>38631.0</c:v>
                </c:pt>
                <c:pt idx="2641">
                  <c:v>38630.0</c:v>
                </c:pt>
                <c:pt idx="2642">
                  <c:v>38629.0</c:v>
                </c:pt>
                <c:pt idx="2643">
                  <c:v>38628.0</c:v>
                </c:pt>
                <c:pt idx="2644">
                  <c:v>38625.0</c:v>
                </c:pt>
                <c:pt idx="2645">
                  <c:v>38624.0</c:v>
                </c:pt>
                <c:pt idx="2646">
                  <c:v>38623.0</c:v>
                </c:pt>
                <c:pt idx="2647">
                  <c:v>38622.0</c:v>
                </c:pt>
                <c:pt idx="2648">
                  <c:v>38621.0</c:v>
                </c:pt>
                <c:pt idx="2649">
                  <c:v>38618.0</c:v>
                </c:pt>
                <c:pt idx="2650">
                  <c:v>38617.0</c:v>
                </c:pt>
                <c:pt idx="2651">
                  <c:v>38616.0</c:v>
                </c:pt>
                <c:pt idx="2652">
                  <c:v>38615.0</c:v>
                </c:pt>
                <c:pt idx="2653">
                  <c:v>38614.0</c:v>
                </c:pt>
                <c:pt idx="2654">
                  <c:v>38611.0</c:v>
                </c:pt>
                <c:pt idx="2655">
                  <c:v>38610.0</c:v>
                </c:pt>
                <c:pt idx="2656">
                  <c:v>38609.0</c:v>
                </c:pt>
                <c:pt idx="2657">
                  <c:v>38608.0</c:v>
                </c:pt>
                <c:pt idx="2658">
                  <c:v>38607.0</c:v>
                </c:pt>
                <c:pt idx="2659">
                  <c:v>38604.0</c:v>
                </c:pt>
                <c:pt idx="2660">
                  <c:v>38603.0</c:v>
                </c:pt>
                <c:pt idx="2661">
                  <c:v>38602.0</c:v>
                </c:pt>
                <c:pt idx="2662">
                  <c:v>38601.0</c:v>
                </c:pt>
                <c:pt idx="2663">
                  <c:v>38600.0</c:v>
                </c:pt>
                <c:pt idx="2664">
                  <c:v>38597.0</c:v>
                </c:pt>
                <c:pt idx="2665">
                  <c:v>38596.0</c:v>
                </c:pt>
                <c:pt idx="2666">
                  <c:v>38595.0</c:v>
                </c:pt>
                <c:pt idx="2667">
                  <c:v>38594.0</c:v>
                </c:pt>
                <c:pt idx="2668">
                  <c:v>38593.0</c:v>
                </c:pt>
                <c:pt idx="2669">
                  <c:v>38590.0</c:v>
                </c:pt>
                <c:pt idx="2670">
                  <c:v>38589.0</c:v>
                </c:pt>
                <c:pt idx="2671">
                  <c:v>38588.0</c:v>
                </c:pt>
                <c:pt idx="2672">
                  <c:v>38587.0</c:v>
                </c:pt>
                <c:pt idx="2673">
                  <c:v>38586.0</c:v>
                </c:pt>
                <c:pt idx="2674">
                  <c:v>38583.0</c:v>
                </c:pt>
                <c:pt idx="2675">
                  <c:v>38582.0</c:v>
                </c:pt>
                <c:pt idx="2676">
                  <c:v>38581.0</c:v>
                </c:pt>
                <c:pt idx="2677">
                  <c:v>38580.0</c:v>
                </c:pt>
                <c:pt idx="2678">
                  <c:v>38579.0</c:v>
                </c:pt>
                <c:pt idx="2679">
                  <c:v>38576.0</c:v>
                </c:pt>
                <c:pt idx="2680">
                  <c:v>38575.0</c:v>
                </c:pt>
                <c:pt idx="2681">
                  <c:v>38574.0</c:v>
                </c:pt>
                <c:pt idx="2682">
                  <c:v>38572.0</c:v>
                </c:pt>
                <c:pt idx="2683">
                  <c:v>38569.0</c:v>
                </c:pt>
                <c:pt idx="2684">
                  <c:v>38568.0</c:v>
                </c:pt>
                <c:pt idx="2685">
                  <c:v>38567.0</c:v>
                </c:pt>
                <c:pt idx="2686">
                  <c:v>38566.0</c:v>
                </c:pt>
                <c:pt idx="2687">
                  <c:v>38565.0</c:v>
                </c:pt>
                <c:pt idx="2688">
                  <c:v>38562.0</c:v>
                </c:pt>
                <c:pt idx="2689">
                  <c:v>38561.0</c:v>
                </c:pt>
                <c:pt idx="2690">
                  <c:v>38560.0</c:v>
                </c:pt>
                <c:pt idx="2691">
                  <c:v>38559.0</c:v>
                </c:pt>
                <c:pt idx="2692">
                  <c:v>38558.0</c:v>
                </c:pt>
                <c:pt idx="2693">
                  <c:v>38555.0</c:v>
                </c:pt>
                <c:pt idx="2694">
                  <c:v>38554.0</c:v>
                </c:pt>
                <c:pt idx="2695">
                  <c:v>38553.0</c:v>
                </c:pt>
                <c:pt idx="2696">
                  <c:v>38552.0</c:v>
                </c:pt>
                <c:pt idx="2697">
                  <c:v>38551.0</c:v>
                </c:pt>
                <c:pt idx="2698">
                  <c:v>38548.0</c:v>
                </c:pt>
                <c:pt idx="2699">
                  <c:v>38547.0</c:v>
                </c:pt>
                <c:pt idx="2700">
                  <c:v>38546.0</c:v>
                </c:pt>
                <c:pt idx="2701">
                  <c:v>38545.0</c:v>
                </c:pt>
                <c:pt idx="2702">
                  <c:v>38544.0</c:v>
                </c:pt>
                <c:pt idx="2703">
                  <c:v>38541.0</c:v>
                </c:pt>
                <c:pt idx="2704">
                  <c:v>38540.0</c:v>
                </c:pt>
                <c:pt idx="2705">
                  <c:v>38539.0</c:v>
                </c:pt>
                <c:pt idx="2706">
                  <c:v>38538.0</c:v>
                </c:pt>
                <c:pt idx="2707">
                  <c:v>38537.0</c:v>
                </c:pt>
                <c:pt idx="2708">
                  <c:v>38534.0</c:v>
                </c:pt>
                <c:pt idx="2709">
                  <c:v>38533.0</c:v>
                </c:pt>
                <c:pt idx="2710">
                  <c:v>38532.0</c:v>
                </c:pt>
                <c:pt idx="2711">
                  <c:v>38531.0</c:v>
                </c:pt>
                <c:pt idx="2712">
                  <c:v>38530.0</c:v>
                </c:pt>
                <c:pt idx="2713">
                  <c:v>38527.0</c:v>
                </c:pt>
                <c:pt idx="2714">
                  <c:v>38526.0</c:v>
                </c:pt>
                <c:pt idx="2715">
                  <c:v>38525.0</c:v>
                </c:pt>
                <c:pt idx="2716">
                  <c:v>38524.0</c:v>
                </c:pt>
                <c:pt idx="2717">
                  <c:v>38523.0</c:v>
                </c:pt>
                <c:pt idx="2718">
                  <c:v>38520.0</c:v>
                </c:pt>
                <c:pt idx="2719">
                  <c:v>38518.0</c:v>
                </c:pt>
                <c:pt idx="2720">
                  <c:v>38517.0</c:v>
                </c:pt>
                <c:pt idx="2721">
                  <c:v>38516.0</c:v>
                </c:pt>
                <c:pt idx="2722">
                  <c:v>38513.0</c:v>
                </c:pt>
                <c:pt idx="2723">
                  <c:v>38512.0</c:v>
                </c:pt>
                <c:pt idx="2724">
                  <c:v>38511.0</c:v>
                </c:pt>
                <c:pt idx="2725">
                  <c:v>38510.0</c:v>
                </c:pt>
                <c:pt idx="2726">
                  <c:v>38509.0</c:v>
                </c:pt>
                <c:pt idx="2727">
                  <c:v>38506.0</c:v>
                </c:pt>
                <c:pt idx="2728">
                  <c:v>38505.0</c:v>
                </c:pt>
                <c:pt idx="2729">
                  <c:v>38504.0</c:v>
                </c:pt>
                <c:pt idx="2730">
                  <c:v>38503.0</c:v>
                </c:pt>
                <c:pt idx="2731">
                  <c:v>38502.0</c:v>
                </c:pt>
                <c:pt idx="2732">
                  <c:v>38499.0</c:v>
                </c:pt>
                <c:pt idx="2733">
                  <c:v>38498.0</c:v>
                </c:pt>
                <c:pt idx="2734">
                  <c:v>38497.0</c:v>
                </c:pt>
                <c:pt idx="2735">
                  <c:v>38496.0</c:v>
                </c:pt>
                <c:pt idx="2736">
                  <c:v>38495.0</c:v>
                </c:pt>
                <c:pt idx="2737">
                  <c:v>38492.0</c:v>
                </c:pt>
                <c:pt idx="2738">
                  <c:v>38491.0</c:v>
                </c:pt>
                <c:pt idx="2739">
                  <c:v>38490.0</c:v>
                </c:pt>
                <c:pt idx="2740">
                  <c:v>38489.0</c:v>
                </c:pt>
                <c:pt idx="2741">
                  <c:v>38488.0</c:v>
                </c:pt>
                <c:pt idx="2742">
                  <c:v>38485.0</c:v>
                </c:pt>
                <c:pt idx="2743">
                  <c:v>38484.0</c:v>
                </c:pt>
                <c:pt idx="2744">
                  <c:v>38483.0</c:v>
                </c:pt>
                <c:pt idx="2745">
                  <c:v>38482.0</c:v>
                </c:pt>
                <c:pt idx="2746">
                  <c:v>38481.0</c:v>
                </c:pt>
                <c:pt idx="2747">
                  <c:v>38478.0</c:v>
                </c:pt>
                <c:pt idx="2748">
                  <c:v>38477.0</c:v>
                </c:pt>
              </c:numCache>
            </c:numRef>
          </c:cat>
          <c:val>
            <c:numRef>
              <c:f>'4g. Oceana Stock'!$B$9:$B$2757</c:f>
              <c:numCache>
                <c:formatCode>General</c:formatCode>
                <c:ptCount val="2749"/>
                <c:pt idx="0">
                  <c:v>12109.0</c:v>
                </c:pt>
                <c:pt idx="1">
                  <c:v>12580.0</c:v>
                </c:pt>
                <c:pt idx="2">
                  <c:v>12035.0</c:v>
                </c:pt>
                <c:pt idx="3">
                  <c:v>12300.0</c:v>
                </c:pt>
                <c:pt idx="4">
                  <c:v>11600.0</c:v>
                </c:pt>
                <c:pt idx="5">
                  <c:v>12111.0</c:v>
                </c:pt>
                <c:pt idx="6">
                  <c:v>11900.0</c:v>
                </c:pt>
                <c:pt idx="7">
                  <c:v>12200.0</c:v>
                </c:pt>
                <c:pt idx="8">
                  <c:v>11500.0</c:v>
                </c:pt>
                <c:pt idx="9">
                  <c:v>11519.0</c:v>
                </c:pt>
                <c:pt idx="10">
                  <c:v>11574.0</c:v>
                </c:pt>
                <c:pt idx="11">
                  <c:v>11400.0</c:v>
                </c:pt>
                <c:pt idx="12">
                  <c:v>11467.0</c:v>
                </c:pt>
                <c:pt idx="13">
                  <c:v>11554.0</c:v>
                </c:pt>
                <c:pt idx="14">
                  <c:v>11500.0</c:v>
                </c:pt>
                <c:pt idx="15">
                  <c:v>11655.0</c:v>
                </c:pt>
                <c:pt idx="16">
                  <c:v>12060.0</c:v>
                </c:pt>
                <c:pt idx="17">
                  <c:v>12150.0</c:v>
                </c:pt>
                <c:pt idx="18">
                  <c:v>12040.0</c:v>
                </c:pt>
                <c:pt idx="19">
                  <c:v>12040.0</c:v>
                </c:pt>
                <c:pt idx="20">
                  <c:v>12399.0</c:v>
                </c:pt>
                <c:pt idx="21">
                  <c:v>12135.0</c:v>
                </c:pt>
                <c:pt idx="22">
                  <c:v>12500.0</c:v>
                </c:pt>
                <c:pt idx="23">
                  <c:v>12581.0</c:v>
                </c:pt>
                <c:pt idx="24">
                  <c:v>12426.0</c:v>
                </c:pt>
                <c:pt idx="25">
                  <c:v>12400.0</c:v>
                </c:pt>
                <c:pt idx="26">
                  <c:v>11950.0</c:v>
                </c:pt>
                <c:pt idx="27">
                  <c:v>12850.0</c:v>
                </c:pt>
                <c:pt idx="28">
                  <c:v>12890.0</c:v>
                </c:pt>
                <c:pt idx="29">
                  <c:v>11900.0</c:v>
                </c:pt>
                <c:pt idx="30">
                  <c:v>11523.0</c:v>
                </c:pt>
                <c:pt idx="31">
                  <c:v>11221.0</c:v>
                </c:pt>
                <c:pt idx="32">
                  <c:v>11155.0</c:v>
                </c:pt>
                <c:pt idx="33">
                  <c:v>11150.0</c:v>
                </c:pt>
                <c:pt idx="34">
                  <c:v>11700.0</c:v>
                </c:pt>
                <c:pt idx="35">
                  <c:v>11800.0</c:v>
                </c:pt>
                <c:pt idx="36">
                  <c:v>12000.0</c:v>
                </c:pt>
                <c:pt idx="37">
                  <c:v>12214.0</c:v>
                </c:pt>
                <c:pt idx="38">
                  <c:v>12249.0</c:v>
                </c:pt>
                <c:pt idx="39">
                  <c:v>11950.0</c:v>
                </c:pt>
                <c:pt idx="40">
                  <c:v>12500.0</c:v>
                </c:pt>
                <c:pt idx="41">
                  <c:v>11554.0</c:v>
                </c:pt>
                <c:pt idx="42">
                  <c:v>11500.0</c:v>
                </c:pt>
                <c:pt idx="43">
                  <c:v>11422.0</c:v>
                </c:pt>
                <c:pt idx="44">
                  <c:v>11500.0</c:v>
                </c:pt>
                <c:pt idx="45">
                  <c:v>11500.0</c:v>
                </c:pt>
                <c:pt idx="46">
                  <c:v>11524.0</c:v>
                </c:pt>
                <c:pt idx="47">
                  <c:v>11510.0</c:v>
                </c:pt>
                <c:pt idx="48">
                  <c:v>11500.0</c:v>
                </c:pt>
                <c:pt idx="49">
                  <c:v>11500.0</c:v>
                </c:pt>
                <c:pt idx="50">
                  <c:v>11400.0</c:v>
                </c:pt>
                <c:pt idx="51">
                  <c:v>11199.0</c:v>
                </c:pt>
                <c:pt idx="52">
                  <c:v>11402.0</c:v>
                </c:pt>
                <c:pt idx="53">
                  <c:v>11200.0</c:v>
                </c:pt>
                <c:pt idx="54">
                  <c:v>10825.0</c:v>
                </c:pt>
                <c:pt idx="55">
                  <c:v>11000.0</c:v>
                </c:pt>
                <c:pt idx="56">
                  <c:v>11054.0</c:v>
                </c:pt>
                <c:pt idx="57">
                  <c:v>11184.0</c:v>
                </c:pt>
                <c:pt idx="58">
                  <c:v>11415.0</c:v>
                </c:pt>
                <c:pt idx="59">
                  <c:v>11661.0</c:v>
                </c:pt>
                <c:pt idx="60">
                  <c:v>11800.0</c:v>
                </c:pt>
                <c:pt idx="61">
                  <c:v>11001.0</c:v>
                </c:pt>
                <c:pt idx="62">
                  <c:v>11100.0</c:v>
                </c:pt>
                <c:pt idx="63">
                  <c:v>11186.0</c:v>
                </c:pt>
                <c:pt idx="64">
                  <c:v>11398.0</c:v>
                </c:pt>
                <c:pt idx="65">
                  <c:v>11509.0</c:v>
                </c:pt>
                <c:pt idx="66">
                  <c:v>11482.0</c:v>
                </c:pt>
                <c:pt idx="67">
                  <c:v>11343.0</c:v>
                </c:pt>
                <c:pt idx="68">
                  <c:v>11300.0</c:v>
                </c:pt>
                <c:pt idx="69">
                  <c:v>11099.0</c:v>
                </c:pt>
                <c:pt idx="70">
                  <c:v>11000.0</c:v>
                </c:pt>
                <c:pt idx="71">
                  <c:v>11100.0</c:v>
                </c:pt>
                <c:pt idx="72">
                  <c:v>11064.0</c:v>
                </c:pt>
                <c:pt idx="73">
                  <c:v>11000.0</c:v>
                </c:pt>
                <c:pt idx="74">
                  <c:v>11000.0</c:v>
                </c:pt>
                <c:pt idx="75">
                  <c:v>11000.0</c:v>
                </c:pt>
                <c:pt idx="76">
                  <c:v>10800.0</c:v>
                </c:pt>
                <c:pt idx="77">
                  <c:v>10641.0</c:v>
                </c:pt>
                <c:pt idx="78">
                  <c:v>10741.0</c:v>
                </c:pt>
                <c:pt idx="79">
                  <c:v>10741.0</c:v>
                </c:pt>
                <c:pt idx="80">
                  <c:v>10643.36</c:v>
                </c:pt>
                <c:pt idx="81">
                  <c:v>10741.0</c:v>
                </c:pt>
                <c:pt idx="82">
                  <c:v>11058.35</c:v>
                </c:pt>
                <c:pt idx="83">
                  <c:v>11424.52</c:v>
                </c:pt>
                <c:pt idx="84">
                  <c:v>11182.36</c:v>
                </c:pt>
                <c:pt idx="85">
                  <c:v>10985.11</c:v>
                </c:pt>
                <c:pt idx="86">
                  <c:v>10848.41</c:v>
                </c:pt>
                <c:pt idx="87">
                  <c:v>10863.06</c:v>
                </c:pt>
                <c:pt idx="88">
                  <c:v>10863.06</c:v>
                </c:pt>
                <c:pt idx="89">
                  <c:v>10855.25</c:v>
                </c:pt>
                <c:pt idx="90">
                  <c:v>10969.49</c:v>
                </c:pt>
                <c:pt idx="91">
                  <c:v>11079.83</c:v>
                </c:pt>
                <c:pt idx="92">
                  <c:v>11033.94</c:v>
                </c:pt>
                <c:pt idx="93">
                  <c:v>11139.39</c:v>
                </c:pt>
                <c:pt idx="94">
                  <c:v>10936.29</c:v>
                </c:pt>
                <c:pt idx="95">
                  <c:v>10936.29</c:v>
                </c:pt>
                <c:pt idx="96">
                  <c:v>11699.88</c:v>
                </c:pt>
                <c:pt idx="97">
                  <c:v>11453.81</c:v>
                </c:pt>
                <c:pt idx="98">
                  <c:v>11570.99</c:v>
                </c:pt>
                <c:pt idx="99">
                  <c:v>10960.7</c:v>
                </c:pt>
                <c:pt idx="100">
                  <c:v>10852.32</c:v>
                </c:pt>
                <c:pt idx="101">
                  <c:v>11082.76</c:v>
                </c:pt>
                <c:pt idx="102">
                  <c:v>11033.94</c:v>
                </c:pt>
                <c:pt idx="103">
                  <c:v>11065.18</c:v>
                </c:pt>
                <c:pt idx="104">
                  <c:v>11033.94</c:v>
                </c:pt>
                <c:pt idx="105">
                  <c:v>11033.94</c:v>
                </c:pt>
                <c:pt idx="106">
                  <c:v>11174.55</c:v>
                </c:pt>
                <c:pt idx="107">
                  <c:v>10990.97</c:v>
                </c:pt>
                <c:pt idx="108">
                  <c:v>11033.94</c:v>
                </c:pt>
                <c:pt idx="109">
                  <c:v>11228.25</c:v>
                </c:pt>
                <c:pt idx="110">
                  <c:v>11229.23</c:v>
                </c:pt>
                <c:pt idx="111">
                  <c:v>11229.23</c:v>
                </c:pt>
                <c:pt idx="112">
                  <c:v>11223.37</c:v>
                </c:pt>
                <c:pt idx="113">
                  <c:v>11195.05</c:v>
                </c:pt>
                <c:pt idx="114">
                  <c:v>11229.23</c:v>
                </c:pt>
                <c:pt idx="115">
                  <c:v>11082.76</c:v>
                </c:pt>
                <c:pt idx="116">
                  <c:v>10936.29</c:v>
                </c:pt>
                <c:pt idx="117">
                  <c:v>10506.65</c:v>
                </c:pt>
                <c:pt idx="118">
                  <c:v>10594.53</c:v>
                </c:pt>
                <c:pt idx="119">
                  <c:v>10448.06</c:v>
                </c:pt>
                <c:pt idx="120">
                  <c:v>10203.95</c:v>
                </c:pt>
                <c:pt idx="121">
                  <c:v>10448.06</c:v>
                </c:pt>
                <c:pt idx="122">
                  <c:v>10318.2</c:v>
                </c:pt>
                <c:pt idx="123">
                  <c:v>10240.08</c:v>
                </c:pt>
                <c:pt idx="124">
                  <c:v>9945.19</c:v>
                </c:pt>
                <c:pt idx="125">
                  <c:v>10071.15</c:v>
                </c:pt>
                <c:pt idx="126">
                  <c:v>10057.48</c:v>
                </c:pt>
                <c:pt idx="127">
                  <c:v>10252.77</c:v>
                </c:pt>
                <c:pt idx="128">
                  <c:v>10252.77</c:v>
                </c:pt>
                <c:pt idx="129">
                  <c:v>10252.77</c:v>
                </c:pt>
                <c:pt idx="130">
                  <c:v>10057.48</c:v>
                </c:pt>
                <c:pt idx="131">
                  <c:v>10122.9</c:v>
                </c:pt>
                <c:pt idx="132">
                  <c:v>10252.77</c:v>
                </c:pt>
                <c:pt idx="133">
                  <c:v>10447.09</c:v>
                </c:pt>
                <c:pt idx="134">
                  <c:v>10454.9</c:v>
                </c:pt>
                <c:pt idx="135">
                  <c:v>10370.92</c:v>
                </c:pt>
                <c:pt idx="136">
                  <c:v>10692.18</c:v>
                </c:pt>
                <c:pt idx="137">
                  <c:v>10643.36</c:v>
                </c:pt>
                <c:pt idx="138">
                  <c:v>10545.71</c:v>
                </c:pt>
                <c:pt idx="139">
                  <c:v>10741.0</c:v>
                </c:pt>
                <c:pt idx="140">
                  <c:v>10301.6</c:v>
                </c:pt>
                <c:pt idx="141">
                  <c:v>10203.95</c:v>
                </c:pt>
                <c:pt idx="142">
                  <c:v>10243.01</c:v>
                </c:pt>
                <c:pt idx="143">
                  <c:v>9977.41</c:v>
                </c:pt>
                <c:pt idx="144">
                  <c:v>9793.84</c:v>
                </c:pt>
                <c:pt idx="145">
                  <c:v>9538.01</c:v>
                </c:pt>
                <c:pt idx="146">
                  <c:v>9325.139999999999</c:v>
                </c:pt>
                <c:pt idx="147">
                  <c:v>9413.02</c:v>
                </c:pt>
                <c:pt idx="148">
                  <c:v>9466.73</c:v>
                </c:pt>
                <c:pt idx="149">
                  <c:v>9325.139999999999</c:v>
                </c:pt>
                <c:pt idx="150">
                  <c:v>9276.32</c:v>
                </c:pt>
                <c:pt idx="151">
                  <c:v>9320.26</c:v>
                </c:pt>
                <c:pt idx="152">
                  <c:v>9062.48</c:v>
                </c:pt>
                <c:pt idx="153">
                  <c:v>9129.85</c:v>
                </c:pt>
                <c:pt idx="154">
                  <c:v>9202.11</c:v>
                </c:pt>
                <c:pt idx="155">
                  <c:v>9032.209999999999</c:v>
                </c:pt>
                <c:pt idx="156">
                  <c:v>8870.11</c:v>
                </c:pt>
                <c:pt idx="157">
                  <c:v>8968.74</c:v>
                </c:pt>
                <c:pt idx="158">
                  <c:v>9144.5</c:v>
                </c:pt>
                <c:pt idx="159">
                  <c:v>9276.32</c:v>
                </c:pt>
                <c:pt idx="160">
                  <c:v>9085.91</c:v>
                </c:pt>
                <c:pt idx="161">
                  <c:v>9763.57</c:v>
                </c:pt>
                <c:pt idx="162">
                  <c:v>9294.870000000001</c:v>
                </c:pt>
                <c:pt idx="163">
                  <c:v>9124.969999999999</c:v>
                </c:pt>
                <c:pt idx="164">
                  <c:v>9013.65</c:v>
                </c:pt>
                <c:pt idx="165">
                  <c:v>9040.02</c:v>
                </c:pt>
                <c:pt idx="166">
                  <c:v>9474.54</c:v>
                </c:pt>
                <c:pt idx="167">
                  <c:v>9129.85</c:v>
                </c:pt>
                <c:pt idx="168">
                  <c:v>9452.08</c:v>
                </c:pt>
                <c:pt idx="169">
                  <c:v>9641.51</c:v>
                </c:pt>
                <c:pt idx="170">
                  <c:v>9300.73</c:v>
                </c:pt>
                <c:pt idx="171">
                  <c:v>9381.78</c:v>
                </c:pt>
                <c:pt idx="172">
                  <c:v>9289.99</c:v>
                </c:pt>
                <c:pt idx="173">
                  <c:v>9081.03</c:v>
                </c:pt>
                <c:pt idx="174">
                  <c:v>9396.59</c:v>
                </c:pt>
                <c:pt idx="175">
                  <c:v>9557.62</c:v>
                </c:pt>
                <c:pt idx="176">
                  <c:v>9330.29</c:v>
                </c:pt>
                <c:pt idx="177">
                  <c:v>9311.34</c:v>
                </c:pt>
                <c:pt idx="178">
                  <c:v>9207.139999999999</c:v>
                </c:pt>
                <c:pt idx="179">
                  <c:v>9591.719999999999</c:v>
                </c:pt>
                <c:pt idx="180">
                  <c:v>9477.11</c:v>
                </c:pt>
                <c:pt idx="181">
                  <c:v>9549.1</c:v>
                </c:pt>
                <c:pt idx="182">
                  <c:v>9472.370000000001</c:v>
                </c:pt>
                <c:pt idx="183">
                  <c:v>9472.370000000001</c:v>
                </c:pt>
                <c:pt idx="184">
                  <c:v>9564.25</c:v>
                </c:pt>
                <c:pt idx="185">
                  <c:v>9552.889999999999</c:v>
                </c:pt>
                <c:pt idx="186">
                  <c:v>9654.24</c:v>
                </c:pt>
                <c:pt idx="187">
                  <c:v>9472.370000000001</c:v>
                </c:pt>
                <c:pt idx="188">
                  <c:v>9443.950000000001</c:v>
                </c:pt>
                <c:pt idx="189">
                  <c:v>9377.65</c:v>
                </c:pt>
                <c:pt idx="190">
                  <c:v>9462.9</c:v>
                </c:pt>
                <c:pt idx="191">
                  <c:v>9192.94</c:v>
                </c:pt>
                <c:pt idx="192">
                  <c:v>9387.12</c:v>
                </c:pt>
                <c:pt idx="193">
                  <c:v>9377.65</c:v>
                </c:pt>
                <c:pt idx="194">
                  <c:v>9415.54</c:v>
                </c:pt>
                <c:pt idx="195">
                  <c:v>9472.370000000001</c:v>
                </c:pt>
                <c:pt idx="196">
                  <c:v>9444.9</c:v>
                </c:pt>
                <c:pt idx="197">
                  <c:v>9434.48</c:v>
                </c:pt>
                <c:pt idx="198">
                  <c:v>9472.370000000001</c:v>
                </c:pt>
                <c:pt idx="199">
                  <c:v>9425.01</c:v>
                </c:pt>
                <c:pt idx="200">
                  <c:v>9472.370000000001</c:v>
                </c:pt>
                <c:pt idx="201">
                  <c:v>9472.370000000001</c:v>
                </c:pt>
                <c:pt idx="202">
                  <c:v>9349.23</c:v>
                </c:pt>
                <c:pt idx="203">
                  <c:v>9432.59</c:v>
                </c:pt>
                <c:pt idx="204">
                  <c:v>9472.370000000001</c:v>
                </c:pt>
                <c:pt idx="205">
                  <c:v>9335.969999999999</c:v>
                </c:pt>
                <c:pt idx="206">
                  <c:v>9377.65</c:v>
                </c:pt>
                <c:pt idx="207">
                  <c:v>9254.51</c:v>
                </c:pt>
                <c:pt idx="208">
                  <c:v>9235.559999999999</c:v>
                </c:pt>
                <c:pt idx="209">
                  <c:v>9235.559999999999</c:v>
                </c:pt>
                <c:pt idx="210">
                  <c:v>9182.52</c:v>
                </c:pt>
                <c:pt idx="211">
                  <c:v>9188.2</c:v>
                </c:pt>
                <c:pt idx="212">
                  <c:v>8879.4</c:v>
                </c:pt>
                <c:pt idx="213">
                  <c:v>8888.870000000001</c:v>
                </c:pt>
                <c:pt idx="214">
                  <c:v>8710.91</c:v>
                </c:pt>
                <c:pt idx="215">
                  <c:v>8710.91</c:v>
                </c:pt>
                <c:pt idx="216">
                  <c:v>8664.08</c:v>
                </c:pt>
                <c:pt idx="217">
                  <c:v>8546.99</c:v>
                </c:pt>
                <c:pt idx="218">
                  <c:v>8336.25</c:v>
                </c:pt>
                <c:pt idx="219">
                  <c:v>8242.58</c:v>
                </c:pt>
                <c:pt idx="220">
                  <c:v>8183.57</c:v>
                </c:pt>
                <c:pt idx="221">
                  <c:v>8167.65</c:v>
                </c:pt>
                <c:pt idx="222">
                  <c:v>8242.58</c:v>
                </c:pt>
                <c:pt idx="223">
                  <c:v>8242.58</c:v>
                </c:pt>
                <c:pt idx="224">
                  <c:v>8242.58</c:v>
                </c:pt>
                <c:pt idx="225">
                  <c:v>8392.44</c:v>
                </c:pt>
                <c:pt idx="226">
                  <c:v>8383.08</c:v>
                </c:pt>
                <c:pt idx="227">
                  <c:v>8710.91</c:v>
                </c:pt>
                <c:pt idx="228">
                  <c:v>8547.93</c:v>
                </c:pt>
                <c:pt idx="229">
                  <c:v>8687.49</c:v>
                </c:pt>
                <c:pt idx="230">
                  <c:v>8710.91</c:v>
                </c:pt>
                <c:pt idx="231">
                  <c:v>8664.08</c:v>
                </c:pt>
                <c:pt idx="232">
                  <c:v>8830.799999999999</c:v>
                </c:pt>
                <c:pt idx="233">
                  <c:v>8710.91</c:v>
                </c:pt>
                <c:pt idx="234">
                  <c:v>8523.58</c:v>
                </c:pt>
                <c:pt idx="235">
                  <c:v>8898.24</c:v>
                </c:pt>
                <c:pt idx="236">
                  <c:v>8992.84</c:v>
                </c:pt>
                <c:pt idx="237">
                  <c:v>9256.04</c:v>
                </c:pt>
                <c:pt idx="238">
                  <c:v>9179.24</c:v>
                </c:pt>
                <c:pt idx="239">
                  <c:v>9330.04</c:v>
                </c:pt>
                <c:pt idx="240">
                  <c:v>9633.51</c:v>
                </c:pt>
                <c:pt idx="241">
                  <c:v>9360.950000000001</c:v>
                </c:pt>
                <c:pt idx="242">
                  <c:v>9015.32</c:v>
                </c:pt>
                <c:pt idx="243">
                  <c:v>10532.71</c:v>
                </c:pt>
                <c:pt idx="244">
                  <c:v>10593.59</c:v>
                </c:pt>
                <c:pt idx="245">
                  <c:v>10537.39</c:v>
                </c:pt>
                <c:pt idx="246">
                  <c:v>9787.129999999999</c:v>
                </c:pt>
                <c:pt idx="247">
                  <c:v>9963.219999999999</c:v>
                </c:pt>
                <c:pt idx="248">
                  <c:v>9742.17</c:v>
                </c:pt>
                <c:pt idx="249">
                  <c:v>10022.23</c:v>
                </c:pt>
                <c:pt idx="250">
                  <c:v>10677.89</c:v>
                </c:pt>
                <c:pt idx="251">
                  <c:v>10162.73</c:v>
                </c:pt>
                <c:pt idx="252">
                  <c:v>9958.53</c:v>
                </c:pt>
                <c:pt idx="253">
                  <c:v>9296.32</c:v>
                </c:pt>
                <c:pt idx="254">
                  <c:v>9515.5</c:v>
                </c:pt>
                <c:pt idx="255">
                  <c:v>9447.12</c:v>
                </c:pt>
                <c:pt idx="256">
                  <c:v>9460.23</c:v>
                </c:pt>
                <c:pt idx="257">
                  <c:v>9381.549999999999</c:v>
                </c:pt>
                <c:pt idx="258">
                  <c:v>9450.870000000001</c:v>
                </c:pt>
                <c:pt idx="259">
                  <c:v>9403.1</c:v>
                </c:pt>
                <c:pt idx="260">
                  <c:v>9366.57</c:v>
                </c:pt>
                <c:pt idx="261">
                  <c:v>9348.77</c:v>
                </c:pt>
                <c:pt idx="262">
                  <c:v>9380.62</c:v>
                </c:pt>
                <c:pt idx="263">
                  <c:v>9413.4</c:v>
                </c:pt>
                <c:pt idx="264">
                  <c:v>9443.370000000001</c:v>
                </c:pt>
                <c:pt idx="265">
                  <c:v>9310.370000000001</c:v>
                </c:pt>
                <c:pt idx="266">
                  <c:v>9604.48</c:v>
                </c:pt>
                <c:pt idx="267">
                  <c:v>9583.870000000001</c:v>
                </c:pt>
                <c:pt idx="268">
                  <c:v>9681.28</c:v>
                </c:pt>
                <c:pt idx="269">
                  <c:v>9741.23</c:v>
                </c:pt>
                <c:pt idx="270">
                  <c:v>9689.709999999999</c:v>
                </c:pt>
                <c:pt idx="271">
                  <c:v>9422.77</c:v>
                </c:pt>
                <c:pt idx="272">
                  <c:v>9469.6</c:v>
                </c:pt>
                <c:pt idx="273">
                  <c:v>9230.75</c:v>
                </c:pt>
                <c:pt idx="274">
                  <c:v>9277.59</c:v>
                </c:pt>
                <c:pt idx="275">
                  <c:v>9493.950000000001</c:v>
                </c:pt>
                <c:pt idx="276">
                  <c:v>9383.43</c:v>
                </c:pt>
                <c:pt idx="277">
                  <c:v>8991.91</c:v>
                </c:pt>
                <c:pt idx="278">
                  <c:v>8804.57</c:v>
                </c:pt>
                <c:pt idx="279">
                  <c:v>9141.77</c:v>
                </c:pt>
                <c:pt idx="280">
                  <c:v>9582.94</c:v>
                </c:pt>
                <c:pt idx="281">
                  <c:v>9789.94</c:v>
                </c:pt>
                <c:pt idx="282">
                  <c:v>9881.73</c:v>
                </c:pt>
                <c:pt idx="283">
                  <c:v>9509.879999999999</c:v>
                </c:pt>
                <c:pt idx="284">
                  <c:v>9741.23</c:v>
                </c:pt>
                <c:pt idx="285">
                  <c:v>9870.49</c:v>
                </c:pt>
                <c:pt idx="286">
                  <c:v>10251.71</c:v>
                </c:pt>
                <c:pt idx="287">
                  <c:v>9834.9</c:v>
                </c:pt>
                <c:pt idx="288">
                  <c:v>10197.38</c:v>
                </c:pt>
                <c:pt idx="289">
                  <c:v>10247.03</c:v>
                </c:pt>
                <c:pt idx="290">
                  <c:v>10115.89</c:v>
                </c:pt>
                <c:pt idx="291">
                  <c:v>10114.02</c:v>
                </c:pt>
                <c:pt idx="292">
                  <c:v>10209.56</c:v>
                </c:pt>
                <c:pt idx="293">
                  <c:v>10303.22</c:v>
                </c:pt>
                <c:pt idx="294">
                  <c:v>10396.89</c:v>
                </c:pt>
                <c:pt idx="295">
                  <c:v>10458.71</c:v>
                </c:pt>
                <c:pt idx="296">
                  <c:v>10489.62</c:v>
                </c:pt>
                <c:pt idx="297">
                  <c:v>10677.89</c:v>
                </c:pt>
                <c:pt idx="298">
                  <c:v>10771.55</c:v>
                </c:pt>
                <c:pt idx="299">
                  <c:v>10677.89</c:v>
                </c:pt>
                <c:pt idx="300">
                  <c:v>10628.24</c:v>
                </c:pt>
                <c:pt idx="301">
                  <c:v>10654.47</c:v>
                </c:pt>
                <c:pt idx="302">
                  <c:v>10162.73</c:v>
                </c:pt>
                <c:pt idx="303">
                  <c:v>10256.39</c:v>
                </c:pt>
                <c:pt idx="304">
                  <c:v>10429.67</c:v>
                </c:pt>
                <c:pt idx="305">
                  <c:v>10261.07</c:v>
                </c:pt>
                <c:pt idx="306">
                  <c:v>10441.85</c:v>
                </c:pt>
                <c:pt idx="307">
                  <c:v>10462.46</c:v>
                </c:pt>
                <c:pt idx="308">
                  <c:v>10359.42</c:v>
                </c:pt>
                <c:pt idx="309">
                  <c:v>10560.81</c:v>
                </c:pt>
                <c:pt idx="310">
                  <c:v>10560.81</c:v>
                </c:pt>
                <c:pt idx="311">
                  <c:v>10537.39</c:v>
                </c:pt>
                <c:pt idx="312">
                  <c:v>10326.64</c:v>
                </c:pt>
                <c:pt idx="313">
                  <c:v>10115.89</c:v>
                </c:pt>
                <c:pt idx="314">
                  <c:v>10209.56</c:v>
                </c:pt>
                <c:pt idx="315">
                  <c:v>10209.56</c:v>
                </c:pt>
                <c:pt idx="316">
                  <c:v>10209.56</c:v>
                </c:pt>
                <c:pt idx="317">
                  <c:v>10209.56</c:v>
                </c:pt>
                <c:pt idx="318">
                  <c:v>10256.39</c:v>
                </c:pt>
                <c:pt idx="319">
                  <c:v>10022.23</c:v>
                </c:pt>
                <c:pt idx="320">
                  <c:v>10301.35</c:v>
                </c:pt>
                <c:pt idx="321">
                  <c:v>10115.89</c:v>
                </c:pt>
                <c:pt idx="322">
                  <c:v>10209.56</c:v>
                </c:pt>
                <c:pt idx="323">
                  <c:v>10209.56</c:v>
                </c:pt>
                <c:pt idx="324">
                  <c:v>10110.27</c:v>
                </c:pt>
                <c:pt idx="325">
                  <c:v>10106.53</c:v>
                </c:pt>
                <c:pt idx="326">
                  <c:v>9923.879999999999</c:v>
                </c:pt>
                <c:pt idx="327">
                  <c:v>9872.360000000001</c:v>
                </c:pt>
                <c:pt idx="328">
                  <c:v>10049.39</c:v>
                </c:pt>
                <c:pt idx="329">
                  <c:v>10003.71</c:v>
                </c:pt>
                <c:pt idx="330">
                  <c:v>9967.17</c:v>
                </c:pt>
                <c:pt idx="331">
                  <c:v>10003.71</c:v>
                </c:pt>
                <c:pt idx="332">
                  <c:v>9912.35</c:v>
                </c:pt>
                <c:pt idx="333">
                  <c:v>9651.98</c:v>
                </c:pt>
                <c:pt idx="334">
                  <c:v>9579.809999999999</c:v>
                </c:pt>
                <c:pt idx="335">
                  <c:v>9501.24</c:v>
                </c:pt>
                <c:pt idx="336">
                  <c:v>9767.09</c:v>
                </c:pt>
                <c:pt idx="337">
                  <c:v>9831.04</c:v>
                </c:pt>
                <c:pt idx="338">
                  <c:v>9658.379999999999</c:v>
                </c:pt>
                <c:pt idx="339">
                  <c:v>9661.12</c:v>
                </c:pt>
                <c:pt idx="340">
                  <c:v>9640.11</c:v>
                </c:pt>
                <c:pt idx="341">
                  <c:v>9665.69</c:v>
                </c:pt>
                <c:pt idx="342">
                  <c:v>9318.53</c:v>
                </c:pt>
                <c:pt idx="343">
                  <c:v>9135.809999999999</c:v>
                </c:pt>
                <c:pt idx="344">
                  <c:v>9135.809999999999</c:v>
                </c:pt>
                <c:pt idx="345">
                  <c:v>9184.23</c:v>
                </c:pt>
                <c:pt idx="346">
                  <c:v>9227.17</c:v>
                </c:pt>
                <c:pt idx="347">
                  <c:v>9456.48</c:v>
                </c:pt>
                <c:pt idx="348">
                  <c:v>9593.51</c:v>
                </c:pt>
                <c:pt idx="349">
                  <c:v>9423.59</c:v>
                </c:pt>
                <c:pt idx="350">
                  <c:v>9134.9</c:v>
                </c:pt>
                <c:pt idx="351">
                  <c:v>9067.29</c:v>
                </c:pt>
                <c:pt idx="352">
                  <c:v>8998.77</c:v>
                </c:pt>
                <c:pt idx="353">
                  <c:v>9135.809999999999</c:v>
                </c:pt>
                <c:pt idx="354">
                  <c:v>9537.78</c:v>
                </c:pt>
                <c:pt idx="355">
                  <c:v>9592.6</c:v>
                </c:pt>
                <c:pt idx="356">
                  <c:v>9227.17</c:v>
                </c:pt>
                <c:pt idx="357">
                  <c:v>9227.17</c:v>
                </c:pt>
                <c:pt idx="358">
                  <c:v>9044.450000000001</c:v>
                </c:pt>
                <c:pt idx="359">
                  <c:v>8998.77</c:v>
                </c:pt>
                <c:pt idx="360">
                  <c:v>8588.57</c:v>
                </c:pt>
                <c:pt idx="361">
                  <c:v>8541.98</c:v>
                </c:pt>
                <c:pt idx="362">
                  <c:v>8222.23</c:v>
                </c:pt>
                <c:pt idx="363">
                  <c:v>7901.56</c:v>
                </c:pt>
                <c:pt idx="364">
                  <c:v>8039.51</c:v>
                </c:pt>
                <c:pt idx="365">
                  <c:v>8064.18</c:v>
                </c:pt>
                <c:pt idx="366">
                  <c:v>7912.52</c:v>
                </c:pt>
                <c:pt idx="367">
                  <c:v>7813.86</c:v>
                </c:pt>
                <c:pt idx="368">
                  <c:v>7809.29</c:v>
                </c:pt>
                <c:pt idx="369">
                  <c:v>7857.71</c:v>
                </c:pt>
                <c:pt idx="370">
                  <c:v>7540.7</c:v>
                </c:pt>
                <c:pt idx="371">
                  <c:v>7139.63</c:v>
                </c:pt>
                <c:pt idx="372">
                  <c:v>7125.02</c:v>
                </c:pt>
                <c:pt idx="373">
                  <c:v>6915.81</c:v>
                </c:pt>
                <c:pt idx="374">
                  <c:v>6924.94</c:v>
                </c:pt>
                <c:pt idx="375">
                  <c:v>6840.89</c:v>
                </c:pt>
                <c:pt idx="376">
                  <c:v>6829.02</c:v>
                </c:pt>
                <c:pt idx="377">
                  <c:v>6851.86</c:v>
                </c:pt>
                <c:pt idx="378">
                  <c:v>6897.54</c:v>
                </c:pt>
                <c:pt idx="379">
                  <c:v>6896.62</c:v>
                </c:pt>
                <c:pt idx="380">
                  <c:v>6866.47</c:v>
                </c:pt>
                <c:pt idx="381">
                  <c:v>6892.97</c:v>
                </c:pt>
                <c:pt idx="382">
                  <c:v>6835.41</c:v>
                </c:pt>
                <c:pt idx="383">
                  <c:v>6824.45</c:v>
                </c:pt>
                <c:pt idx="384">
                  <c:v>6755.93</c:v>
                </c:pt>
                <c:pt idx="385">
                  <c:v>6422.47</c:v>
                </c:pt>
                <c:pt idx="386">
                  <c:v>6395.07</c:v>
                </c:pt>
                <c:pt idx="387">
                  <c:v>6440.75</c:v>
                </c:pt>
                <c:pt idx="388">
                  <c:v>6548.55</c:v>
                </c:pt>
                <c:pt idx="389">
                  <c:v>6541.24</c:v>
                </c:pt>
                <c:pt idx="390">
                  <c:v>6669.14</c:v>
                </c:pt>
                <c:pt idx="391">
                  <c:v>6870.13</c:v>
                </c:pt>
                <c:pt idx="392">
                  <c:v>7052.84</c:v>
                </c:pt>
                <c:pt idx="393">
                  <c:v>7080.25</c:v>
                </c:pt>
                <c:pt idx="394">
                  <c:v>7016.3</c:v>
                </c:pt>
                <c:pt idx="395">
                  <c:v>6764.15</c:v>
                </c:pt>
                <c:pt idx="396">
                  <c:v>6774.2</c:v>
                </c:pt>
                <c:pt idx="397">
                  <c:v>6760.5</c:v>
                </c:pt>
                <c:pt idx="398">
                  <c:v>6720.3</c:v>
                </c:pt>
                <c:pt idx="399">
                  <c:v>6669.14</c:v>
                </c:pt>
                <c:pt idx="400">
                  <c:v>6578.7</c:v>
                </c:pt>
                <c:pt idx="401">
                  <c:v>6762.33</c:v>
                </c:pt>
                <c:pt idx="402">
                  <c:v>6829.02</c:v>
                </c:pt>
                <c:pt idx="403">
                  <c:v>6760.5</c:v>
                </c:pt>
                <c:pt idx="404">
                  <c:v>6550.38</c:v>
                </c:pt>
                <c:pt idx="405">
                  <c:v>6440.75</c:v>
                </c:pt>
                <c:pt idx="406">
                  <c:v>6571.39</c:v>
                </c:pt>
                <c:pt idx="407">
                  <c:v>6644.47</c:v>
                </c:pt>
                <c:pt idx="408">
                  <c:v>6577.78</c:v>
                </c:pt>
                <c:pt idx="409">
                  <c:v>6577.78</c:v>
                </c:pt>
                <c:pt idx="410">
                  <c:v>6486.42</c:v>
                </c:pt>
                <c:pt idx="411">
                  <c:v>6526.62</c:v>
                </c:pt>
                <c:pt idx="412">
                  <c:v>6564.08</c:v>
                </c:pt>
                <c:pt idx="413">
                  <c:v>6468.15</c:v>
                </c:pt>
                <c:pt idx="414">
                  <c:v>6851.86</c:v>
                </c:pt>
                <c:pt idx="415">
                  <c:v>7116.8</c:v>
                </c:pt>
                <c:pt idx="416">
                  <c:v>7127.76</c:v>
                </c:pt>
                <c:pt idx="417">
                  <c:v>7164.3</c:v>
                </c:pt>
                <c:pt idx="418">
                  <c:v>7156.08</c:v>
                </c:pt>
                <c:pt idx="419">
                  <c:v>7225.51</c:v>
                </c:pt>
                <c:pt idx="420">
                  <c:v>7236.47</c:v>
                </c:pt>
                <c:pt idx="421">
                  <c:v>7355.24</c:v>
                </c:pt>
                <c:pt idx="422">
                  <c:v>7427.41</c:v>
                </c:pt>
                <c:pt idx="423">
                  <c:v>7501.41</c:v>
                </c:pt>
                <c:pt idx="424">
                  <c:v>7431.07</c:v>
                </c:pt>
                <c:pt idx="425">
                  <c:v>7551.66</c:v>
                </c:pt>
                <c:pt idx="426">
                  <c:v>7442.94</c:v>
                </c:pt>
                <c:pt idx="427">
                  <c:v>7491.36</c:v>
                </c:pt>
                <c:pt idx="428">
                  <c:v>7354.33</c:v>
                </c:pt>
                <c:pt idx="429">
                  <c:v>7445.68</c:v>
                </c:pt>
                <c:pt idx="430">
                  <c:v>7491.36</c:v>
                </c:pt>
                <c:pt idx="431">
                  <c:v>7628.4</c:v>
                </c:pt>
                <c:pt idx="432">
                  <c:v>7856.8</c:v>
                </c:pt>
                <c:pt idx="433">
                  <c:v>7765.44</c:v>
                </c:pt>
                <c:pt idx="434">
                  <c:v>7674.99</c:v>
                </c:pt>
                <c:pt idx="435">
                  <c:v>7674.08</c:v>
                </c:pt>
                <c:pt idx="436">
                  <c:v>7560.8</c:v>
                </c:pt>
                <c:pt idx="437">
                  <c:v>7537.04</c:v>
                </c:pt>
                <c:pt idx="438">
                  <c:v>7322.35</c:v>
                </c:pt>
                <c:pt idx="439">
                  <c:v>7584.55</c:v>
                </c:pt>
                <c:pt idx="440">
                  <c:v>7856.8</c:v>
                </c:pt>
                <c:pt idx="441">
                  <c:v>7948.15</c:v>
                </c:pt>
                <c:pt idx="442">
                  <c:v>7765.44</c:v>
                </c:pt>
                <c:pt idx="443">
                  <c:v>7935.36</c:v>
                </c:pt>
                <c:pt idx="444">
                  <c:v>7948.15</c:v>
                </c:pt>
                <c:pt idx="445">
                  <c:v>7948.15</c:v>
                </c:pt>
                <c:pt idx="446">
                  <c:v>7993.83</c:v>
                </c:pt>
                <c:pt idx="447">
                  <c:v>7878.72</c:v>
                </c:pt>
                <c:pt idx="448">
                  <c:v>7902.47</c:v>
                </c:pt>
                <c:pt idx="449">
                  <c:v>7947.24</c:v>
                </c:pt>
                <c:pt idx="450">
                  <c:v>7948.15</c:v>
                </c:pt>
                <c:pt idx="451">
                  <c:v>7948.15</c:v>
                </c:pt>
                <c:pt idx="452">
                  <c:v>7921.66</c:v>
                </c:pt>
                <c:pt idx="453">
                  <c:v>8006.62</c:v>
                </c:pt>
                <c:pt idx="454">
                  <c:v>8039.51</c:v>
                </c:pt>
                <c:pt idx="455">
                  <c:v>8130.87</c:v>
                </c:pt>
                <c:pt idx="456">
                  <c:v>7948.15</c:v>
                </c:pt>
                <c:pt idx="457">
                  <c:v>8039.51</c:v>
                </c:pt>
                <c:pt idx="458">
                  <c:v>8039.51</c:v>
                </c:pt>
                <c:pt idx="459">
                  <c:v>7884.2</c:v>
                </c:pt>
                <c:pt idx="460">
                  <c:v>7856.8</c:v>
                </c:pt>
                <c:pt idx="461">
                  <c:v>7765.44</c:v>
                </c:pt>
                <c:pt idx="462">
                  <c:v>7948.15</c:v>
                </c:pt>
                <c:pt idx="463">
                  <c:v>7879.64</c:v>
                </c:pt>
                <c:pt idx="464">
                  <c:v>7648.5</c:v>
                </c:pt>
                <c:pt idx="465">
                  <c:v>7674.08</c:v>
                </c:pt>
                <c:pt idx="466">
                  <c:v>7657.64</c:v>
                </c:pt>
                <c:pt idx="467">
                  <c:v>7445.68</c:v>
                </c:pt>
                <c:pt idx="468">
                  <c:v>7303.17</c:v>
                </c:pt>
                <c:pt idx="469">
                  <c:v>7213.91</c:v>
                </c:pt>
                <c:pt idx="470">
                  <c:v>7483.49</c:v>
                </c:pt>
                <c:pt idx="471">
                  <c:v>7551.11</c:v>
                </c:pt>
                <c:pt idx="472">
                  <c:v>7618.73</c:v>
                </c:pt>
                <c:pt idx="473">
                  <c:v>7911.76</c:v>
                </c:pt>
                <c:pt idx="474">
                  <c:v>7844.14</c:v>
                </c:pt>
                <c:pt idx="475">
                  <c:v>7844.14</c:v>
                </c:pt>
                <c:pt idx="476">
                  <c:v>7889.22</c:v>
                </c:pt>
                <c:pt idx="477">
                  <c:v>7828.81</c:v>
                </c:pt>
                <c:pt idx="478">
                  <c:v>7844.14</c:v>
                </c:pt>
                <c:pt idx="479">
                  <c:v>8163.32</c:v>
                </c:pt>
                <c:pt idx="480">
                  <c:v>7934.3</c:v>
                </c:pt>
                <c:pt idx="481">
                  <c:v>7934.3</c:v>
                </c:pt>
                <c:pt idx="482">
                  <c:v>8123.65</c:v>
                </c:pt>
                <c:pt idx="483">
                  <c:v>7663.82</c:v>
                </c:pt>
                <c:pt idx="484">
                  <c:v>7642.18</c:v>
                </c:pt>
                <c:pt idx="485">
                  <c:v>7596.19</c:v>
                </c:pt>
                <c:pt idx="486">
                  <c:v>7636.77</c:v>
                </c:pt>
                <c:pt idx="487">
                  <c:v>7663.82</c:v>
                </c:pt>
                <c:pt idx="488">
                  <c:v>7663.82</c:v>
                </c:pt>
                <c:pt idx="489">
                  <c:v>7684.55</c:v>
                </c:pt>
                <c:pt idx="490">
                  <c:v>7490.7</c:v>
                </c:pt>
                <c:pt idx="491">
                  <c:v>7655.7</c:v>
                </c:pt>
                <c:pt idx="492">
                  <c:v>7371.69</c:v>
                </c:pt>
                <c:pt idx="493">
                  <c:v>7636.77</c:v>
                </c:pt>
                <c:pt idx="494">
                  <c:v>7618.73</c:v>
                </c:pt>
                <c:pt idx="495">
                  <c:v>7708.0</c:v>
                </c:pt>
                <c:pt idx="496">
                  <c:v>7510.54</c:v>
                </c:pt>
                <c:pt idx="497">
                  <c:v>7723.32</c:v>
                </c:pt>
                <c:pt idx="498">
                  <c:v>8114.63</c:v>
                </c:pt>
                <c:pt idx="499">
                  <c:v>8114.63</c:v>
                </c:pt>
                <c:pt idx="500">
                  <c:v>8069.55</c:v>
                </c:pt>
                <c:pt idx="501">
                  <c:v>8114.63</c:v>
                </c:pt>
                <c:pt idx="502">
                  <c:v>8114.63</c:v>
                </c:pt>
                <c:pt idx="503">
                  <c:v>7979.39</c:v>
                </c:pt>
                <c:pt idx="504">
                  <c:v>7862.17</c:v>
                </c:pt>
                <c:pt idx="505">
                  <c:v>7821.6</c:v>
                </c:pt>
                <c:pt idx="506">
                  <c:v>7767.5</c:v>
                </c:pt>
                <c:pt idx="507">
                  <c:v>7764.8</c:v>
                </c:pt>
                <c:pt idx="508">
                  <c:v>7889.22</c:v>
                </c:pt>
                <c:pt idx="509">
                  <c:v>7889.22</c:v>
                </c:pt>
                <c:pt idx="510">
                  <c:v>7966.76</c:v>
                </c:pt>
                <c:pt idx="511">
                  <c:v>7889.22</c:v>
                </c:pt>
                <c:pt idx="512">
                  <c:v>7966.76</c:v>
                </c:pt>
                <c:pt idx="513">
                  <c:v>7906.35</c:v>
                </c:pt>
                <c:pt idx="514">
                  <c:v>7882.01</c:v>
                </c:pt>
                <c:pt idx="515">
                  <c:v>8087.58</c:v>
                </c:pt>
                <c:pt idx="516">
                  <c:v>8137.17</c:v>
                </c:pt>
                <c:pt idx="517">
                  <c:v>8272.41</c:v>
                </c:pt>
                <c:pt idx="518">
                  <c:v>8193.07</c:v>
                </c:pt>
                <c:pt idx="519">
                  <c:v>8294.950000000001</c:v>
                </c:pt>
                <c:pt idx="520">
                  <c:v>8294.950000000001</c:v>
                </c:pt>
                <c:pt idx="521">
                  <c:v>8164.22</c:v>
                </c:pt>
                <c:pt idx="522">
                  <c:v>7911.76</c:v>
                </c:pt>
                <c:pt idx="523">
                  <c:v>7753.98</c:v>
                </c:pt>
                <c:pt idx="524">
                  <c:v>7753.98</c:v>
                </c:pt>
                <c:pt idx="525">
                  <c:v>7818.9</c:v>
                </c:pt>
                <c:pt idx="526">
                  <c:v>7934.3</c:v>
                </c:pt>
                <c:pt idx="527">
                  <c:v>8113.73</c:v>
                </c:pt>
                <c:pt idx="528">
                  <c:v>7753.98</c:v>
                </c:pt>
                <c:pt idx="529">
                  <c:v>7438.41</c:v>
                </c:pt>
                <c:pt idx="530">
                  <c:v>7393.33</c:v>
                </c:pt>
                <c:pt idx="531">
                  <c:v>7413.16</c:v>
                </c:pt>
                <c:pt idx="532">
                  <c:v>7386.12</c:v>
                </c:pt>
                <c:pt idx="533">
                  <c:v>7303.17</c:v>
                </c:pt>
                <c:pt idx="534">
                  <c:v>7406.85</c:v>
                </c:pt>
                <c:pt idx="535">
                  <c:v>7212.1</c:v>
                </c:pt>
                <c:pt idx="536">
                  <c:v>7213.0</c:v>
                </c:pt>
                <c:pt idx="537">
                  <c:v>7276.12</c:v>
                </c:pt>
                <c:pt idx="538">
                  <c:v>7242.76</c:v>
                </c:pt>
                <c:pt idx="539">
                  <c:v>7285.13</c:v>
                </c:pt>
                <c:pt idx="540">
                  <c:v>7403.25</c:v>
                </c:pt>
                <c:pt idx="541">
                  <c:v>7483.49</c:v>
                </c:pt>
                <c:pt idx="542">
                  <c:v>7462.75</c:v>
                </c:pt>
                <c:pt idx="543">
                  <c:v>7357.26</c:v>
                </c:pt>
                <c:pt idx="544">
                  <c:v>7573.65</c:v>
                </c:pt>
                <c:pt idx="545">
                  <c:v>7546.6</c:v>
                </c:pt>
                <c:pt idx="546">
                  <c:v>7560.13</c:v>
                </c:pt>
                <c:pt idx="547">
                  <c:v>7521.36</c:v>
                </c:pt>
                <c:pt idx="548">
                  <c:v>7582.67</c:v>
                </c:pt>
                <c:pt idx="549">
                  <c:v>7616.93</c:v>
                </c:pt>
                <c:pt idx="550">
                  <c:v>7507.83</c:v>
                </c:pt>
                <c:pt idx="551">
                  <c:v>7492.51</c:v>
                </c:pt>
                <c:pt idx="552">
                  <c:v>7555.62</c:v>
                </c:pt>
                <c:pt idx="553">
                  <c:v>7616.93</c:v>
                </c:pt>
                <c:pt idx="554">
                  <c:v>7606.11</c:v>
                </c:pt>
                <c:pt idx="555">
                  <c:v>7508.74</c:v>
                </c:pt>
                <c:pt idx="556">
                  <c:v>7551.11</c:v>
                </c:pt>
                <c:pt idx="557">
                  <c:v>7483.49</c:v>
                </c:pt>
                <c:pt idx="558">
                  <c:v>7506.93</c:v>
                </c:pt>
                <c:pt idx="559">
                  <c:v>7483.49</c:v>
                </c:pt>
                <c:pt idx="560">
                  <c:v>7618.73</c:v>
                </c:pt>
                <c:pt idx="561">
                  <c:v>7537.59</c:v>
                </c:pt>
                <c:pt idx="562">
                  <c:v>7488.0</c:v>
                </c:pt>
                <c:pt idx="563">
                  <c:v>7663.82</c:v>
                </c:pt>
                <c:pt idx="564">
                  <c:v>7630.46</c:v>
                </c:pt>
                <c:pt idx="565">
                  <c:v>7429.39</c:v>
                </c:pt>
                <c:pt idx="566">
                  <c:v>7548.23</c:v>
                </c:pt>
                <c:pt idx="567">
                  <c:v>7596.19</c:v>
                </c:pt>
                <c:pt idx="568">
                  <c:v>7663.82</c:v>
                </c:pt>
                <c:pt idx="569">
                  <c:v>7483.49</c:v>
                </c:pt>
                <c:pt idx="570">
                  <c:v>7454.72</c:v>
                </c:pt>
                <c:pt idx="571">
                  <c:v>7483.49</c:v>
                </c:pt>
                <c:pt idx="572">
                  <c:v>7460.05</c:v>
                </c:pt>
                <c:pt idx="573">
                  <c:v>7528.57</c:v>
                </c:pt>
                <c:pt idx="574">
                  <c:v>7486.2</c:v>
                </c:pt>
                <c:pt idx="575">
                  <c:v>7565.54</c:v>
                </c:pt>
                <c:pt idx="576">
                  <c:v>7341.03</c:v>
                </c:pt>
                <c:pt idx="577">
                  <c:v>7191.36</c:v>
                </c:pt>
                <c:pt idx="578">
                  <c:v>7213.0</c:v>
                </c:pt>
                <c:pt idx="579">
                  <c:v>7202.18</c:v>
                </c:pt>
                <c:pt idx="580">
                  <c:v>7181.45</c:v>
                </c:pt>
                <c:pt idx="581">
                  <c:v>7193.17</c:v>
                </c:pt>
                <c:pt idx="582">
                  <c:v>7204.57</c:v>
                </c:pt>
                <c:pt idx="583">
                  <c:v>7193.17</c:v>
                </c:pt>
                <c:pt idx="584">
                  <c:v>7224.75</c:v>
                </c:pt>
                <c:pt idx="585">
                  <c:v>7224.75</c:v>
                </c:pt>
                <c:pt idx="586">
                  <c:v>7162.47</c:v>
                </c:pt>
                <c:pt idx="587">
                  <c:v>7175.62</c:v>
                </c:pt>
                <c:pt idx="588">
                  <c:v>7017.73</c:v>
                </c:pt>
                <c:pt idx="589">
                  <c:v>6913.34</c:v>
                </c:pt>
                <c:pt idx="590">
                  <c:v>6754.56</c:v>
                </c:pt>
                <c:pt idx="591">
                  <c:v>6737.02</c:v>
                </c:pt>
                <c:pt idx="592">
                  <c:v>6842.28</c:v>
                </c:pt>
                <c:pt idx="593">
                  <c:v>6861.58</c:v>
                </c:pt>
                <c:pt idx="594">
                  <c:v>7193.17</c:v>
                </c:pt>
                <c:pt idx="595">
                  <c:v>7080.88</c:v>
                </c:pt>
                <c:pt idx="596">
                  <c:v>7008.08</c:v>
                </c:pt>
                <c:pt idx="597">
                  <c:v>6874.74</c:v>
                </c:pt>
                <c:pt idx="598">
                  <c:v>6965.09</c:v>
                </c:pt>
                <c:pt idx="599">
                  <c:v>7022.11</c:v>
                </c:pt>
                <c:pt idx="600">
                  <c:v>7279.14</c:v>
                </c:pt>
                <c:pt idx="601">
                  <c:v>7506.33</c:v>
                </c:pt>
                <c:pt idx="602">
                  <c:v>7632.65</c:v>
                </c:pt>
                <c:pt idx="603">
                  <c:v>7675.64</c:v>
                </c:pt>
                <c:pt idx="604">
                  <c:v>7719.5</c:v>
                </c:pt>
                <c:pt idx="605">
                  <c:v>7715.11</c:v>
                </c:pt>
                <c:pt idx="606">
                  <c:v>7719.5</c:v>
                </c:pt>
                <c:pt idx="607">
                  <c:v>7719.5</c:v>
                </c:pt>
                <c:pt idx="608">
                  <c:v>7763.36</c:v>
                </c:pt>
                <c:pt idx="609">
                  <c:v>7719.5</c:v>
                </c:pt>
                <c:pt idx="610">
                  <c:v>7632.65</c:v>
                </c:pt>
                <c:pt idx="611">
                  <c:v>7631.78</c:v>
                </c:pt>
                <c:pt idx="612">
                  <c:v>7517.74</c:v>
                </c:pt>
                <c:pt idx="613">
                  <c:v>7368.61</c:v>
                </c:pt>
                <c:pt idx="614">
                  <c:v>7324.75</c:v>
                </c:pt>
                <c:pt idx="615">
                  <c:v>7412.47</c:v>
                </c:pt>
                <c:pt idx="616">
                  <c:v>7425.63</c:v>
                </c:pt>
                <c:pt idx="617">
                  <c:v>7280.89</c:v>
                </c:pt>
                <c:pt idx="618">
                  <c:v>7587.92</c:v>
                </c:pt>
                <c:pt idx="619">
                  <c:v>7451.95</c:v>
                </c:pt>
                <c:pt idx="620">
                  <c:v>7427.38</c:v>
                </c:pt>
                <c:pt idx="621">
                  <c:v>7368.61</c:v>
                </c:pt>
                <c:pt idx="622">
                  <c:v>7518.62</c:v>
                </c:pt>
                <c:pt idx="623">
                  <c:v>7368.61</c:v>
                </c:pt>
                <c:pt idx="624">
                  <c:v>7570.37</c:v>
                </c:pt>
                <c:pt idx="625">
                  <c:v>7587.92</c:v>
                </c:pt>
                <c:pt idx="626">
                  <c:v>7587.92</c:v>
                </c:pt>
                <c:pt idx="627">
                  <c:v>7522.12</c:v>
                </c:pt>
                <c:pt idx="628">
                  <c:v>7592.3</c:v>
                </c:pt>
                <c:pt idx="629">
                  <c:v>7544.05</c:v>
                </c:pt>
                <c:pt idx="630">
                  <c:v>7544.05</c:v>
                </c:pt>
                <c:pt idx="631">
                  <c:v>7605.46</c:v>
                </c:pt>
                <c:pt idx="632">
                  <c:v>7571.25</c:v>
                </c:pt>
                <c:pt idx="633">
                  <c:v>7483.53</c:v>
                </c:pt>
                <c:pt idx="634">
                  <c:v>7631.78</c:v>
                </c:pt>
                <c:pt idx="635">
                  <c:v>7631.78</c:v>
                </c:pt>
                <c:pt idx="636">
                  <c:v>7631.78</c:v>
                </c:pt>
                <c:pt idx="637">
                  <c:v>7456.33</c:v>
                </c:pt>
                <c:pt idx="638">
                  <c:v>7537.91</c:v>
                </c:pt>
                <c:pt idx="639">
                  <c:v>7547.86</c:v>
                </c:pt>
                <c:pt idx="640">
                  <c:v>7737.04</c:v>
                </c:pt>
                <c:pt idx="641">
                  <c:v>7763.36</c:v>
                </c:pt>
                <c:pt idx="642">
                  <c:v>7608.97</c:v>
                </c:pt>
                <c:pt idx="643">
                  <c:v>7526.51</c:v>
                </c:pt>
                <c:pt idx="644">
                  <c:v>7500.19</c:v>
                </c:pt>
                <c:pt idx="645">
                  <c:v>7434.4</c:v>
                </c:pt>
                <c:pt idx="646">
                  <c:v>7389.66</c:v>
                </c:pt>
                <c:pt idx="647">
                  <c:v>7386.16</c:v>
                </c:pt>
                <c:pt idx="648">
                  <c:v>7346.68</c:v>
                </c:pt>
                <c:pt idx="649">
                  <c:v>7324.75</c:v>
                </c:pt>
                <c:pt idx="650">
                  <c:v>7106.32</c:v>
                </c:pt>
                <c:pt idx="651">
                  <c:v>6930.0</c:v>
                </c:pt>
                <c:pt idx="652">
                  <c:v>7105.45</c:v>
                </c:pt>
                <c:pt idx="653">
                  <c:v>7193.17</c:v>
                </c:pt>
                <c:pt idx="654">
                  <c:v>7306.33</c:v>
                </c:pt>
                <c:pt idx="655">
                  <c:v>7386.16</c:v>
                </c:pt>
                <c:pt idx="656">
                  <c:v>7560.72</c:v>
                </c:pt>
                <c:pt idx="657">
                  <c:v>7622.13</c:v>
                </c:pt>
                <c:pt idx="658">
                  <c:v>7684.41</c:v>
                </c:pt>
                <c:pt idx="659">
                  <c:v>7796.69</c:v>
                </c:pt>
                <c:pt idx="660">
                  <c:v>7761.6</c:v>
                </c:pt>
                <c:pt idx="661">
                  <c:v>7684.41</c:v>
                </c:pt>
                <c:pt idx="662">
                  <c:v>7544.93</c:v>
                </c:pt>
                <c:pt idx="663">
                  <c:v>7689.67</c:v>
                </c:pt>
                <c:pt idx="664">
                  <c:v>7719.5</c:v>
                </c:pt>
                <c:pt idx="665">
                  <c:v>7684.41</c:v>
                </c:pt>
                <c:pt idx="666">
                  <c:v>7719.5</c:v>
                </c:pt>
                <c:pt idx="667">
                  <c:v>7696.69</c:v>
                </c:pt>
                <c:pt idx="668">
                  <c:v>7701.95</c:v>
                </c:pt>
                <c:pt idx="669">
                  <c:v>7786.17</c:v>
                </c:pt>
                <c:pt idx="670">
                  <c:v>7800.2</c:v>
                </c:pt>
                <c:pt idx="671">
                  <c:v>7817.75</c:v>
                </c:pt>
                <c:pt idx="672">
                  <c:v>7763.36</c:v>
                </c:pt>
                <c:pt idx="673">
                  <c:v>7672.13</c:v>
                </c:pt>
                <c:pt idx="674">
                  <c:v>7552.83</c:v>
                </c:pt>
                <c:pt idx="675">
                  <c:v>7720.37</c:v>
                </c:pt>
                <c:pt idx="676">
                  <c:v>7694.94</c:v>
                </c:pt>
                <c:pt idx="677">
                  <c:v>7806.34</c:v>
                </c:pt>
                <c:pt idx="678">
                  <c:v>7824.76</c:v>
                </c:pt>
                <c:pt idx="679">
                  <c:v>7890.55</c:v>
                </c:pt>
                <c:pt idx="680">
                  <c:v>7894.94</c:v>
                </c:pt>
                <c:pt idx="681">
                  <c:v>8114.24</c:v>
                </c:pt>
                <c:pt idx="682">
                  <c:v>8216.879999999999</c:v>
                </c:pt>
                <c:pt idx="683">
                  <c:v>8044.07</c:v>
                </c:pt>
                <c:pt idx="684">
                  <c:v>8443.2</c:v>
                </c:pt>
                <c:pt idx="685">
                  <c:v>8508.99</c:v>
                </c:pt>
                <c:pt idx="686">
                  <c:v>8421.27</c:v>
                </c:pt>
                <c:pt idx="687">
                  <c:v>8482.68</c:v>
                </c:pt>
                <c:pt idx="688">
                  <c:v>8201.969999999999</c:v>
                </c:pt>
                <c:pt idx="689">
                  <c:v>8144.95</c:v>
                </c:pt>
                <c:pt idx="690">
                  <c:v>8140.56</c:v>
                </c:pt>
                <c:pt idx="691">
                  <c:v>8194.07</c:v>
                </c:pt>
                <c:pt idx="692">
                  <c:v>8123.02</c:v>
                </c:pt>
                <c:pt idx="693">
                  <c:v>8114.24</c:v>
                </c:pt>
                <c:pt idx="694">
                  <c:v>8099.33</c:v>
                </c:pt>
                <c:pt idx="695">
                  <c:v>8091.44</c:v>
                </c:pt>
                <c:pt idx="696">
                  <c:v>8026.52</c:v>
                </c:pt>
                <c:pt idx="697">
                  <c:v>8008.98</c:v>
                </c:pt>
                <c:pt idx="698">
                  <c:v>7982.66</c:v>
                </c:pt>
                <c:pt idx="699">
                  <c:v>8070.38</c:v>
                </c:pt>
                <c:pt idx="700">
                  <c:v>8070.38</c:v>
                </c:pt>
                <c:pt idx="701">
                  <c:v>8038.8</c:v>
                </c:pt>
                <c:pt idx="702">
                  <c:v>8038.8</c:v>
                </c:pt>
                <c:pt idx="703">
                  <c:v>8100.21</c:v>
                </c:pt>
                <c:pt idx="704">
                  <c:v>8092.31</c:v>
                </c:pt>
                <c:pt idx="705">
                  <c:v>8061.61</c:v>
                </c:pt>
                <c:pt idx="706">
                  <c:v>7981.79</c:v>
                </c:pt>
                <c:pt idx="707">
                  <c:v>7952.84</c:v>
                </c:pt>
                <c:pt idx="708">
                  <c:v>8070.38</c:v>
                </c:pt>
                <c:pt idx="709">
                  <c:v>7890.55</c:v>
                </c:pt>
                <c:pt idx="710">
                  <c:v>7386.16</c:v>
                </c:pt>
                <c:pt idx="711">
                  <c:v>7194.05</c:v>
                </c:pt>
                <c:pt idx="712">
                  <c:v>7017.73</c:v>
                </c:pt>
                <c:pt idx="713">
                  <c:v>6973.86</c:v>
                </c:pt>
                <c:pt idx="714">
                  <c:v>6979.13</c:v>
                </c:pt>
                <c:pt idx="715">
                  <c:v>7259.84</c:v>
                </c:pt>
                <c:pt idx="716">
                  <c:v>7453.12</c:v>
                </c:pt>
                <c:pt idx="717">
                  <c:v>7280.64</c:v>
                </c:pt>
                <c:pt idx="718">
                  <c:v>7349.98</c:v>
                </c:pt>
                <c:pt idx="719">
                  <c:v>7453.12</c:v>
                </c:pt>
                <c:pt idx="720">
                  <c:v>7627.34</c:v>
                </c:pt>
                <c:pt idx="721">
                  <c:v>7760.81</c:v>
                </c:pt>
                <c:pt idx="722">
                  <c:v>7792.02</c:v>
                </c:pt>
                <c:pt idx="723">
                  <c:v>7974.03</c:v>
                </c:pt>
                <c:pt idx="724">
                  <c:v>7864.82</c:v>
                </c:pt>
                <c:pt idx="725">
                  <c:v>7913.36</c:v>
                </c:pt>
                <c:pt idx="726">
                  <c:v>7887.36</c:v>
                </c:pt>
                <c:pt idx="727">
                  <c:v>7714.01</c:v>
                </c:pt>
                <c:pt idx="728">
                  <c:v>7453.99</c:v>
                </c:pt>
                <c:pt idx="729">
                  <c:v>7453.99</c:v>
                </c:pt>
                <c:pt idx="730">
                  <c:v>7453.99</c:v>
                </c:pt>
                <c:pt idx="731">
                  <c:v>7471.32</c:v>
                </c:pt>
                <c:pt idx="732">
                  <c:v>7453.12</c:v>
                </c:pt>
                <c:pt idx="733">
                  <c:v>7445.32</c:v>
                </c:pt>
                <c:pt idx="734">
                  <c:v>7471.32</c:v>
                </c:pt>
                <c:pt idx="735">
                  <c:v>7453.99</c:v>
                </c:pt>
                <c:pt idx="736">
                  <c:v>7453.99</c:v>
                </c:pt>
                <c:pt idx="737">
                  <c:v>7254.64</c:v>
                </c:pt>
                <c:pt idx="738">
                  <c:v>7258.97</c:v>
                </c:pt>
                <c:pt idx="739">
                  <c:v>7193.96</c:v>
                </c:pt>
                <c:pt idx="740">
                  <c:v>7193.96</c:v>
                </c:pt>
                <c:pt idx="741">
                  <c:v>7150.63</c:v>
                </c:pt>
                <c:pt idx="742">
                  <c:v>7150.63</c:v>
                </c:pt>
                <c:pt idx="743">
                  <c:v>7160.16</c:v>
                </c:pt>
                <c:pt idx="744">
                  <c:v>7149.76</c:v>
                </c:pt>
                <c:pt idx="745">
                  <c:v>7128.96</c:v>
                </c:pt>
                <c:pt idx="746">
                  <c:v>7107.29</c:v>
                </c:pt>
                <c:pt idx="747">
                  <c:v>7020.62</c:v>
                </c:pt>
                <c:pt idx="748">
                  <c:v>7020.62</c:v>
                </c:pt>
                <c:pt idx="749">
                  <c:v>7107.29</c:v>
                </c:pt>
                <c:pt idx="750">
                  <c:v>7020.62</c:v>
                </c:pt>
                <c:pt idx="751">
                  <c:v>6947.81</c:v>
                </c:pt>
                <c:pt idx="752">
                  <c:v>6951.28</c:v>
                </c:pt>
                <c:pt idx="753">
                  <c:v>7005.88</c:v>
                </c:pt>
                <c:pt idx="754">
                  <c:v>6959.94</c:v>
                </c:pt>
                <c:pt idx="755">
                  <c:v>7020.62</c:v>
                </c:pt>
                <c:pt idx="756">
                  <c:v>6990.28</c:v>
                </c:pt>
                <c:pt idx="757">
                  <c:v>6965.14</c:v>
                </c:pt>
                <c:pt idx="758">
                  <c:v>6933.94</c:v>
                </c:pt>
                <c:pt idx="759">
                  <c:v>6891.47</c:v>
                </c:pt>
                <c:pt idx="760">
                  <c:v>6933.94</c:v>
                </c:pt>
                <c:pt idx="761">
                  <c:v>6899.27</c:v>
                </c:pt>
                <c:pt idx="762">
                  <c:v>6933.94</c:v>
                </c:pt>
                <c:pt idx="763">
                  <c:v>6864.6</c:v>
                </c:pt>
                <c:pt idx="764">
                  <c:v>6717.26</c:v>
                </c:pt>
                <c:pt idx="765">
                  <c:v>6717.26</c:v>
                </c:pt>
                <c:pt idx="766">
                  <c:v>6738.92</c:v>
                </c:pt>
                <c:pt idx="767">
                  <c:v>6770.13</c:v>
                </c:pt>
                <c:pt idx="768">
                  <c:v>6803.93</c:v>
                </c:pt>
                <c:pt idx="769">
                  <c:v>6847.27</c:v>
                </c:pt>
                <c:pt idx="770">
                  <c:v>6808.26</c:v>
                </c:pt>
                <c:pt idx="771">
                  <c:v>6757.99</c:v>
                </c:pt>
                <c:pt idx="772">
                  <c:v>6757.13</c:v>
                </c:pt>
                <c:pt idx="773">
                  <c:v>6782.26</c:v>
                </c:pt>
                <c:pt idx="774">
                  <c:v>6977.28</c:v>
                </c:pt>
                <c:pt idx="775">
                  <c:v>6920.07</c:v>
                </c:pt>
                <c:pt idx="776">
                  <c:v>6977.28</c:v>
                </c:pt>
                <c:pt idx="777">
                  <c:v>7020.62</c:v>
                </c:pt>
                <c:pt idx="778">
                  <c:v>7020.62</c:v>
                </c:pt>
                <c:pt idx="779">
                  <c:v>7020.62</c:v>
                </c:pt>
                <c:pt idx="780">
                  <c:v>7107.29</c:v>
                </c:pt>
                <c:pt idx="781">
                  <c:v>7107.29</c:v>
                </c:pt>
                <c:pt idx="782">
                  <c:v>6673.92</c:v>
                </c:pt>
                <c:pt idx="783">
                  <c:v>6673.92</c:v>
                </c:pt>
                <c:pt idx="784">
                  <c:v>6500.57</c:v>
                </c:pt>
                <c:pt idx="785">
                  <c:v>6457.23</c:v>
                </c:pt>
                <c:pt idx="786">
                  <c:v>6500.57</c:v>
                </c:pt>
                <c:pt idx="787">
                  <c:v>6586.38</c:v>
                </c:pt>
                <c:pt idx="788">
                  <c:v>6409.56</c:v>
                </c:pt>
                <c:pt idx="789">
                  <c:v>6097.53</c:v>
                </c:pt>
                <c:pt idx="790">
                  <c:v>5945.85</c:v>
                </c:pt>
                <c:pt idx="791">
                  <c:v>5980.52</c:v>
                </c:pt>
                <c:pt idx="792">
                  <c:v>5978.79</c:v>
                </c:pt>
                <c:pt idx="793">
                  <c:v>5893.85</c:v>
                </c:pt>
                <c:pt idx="794">
                  <c:v>5937.19</c:v>
                </c:pt>
                <c:pt idx="795">
                  <c:v>5980.52</c:v>
                </c:pt>
                <c:pt idx="796">
                  <c:v>5976.19</c:v>
                </c:pt>
                <c:pt idx="797">
                  <c:v>5893.85</c:v>
                </c:pt>
                <c:pt idx="798">
                  <c:v>5947.59</c:v>
                </c:pt>
                <c:pt idx="799">
                  <c:v>5947.59</c:v>
                </c:pt>
                <c:pt idx="800">
                  <c:v>5962.32</c:v>
                </c:pt>
                <c:pt idx="801">
                  <c:v>5939.79</c:v>
                </c:pt>
                <c:pt idx="802">
                  <c:v>5960.59</c:v>
                </c:pt>
                <c:pt idx="803">
                  <c:v>5963.19</c:v>
                </c:pt>
                <c:pt idx="804">
                  <c:v>5965.79</c:v>
                </c:pt>
                <c:pt idx="805">
                  <c:v>5915.52</c:v>
                </c:pt>
                <c:pt idx="806">
                  <c:v>5980.52</c:v>
                </c:pt>
                <c:pt idx="807">
                  <c:v>5931.12</c:v>
                </c:pt>
                <c:pt idx="808">
                  <c:v>5925.92</c:v>
                </c:pt>
                <c:pt idx="809">
                  <c:v>5901.65</c:v>
                </c:pt>
                <c:pt idx="810">
                  <c:v>5954.52</c:v>
                </c:pt>
                <c:pt idx="811">
                  <c:v>5937.19</c:v>
                </c:pt>
                <c:pt idx="812">
                  <c:v>5980.52</c:v>
                </c:pt>
                <c:pt idx="813">
                  <c:v>5915.52</c:v>
                </c:pt>
                <c:pt idx="814">
                  <c:v>5893.85</c:v>
                </c:pt>
                <c:pt idx="815">
                  <c:v>5892.98</c:v>
                </c:pt>
                <c:pt idx="816">
                  <c:v>5893.85</c:v>
                </c:pt>
                <c:pt idx="817">
                  <c:v>5850.51</c:v>
                </c:pt>
                <c:pt idx="818">
                  <c:v>5771.64</c:v>
                </c:pt>
                <c:pt idx="819">
                  <c:v>5742.17</c:v>
                </c:pt>
                <c:pt idx="820">
                  <c:v>5730.04</c:v>
                </c:pt>
                <c:pt idx="821">
                  <c:v>5759.5</c:v>
                </c:pt>
                <c:pt idx="822">
                  <c:v>5728.3</c:v>
                </c:pt>
                <c:pt idx="823">
                  <c:v>5807.18</c:v>
                </c:pt>
                <c:pt idx="824">
                  <c:v>5807.18</c:v>
                </c:pt>
                <c:pt idx="825">
                  <c:v>5807.18</c:v>
                </c:pt>
                <c:pt idx="826">
                  <c:v>5720.5</c:v>
                </c:pt>
                <c:pt idx="827">
                  <c:v>5720.5</c:v>
                </c:pt>
                <c:pt idx="828">
                  <c:v>5720.5</c:v>
                </c:pt>
                <c:pt idx="829">
                  <c:v>5772.51</c:v>
                </c:pt>
                <c:pt idx="830">
                  <c:v>5757.77</c:v>
                </c:pt>
                <c:pt idx="831">
                  <c:v>5758.61</c:v>
                </c:pt>
                <c:pt idx="832">
                  <c:v>5825.37</c:v>
                </c:pt>
                <c:pt idx="833">
                  <c:v>5827.04</c:v>
                </c:pt>
                <c:pt idx="834">
                  <c:v>5924.69</c:v>
                </c:pt>
                <c:pt idx="835">
                  <c:v>5925.52</c:v>
                </c:pt>
                <c:pt idx="836">
                  <c:v>5924.69</c:v>
                </c:pt>
                <c:pt idx="837">
                  <c:v>5842.9</c:v>
                </c:pt>
                <c:pt idx="838">
                  <c:v>5925.52</c:v>
                </c:pt>
                <c:pt idx="839">
                  <c:v>5826.21</c:v>
                </c:pt>
                <c:pt idx="840">
                  <c:v>5825.37</c:v>
                </c:pt>
                <c:pt idx="841">
                  <c:v>5842.06</c:v>
                </c:pt>
                <c:pt idx="842">
                  <c:v>5800.34</c:v>
                </c:pt>
                <c:pt idx="843">
                  <c:v>5902.15</c:v>
                </c:pt>
                <c:pt idx="844">
                  <c:v>5925.52</c:v>
                </c:pt>
                <c:pt idx="845">
                  <c:v>5925.52</c:v>
                </c:pt>
                <c:pt idx="846">
                  <c:v>5800.34</c:v>
                </c:pt>
                <c:pt idx="847">
                  <c:v>5758.61</c:v>
                </c:pt>
                <c:pt idx="848">
                  <c:v>5883.79</c:v>
                </c:pt>
                <c:pt idx="849">
                  <c:v>5872.11</c:v>
                </c:pt>
                <c:pt idx="850">
                  <c:v>5926.36</c:v>
                </c:pt>
                <c:pt idx="851">
                  <c:v>5708.53</c:v>
                </c:pt>
                <c:pt idx="852">
                  <c:v>5722.72</c:v>
                </c:pt>
                <c:pt idx="853">
                  <c:v>5716.88</c:v>
                </c:pt>
                <c:pt idx="854">
                  <c:v>5704.36</c:v>
                </c:pt>
                <c:pt idx="855">
                  <c:v>5675.15</c:v>
                </c:pt>
                <c:pt idx="856">
                  <c:v>5569.99</c:v>
                </c:pt>
                <c:pt idx="857">
                  <c:v>5512.4</c:v>
                </c:pt>
                <c:pt idx="858">
                  <c:v>5549.13</c:v>
                </c:pt>
                <c:pt idx="859">
                  <c:v>5549.96</c:v>
                </c:pt>
                <c:pt idx="860">
                  <c:v>5440.63</c:v>
                </c:pt>
                <c:pt idx="861">
                  <c:v>5508.23</c:v>
                </c:pt>
                <c:pt idx="862">
                  <c:v>5424.77</c:v>
                </c:pt>
                <c:pt idx="863">
                  <c:v>5341.32</c:v>
                </c:pt>
                <c:pt idx="864">
                  <c:v>5332.97</c:v>
                </c:pt>
                <c:pt idx="865">
                  <c:v>5090.11</c:v>
                </c:pt>
                <c:pt idx="866">
                  <c:v>5074.25</c:v>
                </c:pt>
                <c:pt idx="867">
                  <c:v>5090.94</c:v>
                </c:pt>
                <c:pt idx="868">
                  <c:v>5007.48</c:v>
                </c:pt>
                <c:pt idx="869">
                  <c:v>5090.94</c:v>
                </c:pt>
                <c:pt idx="870">
                  <c:v>5090.94</c:v>
                </c:pt>
                <c:pt idx="871">
                  <c:v>5090.94</c:v>
                </c:pt>
                <c:pt idx="872">
                  <c:v>4840.57</c:v>
                </c:pt>
                <c:pt idx="873">
                  <c:v>5007.48</c:v>
                </c:pt>
                <c:pt idx="874">
                  <c:v>4840.57</c:v>
                </c:pt>
                <c:pt idx="875">
                  <c:v>4840.57</c:v>
                </c:pt>
                <c:pt idx="876">
                  <c:v>4840.57</c:v>
                </c:pt>
                <c:pt idx="877">
                  <c:v>4757.11</c:v>
                </c:pt>
                <c:pt idx="878">
                  <c:v>4736.24</c:v>
                </c:pt>
                <c:pt idx="879">
                  <c:v>4840.57</c:v>
                </c:pt>
                <c:pt idx="880">
                  <c:v>4757.11</c:v>
                </c:pt>
                <c:pt idx="881">
                  <c:v>4700.36</c:v>
                </c:pt>
                <c:pt idx="882">
                  <c:v>4840.57</c:v>
                </c:pt>
                <c:pt idx="883">
                  <c:v>4757.11</c:v>
                </c:pt>
                <c:pt idx="884">
                  <c:v>4840.57</c:v>
                </c:pt>
                <c:pt idx="885">
                  <c:v>4698.69</c:v>
                </c:pt>
                <c:pt idx="886">
                  <c:v>4590.19</c:v>
                </c:pt>
                <c:pt idx="887">
                  <c:v>4723.73</c:v>
                </c:pt>
                <c:pt idx="888">
                  <c:v>4552.64</c:v>
                </c:pt>
                <c:pt idx="889">
                  <c:v>4548.46</c:v>
                </c:pt>
                <c:pt idx="890">
                  <c:v>4506.74</c:v>
                </c:pt>
                <c:pt idx="891">
                  <c:v>4506.74</c:v>
                </c:pt>
                <c:pt idx="892">
                  <c:v>4590.19</c:v>
                </c:pt>
                <c:pt idx="893">
                  <c:v>4569.33</c:v>
                </c:pt>
                <c:pt idx="894">
                  <c:v>4581.85</c:v>
                </c:pt>
                <c:pt idx="895">
                  <c:v>4590.19</c:v>
                </c:pt>
                <c:pt idx="896">
                  <c:v>4506.74</c:v>
                </c:pt>
                <c:pt idx="897">
                  <c:v>4506.74</c:v>
                </c:pt>
                <c:pt idx="898">
                  <c:v>4506.74</c:v>
                </c:pt>
                <c:pt idx="899">
                  <c:v>4506.74</c:v>
                </c:pt>
                <c:pt idx="900">
                  <c:v>4506.74</c:v>
                </c:pt>
                <c:pt idx="901">
                  <c:v>4506.74</c:v>
                </c:pt>
                <c:pt idx="902">
                  <c:v>4506.74</c:v>
                </c:pt>
                <c:pt idx="903">
                  <c:v>4590.19</c:v>
                </c:pt>
                <c:pt idx="904">
                  <c:v>4590.19</c:v>
                </c:pt>
                <c:pt idx="905">
                  <c:v>4381.55</c:v>
                </c:pt>
                <c:pt idx="906">
                  <c:v>4381.55</c:v>
                </c:pt>
                <c:pt idx="907">
                  <c:v>4465.01</c:v>
                </c:pt>
                <c:pt idx="908">
                  <c:v>4423.28</c:v>
                </c:pt>
                <c:pt idx="909">
                  <c:v>4381.55</c:v>
                </c:pt>
                <c:pt idx="910">
                  <c:v>4423.28</c:v>
                </c:pt>
                <c:pt idx="911">
                  <c:v>4422.44</c:v>
                </c:pt>
                <c:pt idx="912">
                  <c:v>4429.95</c:v>
                </c:pt>
                <c:pt idx="913">
                  <c:v>4505.9</c:v>
                </c:pt>
                <c:pt idx="914">
                  <c:v>4506.74</c:v>
                </c:pt>
                <c:pt idx="915">
                  <c:v>4352.34</c:v>
                </c:pt>
                <c:pt idx="916">
                  <c:v>4298.92</c:v>
                </c:pt>
                <c:pt idx="917">
                  <c:v>4438.3</c:v>
                </c:pt>
                <c:pt idx="918">
                  <c:v>4406.59</c:v>
                </c:pt>
                <c:pt idx="919">
                  <c:v>4456.66</c:v>
                </c:pt>
                <c:pt idx="920">
                  <c:v>4506.74</c:v>
                </c:pt>
                <c:pt idx="921">
                  <c:v>4544.29</c:v>
                </c:pt>
                <c:pt idx="922">
                  <c:v>4548.46</c:v>
                </c:pt>
                <c:pt idx="923">
                  <c:v>4666.14</c:v>
                </c:pt>
                <c:pt idx="924">
                  <c:v>4505.9</c:v>
                </c:pt>
                <c:pt idx="925">
                  <c:v>4405.75</c:v>
                </c:pt>
                <c:pt idx="926">
                  <c:v>4348.16</c:v>
                </c:pt>
                <c:pt idx="927">
                  <c:v>4548.46</c:v>
                </c:pt>
                <c:pt idx="928">
                  <c:v>4298.09</c:v>
                </c:pt>
                <c:pt idx="929">
                  <c:v>4339.82</c:v>
                </c:pt>
                <c:pt idx="930">
                  <c:v>4331.47</c:v>
                </c:pt>
                <c:pt idx="931">
                  <c:v>4338.98</c:v>
                </c:pt>
                <c:pt idx="932">
                  <c:v>4097.79</c:v>
                </c:pt>
                <c:pt idx="933">
                  <c:v>4047.72</c:v>
                </c:pt>
                <c:pt idx="934">
                  <c:v>4089.44</c:v>
                </c:pt>
                <c:pt idx="935">
                  <c:v>4089.44</c:v>
                </c:pt>
                <c:pt idx="936">
                  <c:v>4089.44</c:v>
                </c:pt>
                <c:pt idx="937">
                  <c:v>4047.72</c:v>
                </c:pt>
                <c:pt idx="938">
                  <c:v>4089.44</c:v>
                </c:pt>
                <c:pt idx="939">
                  <c:v>4081.1</c:v>
                </c:pt>
                <c:pt idx="940">
                  <c:v>4047.72</c:v>
                </c:pt>
                <c:pt idx="941">
                  <c:v>4010.16</c:v>
                </c:pt>
                <c:pt idx="942">
                  <c:v>4110.31</c:v>
                </c:pt>
                <c:pt idx="943">
                  <c:v>4131.17</c:v>
                </c:pt>
                <c:pt idx="944">
                  <c:v>4156.21</c:v>
                </c:pt>
                <c:pt idx="945">
                  <c:v>4168.73</c:v>
                </c:pt>
                <c:pt idx="946">
                  <c:v>4172.9</c:v>
                </c:pt>
                <c:pt idx="947">
                  <c:v>4339.82</c:v>
                </c:pt>
                <c:pt idx="948">
                  <c:v>4340.65</c:v>
                </c:pt>
                <c:pt idx="949">
                  <c:v>4256.36</c:v>
                </c:pt>
                <c:pt idx="950">
                  <c:v>4022.68</c:v>
                </c:pt>
                <c:pt idx="951">
                  <c:v>4005.99</c:v>
                </c:pt>
                <c:pt idx="952">
                  <c:v>3924.2</c:v>
                </c:pt>
                <c:pt idx="953">
                  <c:v>3989.3</c:v>
                </c:pt>
                <c:pt idx="954">
                  <c:v>4005.99</c:v>
                </c:pt>
                <c:pt idx="955">
                  <c:v>4089.44</c:v>
                </c:pt>
                <c:pt idx="956">
                  <c:v>4089.44</c:v>
                </c:pt>
                <c:pt idx="957">
                  <c:v>4089.44</c:v>
                </c:pt>
                <c:pt idx="958">
                  <c:v>4089.44</c:v>
                </c:pt>
                <c:pt idx="959">
                  <c:v>4089.44</c:v>
                </c:pt>
                <c:pt idx="960">
                  <c:v>4005.99</c:v>
                </c:pt>
                <c:pt idx="961">
                  <c:v>4022.68</c:v>
                </c:pt>
                <c:pt idx="962">
                  <c:v>4047.72</c:v>
                </c:pt>
                <c:pt idx="963">
                  <c:v>4047.72</c:v>
                </c:pt>
                <c:pt idx="964">
                  <c:v>4135.35</c:v>
                </c:pt>
                <c:pt idx="965">
                  <c:v>4135.35</c:v>
                </c:pt>
                <c:pt idx="966">
                  <c:v>4052.64</c:v>
                </c:pt>
                <c:pt idx="967">
                  <c:v>4135.35</c:v>
                </c:pt>
                <c:pt idx="968">
                  <c:v>4052.64</c:v>
                </c:pt>
                <c:pt idx="969">
                  <c:v>4135.35</c:v>
                </c:pt>
                <c:pt idx="970">
                  <c:v>4052.64</c:v>
                </c:pt>
                <c:pt idx="971">
                  <c:v>4052.64</c:v>
                </c:pt>
                <c:pt idx="972">
                  <c:v>4052.64</c:v>
                </c:pt>
                <c:pt idx="973">
                  <c:v>3854.14</c:v>
                </c:pt>
                <c:pt idx="974">
                  <c:v>4093.99</c:v>
                </c:pt>
                <c:pt idx="975">
                  <c:v>4000.53</c:v>
                </c:pt>
                <c:pt idx="976">
                  <c:v>4053.47</c:v>
                </c:pt>
                <c:pt idx="977">
                  <c:v>3891.36</c:v>
                </c:pt>
                <c:pt idx="978">
                  <c:v>4102.26</c:v>
                </c:pt>
                <c:pt idx="979">
                  <c:v>3808.65</c:v>
                </c:pt>
                <c:pt idx="980">
                  <c:v>3804.52</c:v>
                </c:pt>
                <c:pt idx="981">
                  <c:v>3804.52</c:v>
                </c:pt>
                <c:pt idx="982">
                  <c:v>3804.52</c:v>
                </c:pt>
                <c:pt idx="983">
                  <c:v>3805.35</c:v>
                </c:pt>
                <c:pt idx="984">
                  <c:v>4135.35</c:v>
                </c:pt>
                <c:pt idx="985">
                  <c:v>3804.52</c:v>
                </c:pt>
                <c:pt idx="986">
                  <c:v>3804.52</c:v>
                </c:pt>
                <c:pt idx="987">
                  <c:v>3804.52</c:v>
                </c:pt>
                <c:pt idx="988">
                  <c:v>3804.52</c:v>
                </c:pt>
                <c:pt idx="989">
                  <c:v>3804.52</c:v>
                </c:pt>
                <c:pt idx="990">
                  <c:v>3816.93</c:v>
                </c:pt>
                <c:pt idx="991">
                  <c:v>3803.69</c:v>
                </c:pt>
                <c:pt idx="992">
                  <c:v>3802.04</c:v>
                </c:pt>
                <c:pt idx="993">
                  <c:v>3680.46</c:v>
                </c:pt>
                <c:pt idx="994">
                  <c:v>3680.46</c:v>
                </c:pt>
                <c:pt idx="995">
                  <c:v>3680.46</c:v>
                </c:pt>
                <c:pt idx="996">
                  <c:v>3713.54</c:v>
                </c:pt>
                <c:pt idx="997">
                  <c:v>3597.75</c:v>
                </c:pt>
                <c:pt idx="998">
                  <c:v>3639.11</c:v>
                </c:pt>
                <c:pt idx="999">
                  <c:v>3639.11</c:v>
                </c:pt>
                <c:pt idx="1000">
                  <c:v>3680.46</c:v>
                </c:pt>
                <c:pt idx="1001">
                  <c:v>3721.81</c:v>
                </c:pt>
                <c:pt idx="1002">
                  <c:v>3721.81</c:v>
                </c:pt>
                <c:pt idx="1003">
                  <c:v>3721.81</c:v>
                </c:pt>
                <c:pt idx="1004">
                  <c:v>3721.81</c:v>
                </c:pt>
                <c:pt idx="1005">
                  <c:v>3721.81</c:v>
                </c:pt>
                <c:pt idx="1006">
                  <c:v>3721.81</c:v>
                </c:pt>
                <c:pt idx="1007">
                  <c:v>3730.08</c:v>
                </c:pt>
                <c:pt idx="1008">
                  <c:v>3800.38</c:v>
                </c:pt>
                <c:pt idx="1009">
                  <c:v>3787.98</c:v>
                </c:pt>
                <c:pt idx="1010">
                  <c:v>3803.69</c:v>
                </c:pt>
                <c:pt idx="1011">
                  <c:v>3802.86</c:v>
                </c:pt>
                <c:pt idx="1012">
                  <c:v>3804.52</c:v>
                </c:pt>
                <c:pt idx="1013">
                  <c:v>3735.87</c:v>
                </c:pt>
                <c:pt idx="1014">
                  <c:v>3886.4</c:v>
                </c:pt>
                <c:pt idx="1015">
                  <c:v>3886.4</c:v>
                </c:pt>
                <c:pt idx="1016">
                  <c:v>3887.23</c:v>
                </c:pt>
                <c:pt idx="1017">
                  <c:v>3887.23</c:v>
                </c:pt>
                <c:pt idx="1018">
                  <c:v>4051.81</c:v>
                </c:pt>
                <c:pt idx="1019">
                  <c:v>3969.93</c:v>
                </c:pt>
                <c:pt idx="1020">
                  <c:v>3888.88</c:v>
                </c:pt>
                <c:pt idx="1021">
                  <c:v>3887.23</c:v>
                </c:pt>
                <c:pt idx="1022">
                  <c:v>3887.23</c:v>
                </c:pt>
                <c:pt idx="1023">
                  <c:v>3887.23</c:v>
                </c:pt>
                <c:pt idx="1024">
                  <c:v>3887.23</c:v>
                </c:pt>
                <c:pt idx="1025">
                  <c:v>3887.23</c:v>
                </c:pt>
                <c:pt idx="1026">
                  <c:v>3887.23</c:v>
                </c:pt>
                <c:pt idx="1027">
                  <c:v>3852.49</c:v>
                </c:pt>
                <c:pt idx="1028">
                  <c:v>3830.16</c:v>
                </c:pt>
                <c:pt idx="1029">
                  <c:v>3826.02</c:v>
                </c:pt>
                <c:pt idx="1030">
                  <c:v>3734.22</c:v>
                </c:pt>
                <c:pt idx="1031">
                  <c:v>3812.79</c:v>
                </c:pt>
                <c:pt idx="1032">
                  <c:v>3804.52</c:v>
                </c:pt>
                <c:pt idx="1033">
                  <c:v>3811.96</c:v>
                </c:pt>
                <c:pt idx="1034">
                  <c:v>3812.79</c:v>
                </c:pt>
                <c:pt idx="1035">
                  <c:v>3680.46</c:v>
                </c:pt>
                <c:pt idx="1036">
                  <c:v>3730.08</c:v>
                </c:pt>
                <c:pt idx="1037">
                  <c:v>3723.47</c:v>
                </c:pt>
                <c:pt idx="1038">
                  <c:v>3721.81</c:v>
                </c:pt>
                <c:pt idx="1039">
                  <c:v>3721.81</c:v>
                </c:pt>
                <c:pt idx="1040">
                  <c:v>3680.46</c:v>
                </c:pt>
                <c:pt idx="1041">
                  <c:v>3818.58</c:v>
                </c:pt>
                <c:pt idx="1042">
                  <c:v>3721.81</c:v>
                </c:pt>
                <c:pt idx="1043">
                  <c:v>3639.11</c:v>
                </c:pt>
                <c:pt idx="1044">
                  <c:v>3680.46</c:v>
                </c:pt>
                <c:pt idx="1045">
                  <c:v>3680.46</c:v>
                </c:pt>
                <c:pt idx="1046">
                  <c:v>3680.46</c:v>
                </c:pt>
                <c:pt idx="1047">
                  <c:v>3680.46</c:v>
                </c:pt>
                <c:pt idx="1048">
                  <c:v>3680.46</c:v>
                </c:pt>
                <c:pt idx="1049">
                  <c:v>3746.62</c:v>
                </c:pt>
                <c:pt idx="1050">
                  <c:v>3746.62</c:v>
                </c:pt>
                <c:pt idx="1051">
                  <c:v>3746.62</c:v>
                </c:pt>
                <c:pt idx="1052">
                  <c:v>3722.64</c:v>
                </c:pt>
                <c:pt idx="1053">
                  <c:v>3736.7</c:v>
                </c:pt>
                <c:pt idx="1054">
                  <c:v>3730.91</c:v>
                </c:pt>
                <c:pt idx="1055">
                  <c:v>3818.58</c:v>
                </c:pt>
                <c:pt idx="1056">
                  <c:v>3812.79</c:v>
                </c:pt>
                <c:pt idx="1057">
                  <c:v>3816.93</c:v>
                </c:pt>
                <c:pt idx="1058">
                  <c:v>3804.52</c:v>
                </c:pt>
                <c:pt idx="1059">
                  <c:v>3719.33</c:v>
                </c:pt>
                <c:pt idx="1060">
                  <c:v>3721.81</c:v>
                </c:pt>
                <c:pt idx="1061">
                  <c:v>3589.48</c:v>
                </c:pt>
                <c:pt idx="1062">
                  <c:v>3818.58</c:v>
                </c:pt>
                <c:pt idx="1063">
                  <c:v>3804.52</c:v>
                </c:pt>
                <c:pt idx="1064">
                  <c:v>3804.52</c:v>
                </c:pt>
                <c:pt idx="1065">
                  <c:v>3721.81</c:v>
                </c:pt>
                <c:pt idx="1066">
                  <c:v>3720.16</c:v>
                </c:pt>
                <c:pt idx="1067">
                  <c:v>3721.81</c:v>
                </c:pt>
                <c:pt idx="1068">
                  <c:v>3672.19</c:v>
                </c:pt>
                <c:pt idx="1069">
                  <c:v>3639.11</c:v>
                </c:pt>
                <c:pt idx="1070">
                  <c:v>3675.5</c:v>
                </c:pt>
                <c:pt idx="1071">
                  <c:v>3721.81</c:v>
                </c:pt>
                <c:pt idx="1072">
                  <c:v>3763.17</c:v>
                </c:pt>
                <c:pt idx="1073">
                  <c:v>3779.71</c:v>
                </c:pt>
                <c:pt idx="1074">
                  <c:v>3783.84</c:v>
                </c:pt>
                <c:pt idx="1075">
                  <c:v>3739.18</c:v>
                </c:pt>
                <c:pt idx="1076">
                  <c:v>3804.52</c:v>
                </c:pt>
                <c:pt idx="1077">
                  <c:v>3804.52</c:v>
                </c:pt>
                <c:pt idx="1078">
                  <c:v>3841.74</c:v>
                </c:pt>
                <c:pt idx="1079">
                  <c:v>3694.52</c:v>
                </c:pt>
                <c:pt idx="1080">
                  <c:v>3734.24</c:v>
                </c:pt>
                <c:pt idx="1081">
                  <c:v>3734.24</c:v>
                </c:pt>
                <c:pt idx="1082">
                  <c:v>3813.7</c:v>
                </c:pt>
                <c:pt idx="1083">
                  <c:v>3813.7</c:v>
                </c:pt>
                <c:pt idx="1084">
                  <c:v>3773.18</c:v>
                </c:pt>
                <c:pt idx="1085">
                  <c:v>3892.35</c:v>
                </c:pt>
                <c:pt idx="1086">
                  <c:v>3773.97</c:v>
                </c:pt>
                <c:pt idx="1087">
                  <c:v>3734.24</c:v>
                </c:pt>
                <c:pt idx="1088">
                  <c:v>3654.79</c:v>
                </c:pt>
                <c:pt idx="1089">
                  <c:v>3654.79</c:v>
                </c:pt>
                <c:pt idx="1090">
                  <c:v>3575.34</c:v>
                </c:pt>
                <c:pt idx="1091">
                  <c:v>3575.34</c:v>
                </c:pt>
                <c:pt idx="1092">
                  <c:v>3686.57</c:v>
                </c:pt>
                <c:pt idx="1093">
                  <c:v>3607.12</c:v>
                </c:pt>
                <c:pt idx="1094">
                  <c:v>3607.12</c:v>
                </c:pt>
                <c:pt idx="1095">
                  <c:v>3587.26</c:v>
                </c:pt>
                <c:pt idx="1096">
                  <c:v>3595.2</c:v>
                </c:pt>
                <c:pt idx="1097">
                  <c:v>3694.52</c:v>
                </c:pt>
                <c:pt idx="1098">
                  <c:v>3417.23</c:v>
                </c:pt>
                <c:pt idx="1099">
                  <c:v>3417.23</c:v>
                </c:pt>
                <c:pt idx="1100">
                  <c:v>3376.71</c:v>
                </c:pt>
                <c:pt idx="1101">
                  <c:v>3336.98</c:v>
                </c:pt>
                <c:pt idx="1102">
                  <c:v>3336.98</c:v>
                </c:pt>
                <c:pt idx="1103">
                  <c:v>3336.98</c:v>
                </c:pt>
                <c:pt idx="1104">
                  <c:v>3335.4</c:v>
                </c:pt>
                <c:pt idx="1105">
                  <c:v>3336.98</c:v>
                </c:pt>
                <c:pt idx="1106">
                  <c:v>3313.15</c:v>
                </c:pt>
                <c:pt idx="1107">
                  <c:v>3313.15</c:v>
                </c:pt>
                <c:pt idx="1108">
                  <c:v>3313.15</c:v>
                </c:pt>
                <c:pt idx="1109">
                  <c:v>3358.44</c:v>
                </c:pt>
                <c:pt idx="1110">
                  <c:v>3404.52</c:v>
                </c:pt>
                <c:pt idx="1111">
                  <c:v>3416.44</c:v>
                </c:pt>
                <c:pt idx="1112">
                  <c:v>3416.44</c:v>
                </c:pt>
                <c:pt idx="1113">
                  <c:v>3416.44</c:v>
                </c:pt>
                <c:pt idx="1114">
                  <c:v>3376.71</c:v>
                </c:pt>
                <c:pt idx="1115">
                  <c:v>3338.57</c:v>
                </c:pt>
                <c:pt idx="1116">
                  <c:v>3338.57</c:v>
                </c:pt>
                <c:pt idx="1117">
                  <c:v>3377.51</c:v>
                </c:pt>
                <c:pt idx="1118">
                  <c:v>3436.3</c:v>
                </c:pt>
                <c:pt idx="1119">
                  <c:v>3467.29</c:v>
                </c:pt>
                <c:pt idx="1120">
                  <c:v>3495.89</c:v>
                </c:pt>
                <c:pt idx="1121">
                  <c:v>3575.34</c:v>
                </c:pt>
                <c:pt idx="1122">
                  <c:v>3444.24</c:v>
                </c:pt>
                <c:pt idx="1123">
                  <c:v>3456.16</c:v>
                </c:pt>
                <c:pt idx="1124">
                  <c:v>3384.66</c:v>
                </c:pt>
                <c:pt idx="1125">
                  <c:v>3416.44</c:v>
                </c:pt>
                <c:pt idx="1126">
                  <c:v>3358.44</c:v>
                </c:pt>
                <c:pt idx="1127">
                  <c:v>3337.78</c:v>
                </c:pt>
                <c:pt idx="1128">
                  <c:v>3336.98</c:v>
                </c:pt>
                <c:pt idx="1129">
                  <c:v>3336.98</c:v>
                </c:pt>
                <c:pt idx="1130">
                  <c:v>3336.98</c:v>
                </c:pt>
                <c:pt idx="1131">
                  <c:v>3178.08</c:v>
                </c:pt>
                <c:pt idx="1132">
                  <c:v>3138.35</c:v>
                </c:pt>
                <c:pt idx="1133">
                  <c:v>3138.35</c:v>
                </c:pt>
                <c:pt idx="1134">
                  <c:v>3139.94</c:v>
                </c:pt>
                <c:pt idx="1135">
                  <c:v>3027.12</c:v>
                </c:pt>
                <c:pt idx="1136">
                  <c:v>3019.18</c:v>
                </c:pt>
                <c:pt idx="1137">
                  <c:v>3027.12</c:v>
                </c:pt>
                <c:pt idx="1138">
                  <c:v>3019.18</c:v>
                </c:pt>
                <c:pt idx="1139">
                  <c:v>3018.38</c:v>
                </c:pt>
                <c:pt idx="1140">
                  <c:v>2947.67</c:v>
                </c:pt>
                <c:pt idx="1141">
                  <c:v>2963.56</c:v>
                </c:pt>
                <c:pt idx="1142">
                  <c:v>2963.56</c:v>
                </c:pt>
                <c:pt idx="1143">
                  <c:v>2939.72</c:v>
                </c:pt>
                <c:pt idx="1144">
                  <c:v>2975.48</c:v>
                </c:pt>
                <c:pt idx="1145">
                  <c:v>2975.48</c:v>
                </c:pt>
                <c:pt idx="1146">
                  <c:v>2959.59</c:v>
                </c:pt>
                <c:pt idx="1147">
                  <c:v>2959.59</c:v>
                </c:pt>
                <c:pt idx="1148">
                  <c:v>2963.56</c:v>
                </c:pt>
                <c:pt idx="1149">
                  <c:v>2971.51</c:v>
                </c:pt>
                <c:pt idx="1150">
                  <c:v>2971.51</c:v>
                </c:pt>
                <c:pt idx="1151">
                  <c:v>2979.45</c:v>
                </c:pt>
                <c:pt idx="1152">
                  <c:v>2979.45</c:v>
                </c:pt>
                <c:pt idx="1153">
                  <c:v>3031.09</c:v>
                </c:pt>
                <c:pt idx="1154">
                  <c:v>2995.34</c:v>
                </c:pt>
                <c:pt idx="1155">
                  <c:v>2939.72</c:v>
                </c:pt>
                <c:pt idx="1156">
                  <c:v>2860.27</c:v>
                </c:pt>
                <c:pt idx="1157">
                  <c:v>3000.9</c:v>
                </c:pt>
                <c:pt idx="1158">
                  <c:v>2980.25</c:v>
                </c:pt>
                <c:pt idx="1159">
                  <c:v>2939.72</c:v>
                </c:pt>
                <c:pt idx="1160">
                  <c:v>2943.7</c:v>
                </c:pt>
                <c:pt idx="1161">
                  <c:v>3019.18</c:v>
                </c:pt>
                <c:pt idx="1162">
                  <c:v>3011.23</c:v>
                </c:pt>
                <c:pt idx="1163">
                  <c:v>3008.85</c:v>
                </c:pt>
                <c:pt idx="1164">
                  <c:v>3008.85</c:v>
                </c:pt>
                <c:pt idx="1165">
                  <c:v>2861.07</c:v>
                </c:pt>
                <c:pt idx="1166">
                  <c:v>3019.18</c:v>
                </c:pt>
                <c:pt idx="1167">
                  <c:v>3019.18</c:v>
                </c:pt>
                <c:pt idx="1168">
                  <c:v>3011.23</c:v>
                </c:pt>
                <c:pt idx="1169">
                  <c:v>3018.38</c:v>
                </c:pt>
                <c:pt idx="1170">
                  <c:v>2979.45</c:v>
                </c:pt>
                <c:pt idx="1171">
                  <c:v>2979.45</c:v>
                </c:pt>
                <c:pt idx="1172">
                  <c:v>2919.86</c:v>
                </c:pt>
                <c:pt idx="1173">
                  <c:v>2979.45</c:v>
                </c:pt>
                <c:pt idx="1174">
                  <c:v>2979.45</c:v>
                </c:pt>
                <c:pt idx="1175">
                  <c:v>2979.45</c:v>
                </c:pt>
                <c:pt idx="1176">
                  <c:v>2979.45</c:v>
                </c:pt>
                <c:pt idx="1177">
                  <c:v>2979.45</c:v>
                </c:pt>
                <c:pt idx="1178">
                  <c:v>2919.86</c:v>
                </c:pt>
                <c:pt idx="1179">
                  <c:v>2919.86</c:v>
                </c:pt>
                <c:pt idx="1180">
                  <c:v>2939.72</c:v>
                </c:pt>
                <c:pt idx="1181">
                  <c:v>2947.67</c:v>
                </c:pt>
                <c:pt idx="1182">
                  <c:v>2941.31</c:v>
                </c:pt>
                <c:pt idx="1183">
                  <c:v>2979.45</c:v>
                </c:pt>
                <c:pt idx="1184">
                  <c:v>2979.45</c:v>
                </c:pt>
                <c:pt idx="1185">
                  <c:v>2860.27</c:v>
                </c:pt>
                <c:pt idx="1186">
                  <c:v>2979.45</c:v>
                </c:pt>
                <c:pt idx="1187">
                  <c:v>2979.45</c:v>
                </c:pt>
                <c:pt idx="1188">
                  <c:v>3011.23</c:v>
                </c:pt>
                <c:pt idx="1189">
                  <c:v>3011.23</c:v>
                </c:pt>
                <c:pt idx="1190">
                  <c:v>3011.23</c:v>
                </c:pt>
                <c:pt idx="1191">
                  <c:v>3011.23</c:v>
                </c:pt>
                <c:pt idx="1192">
                  <c:v>3010.44</c:v>
                </c:pt>
                <c:pt idx="1193">
                  <c:v>3011.23</c:v>
                </c:pt>
                <c:pt idx="1194">
                  <c:v>3007.26</c:v>
                </c:pt>
                <c:pt idx="1195">
                  <c:v>3011.23</c:v>
                </c:pt>
                <c:pt idx="1196">
                  <c:v>3019.18</c:v>
                </c:pt>
                <c:pt idx="1197">
                  <c:v>2939.72</c:v>
                </c:pt>
                <c:pt idx="1198">
                  <c:v>2939.72</c:v>
                </c:pt>
                <c:pt idx="1199">
                  <c:v>2939.72</c:v>
                </c:pt>
                <c:pt idx="1200">
                  <c:v>2939.72</c:v>
                </c:pt>
                <c:pt idx="1201">
                  <c:v>2939.72</c:v>
                </c:pt>
                <c:pt idx="1202">
                  <c:v>2939.72</c:v>
                </c:pt>
                <c:pt idx="1203">
                  <c:v>2939.72</c:v>
                </c:pt>
                <c:pt idx="1204">
                  <c:v>2939.72</c:v>
                </c:pt>
                <c:pt idx="1205">
                  <c:v>2880.14</c:v>
                </c:pt>
                <c:pt idx="1206">
                  <c:v>2879.34</c:v>
                </c:pt>
                <c:pt idx="1207">
                  <c:v>2879.34</c:v>
                </c:pt>
                <c:pt idx="1208">
                  <c:v>2821.34</c:v>
                </c:pt>
                <c:pt idx="1209">
                  <c:v>2880.14</c:v>
                </c:pt>
                <c:pt idx="1210">
                  <c:v>2876.96</c:v>
                </c:pt>
                <c:pt idx="1211">
                  <c:v>2923.83</c:v>
                </c:pt>
                <c:pt idx="1212">
                  <c:v>2931.78</c:v>
                </c:pt>
                <c:pt idx="1213">
                  <c:v>2938.93</c:v>
                </c:pt>
                <c:pt idx="1214">
                  <c:v>2910.33</c:v>
                </c:pt>
                <c:pt idx="1215">
                  <c:v>2988.98</c:v>
                </c:pt>
                <c:pt idx="1216">
                  <c:v>2910.33</c:v>
                </c:pt>
                <c:pt idx="1217">
                  <c:v>2980.33</c:v>
                </c:pt>
                <c:pt idx="1218">
                  <c:v>2988.98</c:v>
                </c:pt>
                <c:pt idx="1219">
                  <c:v>2988.98</c:v>
                </c:pt>
                <c:pt idx="1220">
                  <c:v>2988.98</c:v>
                </c:pt>
                <c:pt idx="1221">
                  <c:v>2933.92</c:v>
                </c:pt>
                <c:pt idx="1222">
                  <c:v>2949.66</c:v>
                </c:pt>
                <c:pt idx="1223">
                  <c:v>2988.98</c:v>
                </c:pt>
                <c:pt idx="1224">
                  <c:v>2929.99</c:v>
                </c:pt>
                <c:pt idx="1225">
                  <c:v>2941.79</c:v>
                </c:pt>
                <c:pt idx="1226">
                  <c:v>2949.66</c:v>
                </c:pt>
                <c:pt idx="1227">
                  <c:v>2949.66</c:v>
                </c:pt>
                <c:pt idx="1228">
                  <c:v>2949.66</c:v>
                </c:pt>
                <c:pt idx="1229">
                  <c:v>2949.66</c:v>
                </c:pt>
                <c:pt idx="1230">
                  <c:v>2949.66</c:v>
                </c:pt>
                <c:pt idx="1231">
                  <c:v>2949.66</c:v>
                </c:pt>
                <c:pt idx="1232">
                  <c:v>2886.73</c:v>
                </c:pt>
                <c:pt idx="1233">
                  <c:v>2910.33</c:v>
                </c:pt>
                <c:pt idx="1234">
                  <c:v>2900.1</c:v>
                </c:pt>
                <c:pt idx="1235">
                  <c:v>2910.33</c:v>
                </c:pt>
                <c:pt idx="1236">
                  <c:v>2879.65</c:v>
                </c:pt>
                <c:pt idx="1237">
                  <c:v>2879.65</c:v>
                </c:pt>
                <c:pt idx="1238">
                  <c:v>2910.33</c:v>
                </c:pt>
                <c:pt idx="1239">
                  <c:v>2949.66</c:v>
                </c:pt>
                <c:pt idx="1240">
                  <c:v>3012.58</c:v>
                </c:pt>
                <c:pt idx="1241">
                  <c:v>3028.31</c:v>
                </c:pt>
                <c:pt idx="1242">
                  <c:v>3044.05</c:v>
                </c:pt>
                <c:pt idx="1243">
                  <c:v>3067.64</c:v>
                </c:pt>
                <c:pt idx="1244">
                  <c:v>3087.31</c:v>
                </c:pt>
                <c:pt idx="1245">
                  <c:v>3087.31</c:v>
                </c:pt>
                <c:pt idx="1246">
                  <c:v>3146.3</c:v>
                </c:pt>
                <c:pt idx="1247">
                  <c:v>3146.3</c:v>
                </c:pt>
                <c:pt idx="1248">
                  <c:v>3138.43</c:v>
                </c:pt>
                <c:pt idx="1249">
                  <c:v>3165.96</c:v>
                </c:pt>
                <c:pt idx="1250">
                  <c:v>3146.3</c:v>
                </c:pt>
                <c:pt idx="1251">
                  <c:v>3067.64</c:v>
                </c:pt>
                <c:pt idx="1252">
                  <c:v>3067.64</c:v>
                </c:pt>
                <c:pt idx="1253">
                  <c:v>3067.64</c:v>
                </c:pt>
                <c:pt idx="1254">
                  <c:v>2996.85</c:v>
                </c:pt>
                <c:pt idx="1255">
                  <c:v>3028.31</c:v>
                </c:pt>
                <c:pt idx="1256">
                  <c:v>2988.98</c:v>
                </c:pt>
                <c:pt idx="1257">
                  <c:v>2988.98</c:v>
                </c:pt>
                <c:pt idx="1258">
                  <c:v>3008.65</c:v>
                </c:pt>
                <c:pt idx="1259">
                  <c:v>3028.31</c:v>
                </c:pt>
                <c:pt idx="1260">
                  <c:v>3028.31</c:v>
                </c:pt>
                <c:pt idx="1261">
                  <c:v>3028.31</c:v>
                </c:pt>
                <c:pt idx="1262">
                  <c:v>3028.31</c:v>
                </c:pt>
                <c:pt idx="1263">
                  <c:v>3020.45</c:v>
                </c:pt>
                <c:pt idx="1264">
                  <c:v>3028.31</c:v>
                </c:pt>
                <c:pt idx="1265">
                  <c:v>3059.78</c:v>
                </c:pt>
                <c:pt idx="1266">
                  <c:v>3059.78</c:v>
                </c:pt>
                <c:pt idx="1267">
                  <c:v>3067.64</c:v>
                </c:pt>
                <c:pt idx="1268">
                  <c:v>3067.64</c:v>
                </c:pt>
                <c:pt idx="1269">
                  <c:v>3067.64</c:v>
                </c:pt>
                <c:pt idx="1270">
                  <c:v>3067.64</c:v>
                </c:pt>
                <c:pt idx="1271">
                  <c:v>3036.18</c:v>
                </c:pt>
                <c:pt idx="1272">
                  <c:v>3042.47</c:v>
                </c:pt>
                <c:pt idx="1273">
                  <c:v>2988.98</c:v>
                </c:pt>
                <c:pt idx="1274">
                  <c:v>2988.98</c:v>
                </c:pt>
                <c:pt idx="1275">
                  <c:v>2988.98</c:v>
                </c:pt>
                <c:pt idx="1276">
                  <c:v>2988.98</c:v>
                </c:pt>
                <c:pt idx="1277">
                  <c:v>2949.66</c:v>
                </c:pt>
                <c:pt idx="1278">
                  <c:v>2988.98</c:v>
                </c:pt>
                <c:pt idx="1279">
                  <c:v>3044.05</c:v>
                </c:pt>
                <c:pt idx="1280">
                  <c:v>3044.05</c:v>
                </c:pt>
                <c:pt idx="1281">
                  <c:v>2949.66</c:v>
                </c:pt>
                <c:pt idx="1282">
                  <c:v>2985.05</c:v>
                </c:pt>
                <c:pt idx="1283">
                  <c:v>2949.66</c:v>
                </c:pt>
                <c:pt idx="1284">
                  <c:v>2988.98</c:v>
                </c:pt>
                <c:pt idx="1285">
                  <c:v>2988.98</c:v>
                </c:pt>
                <c:pt idx="1286">
                  <c:v>2914.26</c:v>
                </c:pt>
                <c:pt idx="1287">
                  <c:v>2988.98</c:v>
                </c:pt>
                <c:pt idx="1288">
                  <c:v>2911.11</c:v>
                </c:pt>
                <c:pt idx="1289">
                  <c:v>2911.11</c:v>
                </c:pt>
                <c:pt idx="1290">
                  <c:v>2949.66</c:v>
                </c:pt>
                <c:pt idx="1291">
                  <c:v>2988.2</c:v>
                </c:pt>
                <c:pt idx="1292">
                  <c:v>2949.66</c:v>
                </c:pt>
                <c:pt idx="1293">
                  <c:v>2910.33</c:v>
                </c:pt>
                <c:pt idx="1294">
                  <c:v>2958.31</c:v>
                </c:pt>
                <c:pt idx="1295">
                  <c:v>2974.04</c:v>
                </c:pt>
                <c:pt idx="1296">
                  <c:v>3036.18</c:v>
                </c:pt>
                <c:pt idx="1297">
                  <c:v>2988.98</c:v>
                </c:pt>
                <c:pt idx="1298">
                  <c:v>2987.41</c:v>
                </c:pt>
                <c:pt idx="1299">
                  <c:v>2831.67</c:v>
                </c:pt>
                <c:pt idx="1300">
                  <c:v>2800.21</c:v>
                </c:pt>
                <c:pt idx="1301">
                  <c:v>2833.24</c:v>
                </c:pt>
                <c:pt idx="1302">
                  <c:v>2871.0</c:v>
                </c:pt>
                <c:pt idx="1303">
                  <c:v>2910.33</c:v>
                </c:pt>
                <c:pt idx="1304">
                  <c:v>2910.33</c:v>
                </c:pt>
                <c:pt idx="1305">
                  <c:v>2910.33</c:v>
                </c:pt>
                <c:pt idx="1306">
                  <c:v>2910.33</c:v>
                </c:pt>
                <c:pt idx="1307">
                  <c:v>2918.19</c:v>
                </c:pt>
                <c:pt idx="1308">
                  <c:v>2910.33</c:v>
                </c:pt>
                <c:pt idx="1309">
                  <c:v>2890.66</c:v>
                </c:pt>
                <c:pt idx="1310">
                  <c:v>2800.21</c:v>
                </c:pt>
                <c:pt idx="1311">
                  <c:v>2878.08</c:v>
                </c:pt>
                <c:pt idx="1312">
                  <c:v>2886.73</c:v>
                </c:pt>
                <c:pt idx="1313">
                  <c:v>2910.33</c:v>
                </c:pt>
                <c:pt idx="1314">
                  <c:v>2902.46</c:v>
                </c:pt>
                <c:pt idx="1315">
                  <c:v>2949.66</c:v>
                </c:pt>
                <c:pt idx="1316">
                  <c:v>2949.66</c:v>
                </c:pt>
                <c:pt idx="1317">
                  <c:v>2910.33</c:v>
                </c:pt>
                <c:pt idx="1318">
                  <c:v>2910.33</c:v>
                </c:pt>
                <c:pt idx="1319">
                  <c:v>2910.33</c:v>
                </c:pt>
                <c:pt idx="1320">
                  <c:v>2949.66</c:v>
                </c:pt>
                <c:pt idx="1321">
                  <c:v>2949.66</c:v>
                </c:pt>
                <c:pt idx="1322">
                  <c:v>2949.66</c:v>
                </c:pt>
                <c:pt idx="1323">
                  <c:v>2930.78</c:v>
                </c:pt>
                <c:pt idx="1324">
                  <c:v>2915.05</c:v>
                </c:pt>
                <c:pt idx="1325">
                  <c:v>2988.98</c:v>
                </c:pt>
                <c:pt idx="1326">
                  <c:v>2988.98</c:v>
                </c:pt>
                <c:pt idx="1327">
                  <c:v>2933.92</c:v>
                </c:pt>
                <c:pt idx="1328">
                  <c:v>3005.3</c:v>
                </c:pt>
                <c:pt idx="1329">
                  <c:v>3005.3</c:v>
                </c:pt>
                <c:pt idx="1330">
                  <c:v>3005.3</c:v>
                </c:pt>
                <c:pt idx="1331">
                  <c:v>3005.3</c:v>
                </c:pt>
                <c:pt idx="1332">
                  <c:v>2892.6</c:v>
                </c:pt>
                <c:pt idx="1333">
                  <c:v>2892.6</c:v>
                </c:pt>
                <c:pt idx="1334">
                  <c:v>2888.85</c:v>
                </c:pt>
                <c:pt idx="1335">
                  <c:v>2892.6</c:v>
                </c:pt>
                <c:pt idx="1336">
                  <c:v>2817.47</c:v>
                </c:pt>
                <c:pt idx="1337">
                  <c:v>2817.47</c:v>
                </c:pt>
                <c:pt idx="1338">
                  <c:v>2818.22</c:v>
                </c:pt>
                <c:pt idx="1339">
                  <c:v>2817.47</c:v>
                </c:pt>
                <c:pt idx="1340">
                  <c:v>2779.9</c:v>
                </c:pt>
                <c:pt idx="1341">
                  <c:v>2705.52</c:v>
                </c:pt>
                <c:pt idx="1342">
                  <c:v>2877.58</c:v>
                </c:pt>
                <c:pt idx="1343">
                  <c:v>2846.77</c:v>
                </c:pt>
                <c:pt idx="1344">
                  <c:v>2794.93</c:v>
                </c:pt>
                <c:pt idx="1345">
                  <c:v>2779.9</c:v>
                </c:pt>
                <c:pt idx="1346">
                  <c:v>2708.53</c:v>
                </c:pt>
                <c:pt idx="1347">
                  <c:v>2706.27</c:v>
                </c:pt>
                <c:pt idx="1348">
                  <c:v>2704.77</c:v>
                </c:pt>
                <c:pt idx="1349">
                  <c:v>2779.9</c:v>
                </c:pt>
                <c:pt idx="1350">
                  <c:v>2784.41</c:v>
                </c:pt>
                <c:pt idx="1351">
                  <c:v>2817.47</c:v>
                </c:pt>
                <c:pt idx="1352">
                  <c:v>2817.47</c:v>
                </c:pt>
                <c:pt idx="1353">
                  <c:v>2817.47</c:v>
                </c:pt>
                <c:pt idx="1354">
                  <c:v>2779.9</c:v>
                </c:pt>
                <c:pt idx="1355">
                  <c:v>2704.77</c:v>
                </c:pt>
                <c:pt idx="1356">
                  <c:v>2704.77</c:v>
                </c:pt>
                <c:pt idx="1357">
                  <c:v>2704.77</c:v>
                </c:pt>
                <c:pt idx="1358">
                  <c:v>2704.77</c:v>
                </c:pt>
                <c:pt idx="1359">
                  <c:v>2704.77</c:v>
                </c:pt>
                <c:pt idx="1360">
                  <c:v>2779.9</c:v>
                </c:pt>
                <c:pt idx="1361">
                  <c:v>2704.77</c:v>
                </c:pt>
                <c:pt idx="1362">
                  <c:v>2667.2</c:v>
                </c:pt>
                <c:pt idx="1363">
                  <c:v>2742.34</c:v>
                </c:pt>
                <c:pt idx="1364">
                  <c:v>2794.93</c:v>
                </c:pt>
                <c:pt idx="1365">
                  <c:v>2704.02</c:v>
                </c:pt>
                <c:pt idx="1366">
                  <c:v>2710.03</c:v>
                </c:pt>
                <c:pt idx="1367">
                  <c:v>2629.64</c:v>
                </c:pt>
                <c:pt idx="1368">
                  <c:v>2704.77</c:v>
                </c:pt>
                <c:pt idx="1369">
                  <c:v>2523.7</c:v>
                </c:pt>
                <c:pt idx="1370">
                  <c:v>2441.81</c:v>
                </c:pt>
                <c:pt idx="1371">
                  <c:v>2498.16</c:v>
                </c:pt>
                <c:pt idx="1372">
                  <c:v>2498.16</c:v>
                </c:pt>
                <c:pt idx="1373">
                  <c:v>2498.16</c:v>
                </c:pt>
                <c:pt idx="1374">
                  <c:v>2479.37</c:v>
                </c:pt>
                <c:pt idx="1375">
                  <c:v>2479.37</c:v>
                </c:pt>
                <c:pt idx="1376">
                  <c:v>2479.37</c:v>
                </c:pt>
                <c:pt idx="1377">
                  <c:v>2479.37</c:v>
                </c:pt>
                <c:pt idx="1378">
                  <c:v>2479.37</c:v>
                </c:pt>
                <c:pt idx="1379">
                  <c:v>2479.37</c:v>
                </c:pt>
                <c:pt idx="1380">
                  <c:v>2478.62</c:v>
                </c:pt>
                <c:pt idx="1381">
                  <c:v>2464.35</c:v>
                </c:pt>
                <c:pt idx="1382">
                  <c:v>2471.11</c:v>
                </c:pt>
                <c:pt idx="1383">
                  <c:v>2478.62</c:v>
                </c:pt>
                <c:pt idx="1384">
                  <c:v>2478.62</c:v>
                </c:pt>
                <c:pt idx="1385">
                  <c:v>2479.37</c:v>
                </c:pt>
                <c:pt idx="1386">
                  <c:v>2479.37</c:v>
                </c:pt>
                <c:pt idx="1387">
                  <c:v>2479.37</c:v>
                </c:pt>
                <c:pt idx="1388">
                  <c:v>2516.94</c:v>
                </c:pt>
                <c:pt idx="1389">
                  <c:v>2550.75</c:v>
                </c:pt>
                <c:pt idx="1390">
                  <c:v>2592.07</c:v>
                </c:pt>
                <c:pt idx="1391">
                  <c:v>2592.07</c:v>
                </c:pt>
                <c:pt idx="1392">
                  <c:v>2629.64</c:v>
                </c:pt>
                <c:pt idx="1393">
                  <c:v>2492.9</c:v>
                </c:pt>
                <c:pt idx="1394">
                  <c:v>2479.37</c:v>
                </c:pt>
                <c:pt idx="1395">
                  <c:v>2415.51</c:v>
                </c:pt>
                <c:pt idx="1396">
                  <c:v>2404.24</c:v>
                </c:pt>
                <c:pt idx="1397">
                  <c:v>2404.24</c:v>
                </c:pt>
                <c:pt idx="1398">
                  <c:v>2329.11</c:v>
                </c:pt>
                <c:pt idx="1399">
                  <c:v>2366.67</c:v>
                </c:pt>
                <c:pt idx="1400">
                  <c:v>2366.67</c:v>
                </c:pt>
                <c:pt idx="1401">
                  <c:v>2366.67</c:v>
                </c:pt>
                <c:pt idx="1402">
                  <c:v>2329.11</c:v>
                </c:pt>
                <c:pt idx="1403">
                  <c:v>2329.11</c:v>
                </c:pt>
                <c:pt idx="1404">
                  <c:v>2329.11</c:v>
                </c:pt>
                <c:pt idx="1405">
                  <c:v>2329.11</c:v>
                </c:pt>
                <c:pt idx="1406">
                  <c:v>2329.11</c:v>
                </c:pt>
                <c:pt idx="1407">
                  <c:v>2329.11</c:v>
                </c:pt>
                <c:pt idx="1408">
                  <c:v>2328.36</c:v>
                </c:pt>
                <c:pt idx="1409">
                  <c:v>2329.11</c:v>
                </c:pt>
                <c:pt idx="1410">
                  <c:v>2329.11</c:v>
                </c:pt>
                <c:pt idx="1411">
                  <c:v>2329.11</c:v>
                </c:pt>
                <c:pt idx="1412">
                  <c:v>2404.24</c:v>
                </c:pt>
                <c:pt idx="1413">
                  <c:v>2404.24</c:v>
                </c:pt>
                <c:pt idx="1414">
                  <c:v>2329.11</c:v>
                </c:pt>
                <c:pt idx="1415">
                  <c:v>2329.11</c:v>
                </c:pt>
                <c:pt idx="1416">
                  <c:v>2327.61</c:v>
                </c:pt>
                <c:pt idx="1417">
                  <c:v>2329.11</c:v>
                </c:pt>
                <c:pt idx="1418">
                  <c:v>2321.59</c:v>
                </c:pt>
                <c:pt idx="1419">
                  <c:v>2321.59</c:v>
                </c:pt>
                <c:pt idx="1420">
                  <c:v>2328.36</c:v>
                </c:pt>
                <c:pt idx="1421">
                  <c:v>2329.11</c:v>
                </c:pt>
                <c:pt idx="1422">
                  <c:v>2329.11</c:v>
                </c:pt>
                <c:pt idx="1423">
                  <c:v>2367.43</c:v>
                </c:pt>
                <c:pt idx="1424">
                  <c:v>2329.11</c:v>
                </c:pt>
                <c:pt idx="1425">
                  <c:v>2269.0</c:v>
                </c:pt>
                <c:pt idx="1426">
                  <c:v>2253.98</c:v>
                </c:pt>
                <c:pt idx="1427">
                  <c:v>2253.98</c:v>
                </c:pt>
                <c:pt idx="1428">
                  <c:v>2253.98</c:v>
                </c:pt>
                <c:pt idx="1429">
                  <c:v>2253.98</c:v>
                </c:pt>
                <c:pt idx="1430">
                  <c:v>2253.98</c:v>
                </c:pt>
                <c:pt idx="1431">
                  <c:v>2160.06</c:v>
                </c:pt>
                <c:pt idx="1432">
                  <c:v>2160.06</c:v>
                </c:pt>
                <c:pt idx="1433">
                  <c:v>2216.41</c:v>
                </c:pt>
                <c:pt idx="1434">
                  <c:v>2216.41</c:v>
                </c:pt>
                <c:pt idx="1435">
                  <c:v>2182.6</c:v>
                </c:pt>
                <c:pt idx="1436">
                  <c:v>2205.14</c:v>
                </c:pt>
                <c:pt idx="1437">
                  <c:v>2205.14</c:v>
                </c:pt>
                <c:pt idx="1438">
                  <c:v>2193.87</c:v>
                </c:pt>
                <c:pt idx="1439">
                  <c:v>2141.28</c:v>
                </c:pt>
                <c:pt idx="1440">
                  <c:v>2141.28</c:v>
                </c:pt>
                <c:pt idx="1441">
                  <c:v>2178.84</c:v>
                </c:pt>
                <c:pt idx="1442">
                  <c:v>2178.84</c:v>
                </c:pt>
                <c:pt idx="1443">
                  <c:v>2193.87</c:v>
                </c:pt>
                <c:pt idx="1444">
                  <c:v>2193.87</c:v>
                </c:pt>
                <c:pt idx="1445">
                  <c:v>2193.12</c:v>
                </c:pt>
                <c:pt idx="1446">
                  <c:v>2193.12</c:v>
                </c:pt>
                <c:pt idx="1447">
                  <c:v>2207.39</c:v>
                </c:pt>
                <c:pt idx="1448">
                  <c:v>2253.22</c:v>
                </c:pt>
                <c:pt idx="1449">
                  <c:v>2253.22</c:v>
                </c:pt>
                <c:pt idx="1450">
                  <c:v>2280.27</c:v>
                </c:pt>
                <c:pt idx="1451">
                  <c:v>2280.27</c:v>
                </c:pt>
                <c:pt idx="1452">
                  <c:v>2269.0</c:v>
                </c:pt>
                <c:pt idx="1453">
                  <c:v>2329.11</c:v>
                </c:pt>
                <c:pt idx="1454">
                  <c:v>2253.98</c:v>
                </c:pt>
                <c:pt idx="1455">
                  <c:v>2178.84</c:v>
                </c:pt>
                <c:pt idx="1456">
                  <c:v>2178.84</c:v>
                </c:pt>
                <c:pt idx="1457">
                  <c:v>2178.84</c:v>
                </c:pt>
                <c:pt idx="1458">
                  <c:v>2178.84</c:v>
                </c:pt>
                <c:pt idx="1459">
                  <c:v>2175.09</c:v>
                </c:pt>
                <c:pt idx="1460">
                  <c:v>2175.09</c:v>
                </c:pt>
                <c:pt idx="1461">
                  <c:v>2156.3</c:v>
                </c:pt>
                <c:pt idx="1462">
                  <c:v>2160.06</c:v>
                </c:pt>
                <c:pt idx="1463">
                  <c:v>2153.3</c:v>
                </c:pt>
                <c:pt idx="1464">
                  <c:v>2078.28</c:v>
                </c:pt>
                <c:pt idx="1465">
                  <c:v>2078.28</c:v>
                </c:pt>
                <c:pt idx="1466">
                  <c:v>2079.76</c:v>
                </c:pt>
                <c:pt idx="1467">
                  <c:v>2116.9</c:v>
                </c:pt>
                <c:pt idx="1468">
                  <c:v>2042.62</c:v>
                </c:pt>
                <c:pt idx="1469">
                  <c:v>2190.44</c:v>
                </c:pt>
                <c:pt idx="1470">
                  <c:v>2228.32</c:v>
                </c:pt>
                <c:pt idx="1471">
                  <c:v>2259.51</c:v>
                </c:pt>
                <c:pt idx="1472">
                  <c:v>2259.51</c:v>
                </c:pt>
                <c:pt idx="1473">
                  <c:v>2265.46</c:v>
                </c:pt>
                <c:pt idx="1474">
                  <c:v>2209.75</c:v>
                </c:pt>
                <c:pt idx="1475">
                  <c:v>2209.75</c:v>
                </c:pt>
                <c:pt idx="1476">
                  <c:v>2338.99</c:v>
                </c:pt>
                <c:pt idx="1477">
                  <c:v>2338.99</c:v>
                </c:pt>
                <c:pt idx="1478">
                  <c:v>2338.99</c:v>
                </c:pt>
                <c:pt idx="1479">
                  <c:v>2228.32</c:v>
                </c:pt>
                <c:pt idx="1480">
                  <c:v>2205.29</c:v>
                </c:pt>
                <c:pt idx="1481">
                  <c:v>2217.18</c:v>
                </c:pt>
                <c:pt idx="1482">
                  <c:v>2217.18</c:v>
                </c:pt>
                <c:pt idx="1483">
                  <c:v>2228.32</c:v>
                </c:pt>
                <c:pt idx="1484">
                  <c:v>2220.89</c:v>
                </c:pt>
                <c:pt idx="1485">
                  <c:v>2124.33</c:v>
                </c:pt>
                <c:pt idx="1486">
                  <c:v>2124.33</c:v>
                </c:pt>
                <c:pt idx="1487">
                  <c:v>2154.04</c:v>
                </c:pt>
                <c:pt idx="1488">
                  <c:v>2154.04</c:v>
                </c:pt>
                <c:pt idx="1489">
                  <c:v>2157.75</c:v>
                </c:pt>
                <c:pt idx="1490">
                  <c:v>2332.31</c:v>
                </c:pt>
                <c:pt idx="1491">
                  <c:v>2336.02</c:v>
                </c:pt>
                <c:pt idx="1492">
                  <c:v>2229.06</c:v>
                </c:pt>
                <c:pt idx="1493">
                  <c:v>2339.73</c:v>
                </c:pt>
                <c:pt idx="1494">
                  <c:v>2339.73</c:v>
                </c:pt>
                <c:pt idx="1495">
                  <c:v>2339.73</c:v>
                </c:pt>
                <c:pt idx="1496">
                  <c:v>2339.73</c:v>
                </c:pt>
                <c:pt idx="1497">
                  <c:v>2339.73</c:v>
                </c:pt>
                <c:pt idx="1498">
                  <c:v>2339.73</c:v>
                </c:pt>
                <c:pt idx="1499">
                  <c:v>2339.73</c:v>
                </c:pt>
                <c:pt idx="1500">
                  <c:v>2376.87</c:v>
                </c:pt>
                <c:pt idx="1501">
                  <c:v>2339.73</c:v>
                </c:pt>
                <c:pt idx="1502">
                  <c:v>2376.13</c:v>
                </c:pt>
                <c:pt idx="1503">
                  <c:v>2302.6</c:v>
                </c:pt>
                <c:pt idx="1504">
                  <c:v>2347.16</c:v>
                </c:pt>
                <c:pt idx="1505">
                  <c:v>2376.87</c:v>
                </c:pt>
                <c:pt idx="1506">
                  <c:v>2376.87</c:v>
                </c:pt>
                <c:pt idx="1507">
                  <c:v>2339.73</c:v>
                </c:pt>
                <c:pt idx="1508">
                  <c:v>2339.73</c:v>
                </c:pt>
                <c:pt idx="1509">
                  <c:v>2339.73</c:v>
                </c:pt>
                <c:pt idx="1510">
                  <c:v>2368.7</c:v>
                </c:pt>
                <c:pt idx="1511">
                  <c:v>2369.44</c:v>
                </c:pt>
                <c:pt idx="1512">
                  <c:v>2369.44</c:v>
                </c:pt>
                <c:pt idx="1513">
                  <c:v>2362.02</c:v>
                </c:pt>
                <c:pt idx="1514">
                  <c:v>2265.46</c:v>
                </c:pt>
                <c:pt idx="1515">
                  <c:v>2228.32</c:v>
                </c:pt>
                <c:pt idx="1516">
                  <c:v>2228.32</c:v>
                </c:pt>
                <c:pt idx="1517">
                  <c:v>2228.32</c:v>
                </c:pt>
                <c:pt idx="1518">
                  <c:v>2228.32</c:v>
                </c:pt>
                <c:pt idx="1519">
                  <c:v>2213.46</c:v>
                </c:pt>
                <c:pt idx="1520">
                  <c:v>2210.49</c:v>
                </c:pt>
                <c:pt idx="1521">
                  <c:v>2228.32</c:v>
                </c:pt>
                <c:pt idx="1522">
                  <c:v>2217.18</c:v>
                </c:pt>
                <c:pt idx="1523">
                  <c:v>2228.32</c:v>
                </c:pt>
                <c:pt idx="1524">
                  <c:v>2228.32</c:v>
                </c:pt>
                <c:pt idx="1525">
                  <c:v>2228.32</c:v>
                </c:pt>
                <c:pt idx="1526">
                  <c:v>2249.86</c:v>
                </c:pt>
                <c:pt idx="1527">
                  <c:v>2250.6</c:v>
                </c:pt>
                <c:pt idx="1528">
                  <c:v>2250.6</c:v>
                </c:pt>
                <c:pt idx="1529">
                  <c:v>2291.45</c:v>
                </c:pt>
                <c:pt idx="1530">
                  <c:v>2302.6</c:v>
                </c:pt>
                <c:pt idx="1531">
                  <c:v>2302.6</c:v>
                </c:pt>
                <c:pt idx="1532">
                  <c:v>2346.42</c:v>
                </c:pt>
                <c:pt idx="1533">
                  <c:v>2346.42</c:v>
                </c:pt>
                <c:pt idx="1534">
                  <c:v>2362.02</c:v>
                </c:pt>
                <c:pt idx="1535">
                  <c:v>2362.02</c:v>
                </c:pt>
                <c:pt idx="1536">
                  <c:v>2374.64</c:v>
                </c:pt>
                <c:pt idx="1537">
                  <c:v>2374.64</c:v>
                </c:pt>
                <c:pt idx="1538">
                  <c:v>2376.87</c:v>
                </c:pt>
                <c:pt idx="1539">
                  <c:v>2376.87</c:v>
                </c:pt>
                <c:pt idx="1540">
                  <c:v>2376.87</c:v>
                </c:pt>
                <c:pt idx="1541">
                  <c:v>2376.87</c:v>
                </c:pt>
                <c:pt idx="1542">
                  <c:v>2228.32</c:v>
                </c:pt>
                <c:pt idx="1543">
                  <c:v>2376.87</c:v>
                </c:pt>
                <c:pt idx="1544">
                  <c:v>2376.87</c:v>
                </c:pt>
                <c:pt idx="1545">
                  <c:v>2376.87</c:v>
                </c:pt>
                <c:pt idx="1546">
                  <c:v>2376.87</c:v>
                </c:pt>
                <c:pt idx="1547">
                  <c:v>2376.87</c:v>
                </c:pt>
                <c:pt idx="1548">
                  <c:v>2317.45</c:v>
                </c:pt>
                <c:pt idx="1549">
                  <c:v>2302.6</c:v>
                </c:pt>
                <c:pt idx="1550">
                  <c:v>2443.72</c:v>
                </c:pt>
                <c:pt idx="1551">
                  <c:v>2306.31</c:v>
                </c:pt>
                <c:pt idx="1552">
                  <c:v>2405.84</c:v>
                </c:pt>
                <c:pt idx="1553">
                  <c:v>2228.32</c:v>
                </c:pt>
                <c:pt idx="1554">
                  <c:v>2284.03</c:v>
                </c:pt>
                <c:pt idx="1555">
                  <c:v>2228.32</c:v>
                </c:pt>
                <c:pt idx="1556">
                  <c:v>2206.03</c:v>
                </c:pt>
                <c:pt idx="1557">
                  <c:v>2198.61</c:v>
                </c:pt>
                <c:pt idx="1558">
                  <c:v>2302.6</c:v>
                </c:pt>
                <c:pt idx="1559">
                  <c:v>2183.75</c:v>
                </c:pt>
                <c:pt idx="1560">
                  <c:v>2191.18</c:v>
                </c:pt>
                <c:pt idx="1561">
                  <c:v>2154.04</c:v>
                </c:pt>
                <c:pt idx="1562">
                  <c:v>2154.04</c:v>
                </c:pt>
                <c:pt idx="1563">
                  <c:v>2191.18</c:v>
                </c:pt>
                <c:pt idx="1564">
                  <c:v>2154.04</c:v>
                </c:pt>
                <c:pt idx="1565">
                  <c:v>2154.04</c:v>
                </c:pt>
                <c:pt idx="1566">
                  <c:v>2154.04</c:v>
                </c:pt>
                <c:pt idx="1567">
                  <c:v>2190.44</c:v>
                </c:pt>
                <c:pt idx="1568">
                  <c:v>2154.04</c:v>
                </c:pt>
                <c:pt idx="1569">
                  <c:v>2191.18</c:v>
                </c:pt>
                <c:pt idx="1570">
                  <c:v>2191.18</c:v>
                </c:pt>
                <c:pt idx="1571">
                  <c:v>2161.47</c:v>
                </c:pt>
                <c:pt idx="1572">
                  <c:v>2168.9</c:v>
                </c:pt>
                <c:pt idx="1573">
                  <c:v>2168.9</c:v>
                </c:pt>
                <c:pt idx="1574">
                  <c:v>2168.9</c:v>
                </c:pt>
                <c:pt idx="1575">
                  <c:v>2168.9</c:v>
                </c:pt>
                <c:pt idx="1576">
                  <c:v>2191.18</c:v>
                </c:pt>
                <c:pt idx="1577">
                  <c:v>2191.18</c:v>
                </c:pt>
                <c:pt idx="1578">
                  <c:v>2215.69</c:v>
                </c:pt>
                <c:pt idx="1579">
                  <c:v>2215.69</c:v>
                </c:pt>
                <c:pt idx="1580">
                  <c:v>2228.32</c:v>
                </c:pt>
                <c:pt idx="1581">
                  <c:v>2228.32</c:v>
                </c:pt>
                <c:pt idx="1582">
                  <c:v>2228.32</c:v>
                </c:pt>
                <c:pt idx="1583">
                  <c:v>2188.95</c:v>
                </c:pt>
                <c:pt idx="1584">
                  <c:v>2187.54</c:v>
                </c:pt>
                <c:pt idx="1585">
                  <c:v>2160.71</c:v>
                </c:pt>
                <c:pt idx="1586">
                  <c:v>2259.56</c:v>
                </c:pt>
                <c:pt idx="1587">
                  <c:v>2259.56</c:v>
                </c:pt>
                <c:pt idx="1588">
                  <c:v>2259.56</c:v>
                </c:pt>
                <c:pt idx="1589">
                  <c:v>2259.56</c:v>
                </c:pt>
                <c:pt idx="1590">
                  <c:v>2259.56</c:v>
                </c:pt>
                <c:pt idx="1591">
                  <c:v>2330.17</c:v>
                </c:pt>
                <c:pt idx="1592">
                  <c:v>2012.42</c:v>
                </c:pt>
                <c:pt idx="1593">
                  <c:v>2012.42</c:v>
                </c:pt>
                <c:pt idx="1594">
                  <c:v>2047.73</c:v>
                </c:pt>
                <c:pt idx="1595">
                  <c:v>1977.12</c:v>
                </c:pt>
                <c:pt idx="1596">
                  <c:v>1998.3</c:v>
                </c:pt>
                <c:pt idx="1597">
                  <c:v>1977.12</c:v>
                </c:pt>
                <c:pt idx="1598">
                  <c:v>1977.12</c:v>
                </c:pt>
                <c:pt idx="1599">
                  <c:v>1977.82</c:v>
                </c:pt>
                <c:pt idx="1600">
                  <c:v>1977.12</c:v>
                </c:pt>
                <c:pt idx="1601">
                  <c:v>2047.73</c:v>
                </c:pt>
                <c:pt idx="1602">
                  <c:v>2061.85</c:v>
                </c:pt>
                <c:pt idx="1603">
                  <c:v>2100.69</c:v>
                </c:pt>
                <c:pt idx="1604">
                  <c:v>2107.75</c:v>
                </c:pt>
                <c:pt idx="1605">
                  <c:v>2118.34</c:v>
                </c:pt>
                <c:pt idx="1606">
                  <c:v>2075.97</c:v>
                </c:pt>
                <c:pt idx="1607">
                  <c:v>2090.1</c:v>
                </c:pt>
                <c:pt idx="1608">
                  <c:v>2100.69</c:v>
                </c:pt>
                <c:pt idx="1609">
                  <c:v>2118.34</c:v>
                </c:pt>
                <c:pt idx="1610">
                  <c:v>2090.1</c:v>
                </c:pt>
                <c:pt idx="1611">
                  <c:v>2111.28</c:v>
                </c:pt>
                <c:pt idx="1612">
                  <c:v>2111.28</c:v>
                </c:pt>
                <c:pt idx="1613">
                  <c:v>2083.03</c:v>
                </c:pt>
                <c:pt idx="1614">
                  <c:v>2083.03</c:v>
                </c:pt>
                <c:pt idx="1615">
                  <c:v>1991.24</c:v>
                </c:pt>
                <c:pt idx="1616">
                  <c:v>1906.51</c:v>
                </c:pt>
                <c:pt idx="1617">
                  <c:v>1924.86</c:v>
                </c:pt>
                <c:pt idx="1618">
                  <c:v>1977.12</c:v>
                </c:pt>
                <c:pt idx="1619">
                  <c:v>1977.12</c:v>
                </c:pt>
                <c:pt idx="1620">
                  <c:v>1977.12</c:v>
                </c:pt>
                <c:pt idx="1621">
                  <c:v>1976.41</c:v>
                </c:pt>
                <c:pt idx="1622">
                  <c:v>2011.72</c:v>
                </c:pt>
                <c:pt idx="1623">
                  <c:v>2104.22</c:v>
                </c:pt>
                <c:pt idx="1624">
                  <c:v>2013.13</c:v>
                </c:pt>
                <c:pt idx="1625">
                  <c:v>2104.22</c:v>
                </c:pt>
                <c:pt idx="1626">
                  <c:v>2104.22</c:v>
                </c:pt>
                <c:pt idx="1627">
                  <c:v>2104.22</c:v>
                </c:pt>
                <c:pt idx="1628">
                  <c:v>2104.22</c:v>
                </c:pt>
                <c:pt idx="1629">
                  <c:v>2104.22</c:v>
                </c:pt>
                <c:pt idx="1630">
                  <c:v>2104.22</c:v>
                </c:pt>
                <c:pt idx="1631">
                  <c:v>2104.22</c:v>
                </c:pt>
                <c:pt idx="1632">
                  <c:v>2083.03</c:v>
                </c:pt>
                <c:pt idx="1633">
                  <c:v>2111.28</c:v>
                </c:pt>
                <c:pt idx="1634">
                  <c:v>2111.28</c:v>
                </c:pt>
                <c:pt idx="1635">
                  <c:v>2111.28</c:v>
                </c:pt>
                <c:pt idx="1636">
                  <c:v>2118.34</c:v>
                </c:pt>
                <c:pt idx="1637">
                  <c:v>2061.14</c:v>
                </c:pt>
                <c:pt idx="1638">
                  <c:v>1977.12</c:v>
                </c:pt>
                <c:pt idx="1639">
                  <c:v>1906.51</c:v>
                </c:pt>
                <c:pt idx="1640">
                  <c:v>1906.51</c:v>
                </c:pt>
                <c:pt idx="1641">
                  <c:v>1853.55</c:v>
                </c:pt>
                <c:pt idx="1642">
                  <c:v>1853.55</c:v>
                </c:pt>
                <c:pt idx="1643">
                  <c:v>1853.55</c:v>
                </c:pt>
                <c:pt idx="1644">
                  <c:v>1853.55</c:v>
                </c:pt>
                <c:pt idx="1645">
                  <c:v>1853.55</c:v>
                </c:pt>
                <c:pt idx="1646">
                  <c:v>1853.55</c:v>
                </c:pt>
                <c:pt idx="1647">
                  <c:v>1853.55</c:v>
                </c:pt>
                <c:pt idx="1648">
                  <c:v>1853.55</c:v>
                </c:pt>
                <c:pt idx="1649">
                  <c:v>1871.2</c:v>
                </c:pt>
                <c:pt idx="1650">
                  <c:v>1871.2</c:v>
                </c:pt>
                <c:pt idx="1651">
                  <c:v>1832.36</c:v>
                </c:pt>
                <c:pt idx="1652">
                  <c:v>1832.36</c:v>
                </c:pt>
                <c:pt idx="1653">
                  <c:v>1828.83</c:v>
                </c:pt>
                <c:pt idx="1654">
                  <c:v>1832.36</c:v>
                </c:pt>
                <c:pt idx="1655">
                  <c:v>1832.36</c:v>
                </c:pt>
                <c:pt idx="1656">
                  <c:v>1870.49</c:v>
                </c:pt>
                <c:pt idx="1657">
                  <c:v>1870.49</c:v>
                </c:pt>
                <c:pt idx="1658">
                  <c:v>1870.49</c:v>
                </c:pt>
                <c:pt idx="1659">
                  <c:v>1839.42</c:v>
                </c:pt>
                <c:pt idx="1660">
                  <c:v>1853.55</c:v>
                </c:pt>
                <c:pt idx="1661">
                  <c:v>1853.55</c:v>
                </c:pt>
                <c:pt idx="1662">
                  <c:v>1835.89</c:v>
                </c:pt>
                <c:pt idx="1663">
                  <c:v>1835.89</c:v>
                </c:pt>
                <c:pt idx="1664">
                  <c:v>1835.89</c:v>
                </c:pt>
                <c:pt idx="1665">
                  <c:v>1765.28</c:v>
                </c:pt>
                <c:pt idx="1666">
                  <c:v>1729.98</c:v>
                </c:pt>
                <c:pt idx="1667">
                  <c:v>1695.38</c:v>
                </c:pt>
                <c:pt idx="1668">
                  <c:v>1729.98</c:v>
                </c:pt>
                <c:pt idx="1669">
                  <c:v>1729.98</c:v>
                </c:pt>
                <c:pt idx="1670">
                  <c:v>1729.98</c:v>
                </c:pt>
                <c:pt idx="1671">
                  <c:v>1729.98</c:v>
                </c:pt>
                <c:pt idx="1672">
                  <c:v>1729.98</c:v>
                </c:pt>
                <c:pt idx="1673">
                  <c:v>1729.98</c:v>
                </c:pt>
                <c:pt idx="1674">
                  <c:v>1729.98</c:v>
                </c:pt>
                <c:pt idx="1675">
                  <c:v>1729.98</c:v>
                </c:pt>
                <c:pt idx="1676">
                  <c:v>1722.92</c:v>
                </c:pt>
                <c:pt idx="1677">
                  <c:v>1744.1</c:v>
                </c:pt>
                <c:pt idx="1678">
                  <c:v>1799.88</c:v>
                </c:pt>
                <c:pt idx="1679">
                  <c:v>1799.88</c:v>
                </c:pt>
                <c:pt idx="1680">
                  <c:v>1799.88</c:v>
                </c:pt>
                <c:pt idx="1681">
                  <c:v>1800.59</c:v>
                </c:pt>
                <c:pt idx="1682">
                  <c:v>1800.59</c:v>
                </c:pt>
                <c:pt idx="1683">
                  <c:v>1765.28</c:v>
                </c:pt>
                <c:pt idx="1684">
                  <c:v>1729.98</c:v>
                </c:pt>
                <c:pt idx="1685">
                  <c:v>1729.98</c:v>
                </c:pt>
                <c:pt idx="1686">
                  <c:v>1765.28</c:v>
                </c:pt>
                <c:pt idx="1687">
                  <c:v>1782.94</c:v>
                </c:pt>
                <c:pt idx="1688">
                  <c:v>1764.58</c:v>
                </c:pt>
                <c:pt idx="1689">
                  <c:v>1765.28</c:v>
                </c:pt>
                <c:pt idx="1690">
                  <c:v>1765.28</c:v>
                </c:pt>
                <c:pt idx="1691">
                  <c:v>1765.28</c:v>
                </c:pt>
                <c:pt idx="1692">
                  <c:v>1765.28</c:v>
                </c:pt>
                <c:pt idx="1693">
                  <c:v>1765.28</c:v>
                </c:pt>
                <c:pt idx="1694">
                  <c:v>1729.98</c:v>
                </c:pt>
                <c:pt idx="1695">
                  <c:v>1694.67</c:v>
                </c:pt>
                <c:pt idx="1696">
                  <c:v>1694.67</c:v>
                </c:pt>
                <c:pt idx="1697">
                  <c:v>1693.97</c:v>
                </c:pt>
                <c:pt idx="1698">
                  <c:v>1693.97</c:v>
                </c:pt>
                <c:pt idx="1699">
                  <c:v>1684.08</c:v>
                </c:pt>
                <c:pt idx="1700">
                  <c:v>1684.08</c:v>
                </c:pt>
                <c:pt idx="1701">
                  <c:v>1684.08</c:v>
                </c:pt>
                <c:pt idx="1702">
                  <c:v>1677.02</c:v>
                </c:pt>
                <c:pt idx="1703">
                  <c:v>1673.49</c:v>
                </c:pt>
                <c:pt idx="1704">
                  <c:v>1659.37</c:v>
                </c:pt>
                <c:pt idx="1705">
                  <c:v>1659.37</c:v>
                </c:pt>
                <c:pt idx="1706">
                  <c:v>1659.37</c:v>
                </c:pt>
                <c:pt idx="1707">
                  <c:v>1659.37</c:v>
                </c:pt>
                <c:pt idx="1708">
                  <c:v>1659.37</c:v>
                </c:pt>
                <c:pt idx="1709">
                  <c:v>1659.37</c:v>
                </c:pt>
                <c:pt idx="1710">
                  <c:v>1659.37</c:v>
                </c:pt>
                <c:pt idx="1711">
                  <c:v>1659.37</c:v>
                </c:pt>
                <c:pt idx="1712">
                  <c:v>1684.08</c:v>
                </c:pt>
                <c:pt idx="1713">
                  <c:v>1669.25</c:v>
                </c:pt>
                <c:pt idx="1714">
                  <c:v>1669.25</c:v>
                </c:pt>
                <c:pt idx="1715">
                  <c:v>1637.89</c:v>
                </c:pt>
                <c:pt idx="1716">
                  <c:v>1637.89</c:v>
                </c:pt>
                <c:pt idx="1717">
                  <c:v>1637.89</c:v>
                </c:pt>
                <c:pt idx="1718">
                  <c:v>1637.89</c:v>
                </c:pt>
                <c:pt idx="1719">
                  <c:v>1637.89</c:v>
                </c:pt>
                <c:pt idx="1720">
                  <c:v>1637.89</c:v>
                </c:pt>
                <c:pt idx="1721">
                  <c:v>1637.89</c:v>
                </c:pt>
                <c:pt idx="1722">
                  <c:v>1637.89</c:v>
                </c:pt>
                <c:pt idx="1723">
                  <c:v>1603.74</c:v>
                </c:pt>
                <c:pt idx="1724">
                  <c:v>1676.22</c:v>
                </c:pt>
                <c:pt idx="1725">
                  <c:v>1700.62</c:v>
                </c:pt>
                <c:pt idx="1726">
                  <c:v>1714.55</c:v>
                </c:pt>
                <c:pt idx="1727">
                  <c:v>1735.46</c:v>
                </c:pt>
                <c:pt idx="1728">
                  <c:v>1742.43</c:v>
                </c:pt>
                <c:pt idx="1729">
                  <c:v>1742.43</c:v>
                </c:pt>
                <c:pt idx="1730">
                  <c:v>1742.43</c:v>
                </c:pt>
                <c:pt idx="1731">
                  <c:v>1881.83</c:v>
                </c:pt>
                <c:pt idx="1732">
                  <c:v>1881.83</c:v>
                </c:pt>
                <c:pt idx="1733">
                  <c:v>1895.77</c:v>
                </c:pt>
                <c:pt idx="1734">
                  <c:v>1895.77</c:v>
                </c:pt>
                <c:pt idx="1735">
                  <c:v>1895.77</c:v>
                </c:pt>
                <c:pt idx="1736">
                  <c:v>1881.83</c:v>
                </c:pt>
                <c:pt idx="1737">
                  <c:v>1881.83</c:v>
                </c:pt>
                <c:pt idx="1738">
                  <c:v>1934.1</c:v>
                </c:pt>
                <c:pt idx="1739">
                  <c:v>1934.1</c:v>
                </c:pt>
                <c:pt idx="1740">
                  <c:v>1916.68</c:v>
                </c:pt>
                <c:pt idx="1741">
                  <c:v>1944.56</c:v>
                </c:pt>
                <c:pt idx="1742">
                  <c:v>1944.56</c:v>
                </c:pt>
                <c:pt idx="1743">
                  <c:v>1944.56</c:v>
                </c:pt>
                <c:pt idx="1744">
                  <c:v>1944.56</c:v>
                </c:pt>
                <c:pt idx="1745">
                  <c:v>1944.56</c:v>
                </c:pt>
                <c:pt idx="1746">
                  <c:v>1846.98</c:v>
                </c:pt>
                <c:pt idx="1747">
                  <c:v>1846.98</c:v>
                </c:pt>
                <c:pt idx="1748">
                  <c:v>1747.31</c:v>
                </c:pt>
                <c:pt idx="1749">
                  <c:v>1735.46</c:v>
                </c:pt>
                <c:pt idx="1750">
                  <c:v>1735.46</c:v>
                </c:pt>
                <c:pt idx="1751">
                  <c:v>1711.07</c:v>
                </c:pt>
                <c:pt idx="1752">
                  <c:v>1700.62</c:v>
                </c:pt>
                <c:pt idx="1753">
                  <c:v>1711.07</c:v>
                </c:pt>
                <c:pt idx="1754">
                  <c:v>1690.16</c:v>
                </c:pt>
                <c:pt idx="1755">
                  <c:v>1690.16</c:v>
                </c:pt>
                <c:pt idx="1756">
                  <c:v>1690.16</c:v>
                </c:pt>
                <c:pt idx="1757">
                  <c:v>1672.74</c:v>
                </c:pt>
                <c:pt idx="1758">
                  <c:v>1672.74</c:v>
                </c:pt>
                <c:pt idx="1759">
                  <c:v>1672.74</c:v>
                </c:pt>
                <c:pt idx="1760">
                  <c:v>1706.89</c:v>
                </c:pt>
                <c:pt idx="1761">
                  <c:v>1706.89</c:v>
                </c:pt>
                <c:pt idx="1762">
                  <c:v>1706.89</c:v>
                </c:pt>
                <c:pt idx="1763">
                  <c:v>1706.89</c:v>
                </c:pt>
                <c:pt idx="1764">
                  <c:v>1706.89</c:v>
                </c:pt>
                <c:pt idx="1765">
                  <c:v>1706.89</c:v>
                </c:pt>
                <c:pt idx="1766">
                  <c:v>1707.59</c:v>
                </c:pt>
                <c:pt idx="1767">
                  <c:v>1707.59</c:v>
                </c:pt>
                <c:pt idx="1768">
                  <c:v>1707.59</c:v>
                </c:pt>
                <c:pt idx="1769">
                  <c:v>1672.74</c:v>
                </c:pt>
                <c:pt idx="1770">
                  <c:v>1572.37</c:v>
                </c:pt>
                <c:pt idx="1771">
                  <c:v>1533.34</c:v>
                </c:pt>
                <c:pt idx="1772">
                  <c:v>1533.34</c:v>
                </c:pt>
                <c:pt idx="1773">
                  <c:v>1533.34</c:v>
                </c:pt>
                <c:pt idx="1774">
                  <c:v>1721.52</c:v>
                </c:pt>
                <c:pt idx="1775">
                  <c:v>1721.52</c:v>
                </c:pt>
                <c:pt idx="1776">
                  <c:v>1721.52</c:v>
                </c:pt>
                <c:pt idx="1777">
                  <c:v>1721.52</c:v>
                </c:pt>
                <c:pt idx="1778">
                  <c:v>1707.59</c:v>
                </c:pt>
                <c:pt idx="1779">
                  <c:v>1707.59</c:v>
                </c:pt>
                <c:pt idx="1780">
                  <c:v>1707.59</c:v>
                </c:pt>
                <c:pt idx="1781">
                  <c:v>1707.59</c:v>
                </c:pt>
                <c:pt idx="1782">
                  <c:v>1707.59</c:v>
                </c:pt>
                <c:pt idx="1783">
                  <c:v>1714.55</c:v>
                </c:pt>
                <c:pt idx="1784">
                  <c:v>1742.43</c:v>
                </c:pt>
                <c:pt idx="1785">
                  <c:v>1734.77</c:v>
                </c:pt>
                <c:pt idx="1786">
                  <c:v>1759.86</c:v>
                </c:pt>
                <c:pt idx="1787">
                  <c:v>1759.86</c:v>
                </c:pt>
                <c:pt idx="1788">
                  <c:v>1759.86</c:v>
                </c:pt>
                <c:pt idx="1789">
                  <c:v>1777.28</c:v>
                </c:pt>
                <c:pt idx="1790">
                  <c:v>1777.28</c:v>
                </c:pt>
                <c:pt idx="1791">
                  <c:v>1784.25</c:v>
                </c:pt>
                <c:pt idx="1792">
                  <c:v>1846.98</c:v>
                </c:pt>
                <c:pt idx="1793">
                  <c:v>1846.98</c:v>
                </c:pt>
                <c:pt idx="1794">
                  <c:v>1812.13</c:v>
                </c:pt>
                <c:pt idx="1795">
                  <c:v>1812.13</c:v>
                </c:pt>
                <c:pt idx="1796">
                  <c:v>1812.13</c:v>
                </c:pt>
                <c:pt idx="1797">
                  <c:v>1742.43</c:v>
                </c:pt>
                <c:pt idx="1798">
                  <c:v>1742.43</c:v>
                </c:pt>
                <c:pt idx="1799">
                  <c:v>1683.19</c:v>
                </c:pt>
                <c:pt idx="1800">
                  <c:v>1690.16</c:v>
                </c:pt>
                <c:pt idx="1801">
                  <c:v>1690.16</c:v>
                </c:pt>
                <c:pt idx="1802">
                  <c:v>1672.74</c:v>
                </c:pt>
                <c:pt idx="1803">
                  <c:v>1662.28</c:v>
                </c:pt>
                <c:pt idx="1804">
                  <c:v>1651.83</c:v>
                </c:pt>
                <c:pt idx="1805">
                  <c:v>1672.74</c:v>
                </c:pt>
                <c:pt idx="1806">
                  <c:v>1690.16</c:v>
                </c:pt>
                <c:pt idx="1807">
                  <c:v>1690.16</c:v>
                </c:pt>
                <c:pt idx="1808">
                  <c:v>1690.16</c:v>
                </c:pt>
                <c:pt idx="1809">
                  <c:v>1690.16</c:v>
                </c:pt>
                <c:pt idx="1810">
                  <c:v>1637.89</c:v>
                </c:pt>
                <c:pt idx="1811">
                  <c:v>1603.04</c:v>
                </c:pt>
                <c:pt idx="1812">
                  <c:v>1603.04</c:v>
                </c:pt>
                <c:pt idx="1813">
                  <c:v>1603.04</c:v>
                </c:pt>
                <c:pt idx="1814">
                  <c:v>1602.34</c:v>
                </c:pt>
                <c:pt idx="1815">
                  <c:v>1602.34</c:v>
                </c:pt>
                <c:pt idx="1816">
                  <c:v>1602.34</c:v>
                </c:pt>
                <c:pt idx="1817">
                  <c:v>1602.34</c:v>
                </c:pt>
                <c:pt idx="1818">
                  <c:v>1603.04</c:v>
                </c:pt>
                <c:pt idx="1819">
                  <c:v>1603.04</c:v>
                </c:pt>
                <c:pt idx="1820">
                  <c:v>1533.34</c:v>
                </c:pt>
                <c:pt idx="1821">
                  <c:v>1533.34</c:v>
                </c:pt>
                <c:pt idx="1822">
                  <c:v>1533.34</c:v>
                </c:pt>
                <c:pt idx="1823">
                  <c:v>1533.34</c:v>
                </c:pt>
                <c:pt idx="1824">
                  <c:v>1533.34</c:v>
                </c:pt>
                <c:pt idx="1825">
                  <c:v>1533.34</c:v>
                </c:pt>
                <c:pt idx="1826">
                  <c:v>1568.19</c:v>
                </c:pt>
                <c:pt idx="1827">
                  <c:v>1568.19</c:v>
                </c:pt>
                <c:pt idx="1828">
                  <c:v>1568.19</c:v>
                </c:pt>
                <c:pt idx="1829">
                  <c:v>1568.19</c:v>
                </c:pt>
                <c:pt idx="1830">
                  <c:v>1568.19</c:v>
                </c:pt>
                <c:pt idx="1831">
                  <c:v>1568.19</c:v>
                </c:pt>
                <c:pt idx="1832">
                  <c:v>1481.07</c:v>
                </c:pt>
                <c:pt idx="1833">
                  <c:v>1481.07</c:v>
                </c:pt>
                <c:pt idx="1834">
                  <c:v>1481.07</c:v>
                </c:pt>
                <c:pt idx="1835">
                  <c:v>1481.07</c:v>
                </c:pt>
                <c:pt idx="1836">
                  <c:v>1481.07</c:v>
                </c:pt>
                <c:pt idx="1837">
                  <c:v>1481.07</c:v>
                </c:pt>
                <c:pt idx="1838">
                  <c:v>1477.78</c:v>
                </c:pt>
                <c:pt idx="1839">
                  <c:v>1477.78</c:v>
                </c:pt>
                <c:pt idx="1840">
                  <c:v>1477.78</c:v>
                </c:pt>
                <c:pt idx="1841">
                  <c:v>1477.78</c:v>
                </c:pt>
                <c:pt idx="1842">
                  <c:v>1477.78</c:v>
                </c:pt>
                <c:pt idx="1843">
                  <c:v>1477.78</c:v>
                </c:pt>
                <c:pt idx="1844">
                  <c:v>1510.62</c:v>
                </c:pt>
                <c:pt idx="1845">
                  <c:v>1477.78</c:v>
                </c:pt>
                <c:pt idx="1846">
                  <c:v>1477.78</c:v>
                </c:pt>
                <c:pt idx="1847">
                  <c:v>1477.78</c:v>
                </c:pt>
                <c:pt idx="1848">
                  <c:v>1484.35</c:v>
                </c:pt>
                <c:pt idx="1849">
                  <c:v>1477.78</c:v>
                </c:pt>
                <c:pt idx="1850">
                  <c:v>1448.23</c:v>
                </c:pt>
                <c:pt idx="1851">
                  <c:v>1507.34</c:v>
                </c:pt>
                <c:pt idx="1852">
                  <c:v>1507.34</c:v>
                </c:pt>
                <c:pt idx="1853">
                  <c:v>1494.2</c:v>
                </c:pt>
                <c:pt idx="1854">
                  <c:v>1477.78</c:v>
                </c:pt>
                <c:pt idx="1855">
                  <c:v>1477.78</c:v>
                </c:pt>
                <c:pt idx="1856">
                  <c:v>1445.6</c:v>
                </c:pt>
                <c:pt idx="1857">
                  <c:v>1445.6</c:v>
                </c:pt>
                <c:pt idx="1858">
                  <c:v>1444.95</c:v>
                </c:pt>
                <c:pt idx="1859">
                  <c:v>1444.95</c:v>
                </c:pt>
                <c:pt idx="1860">
                  <c:v>1444.95</c:v>
                </c:pt>
                <c:pt idx="1861">
                  <c:v>1379.27</c:v>
                </c:pt>
                <c:pt idx="1862">
                  <c:v>1380.58</c:v>
                </c:pt>
                <c:pt idx="1863">
                  <c:v>1379.27</c:v>
                </c:pt>
                <c:pt idx="1864">
                  <c:v>1297.17</c:v>
                </c:pt>
                <c:pt idx="1865">
                  <c:v>1297.17</c:v>
                </c:pt>
                <c:pt idx="1866">
                  <c:v>1297.17</c:v>
                </c:pt>
                <c:pt idx="1867">
                  <c:v>1297.17</c:v>
                </c:pt>
                <c:pt idx="1868">
                  <c:v>1437.72</c:v>
                </c:pt>
                <c:pt idx="1869">
                  <c:v>1458.08</c:v>
                </c:pt>
                <c:pt idx="1870">
                  <c:v>1458.08</c:v>
                </c:pt>
                <c:pt idx="1871">
                  <c:v>1444.95</c:v>
                </c:pt>
                <c:pt idx="1872">
                  <c:v>1444.95</c:v>
                </c:pt>
                <c:pt idx="1873">
                  <c:v>1441.66</c:v>
                </c:pt>
                <c:pt idx="1874">
                  <c:v>1441.66</c:v>
                </c:pt>
                <c:pt idx="1875">
                  <c:v>1438.38</c:v>
                </c:pt>
                <c:pt idx="1876">
                  <c:v>1346.43</c:v>
                </c:pt>
                <c:pt idx="1877">
                  <c:v>1366.13</c:v>
                </c:pt>
                <c:pt idx="1878">
                  <c:v>1451.51</c:v>
                </c:pt>
                <c:pt idx="1879">
                  <c:v>1379.27</c:v>
                </c:pt>
                <c:pt idx="1880">
                  <c:v>1379.27</c:v>
                </c:pt>
                <c:pt idx="1881">
                  <c:v>1510.62</c:v>
                </c:pt>
                <c:pt idx="1882">
                  <c:v>1510.62</c:v>
                </c:pt>
                <c:pt idx="1883">
                  <c:v>1379.27</c:v>
                </c:pt>
                <c:pt idx="1884">
                  <c:v>1313.59</c:v>
                </c:pt>
                <c:pt idx="1885">
                  <c:v>1346.43</c:v>
                </c:pt>
                <c:pt idx="1886">
                  <c:v>1346.43</c:v>
                </c:pt>
                <c:pt idx="1887">
                  <c:v>1346.43</c:v>
                </c:pt>
                <c:pt idx="1888">
                  <c:v>1346.43</c:v>
                </c:pt>
                <c:pt idx="1889">
                  <c:v>1346.43</c:v>
                </c:pt>
                <c:pt idx="1890">
                  <c:v>1379.27</c:v>
                </c:pt>
                <c:pt idx="1891">
                  <c:v>1379.27</c:v>
                </c:pt>
                <c:pt idx="1892">
                  <c:v>1379.27</c:v>
                </c:pt>
                <c:pt idx="1893">
                  <c:v>1379.27</c:v>
                </c:pt>
                <c:pt idx="1894">
                  <c:v>1379.92</c:v>
                </c:pt>
                <c:pt idx="1895">
                  <c:v>1382.55</c:v>
                </c:pt>
                <c:pt idx="1896">
                  <c:v>1389.12</c:v>
                </c:pt>
                <c:pt idx="1897">
                  <c:v>1438.38</c:v>
                </c:pt>
                <c:pt idx="1898">
                  <c:v>1425.24</c:v>
                </c:pt>
                <c:pt idx="1899">
                  <c:v>1425.24</c:v>
                </c:pt>
                <c:pt idx="1900">
                  <c:v>1379.27</c:v>
                </c:pt>
                <c:pt idx="1901">
                  <c:v>1379.27</c:v>
                </c:pt>
                <c:pt idx="1902">
                  <c:v>1362.85</c:v>
                </c:pt>
                <c:pt idx="1903">
                  <c:v>1379.27</c:v>
                </c:pt>
                <c:pt idx="1904">
                  <c:v>1379.27</c:v>
                </c:pt>
                <c:pt idx="1905">
                  <c:v>1379.27</c:v>
                </c:pt>
                <c:pt idx="1906">
                  <c:v>1379.27</c:v>
                </c:pt>
                <c:pt idx="1907">
                  <c:v>1379.27</c:v>
                </c:pt>
                <c:pt idx="1908">
                  <c:v>1379.27</c:v>
                </c:pt>
                <c:pt idx="1909">
                  <c:v>1379.27</c:v>
                </c:pt>
                <c:pt idx="1910">
                  <c:v>1293.88</c:v>
                </c:pt>
                <c:pt idx="1911">
                  <c:v>1293.88</c:v>
                </c:pt>
                <c:pt idx="1912">
                  <c:v>1267.61</c:v>
                </c:pt>
                <c:pt idx="1913">
                  <c:v>1293.88</c:v>
                </c:pt>
                <c:pt idx="1914">
                  <c:v>1280.75</c:v>
                </c:pt>
                <c:pt idx="1915">
                  <c:v>1231.49</c:v>
                </c:pt>
                <c:pt idx="1916">
                  <c:v>1234.77</c:v>
                </c:pt>
                <c:pt idx="1917">
                  <c:v>1230.17</c:v>
                </c:pt>
                <c:pt idx="1918">
                  <c:v>1215.07</c:v>
                </c:pt>
                <c:pt idx="1919">
                  <c:v>1227.55</c:v>
                </c:pt>
                <c:pt idx="1920">
                  <c:v>1195.36</c:v>
                </c:pt>
                <c:pt idx="1921">
                  <c:v>1195.36</c:v>
                </c:pt>
                <c:pt idx="1922">
                  <c:v>1228.2</c:v>
                </c:pt>
                <c:pt idx="1923">
                  <c:v>1228.2</c:v>
                </c:pt>
                <c:pt idx="1924">
                  <c:v>1228.2</c:v>
                </c:pt>
                <c:pt idx="1925">
                  <c:v>1228.2</c:v>
                </c:pt>
                <c:pt idx="1926">
                  <c:v>1228.2</c:v>
                </c:pt>
                <c:pt idx="1927">
                  <c:v>1230.17</c:v>
                </c:pt>
                <c:pt idx="1928">
                  <c:v>1230.83</c:v>
                </c:pt>
                <c:pt idx="1929">
                  <c:v>1230.83</c:v>
                </c:pt>
                <c:pt idx="1930">
                  <c:v>1231.49</c:v>
                </c:pt>
                <c:pt idx="1931">
                  <c:v>1231.49</c:v>
                </c:pt>
                <c:pt idx="1932">
                  <c:v>1231.49</c:v>
                </c:pt>
                <c:pt idx="1933">
                  <c:v>1211.78</c:v>
                </c:pt>
                <c:pt idx="1934">
                  <c:v>1234.77</c:v>
                </c:pt>
                <c:pt idx="1935">
                  <c:v>1234.77</c:v>
                </c:pt>
                <c:pt idx="1936">
                  <c:v>1247.91</c:v>
                </c:pt>
                <c:pt idx="1937">
                  <c:v>1247.91</c:v>
                </c:pt>
                <c:pt idx="1938">
                  <c:v>1247.91</c:v>
                </c:pt>
                <c:pt idx="1939">
                  <c:v>1247.91</c:v>
                </c:pt>
                <c:pt idx="1940">
                  <c:v>1247.91</c:v>
                </c:pt>
                <c:pt idx="1941">
                  <c:v>1247.91</c:v>
                </c:pt>
                <c:pt idx="1942">
                  <c:v>1247.91</c:v>
                </c:pt>
                <c:pt idx="1943">
                  <c:v>1247.91</c:v>
                </c:pt>
                <c:pt idx="1944">
                  <c:v>1247.91</c:v>
                </c:pt>
                <c:pt idx="1945">
                  <c:v>1247.91</c:v>
                </c:pt>
                <c:pt idx="1946">
                  <c:v>1247.91</c:v>
                </c:pt>
                <c:pt idx="1947">
                  <c:v>1185.51</c:v>
                </c:pt>
                <c:pt idx="1948">
                  <c:v>1169.09</c:v>
                </c:pt>
                <c:pt idx="1949">
                  <c:v>1159.24</c:v>
                </c:pt>
                <c:pt idx="1950">
                  <c:v>1169.09</c:v>
                </c:pt>
                <c:pt idx="1951">
                  <c:v>1162.52</c:v>
                </c:pt>
                <c:pt idx="1952">
                  <c:v>1175.66</c:v>
                </c:pt>
                <c:pt idx="1953">
                  <c:v>1175.66</c:v>
                </c:pt>
                <c:pt idx="1954">
                  <c:v>1208.5</c:v>
                </c:pt>
                <c:pt idx="1955">
                  <c:v>1247.91</c:v>
                </c:pt>
                <c:pt idx="1956">
                  <c:v>1247.91</c:v>
                </c:pt>
                <c:pt idx="1957">
                  <c:v>1270.89</c:v>
                </c:pt>
                <c:pt idx="1958">
                  <c:v>1280.75</c:v>
                </c:pt>
                <c:pt idx="1959">
                  <c:v>1293.88</c:v>
                </c:pt>
                <c:pt idx="1960">
                  <c:v>1313.59</c:v>
                </c:pt>
                <c:pt idx="1961">
                  <c:v>1303.08</c:v>
                </c:pt>
                <c:pt idx="1962">
                  <c:v>1361.42</c:v>
                </c:pt>
                <c:pt idx="1963">
                  <c:v>1393.84</c:v>
                </c:pt>
                <c:pt idx="1964">
                  <c:v>1393.84</c:v>
                </c:pt>
                <c:pt idx="1965">
                  <c:v>1393.84</c:v>
                </c:pt>
                <c:pt idx="1966">
                  <c:v>1393.84</c:v>
                </c:pt>
                <c:pt idx="1967">
                  <c:v>1393.84</c:v>
                </c:pt>
                <c:pt idx="1968">
                  <c:v>1426.25</c:v>
                </c:pt>
                <c:pt idx="1969">
                  <c:v>1400.32</c:v>
                </c:pt>
                <c:pt idx="1970">
                  <c:v>1400.32</c:v>
                </c:pt>
                <c:pt idx="1971">
                  <c:v>1400.32</c:v>
                </c:pt>
                <c:pt idx="1972">
                  <c:v>1393.84</c:v>
                </c:pt>
                <c:pt idx="1973">
                  <c:v>1393.84</c:v>
                </c:pt>
                <c:pt idx="1974">
                  <c:v>1393.84</c:v>
                </c:pt>
                <c:pt idx="1975">
                  <c:v>1361.42</c:v>
                </c:pt>
                <c:pt idx="1976">
                  <c:v>1361.42</c:v>
                </c:pt>
                <c:pt idx="1977">
                  <c:v>1361.42</c:v>
                </c:pt>
                <c:pt idx="1978">
                  <c:v>1361.42</c:v>
                </c:pt>
                <c:pt idx="1979">
                  <c:v>1393.84</c:v>
                </c:pt>
                <c:pt idx="1980">
                  <c:v>1393.84</c:v>
                </c:pt>
                <c:pt idx="1981">
                  <c:v>1393.84</c:v>
                </c:pt>
                <c:pt idx="1982">
                  <c:v>1393.84</c:v>
                </c:pt>
                <c:pt idx="1983">
                  <c:v>1377.63</c:v>
                </c:pt>
                <c:pt idx="1984">
                  <c:v>1361.42</c:v>
                </c:pt>
                <c:pt idx="1985">
                  <c:v>1361.42</c:v>
                </c:pt>
                <c:pt idx="1986">
                  <c:v>1361.42</c:v>
                </c:pt>
                <c:pt idx="1987">
                  <c:v>1383.47</c:v>
                </c:pt>
                <c:pt idx="1988">
                  <c:v>1383.47</c:v>
                </c:pt>
                <c:pt idx="1989">
                  <c:v>1384.11</c:v>
                </c:pt>
                <c:pt idx="1990">
                  <c:v>1377.63</c:v>
                </c:pt>
                <c:pt idx="1991">
                  <c:v>1377.63</c:v>
                </c:pt>
                <c:pt idx="1992">
                  <c:v>1329.01</c:v>
                </c:pt>
                <c:pt idx="1993">
                  <c:v>1303.08</c:v>
                </c:pt>
                <c:pt idx="1994">
                  <c:v>1296.59</c:v>
                </c:pt>
                <c:pt idx="1995">
                  <c:v>1299.84</c:v>
                </c:pt>
                <c:pt idx="1996">
                  <c:v>1264.18</c:v>
                </c:pt>
                <c:pt idx="1997">
                  <c:v>1296.59</c:v>
                </c:pt>
                <c:pt idx="1998">
                  <c:v>1296.59</c:v>
                </c:pt>
                <c:pt idx="1999">
                  <c:v>1296.59</c:v>
                </c:pt>
                <c:pt idx="2000">
                  <c:v>1296.59</c:v>
                </c:pt>
                <c:pt idx="2001">
                  <c:v>1283.63</c:v>
                </c:pt>
                <c:pt idx="2002">
                  <c:v>1264.18</c:v>
                </c:pt>
                <c:pt idx="2003">
                  <c:v>1257.7</c:v>
                </c:pt>
                <c:pt idx="2004">
                  <c:v>1296.59</c:v>
                </c:pt>
                <c:pt idx="2005">
                  <c:v>1296.59</c:v>
                </c:pt>
                <c:pt idx="2006">
                  <c:v>1375.69</c:v>
                </c:pt>
                <c:pt idx="2007">
                  <c:v>1426.25</c:v>
                </c:pt>
                <c:pt idx="2008">
                  <c:v>1458.67</c:v>
                </c:pt>
                <c:pt idx="2009">
                  <c:v>1458.67</c:v>
                </c:pt>
                <c:pt idx="2010">
                  <c:v>1458.67</c:v>
                </c:pt>
                <c:pt idx="2011">
                  <c:v>1458.67</c:v>
                </c:pt>
                <c:pt idx="2012">
                  <c:v>1458.67</c:v>
                </c:pt>
                <c:pt idx="2013">
                  <c:v>1452.19</c:v>
                </c:pt>
                <c:pt idx="2014">
                  <c:v>1426.25</c:v>
                </c:pt>
                <c:pt idx="2015">
                  <c:v>1393.84</c:v>
                </c:pt>
                <c:pt idx="2016">
                  <c:v>1361.42</c:v>
                </c:pt>
                <c:pt idx="2017">
                  <c:v>1368.56</c:v>
                </c:pt>
                <c:pt idx="2018">
                  <c:v>1361.42</c:v>
                </c:pt>
                <c:pt idx="2019">
                  <c:v>1361.42</c:v>
                </c:pt>
                <c:pt idx="2020">
                  <c:v>1235.01</c:v>
                </c:pt>
                <c:pt idx="2021">
                  <c:v>1235.01</c:v>
                </c:pt>
                <c:pt idx="2022">
                  <c:v>1245.38</c:v>
                </c:pt>
                <c:pt idx="2023">
                  <c:v>1235.01</c:v>
                </c:pt>
                <c:pt idx="2024">
                  <c:v>1231.77</c:v>
                </c:pt>
                <c:pt idx="2025">
                  <c:v>1231.77</c:v>
                </c:pt>
                <c:pt idx="2026">
                  <c:v>1231.77</c:v>
                </c:pt>
                <c:pt idx="2027">
                  <c:v>1231.77</c:v>
                </c:pt>
                <c:pt idx="2028">
                  <c:v>1218.8</c:v>
                </c:pt>
                <c:pt idx="2029">
                  <c:v>1183.14</c:v>
                </c:pt>
                <c:pt idx="2030">
                  <c:v>1183.14</c:v>
                </c:pt>
                <c:pt idx="2031">
                  <c:v>1199.35</c:v>
                </c:pt>
                <c:pt idx="2032">
                  <c:v>1199.35</c:v>
                </c:pt>
                <c:pt idx="2033">
                  <c:v>1199.35</c:v>
                </c:pt>
                <c:pt idx="2034">
                  <c:v>1218.8</c:v>
                </c:pt>
                <c:pt idx="2035">
                  <c:v>1166.94</c:v>
                </c:pt>
                <c:pt idx="2036">
                  <c:v>1102.75</c:v>
                </c:pt>
                <c:pt idx="2037">
                  <c:v>1102.75</c:v>
                </c:pt>
                <c:pt idx="2038">
                  <c:v>1205.83</c:v>
                </c:pt>
                <c:pt idx="2039">
                  <c:v>1205.83</c:v>
                </c:pt>
                <c:pt idx="2040">
                  <c:v>1102.11</c:v>
                </c:pt>
                <c:pt idx="2041">
                  <c:v>1037.92</c:v>
                </c:pt>
                <c:pt idx="2042">
                  <c:v>1037.92</c:v>
                </c:pt>
                <c:pt idx="2043">
                  <c:v>1037.92</c:v>
                </c:pt>
                <c:pt idx="2044">
                  <c:v>1037.92</c:v>
                </c:pt>
                <c:pt idx="2045">
                  <c:v>1069.69</c:v>
                </c:pt>
                <c:pt idx="2046">
                  <c:v>1073.58</c:v>
                </c:pt>
                <c:pt idx="2047">
                  <c:v>1076.17</c:v>
                </c:pt>
                <c:pt idx="2048">
                  <c:v>1102.11</c:v>
                </c:pt>
                <c:pt idx="2049">
                  <c:v>1133.22</c:v>
                </c:pt>
                <c:pt idx="2050">
                  <c:v>1134.52</c:v>
                </c:pt>
                <c:pt idx="2051">
                  <c:v>1150.73</c:v>
                </c:pt>
                <c:pt idx="2052">
                  <c:v>1173.42</c:v>
                </c:pt>
                <c:pt idx="2053">
                  <c:v>1179.9</c:v>
                </c:pt>
                <c:pt idx="2054">
                  <c:v>1186.38</c:v>
                </c:pt>
                <c:pt idx="2055">
                  <c:v>1170.18</c:v>
                </c:pt>
                <c:pt idx="2056">
                  <c:v>1170.18</c:v>
                </c:pt>
                <c:pt idx="2057">
                  <c:v>1228.52</c:v>
                </c:pt>
                <c:pt idx="2058">
                  <c:v>1228.52</c:v>
                </c:pt>
                <c:pt idx="2059">
                  <c:v>1228.52</c:v>
                </c:pt>
                <c:pt idx="2060">
                  <c:v>1231.77</c:v>
                </c:pt>
                <c:pt idx="2061">
                  <c:v>1202.59</c:v>
                </c:pt>
                <c:pt idx="2062">
                  <c:v>1199.35</c:v>
                </c:pt>
                <c:pt idx="2063">
                  <c:v>1166.94</c:v>
                </c:pt>
                <c:pt idx="2064">
                  <c:v>1166.94</c:v>
                </c:pt>
                <c:pt idx="2065">
                  <c:v>1199.35</c:v>
                </c:pt>
                <c:pt idx="2066">
                  <c:v>1176.66</c:v>
                </c:pt>
                <c:pt idx="2067">
                  <c:v>1183.14</c:v>
                </c:pt>
                <c:pt idx="2068">
                  <c:v>1231.77</c:v>
                </c:pt>
                <c:pt idx="2069">
                  <c:v>1231.77</c:v>
                </c:pt>
                <c:pt idx="2070">
                  <c:v>1260.94</c:v>
                </c:pt>
                <c:pt idx="2071">
                  <c:v>1260.94</c:v>
                </c:pt>
                <c:pt idx="2072">
                  <c:v>1260.94</c:v>
                </c:pt>
                <c:pt idx="2073">
                  <c:v>1277.15</c:v>
                </c:pt>
                <c:pt idx="2074">
                  <c:v>1277.15</c:v>
                </c:pt>
                <c:pt idx="2075">
                  <c:v>1277.15</c:v>
                </c:pt>
                <c:pt idx="2076">
                  <c:v>1264.18</c:v>
                </c:pt>
                <c:pt idx="2077">
                  <c:v>1264.18</c:v>
                </c:pt>
                <c:pt idx="2078">
                  <c:v>1277.15</c:v>
                </c:pt>
                <c:pt idx="2079">
                  <c:v>1264.18</c:v>
                </c:pt>
                <c:pt idx="2080">
                  <c:v>1240.19</c:v>
                </c:pt>
                <c:pt idx="2081">
                  <c:v>1240.19</c:v>
                </c:pt>
                <c:pt idx="2082">
                  <c:v>1240.19</c:v>
                </c:pt>
                <c:pt idx="2083">
                  <c:v>1240.19</c:v>
                </c:pt>
                <c:pt idx="2084">
                  <c:v>1252.59</c:v>
                </c:pt>
                <c:pt idx="2085">
                  <c:v>1240.19</c:v>
                </c:pt>
                <c:pt idx="2086">
                  <c:v>1240.19</c:v>
                </c:pt>
                <c:pt idx="2087">
                  <c:v>1209.19</c:v>
                </c:pt>
                <c:pt idx="2088">
                  <c:v>1240.19</c:v>
                </c:pt>
                <c:pt idx="2089">
                  <c:v>1261.9</c:v>
                </c:pt>
                <c:pt idx="2090">
                  <c:v>1277.4</c:v>
                </c:pt>
                <c:pt idx="2091">
                  <c:v>1277.4</c:v>
                </c:pt>
                <c:pt idx="2092">
                  <c:v>1240.19</c:v>
                </c:pt>
                <c:pt idx="2093">
                  <c:v>1299.1</c:v>
                </c:pt>
                <c:pt idx="2094">
                  <c:v>1302.2</c:v>
                </c:pt>
                <c:pt idx="2095">
                  <c:v>1302.2</c:v>
                </c:pt>
                <c:pt idx="2096">
                  <c:v>1302.2</c:v>
                </c:pt>
                <c:pt idx="2097">
                  <c:v>1333.21</c:v>
                </c:pt>
                <c:pt idx="2098">
                  <c:v>1364.21</c:v>
                </c:pt>
                <c:pt idx="2099">
                  <c:v>1426.22</c:v>
                </c:pt>
                <c:pt idx="2100">
                  <c:v>1475.83</c:v>
                </c:pt>
                <c:pt idx="2101">
                  <c:v>1475.83</c:v>
                </c:pt>
                <c:pt idx="2102">
                  <c:v>1463.43</c:v>
                </c:pt>
                <c:pt idx="2103">
                  <c:v>1438.62</c:v>
                </c:pt>
                <c:pt idx="2104">
                  <c:v>1438.62</c:v>
                </c:pt>
                <c:pt idx="2105">
                  <c:v>1488.23</c:v>
                </c:pt>
                <c:pt idx="2106">
                  <c:v>1488.23</c:v>
                </c:pt>
                <c:pt idx="2107">
                  <c:v>1519.24</c:v>
                </c:pt>
                <c:pt idx="2108">
                  <c:v>1519.24</c:v>
                </c:pt>
                <c:pt idx="2109">
                  <c:v>1550.24</c:v>
                </c:pt>
                <c:pt idx="2110">
                  <c:v>1535.36</c:v>
                </c:pt>
                <c:pt idx="2111">
                  <c:v>1550.24</c:v>
                </c:pt>
                <c:pt idx="2112">
                  <c:v>1590.55</c:v>
                </c:pt>
                <c:pt idx="2113">
                  <c:v>1612.25</c:v>
                </c:pt>
                <c:pt idx="2114">
                  <c:v>1595.51</c:v>
                </c:pt>
                <c:pt idx="2115">
                  <c:v>1540.94</c:v>
                </c:pt>
                <c:pt idx="2116">
                  <c:v>1504.97</c:v>
                </c:pt>
                <c:pt idx="2117">
                  <c:v>1498.77</c:v>
                </c:pt>
                <c:pt idx="2118">
                  <c:v>1498.77</c:v>
                </c:pt>
                <c:pt idx="2119">
                  <c:v>1491.33</c:v>
                </c:pt>
                <c:pt idx="2120">
                  <c:v>1488.23</c:v>
                </c:pt>
                <c:pt idx="2121">
                  <c:v>1488.23</c:v>
                </c:pt>
                <c:pt idx="2122">
                  <c:v>1519.24</c:v>
                </c:pt>
                <c:pt idx="2123">
                  <c:v>1550.24</c:v>
                </c:pt>
                <c:pt idx="2124">
                  <c:v>1488.23</c:v>
                </c:pt>
                <c:pt idx="2125">
                  <c:v>1488.85</c:v>
                </c:pt>
                <c:pt idx="2126">
                  <c:v>1488.23</c:v>
                </c:pt>
                <c:pt idx="2127">
                  <c:v>1488.23</c:v>
                </c:pt>
                <c:pt idx="2128">
                  <c:v>1488.23</c:v>
                </c:pt>
                <c:pt idx="2129">
                  <c:v>1488.23</c:v>
                </c:pt>
                <c:pt idx="2130">
                  <c:v>1488.23</c:v>
                </c:pt>
                <c:pt idx="2131">
                  <c:v>1519.24</c:v>
                </c:pt>
                <c:pt idx="2132">
                  <c:v>1519.24</c:v>
                </c:pt>
                <c:pt idx="2133">
                  <c:v>1534.74</c:v>
                </c:pt>
                <c:pt idx="2134">
                  <c:v>1519.24</c:v>
                </c:pt>
                <c:pt idx="2135">
                  <c:v>1519.24</c:v>
                </c:pt>
                <c:pt idx="2136">
                  <c:v>1519.24</c:v>
                </c:pt>
                <c:pt idx="2137">
                  <c:v>1519.24</c:v>
                </c:pt>
                <c:pt idx="2138">
                  <c:v>1488.23</c:v>
                </c:pt>
                <c:pt idx="2139">
                  <c:v>1488.23</c:v>
                </c:pt>
                <c:pt idx="2140">
                  <c:v>1491.33</c:v>
                </c:pt>
                <c:pt idx="2141">
                  <c:v>1488.23</c:v>
                </c:pt>
                <c:pt idx="2142">
                  <c:v>1488.23</c:v>
                </c:pt>
                <c:pt idx="2143">
                  <c:v>1457.23</c:v>
                </c:pt>
                <c:pt idx="2144">
                  <c:v>1429.32</c:v>
                </c:pt>
                <c:pt idx="2145">
                  <c:v>1404.52</c:v>
                </c:pt>
                <c:pt idx="2146">
                  <c:v>1401.42</c:v>
                </c:pt>
                <c:pt idx="2147">
                  <c:v>1395.22</c:v>
                </c:pt>
                <c:pt idx="2148">
                  <c:v>1395.22</c:v>
                </c:pt>
                <c:pt idx="2149">
                  <c:v>1395.22</c:v>
                </c:pt>
                <c:pt idx="2150">
                  <c:v>1395.22</c:v>
                </c:pt>
                <c:pt idx="2151">
                  <c:v>1364.21</c:v>
                </c:pt>
                <c:pt idx="2152">
                  <c:v>1364.21</c:v>
                </c:pt>
                <c:pt idx="2153">
                  <c:v>1241.43</c:v>
                </c:pt>
                <c:pt idx="2154">
                  <c:v>1234.61</c:v>
                </c:pt>
                <c:pt idx="2155">
                  <c:v>1199.89</c:v>
                </c:pt>
                <c:pt idx="2156">
                  <c:v>1199.89</c:v>
                </c:pt>
                <c:pt idx="2157">
                  <c:v>1199.89</c:v>
                </c:pt>
                <c:pt idx="2158">
                  <c:v>1178.18</c:v>
                </c:pt>
                <c:pt idx="2159">
                  <c:v>1178.18</c:v>
                </c:pt>
                <c:pt idx="2160">
                  <c:v>1199.89</c:v>
                </c:pt>
                <c:pt idx="2161">
                  <c:v>1199.89</c:v>
                </c:pt>
                <c:pt idx="2162">
                  <c:v>1199.89</c:v>
                </c:pt>
                <c:pt idx="2163">
                  <c:v>1178.18</c:v>
                </c:pt>
                <c:pt idx="2164">
                  <c:v>1209.19</c:v>
                </c:pt>
                <c:pt idx="2165">
                  <c:v>1116.17</c:v>
                </c:pt>
                <c:pt idx="2166">
                  <c:v>1116.17</c:v>
                </c:pt>
                <c:pt idx="2167">
                  <c:v>1116.17</c:v>
                </c:pt>
                <c:pt idx="2168">
                  <c:v>1060.36</c:v>
                </c:pt>
                <c:pt idx="2169">
                  <c:v>1057.88</c:v>
                </c:pt>
                <c:pt idx="2170">
                  <c:v>1054.16</c:v>
                </c:pt>
                <c:pt idx="2171">
                  <c:v>1054.16</c:v>
                </c:pt>
                <c:pt idx="2172">
                  <c:v>1054.16</c:v>
                </c:pt>
                <c:pt idx="2173">
                  <c:v>1054.16</c:v>
                </c:pt>
                <c:pt idx="2174">
                  <c:v>1054.16</c:v>
                </c:pt>
                <c:pt idx="2175">
                  <c:v>1054.16</c:v>
                </c:pt>
                <c:pt idx="2176">
                  <c:v>1057.88</c:v>
                </c:pt>
                <c:pt idx="2177">
                  <c:v>1057.88</c:v>
                </c:pt>
                <c:pt idx="2178">
                  <c:v>1063.47</c:v>
                </c:pt>
                <c:pt idx="2179">
                  <c:v>1063.47</c:v>
                </c:pt>
                <c:pt idx="2180">
                  <c:v>1054.16</c:v>
                </c:pt>
                <c:pt idx="2181">
                  <c:v>1063.47</c:v>
                </c:pt>
                <c:pt idx="2182">
                  <c:v>1054.16</c:v>
                </c:pt>
                <c:pt idx="2183">
                  <c:v>1054.16</c:v>
                </c:pt>
                <c:pt idx="2184">
                  <c:v>1116.17</c:v>
                </c:pt>
                <c:pt idx="2185">
                  <c:v>1153.38</c:v>
                </c:pt>
                <c:pt idx="2186">
                  <c:v>1119.27</c:v>
                </c:pt>
                <c:pt idx="2187">
                  <c:v>1178.18</c:v>
                </c:pt>
                <c:pt idx="2188">
                  <c:v>1178.18</c:v>
                </c:pt>
                <c:pt idx="2189">
                  <c:v>1209.19</c:v>
                </c:pt>
                <c:pt idx="2190">
                  <c:v>1209.19</c:v>
                </c:pt>
                <c:pt idx="2191">
                  <c:v>1227.79</c:v>
                </c:pt>
                <c:pt idx="2192">
                  <c:v>1227.79</c:v>
                </c:pt>
                <c:pt idx="2193">
                  <c:v>1219.73</c:v>
                </c:pt>
                <c:pt idx="2194">
                  <c:v>1227.79</c:v>
                </c:pt>
                <c:pt idx="2195">
                  <c:v>1227.79</c:v>
                </c:pt>
                <c:pt idx="2196">
                  <c:v>1227.79</c:v>
                </c:pt>
                <c:pt idx="2197">
                  <c:v>1221.59</c:v>
                </c:pt>
                <c:pt idx="2198">
                  <c:v>1221.59</c:v>
                </c:pt>
                <c:pt idx="2199">
                  <c:v>1221.59</c:v>
                </c:pt>
                <c:pt idx="2200">
                  <c:v>1221.59</c:v>
                </c:pt>
                <c:pt idx="2201">
                  <c:v>1221.59</c:v>
                </c:pt>
                <c:pt idx="2202">
                  <c:v>1221.59</c:v>
                </c:pt>
                <c:pt idx="2203">
                  <c:v>1240.19</c:v>
                </c:pt>
                <c:pt idx="2204">
                  <c:v>1209.19</c:v>
                </c:pt>
                <c:pt idx="2205">
                  <c:v>1240.19</c:v>
                </c:pt>
                <c:pt idx="2206">
                  <c:v>1240.19</c:v>
                </c:pt>
                <c:pt idx="2207">
                  <c:v>1178.18</c:v>
                </c:pt>
                <c:pt idx="2208">
                  <c:v>1178.18</c:v>
                </c:pt>
                <c:pt idx="2209">
                  <c:v>1178.18</c:v>
                </c:pt>
                <c:pt idx="2210">
                  <c:v>1215.39</c:v>
                </c:pt>
                <c:pt idx="2211">
                  <c:v>1181.28</c:v>
                </c:pt>
                <c:pt idx="2212">
                  <c:v>1178.18</c:v>
                </c:pt>
                <c:pt idx="2213">
                  <c:v>1162.68</c:v>
                </c:pt>
                <c:pt idx="2214">
                  <c:v>1135.4</c:v>
                </c:pt>
                <c:pt idx="2215">
                  <c:v>1135.4</c:v>
                </c:pt>
                <c:pt idx="2216">
                  <c:v>1135.4</c:v>
                </c:pt>
                <c:pt idx="2217">
                  <c:v>1145.83</c:v>
                </c:pt>
                <c:pt idx="2218">
                  <c:v>1150.74</c:v>
                </c:pt>
                <c:pt idx="2219">
                  <c:v>1138.47</c:v>
                </c:pt>
                <c:pt idx="2220">
                  <c:v>1166.08</c:v>
                </c:pt>
                <c:pt idx="2221">
                  <c:v>1166.08</c:v>
                </c:pt>
                <c:pt idx="2222">
                  <c:v>1196.77</c:v>
                </c:pt>
                <c:pt idx="2223">
                  <c:v>1227.46</c:v>
                </c:pt>
                <c:pt idx="2224">
                  <c:v>1227.46</c:v>
                </c:pt>
                <c:pt idx="2225">
                  <c:v>1288.83</c:v>
                </c:pt>
                <c:pt idx="2226">
                  <c:v>1288.83</c:v>
                </c:pt>
                <c:pt idx="2227">
                  <c:v>1316.45</c:v>
                </c:pt>
                <c:pt idx="2228">
                  <c:v>1318.29</c:v>
                </c:pt>
                <c:pt idx="2229">
                  <c:v>1319.51</c:v>
                </c:pt>
                <c:pt idx="2230">
                  <c:v>1331.79</c:v>
                </c:pt>
                <c:pt idx="2231">
                  <c:v>1349.59</c:v>
                </c:pt>
                <c:pt idx="2232">
                  <c:v>1350.2</c:v>
                </c:pt>
                <c:pt idx="2233">
                  <c:v>1350.2</c:v>
                </c:pt>
                <c:pt idx="2234">
                  <c:v>1362.48</c:v>
                </c:pt>
                <c:pt idx="2235">
                  <c:v>1334.86</c:v>
                </c:pt>
                <c:pt idx="2236">
                  <c:v>1334.86</c:v>
                </c:pt>
                <c:pt idx="2237">
                  <c:v>1319.51</c:v>
                </c:pt>
                <c:pt idx="2238">
                  <c:v>1258.14</c:v>
                </c:pt>
                <c:pt idx="2239">
                  <c:v>1227.46</c:v>
                </c:pt>
                <c:pt idx="2240">
                  <c:v>1227.46</c:v>
                </c:pt>
                <c:pt idx="2241">
                  <c:v>1227.46</c:v>
                </c:pt>
                <c:pt idx="2242">
                  <c:v>1189.4</c:v>
                </c:pt>
                <c:pt idx="2243">
                  <c:v>1185.11</c:v>
                </c:pt>
                <c:pt idx="2244">
                  <c:v>1150.74</c:v>
                </c:pt>
                <c:pt idx="2245">
                  <c:v>1147.67</c:v>
                </c:pt>
                <c:pt idx="2246">
                  <c:v>1138.47</c:v>
                </c:pt>
                <c:pt idx="2247">
                  <c:v>1138.47</c:v>
                </c:pt>
                <c:pt idx="2248">
                  <c:v>1136.01</c:v>
                </c:pt>
                <c:pt idx="2249">
                  <c:v>1136.01</c:v>
                </c:pt>
                <c:pt idx="2250">
                  <c:v>1104.71</c:v>
                </c:pt>
                <c:pt idx="2251">
                  <c:v>1104.71</c:v>
                </c:pt>
                <c:pt idx="2252">
                  <c:v>1104.71</c:v>
                </c:pt>
                <c:pt idx="2253">
                  <c:v>1104.71</c:v>
                </c:pt>
                <c:pt idx="2254">
                  <c:v>1105.32</c:v>
                </c:pt>
                <c:pt idx="2255">
                  <c:v>1104.71</c:v>
                </c:pt>
                <c:pt idx="2256">
                  <c:v>1105.32</c:v>
                </c:pt>
                <c:pt idx="2257">
                  <c:v>1104.71</c:v>
                </c:pt>
                <c:pt idx="2258">
                  <c:v>1101.64</c:v>
                </c:pt>
                <c:pt idx="2259">
                  <c:v>1101.64</c:v>
                </c:pt>
                <c:pt idx="2260">
                  <c:v>1046.41</c:v>
                </c:pt>
                <c:pt idx="2261">
                  <c:v>1046.41</c:v>
                </c:pt>
                <c:pt idx="2262">
                  <c:v>1046.41</c:v>
                </c:pt>
                <c:pt idx="2263">
                  <c:v>1043.95</c:v>
                </c:pt>
                <c:pt idx="2264">
                  <c:v>1012.65</c:v>
                </c:pt>
                <c:pt idx="2265">
                  <c:v>1012.65</c:v>
                </c:pt>
                <c:pt idx="2266">
                  <c:v>1012.65</c:v>
                </c:pt>
                <c:pt idx="2267">
                  <c:v>1024.93</c:v>
                </c:pt>
                <c:pt idx="2268">
                  <c:v>1027.99</c:v>
                </c:pt>
                <c:pt idx="2269">
                  <c:v>1018.79</c:v>
                </c:pt>
                <c:pt idx="2270">
                  <c:v>1027.99</c:v>
                </c:pt>
                <c:pt idx="2271">
                  <c:v>1013.26</c:v>
                </c:pt>
                <c:pt idx="2272">
                  <c:v>1013.26</c:v>
                </c:pt>
                <c:pt idx="2273">
                  <c:v>1012.65</c:v>
                </c:pt>
                <c:pt idx="2274">
                  <c:v>1012.65</c:v>
                </c:pt>
                <c:pt idx="2275">
                  <c:v>1012.65</c:v>
                </c:pt>
                <c:pt idx="2276">
                  <c:v>1012.65</c:v>
                </c:pt>
                <c:pt idx="2277">
                  <c:v>1012.65</c:v>
                </c:pt>
                <c:pt idx="2278">
                  <c:v>1012.65</c:v>
                </c:pt>
                <c:pt idx="2279">
                  <c:v>1012.65</c:v>
                </c:pt>
                <c:pt idx="2280">
                  <c:v>1012.65</c:v>
                </c:pt>
                <c:pt idx="2281">
                  <c:v>1012.65</c:v>
                </c:pt>
                <c:pt idx="2282">
                  <c:v>1012.65</c:v>
                </c:pt>
                <c:pt idx="2283">
                  <c:v>1012.65</c:v>
                </c:pt>
                <c:pt idx="2284">
                  <c:v>981.96</c:v>
                </c:pt>
                <c:pt idx="2285">
                  <c:v>985.03</c:v>
                </c:pt>
                <c:pt idx="2286">
                  <c:v>981.96</c:v>
                </c:pt>
                <c:pt idx="2287">
                  <c:v>981.96</c:v>
                </c:pt>
                <c:pt idx="2288">
                  <c:v>957.42</c:v>
                </c:pt>
                <c:pt idx="2289">
                  <c:v>957.42</c:v>
                </c:pt>
                <c:pt idx="2290">
                  <c:v>957.42</c:v>
                </c:pt>
                <c:pt idx="2291">
                  <c:v>969.69</c:v>
                </c:pt>
                <c:pt idx="2292">
                  <c:v>988.1</c:v>
                </c:pt>
                <c:pt idx="2293">
                  <c:v>981.96</c:v>
                </c:pt>
                <c:pt idx="2294">
                  <c:v>988.1</c:v>
                </c:pt>
                <c:pt idx="2295">
                  <c:v>994.24</c:v>
                </c:pt>
                <c:pt idx="2296">
                  <c:v>997.3099999999999</c:v>
                </c:pt>
                <c:pt idx="2297">
                  <c:v>1012.65</c:v>
                </c:pt>
                <c:pt idx="2298">
                  <c:v>1012.65</c:v>
                </c:pt>
                <c:pt idx="2299">
                  <c:v>1012.65</c:v>
                </c:pt>
                <c:pt idx="2300">
                  <c:v>1012.65</c:v>
                </c:pt>
                <c:pt idx="2301">
                  <c:v>1043.34</c:v>
                </c:pt>
                <c:pt idx="2302">
                  <c:v>1012.65</c:v>
                </c:pt>
                <c:pt idx="2303">
                  <c:v>1043.34</c:v>
                </c:pt>
                <c:pt idx="2304">
                  <c:v>1070.96</c:v>
                </c:pt>
                <c:pt idx="2305">
                  <c:v>1074.02</c:v>
                </c:pt>
                <c:pt idx="2306">
                  <c:v>1092.44</c:v>
                </c:pt>
                <c:pt idx="2307">
                  <c:v>1092.44</c:v>
                </c:pt>
                <c:pt idx="2308">
                  <c:v>1074.02</c:v>
                </c:pt>
                <c:pt idx="2309">
                  <c:v>1077.09</c:v>
                </c:pt>
                <c:pt idx="2310">
                  <c:v>1086.3</c:v>
                </c:pt>
                <c:pt idx="2311">
                  <c:v>1074.02</c:v>
                </c:pt>
                <c:pt idx="2312">
                  <c:v>1074.02</c:v>
                </c:pt>
                <c:pt idx="2313">
                  <c:v>1043.34</c:v>
                </c:pt>
                <c:pt idx="2314">
                  <c:v>1043.34</c:v>
                </c:pt>
                <c:pt idx="2315">
                  <c:v>1012.65</c:v>
                </c:pt>
                <c:pt idx="2316">
                  <c:v>1012.65</c:v>
                </c:pt>
                <c:pt idx="2317">
                  <c:v>1012.65</c:v>
                </c:pt>
                <c:pt idx="2318">
                  <c:v>1018.79</c:v>
                </c:pt>
                <c:pt idx="2319">
                  <c:v>1012.65</c:v>
                </c:pt>
                <c:pt idx="2320">
                  <c:v>1012.65</c:v>
                </c:pt>
                <c:pt idx="2321">
                  <c:v>1012.65</c:v>
                </c:pt>
                <c:pt idx="2322">
                  <c:v>994.24</c:v>
                </c:pt>
                <c:pt idx="2323">
                  <c:v>985.03</c:v>
                </c:pt>
                <c:pt idx="2324">
                  <c:v>981.96</c:v>
                </c:pt>
                <c:pt idx="2325">
                  <c:v>981.96</c:v>
                </c:pt>
                <c:pt idx="2326">
                  <c:v>981.96</c:v>
                </c:pt>
                <c:pt idx="2327">
                  <c:v>981.96</c:v>
                </c:pt>
                <c:pt idx="2328">
                  <c:v>1013.26</c:v>
                </c:pt>
                <c:pt idx="2329">
                  <c:v>977.05</c:v>
                </c:pt>
                <c:pt idx="2330">
                  <c:v>977.05</c:v>
                </c:pt>
                <c:pt idx="2331">
                  <c:v>976.46</c:v>
                </c:pt>
                <c:pt idx="2332">
                  <c:v>976.46</c:v>
                </c:pt>
                <c:pt idx="2333">
                  <c:v>976.46</c:v>
                </c:pt>
                <c:pt idx="2334">
                  <c:v>994.22</c:v>
                </c:pt>
                <c:pt idx="2335">
                  <c:v>994.22</c:v>
                </c:pt>
                <c:pt idx="2336">
                  <c:v>994.22</c:v>
                </c:pt>
                <c:pt idx="2337">
                  <c:v>976.46</c:v>
                </c:pt>
                <c:pt idx="2338">
                  <c:v>976.46</c:v>
                </c:pt>
                <c:pt idx="2339">
                  <c:v>976.46</c:v>
                </c:pt>
                <c:pt idx="2340">
                  <c:v>976.46</c:v>
                </c:pt>
                <c:pt idx="2341">
                  <c:v>978.83</c:v>
                </c:pt>
                <c:pt idx="2342">
                  <c:v>976.46</c:v>
                </c:pt>
                <c:pt idx="2343">
                  <c:v>976.46</c:v>
                </c:pt>
                <c:pt idx="2344">
                  <c:v>976.46</c:v>
                </c:pt>
                <c:pt idx="2345">
                  <c:v>976.46</c:v>
                </c:pt>
                <c:pt idx="2346">
                  <c:v>976.46</c:v>
                </c:pt>
                <c:pt idx="2347">
                  <c:v>976.46</c:v>
                </c:pt>
                <c:pt idx="2348">
                  <c:v>976.46</c:v>
                </c:pt>
                <c:pt idx="2349">
                  <c:v>979.42</c:v>
                </c:pt>
                <c:pt idx="2350">
                  <c:v>976.46</c:v>
                </c:pt>
                <c:pt idx="2351">
                  <c:v>994.22</c:v>
                </c:pt>
                <c:pt idx="2352">
                  <c:v>976.46</c:v>
                </c:pt>
                <c:pt idx="2353">
                  <c:v>976.46</c:v>
                </c:pt>
                <c:pt idx="2354">
                  <c:v>1006.05</c:v>
                </c:pt>
                <c:pt idx="2355">
                  <c:v>1026.77</c:v>
                </c:pt>
                <c:pt idx="2356">
                  <c:v>1026.77</c:v>
                </c:pt>
                <c:pt idx="2357">
                  <c:v>1023.81</c:v>
                </c:pt>
                <c:pt idx="2358">
                  <c:v>1035.64</c:v>
                </c:pt>
                <c:pt idx="2359">
                  <c:v>1035.64</c:v>
                </c:pt>
                <c:pt idx="2360">
                  <c:v>1035.64</c:v>
                </c:pt>
                <c:pt idx="2361">
                  <c:v>1035.64</c:v>
                </c:pt>
                <c:pt idx="2362">
                  <c:v>1052.8</c:v>
                </c:pt>
                <c:pt idx="2363">
                  <c:v>1035.64</c:v>
                </c:pt>
                <c:pt idx="2364">
                  <c:v>1035.64</c:v>
                </c:pt>
                <c:pt idx="2365">
                  <c:v>1017.89</c:v>
                </c:pt>
                <c:pt idx="2366">
                  <c:v>1017.89</c:v>
                </c:pt>
                <c:pt idx="2367">
                  <c:v>1029.72</c:v>
                </c:pt>
                <c:pt idx="2368">
                  <c:v>1029.72</c:v>
                </c:pt>
                <c:pt idx="2369">
                  <c:v>1029.72</c:v>
                </c:pt>
                <c:pt idx="2370">
                  <c:v>1006.05</c:v>
                </c:pt>
                <c:pt idx="2371">
                  <c:v>1035.64</c:v>
                </c:pt>
                <c:pt idx="2372">
                  <c:v>1065.23</c:v>
                </c:pt>
                <c:pt idx="2373">
                  <c:v>1050.44</c:v>
                </c:pt>
                <c:pt idx="2374">
                  <c:v>1020.85</c:v>
                </c:pt>
                <c:pt idx="2375">
                  <c:v>1006.05</c:v>
                </c:pt>
                <c:pt idx="2376">
                  <c:v>1009.01</c:v>
                </c:pt>
                <c:pt idx="2377">
                  <c:v>1006.05</c:v>
                </c:pt>
                <c:pt idx="2378">
                  <c:v>1006.05</c:v>
                </c:pt>
                <c:pt idx="2379">
                  <c:v>1006.05</c:v>
                </c:pt>
                <c:pt idx="2380">
                  <c:v>1006.05</c:v>
                </c:pt>
                <c:pt idx="2381">
                  <c:v>976.46</c:v>
                </c:pt>
                <c:pt idx="2382">
                  <c:v>1006.05</c:v>
                </c:pt>
                <c:pt idx="2383">
                  <c:v>991.26</c:v>
                </c:pt>
                <c:pt idx="2384">
                  <c:v>1003.09</c:v>
                </c:pt>
                <c:pt idx="2385">
                  <c:v>1006.05</c:v>
                </c:pt>
                <c:pt idx="2386">
                  <c:v>991.26</c:v>
                </c:pt>
                <c:pt idx="2387">
                  <c:v>991.26</c:v>
                </c:pt>
                <c:pt idx="2388">
                  <c:v>991.26</c:v>
                </c:pt>
                <c:pt idx="2389">
                  <c:v>991.26</c:v>
                </c:pt>
                <c:pt idx="2390">
                  <c:v>991.26</c:v>
                </c:pt>
                <c:pt idx="2391">
                  <c:v>982.38</c:v>
                </c:pt>
                <c:pt idx="2392">
                  <c:v>982.38</c:v>
                </c:pt>
                <c:pt idx="2393">
                  <c:v>982.38</c:v>
                </c:pt>
                <c:pt idx="2394">
                  <c:v>964.63</c:v>
                </c:pt>
                <c:pt idx="2395">
                  <c:v>935.04</c:v>
                </c:pt>
                <c:pt idx="2396">
                  <c:v>935.04</c:v>
                </c:pt>
                <c:pt idx="2397">
                  <c:v>929.12</c:v>
                </c:pt>
                <c:pt idx="2398">
                  <c:v>929.12</c:v>
                </c:pt>
                <c:pt idx="2399">
                  <c:v>929.12</c:v>
                </c:pt>
                <c:pt idx="2400">
                  <c:v>923.2</c:v>
                </c:pt>
                <c:pt idx="2401">
                  <c:v>923.2</c:v>
                </c:pt>
                <c:pt idx="2402">
                  <c:v>923.2</c:v>
                </c:pt>
                <c:pt idx="2403">
                  <c:v>923.2</c:v>
                </c:pt>
                <c:pt idx="2404">
                  <c:v>929.12</c:v>
                </c:pt>
                <c:pt idx="2405">
                  <c:v>935.04</c:v>
                </c:pt>
                <c:pt idx="2406">
                  <c:v>935.04</c:v>
                </c:pt>
                <c:pt idx="2407">
                  <c:v>935.04</c:v>
                </c:pt>
                <c:pt idx="2408">
                  <c:v>952.79</c:v>
                </c:pt>
                <c:pt idx="2409">
                  <c:v>964.04</c:v>
                </c:pt>
                <c:pt idx="2410">
                  <c:v>965.8099999999999</c:v>
                </c:pt>
                <c:pt idx="2411">
                  <c:v>946.87</c:v>
                </c:pt>
                <c:pt idx="2412">
                  <c:v>952.79</c:v>
                </c:pt>
                <c:pt idx="2413">
                  <c:v>952.79</c:v>
                </c:pt>
                <c:pt idx="2414">
                  <c:v>952.79</c:v>
                </c:pt>
                <c:pt idx="2415">
                  <c:v>952.79</c:v>
                </c:pt>
                <c:pt idx="2416">
                  <c:v>923.2</c:v>
                </c:pt>
                <c:pt idx="2417">
                  <c:v>923.2</c:v>
                </c:pt>
                <c:pt idx="2418">
                  <c:v>920.83</c:v>
                </c:pt>
                <c:pt idx="2419">
                  <c:v>920.83</c:v>
                </c:pt>
                <c:pt idx="2420">
                  <c:v>917.88</c:v>
                </c:pt>
                <c:pt idx="2421">
                  <c:v>917.88</c:v>
                </c:pt>
                <c:pt idx="2422">
                  <c:v>917.28</c:v>
                </c:pt>
                <c:pt idx="2423">
                  <c:v>917.28</c:v>
                </c:pt>
                <c:pt idx="2424">
                  <c:v>946.87</c:v>
                </c:pt>
                <c:pt idx="2425">
                  <c:v>946.87</c:v>
                </c:pt>
                <c:pt idx="2426">
                  <c:v>967.59</c:v>
                </c:pt>
                <c:pt idx="2427">
                  <c:v>967.59</c:v>
                </c:pt>
                <c:pt idx="2428">
                  <c:v>976.46</c:v>
                </c:pt>
                <c:pt idx="2429">
                  <c:v>976.46</c:v>
                </c:pt>
                <c:pt idx="2430">
                  <c:v>976.46</c:v>
                </c:pt>
                <c:pt idx="2431">
                  <c:v>976.46</c:v>
                </c:pt>
                <c:pt idx="2432">
                  <c:v>982.97</c:v>
                </c:pt>
                <c:pt idx="2433">
                  <c:v>982.97</c:v>
                </c:pt>
                <c:pt idx="2434">
                  <c:v>982.97</c:v>
                </c:pt>
                <c:pt idx="2435">
                  <c:v>982.38</c:v>
                </c:pt>
                <c:pt idx="2436">
                  <c:v>994.8099999999999</c:v>
                </c:pt>
                <c:pt idx="2437">
                  <c:v>994.8099999999999</c:v>
                </c:pt>
                <c:pt idx="2438">
                  <c:v>1006.05</c:v>
                </c:pt>
                <c:pt idx="2439">
                  <c:v>1006.05</c:v>
                </c:pt>
                <c:pt idx="2440">
                  <c:v>994.22</c:v>
                </c:pt>
                <c:pt idx="2441">
                  <c:v>994.22</c:v>
                </c:pt>
                <c:pt idx="2442">
                  <c:v>994.22</c:v>
                </c:pt>
                <c:pt idx="2443">
                  <c:v>975.87</c:v>
                </c:pt>
                <c:pt idx="2444">
                  <c:v>961.67</c:v>
                </c:pt>
                <c:pt idx="2445">
                  <c:v>994.22</c:v>
                </c:pt>
                <c:pt idx="2446">
                  <c:v>994.22</c:v>
                </c:pt>
                <c:pt idx="2447">
                  <c:v>994.22</c:v>
                </c:pt>
                <c:pt idx="2448">
                  <c:v>961.67</c:v>
                </c:pt>
                <c:pt idx="2449">
                  <c:v>961.67</c:v>
                </c:pt>
                <c:pt idx="2450">
                  <c:v>976.46</c:v>
                </c:pt>
                <c:pt idx="2451">
                  <c:v>932.08</c:v>
                </c:pt>
                <c:pt idx="2452">
                  <c:v>926.16</c:v>
                </c:pt>
                <c:pt idx="2453">
                  <c:v>946.87</c:v>
                </c:pt>
                <c:pt idx="2454">
                  <c:v>946.87</c:v>
                </c:pt>
                <c:pt idx="2455">
                  <c:v>932.08</c:v>
                </c:pt>
                <c:pt idx="2456">
                  <c:v>932.08</c:v>
                </c:pt>
                <c:pt idx="2457">
                  <c:v>932.08</c:v>
                </c:pt>
                <c:pt idx="2458">
                  <c:v>932.08</c:v>
                </c:pt>
                <c:pt idx="2459">
                  <c:v>932.08</c:v>
                </c:pt>
                <c:pt idx="2460">
                  <c:v>858.1</c:v>
                </c:pt>
                <c:pt idx="2461">
                  <c:v>858.1</c:v>
                </c:pt>
                <c:pt idx="2462">
                  <c:v>932.08</c:v>
                </c:pt>
                <c:pt idx="2463">
                  <c:v>932.08</c:v>
                </c:pt>
                <c:pt idx="2464">
                  <c:v>923.2</c:v>
                </c:pt>
                <c:pt idx="2465">
                  <c:v>923.2</c:v>
                </c:pt>
                <c:pt idx="2466">
                  <c:v>914.41</c:v>
                </c:pt>
                <c:pt idx="2467">
                  <c:v>914.41</c:v>
                </c:pt>
                <c:pt idx="2468">
                  <c:v>908.55</c:v>
                </c:pt>
                <c:pt idx="2469">
                  <c:v>896.82</c:v>
                </c:pt>
                <c:pt idx="2470">
                  <c:v>893.89</c:v>
                </c:pt>
                <c:pt idx="2471">
                  <c:v>879.24</c:v>
                </c:pt>
                <c:pt idx="2472">
                  <c:v>908.55</c:v>
                </c:pt>
                <c:pt idx="2473">
                  <c:v>908.55</c:v>
                </c:pt>
                <c:pt idx="2474">
                  <c:v>908.55</c:v>
                </c:pt>
                <c:pt idx="2475">
                  <c:v>920.27</c:v>
                </c:pt>
                <c:pt idx="2476">
                  <c:v>908.55</c:v>
                </c:pt>
                <c:pt idx="2477">
                  <c:v>914.41</c:v>
                </c:pt>
                <c:pt idx="2478">
                  <c:v>908.55</c:v>
                </c:pt>
                <c:pt idx="2479">
                  <c:v>902.69</c:v>
                </c:pt>
                <c:pt idx="2480">
                  <c:v>907.96</c:v>
                </c:pt>
                <c:pt idx="2481">
                  <c:v>879.24</c:v>
                </c:pt>
                <c:pt idx="2482">
                  <c:v>879.24</c:v>
                </c:pt>
                <c:pt idx="2483">
                  <c:v>896.82</c:v>
                </c:pt>
                <c:pt idx="2484">
                  <c:v>885.1</c:v>
                </c:pt>
                <c:pt idx="2485">
                  <c:v>908.55</c:v>
                </c:pt>
                <c:pt idx="2486">
                  <c:v>879.24</c:v>
                </c:pt>
                <c:pt idx="2487">
                  <c:v>879.24</c:v>
                </c:pt>
                <c:pt idx="2488">
                  <c:v>879.24</c:v>
                </c:pt>
                <c:pt idx="2489">
                  <c:v>899.76</c:v>
                </c:pt>
                <c:pt idx="2490">
                  <c:v>890.96</c:v>
                </c:pt>
                <c:pt idx="2491">
                  <c:v>899.76</c:v>
                </c:pt>
                <c:pt idx="2492">
                  <c:v>899.76</c:v>
                </c:pt>
                <c:pt idx="2493">
                  <c:v>902.69</c:v>
                </c:pt>
                <c:pt idx="2494">
                  <c:v>902.69</c:v>
                </c:pt>
                <c:pt idx="2495">
                  <c:v>879.24</c:v>
                </c:pt>
                <c:pt idx="2496">
                  <c:v>926.13</c:v>
                </c:pt>
                <c:pt idx="2497">
                  <c:v>893.89</c:v>
                </c:pt>
                <c:pt idx="2498">
                  <c:v>885.1</c:v>
                </c:pt>
                <c:pt idx="2499">
                  <c:v>879.24</c:v>
                </c:pt>
                <c:pt idx="2500">
                  <c:v>893.89</c:v>
                </c:pt>
                <c:pt idx="2501">
                  <c:v>893.89</c:v>
                </c:pt>
                <c:pt idx="2502">
                  <c:v>893.89</c:v>
                </c:pt>
                <c:pt idx="2503">
                  <c:v>937.86</c:v>
                </c:pt>
                <c:pt idx="2504">
                  <c:v>938.4400000000001</c:v>
                </c:pt>
                <c:pt idx="2505">
                  <c:v>937.86</c:v>
                </c:pt>
                <c:pt idx="2506">
                  <c:v>943.72</c:v>
                </c:pt>
                <c:pt idx="2507">
                  <c:v>920.27</c:v>
                </c:pt>
                <c:pt idx="2508">
                  <c:v>920.27</c:v>
                </c:pt>
                <c:pt idx="2509">
                  <c:v>892.13</c:v>
                </c:pt>
                <c:pt idx="2510">
                  <c:v>867.52</c:v>
                </c:pt>
                <c:pt idx="2511">
                  <c:v>867.52</c:v>
                </c:pt>
                <c:pt idx="2512">
                  <c:v>861.65</c:v>
                </c:pt>
                <c:pt idx="2513">
                  <c:v>852.86</c:v>
                </c:pt>
                <c:pt idx="2514">
                  <c:v>858.72</c:v>
                </c:pt>
                <c:pt idx="2515">
                  <c:v>864.59</c:v>
                </c:pt>
                <c:pt idx="2516">
                  <c:v>873.38</c:v>
                </c:pt>
                <c:pt idx="2517">
                  <c:v>873.38</c:v>
                </c:pt>
                <c:pt idx="2518">
                  <c:v>876.3099999999999</c:v>
                </c:pt>
                <c:pt idx="2519">
                  <c:v>876.3099999999999</c:v>
                </c:pt>
                <c:pt idx="2520">
                  <c:v>879.24</c:v>
                </c:pt>
                <c:pt idx="2521">
                  <c:v>879.24</c:v>
                </c:pt>
                <c:pt idx="2522">
                  <c:v>908.55</c:v>
                </c:pt>
                <c:pt idx="2523">
                  <c:v>882.17</c:v>
                </c:pt>
                <c:pt idx="2524">
                  <c:v>882.17</c:v>
                </c:pt>
                <c:pt idx="2525">
                  <c:v>879.24</c:v>
                </c:pt>
                <c:pt idx="2526">
                  <c:v>878.65</c:v>
                </c:pt>
                <c:pt idx="2527">
                  <c:v>867.52</c:v>
                </c:pt>
                <c:pt idx="2528">
                  <c:v>867.52</c:v>
                </c:pt>
                <c:pt idx="2529">
                  <c:v>849.9299999999999</c:v>
                </c:pt>
                <c:pt idx="2530">
                  <c:v>849.9299999999999</c:v>
                </c:pt>
                <c:pt idx="2531">
                  <c:v>838.21</c:v>
                </c:pt>
                <c:pt idx="2532">
                  <c:v>849.9299999999999</c:v>
                </c:pt>
                <c:pt idx="2533">
                  <c:v>838.21</c:v>
                </c:pt>
                <c:pt idx="2534">
                  <c:v>849.9299999999999</c:v>
                </c:pt>
                <c:pt idx="2535">
                  <c:v>855.79</c:v>
                </c:pt>
                <c:pt idx="2536">
                  <c:v>864.59</c:v>
                </c:pt>
                <c:pt idx="2537">
                  <c:v>864.59</c:v>
                </c:pt>
                <c:pt idx="2538">
                  <c:v>867.52</c:v>
                </c:pt>
                <c:pt idx="2539">
                  <c:v>864.59</c:v>
                </c:pt>
                <c:pt idx="2540">
                  <c:v>864.59</c:v>
                </c:pt>
                <c:pt idx="2541">
                  <c:v>878.65</c:v>
                </c:pt>
                <c:pt idx="2542">
                  <c:v>879.24</c:v>
                </c:pt>
                <c:pt idx="2543">
                  <c:v>879.83</c:v>
                </c:pt>
                <c:pt idx="2544">
                  <c:v>879.83</c:v>
                </c:pt>
                <c:pt idx="2545">
                  <c:v>879.24</c:v>
                </c:pt>
                <c:pt idx="2546">
                  <c:v>908.55</c:v>
                </c:pt>
                <c:pt idx="2547">
                  <c:v>893.89</c:v>
                </c:pt>
                <c:pt idx="2548">
                  <c:v>902.69</c:v>
                </c:pt>
                <c:pt idx="2549">
                  <c:v>908.55</c:v>
                </c:pt>
                <c:pt idx="2550">
                  <c:v>908.55</c:v>
                </c:pt>
                <c:pt idx="2551">
                  <c:v>923.2</c:v>
                </c:pt>
                <c:pt idx="2552">
                  <c:v>926.13</c:v>
                </c:pt>
                <c:pt idx="2553">
                  <c:v>923.2</c:v>
                </c:pt>
                <c:pt idx="2554">
                  <c:v>890.96</c:v>
                </c:pt>
                <c:pt idx="2555">
                  <c:v>907.96</c:v>
                </c:pt>
                <c:pt idx="2556">
                  <c:v>896.82</c:v>
                </c:pt>
                <c:pt idx="2557">
                  <c:v>896.82</c:v>
                </c:pt>
                <c:pt idx="2558">
                  <c:v>896.82</c:v>
                </c:pt>
                <c:pt idx="2559">
                  <c:v>908.55</c:v>
                </c:pt>
                <c:pt idx="2560">
                  <c:v>893.89</c:v>
                </c:pt>
                <c:pt idx="2561">
                  <c:v>893.89</c:v>
                </c:pt>
                <c:pt idx="2562">
                  <c:v>885.1</c:v>
                </c:pt>
                <c:pt idx="2563">
                  <c:v>908.55</c:v>
                </c:pt>
                <c:pt idx="2564">
                  <c:v>908.55</c:v>
                </c:pt>
                <c:pt idx="2565">
                  <c:v>902.69</c:v>
                </c:pt>
                <c:pt idx="2566">
                  <c:v>885.1</c:v>
                </c:pt>
                <c:pt idx="2567">
                  <c:v>885.1</c:v>
                </c:pt>
                <c:pt idx="2568">
                  <c:v>890.96</c:v>
                </c:pt>
                <c:pt idx="2569">
                  <c:v>890.96</c:v>
                </c:pt>
                <c:pt idx="2570">
                  <c:v>879.24</c:v>
                </c:pt>
                <c:pt idx="2571">
                  <c:v>890.96</c:v>
                </c:pt>
                <c:pt idx="2572">
                  <c:v>917.34</c:v>
                </c:pt>
                <c:pt idx="2573">
                  <c:v>917.34</c:v>
                </c:pt>
                <c:pt idx="2574">
                  <c:v>917.34</c:v>
                </c:pt>
                <c:pt idx="2575">
                  <c:v>920.27</c:v>
                </c:pt>
                <c:pt idx="2576">
                  <c:v>920.27</c:v>
                </c:pt>
                <c:pt idx="2577">
                  <c:v>903.27</c:v>
                </c:pt>
                <c:pt idx="2578">
                  <c:v>903.27</c:v>
                </c:pt>
                <c:pt idx="2579">
                  <c:v>877.87</c:v>
                </c:pt>
                <c:pt idx="2580">
                  <c:v>877.87</c:v>
                </c:pt>
                <c:pt idx="2581">
                  <c:v>877.87</c:v>
                </c:pt>
                <c:pt idx="2582">
                  <c:v>877.87</c:v>
                </c:pt>
                <c:pt idx="2583">
                  <c:v>877.87</c:v>
                </c:pt>
                <c:pt idx="2584">
                  <c:v>891.98</c:v>
                </c:pt>
                <c:pt idx="2585">
                  <c:v>891.98</c:v>
                </c:pt>
                <c:pt idx="2586">
                  <c:v>900.45</c:v>
                </c:pt>
                <c:pt idx="2587">
                  <c:v>891.98</c:v>
                </c:pt>
                <c:pt idx="2588">
                  <c:v>903.27</c:v>
                </c:pt>
                <c:pt idx="2589">
                  <c:v>903.27</c:v>
                </c:pt>
                <c:pt idx="2590">
                  <c:v>903.27</c:v>
                </c:pt>
                <c:pt idx="2591">
                  <c:v>903.27</c:v>
                </c:pt>
                <c:pt idx="2592">
                  <c:v>925.85</c:v>
                </c:pt>
                <c:pt idx="2593">
                  <c:v>900.45</c:v>
                </c:pt>
                <c:pt idx="2594">
                  <c:v>900.45</c:v>
                </c:pt>
                <c:pt idx="2595">
                  <c:v>889.16</c:v>
                </c:pt>
                <c:pt idx="2596">
                  <c:v>875.04</c:v>
                </c:pt>
                <c:pt idx="2597">
                  <c:v>875.04</c:v>
                </c:pt>
                <c:pt idx="2598">
                  <c:v>880.69</c:v>
                </c:pt>
                <c:pt idx="2599">
                  <c:v>875.04</c:v>
                </c:pt>
                <c:pt idx="2600">
                  <c:v>875.04</c:v>
                </c:pt>
                <c:pt idx="2601">
                  <c:v>875.04</c:v>
                </c:pt>
                <c:pt idx="2602">
                  <c:v>880.69</c:v>
                </c:pt>
                <c:pt idx="2603">
                  <c:v>881.25</c:v>
                </c:pt>
                <c:pt idx="2604">
                  <c:v>881.25</c:v>
                </c:pt>
                <c:pt idx="2605">
                  <c:v>880.69</c:v>
                </c:pt>
                <c:pt idx="2606">
                  <c:v>880.69</c:v>
                </c:pt>
                <c:pt idx="2607">
                  <c:v>875.04</c:v>
                </c:pt>
                <c:pt idx="2608">
                  <c:v>882.95</c:v>
                </c:pt>
                <c:pt idx="2609">
                  <c:v>877.87</c:v>
                </c:pt>
                <c:pt idx="2610">
                  <c:v>875.04</c:v>
                </c:pt>
                <c:pt idx="2611">
                  <c:v>875.04</c:v>
                </c:pt>
                <c:pt idx="2612">
                  <c:v>875.04</c:v>
                </c:pt>
                <c:pt idx="2613">
                  <c:v>872.22</c:v>
                </c:pt>
                <c:pt idx="2614">
                  <c:v>875.04</c:v>
                </c:pt>
                <c:pt idx="2615">
                  <c:v>846.82</c:v>
                </c:pt>
                <c:pt idx="2616">
                  <c:v>841.17</c:v>
                </c:pt>
                <c:pt idx="2617">
                  <c:v>841.17</c:v>
                </c:pt>
                <c:pt idx="2618">
                  <c:v>827.0599999999999</c:v>
                </c:pt>
                <c:pt idx="2619">
                  <c:v>824.24</c:v>
                </c:pt>
                <c:pt idx="2620">
                  <c:v>818.59</c:v>
                </c:pt>
                <c:pt idx="2621">
                  <c:v>818.59</c:v>
                </c:pt>
                <c:pt idx="2622">
                  <c:v>798.83</c:v>
                </c:pt>
                <c:pt idx="2623">
                  <c:v>790.36</c:v>
                </c:pt>
                <c:pt idx="2624">
                  <c:v>824.24</c:v>
                </c:pt>
                <c:pt idx="2625">
                  <c:v>824.24</c:v>
                </c:pt>
                <c:pt idx="2626">
                  <c:v>818.59</c:v>
                </c:pt>
                <c:pt idx="2627">
                  <c:v>818.59</c:v>
                </c:pt>
                <c:pt idx="2628">
                  <c:v>818.59</c:v>
                </c:pt>
                <c:pt idx="2629">
                  <c:v>818.59</c:v>
                </c:pt>
                <c:pt idx="2630">
                  <c:v>818.59</c:v>
                </c:pt>
                <c:pt idx="2631">
                  <c:v>846.82</c:v>
                </c:pt>
                <c:pt idx="2632">
                  <c:v>810.12</c:v>
                </c:pt>
                <c:pt idx="2633">
                  <c:v>810.12</c:v>
                </c:pt>
                <c:pt idx="2634">
                  <c:v>810.12</c:v>
                </c:pt>
                <c:pt idx="2635">
                  <c:v>831.57</c:v>
                </c:pt>
                <c:pt idx="2636">
                  <c:v>846.82</c:v>
                </c:pt>
                <c:pt idx="2637">
                  <c:v>846.82</c:v>
                </c:pt>
                <c:pt idx="2638">
                  <c:v>846.82</c:v>
                </c:pt>
                <c:pt idx="2639">
                  <c:v>846.82</c:v>
                </c:pt>
                <c:pt idx="2640">
                  <c:v>846.82</c:v>
                </c:pt>
                <c:pt idx="2641">
                  <c:v>846.82</c:v>
                </c:pt>
                <c:pt idx="2642">
                  <c:v>846.82</c:v>
                </c:pt>
                <c:pt idx="2643">
                  <c:v>846.82</c:v>
                </c:pt>
                <c:pt idx="2644">
                  <c:v>858.11</c:v>
                </c:pt>
                <c:pt idx="2645">
                  <c:v>869.4</c:v>
                </c:pt>
                <c:pt idx="2646">
                  <c:v>869.4</c:v>
                </c:pt>
                <c:pt idx="2647">
                  <c:v>869.4</c:v>
                </c:pt>
                <c:pt idx="2648">
                  <c:v>866.58</c:v>
                </c:pt>
                <c:pt idx="2649">
                  <c:v>866.58</c:v>
                </c:pt>
                <c:pt idx="2650">
                  <c:v>877.3</c:v>
                </c:pt>
                <c:pt idx="2651">
                  <c:v>886.34</c:v>
                </c:pt>
                <c:pt idx="2652">
                  <c:v>886.34</c:v>
                </c:pt>
                <c:pt idx="2653">
                  <c:v>880.69</c:v>
                </c:pt>
                <c:pt idx="2654">
                  <c:v>886.34</c:v>
                </c:pt>
                <c:pt idx="2655">
                  <c:v>869.4</c:v>
                </c:pt>
                <c:pt idx="2656">
                  <c:v>866.58</c:v>
                </c:pt>
                <c:pt idx="2657">
                  <c:v>860.9299999999999</c:v>
                </c:pt>
                <c:pt idx="2658">
                  <c:v>847.38</c:v>
                </c:pt>
                <c:pt idx="2659">
                  <c:v>847.38</c:v>
                </c:pt>
                <c:pt idx="2660">
                  <c:v>847.38</c:v>
                </c:pt>
                <c:pt idx="2661">
                  <c:v>860.9299999999999</c:v>
                </c:pt>
                <c:pt idx="2662">
                  <c:v>875.61</c:v>
                </c:pt>
                <c:pt idx="2663">
                  <c:v>903.27</c:v>
                </c:pt>
                <c:pt idx="2664">
                  <c:v>903.27</c:v>
                </c:pt>
                <c:pt idx="2665">
                  <c:v>903.27</c:v>
                </c:pt>
                <c:pt idx="2666">
                  <c:v>903.27</c:v>
                </c:pt>
                <c:pt idx="2667">
                  <c:v>903.27</c:v>
                </c:pt>
                <c:pt idx="2668">
                  <c:v>903.27</c:v>
                </c:pt>
                <c:pt idx="2669">
                  <c:v>903.27</c:v>
                </c:pt>
                <c:pt idx="2670">
                  <c:v>903.27</c:v>
                </c:pt>
                <c:pt idx="2671">
                  <c:v>909.48</c:v>
                </c:pt>
                <c:pt idx="2672">
                  <c:v>903.27</c:v>
                </c:pt>
                <c:pt idx="2673">
                  <c:v>903.27</c:v>
                </c:pt>
                <c:pt idx="2674">
                  <c:v>875.04</c:v>
                </c:pt>
                <c:pt idx="2675">
                  <c:v>875.04</c:v>
                </c:pt>
                <c:pt idx="2676">
                  <c:v>908.92</c:v>
                </c:pt>
                <c:pt idx="2677">
                  <c:v>903.27</c:v>
                </c:pt>
                <c:pt idx="2678">
                  <c:v>903.27</c:v>
                </c:pt>
                <c:pt idx="2679">
                  <c:v>903.27</c:v>
                </c:pt>
                <c:pt idx="2680">
                  <c:v>858.11</c:v>
                </c:pt>
                <c:pt idx="2681">
                  <c:v>846.82</c:v>
                </c:pt>
                <c:pt idx="2682">
                  <c:v>846.82</c:v>
                </c:pt>
                <c:pt idx="2683">
                  <c:v>846.82</c:v>
                </c:pt>
                <c:pt idx="2684">
                  <c:v>846.82</c:v>
                </c:pt>
                <c:pt idx="2685">
                  <c:v>846.82</c:v>
                </c:pt>
                <c:pt idx="2686">
                  <c:v>832.7</c:v>
                </c:pt>
                <c:pt idx="2687">
                  <c:v>821.41</c:v>
                </c:pt>
                <c:pt idx="2688">
                  <c:v>821.41</c:v>
                </c:pt>
                <c:pt idx="2689">
                  <c:v>821.41</c:v>
                </c:pt>
                <c:pt idx="2690">
                  <c:v>818.59</c:v>
                </c:pt>
                <c:pt idx="2691">
                  <c:v>818.59</c:v>
                </c:pt>
                <c:pt idx="2692">
                  <c:v>818.59</c:v>
                </c:pt>
                <c:pt idx="2693">
                  <c:v>818.59</c:v>
                </c:pt>
                <c:pt idx="2694">
                  <c:v>798.83</c:v>
                </c:pt>
                <c:pt idx="2695">
                  <c:v>801.65</c:v>
                </c:pt>
                <c:pt idx="2696">
                  <c:v>801.65</c:v>
                </c:pt>
                <c:pt idx="2697">
                  <c:v>804.48</c:v>
                </c:pt>
                <c:pt idx="2698">
                  <c:v>804.48</c:v>
                </c:pt>
                <c:pt idx="2699">
                  <c:v>790.36</c:v>
                </c:pt>
                <c:pt idx="2700">
                  <c:v>790.36</c:v>
                </c:pt>
                <c:pt idx="2701">
                  <c:v>750.84</c:v>
                </c:pt>
                <c:pt idx="2702">
                  <c:v>750.84</c:v>
                </c:pt>
                <c:pt idx="2703">
                  <c:v>750.84</c:v>
                </c:pt>
                <c:pt idx="2704">
                  <c:v>750.84</c:v>
                </c:pt>
                <c:pt idx="2705">
                  <c:v>750.84</c:v>
                </c:pt>
                <c:pt idx="2706">
                  <c:v>762.14</c:v>
                </c:pt>
                <c:pt idx="2707">
                  <c:v>761.57</c:v>
                </c:pt>
                <c:pt idx="2708">
                  <c:v>762.14</c:v>
                </c:pt>
                <c:pt idx="2709">
                  <c:v>762.14</c:v>
                </c:pt>
                <c:pt idx="2710">
                  <c:v>762.14</c:v>
                </c:pt>
                <c:pt idx="2711">
                  <c:v>762.14</c:v>
                </c:pt>
                <c:pt idx="2712">
                  <c:v>762.14</c:v>
                </c:pt>
                <c:pt idx="2713">
                  <c:v>773.4299999999999</c:v>
                </c:pt>
                <c:pt idx="2714">
                  <c:v>767.84</c:v>
                </c:pt>
                <c:pt idx="2715">
                  <c:v>767.84</c:v>
                </c:pt>
                <c:pt idx="2716">
                  <c:v>770.08</c:v>
                </c:pt>
                <c:pt idx="2717">
                  <c:v>773.4299999999999</c:v>
                </c:pt>
                <c:pt idx="2718">
                  <c:v>781.8</c:v>
                </c:pt>
                <c:pt idx="2719">
                  <c:v>781.8</c:v>
                </c:pt>
                <c:pt idx="2720">
                  <c:v>781.8</c:v>
                </c:pt>
                <c:pt idx="2721">
                  <c:v>753.88</c:v>
                </c:pt>
                <c:pt idx="2722">
                  <c:v>742.71</c:v>
                </c:pt>
                <c:pt idx="2723">
                  <c:v>742.71</c:v>
                </c:pt>
                <c:pt idx="2724">
                  <c:v>742.71</c:v>
                </c:pt>
                <c:pt idx="2725">
                  <c:v>756.12</c:v>
                </c:pt>
                <c:pt idx="2726">
                  <c:v>759.47</c:v>
                </c:pt>
                <c:pt idx="2727">
                  <c:v>759.47</c:v>
                </c:pt>
                <c:pt idx="2728">
                  <c:v>759.47</c:v>
                </c:pt>
                <c:pt idx="2729">
                  <c:v>748.3</c:v>
                </c:pt>
                <c:pt idx="2730">
                  <c:v>737.69</c:v>
                </c:pt>
                <c:pt idx="2731">
                  <c:v>759.47</c:v>
                </c:pt>
                <c:pt idx="2732">
                  <c:v>762.82</c:v>
                </c:pt>
                <c:pt idx="2733">
                  <c:v>762.82</c:v>
                </c:pt>
                <c:pt idx="2734">
                  <c:v>753.88</c:v>
                </c:pt>
                <c:pt idx="2735">
                  <c:v>753.88</c:v>
                </c:pt>
                <c:pt idx="2736">
                  <c:v>753.88</c:v>
                </c:pt>
                <c:pt idx="2737">
                  <c:v>753.88</c:v>
                </c:pt>
                <c:pt idx="2738">
                  <c:v>753.88</c:v>
                </c:pt>
                <c:pt idx="2739">
                  <c:v>753.88</c:v>
                </c:pt>
                <c:pt idx="2740">
                  <c:v>753.88</c:v>
                </c:pt>
                <c:pt idx="2741">
                  <c:v>725.96</c:v>
                </c:pt>
                <c:pt idx="2742">
                  <c:v>734.34</c:v>
                </c:pt>
                <c:pt idx="2743">
                  <c:v>725.96</c:v>
                </c:pt>
                <c:pt idx="2744">
                  <c:v>714.79</c:v>
                </c:pt>
                <c:pt idx="2745">
                  <c:v>725.96</c:v>
                </c:pt>
                <c:pt idx="2746">
                  <c:v>725.96</c:v>
                </c:pt>
                <c:pt idx="2747">
                  <c:v>725.96</c:v>
                </c:pt>
                <c:pt idx="2748">
                  <c:v>703.62</c:v>
                </c:pt>
              </c:numCache>
            </c:numRef>
          </c:val>
          <c:smooth val="0"/>
        </c:ser>
        <c:dLbls>
          <c:showLegendKey val="0"/>
          <c:showVal val="0"/>
          <c:showCatName val="0"/>
          <c:showSerName val="0"/>
          <c:showPercent val="0"/>
          <c:showBubbleSize val="0"/>
        </c:dLbls>
        <c:marker val="1"/>
        <c:smooth val="0"/>
        <c:axId val="-2109423112"/>
        <c:axId val="-2109420136"/>
      </c:lineChart>
      <c:dateAx>
        <c:axId val="-2109423112"/>
        <c:scaling>
          <c:orientation val="minMax"/>
        </c:scaling>
        <c:delete val="0"/>
        <c:axPos val="b"/>
        <c:numFmt formatCode="m/d/yy" sourceLinked="1"/>
        <c:majorTickMark val="out"/>
        <c:minorTickMark val="none"/>
        <c:tickLblPos val="nextTo"/>
        <c:crossAx val="-2109420136"/>
        <c:crosses val="autoZero"/>
        <c:auto val="1"/>
        <c:lblOffset val="100"/>
        <c:baseTimeUnit val="days"/>
      </c:dateAx>
      <c:valAx>
        <c:axId val="-2109420136"/>
        <c:scaling>
          <c:orientation val="minMax"/>
        </c:scaling>
        <c:delete val="0"/>
        <c:axPos val="l"/>
        <c:majorGridlines/>
        <c:numFmt formatCode="General" sourceLinked="1"/>
        <c:majorTickMark val="out"/>
        <c:minorTickMark val="none"/>
        <c:tickLblPos val="nextTo"/>
        <c:crossAx val="-2109423112"/>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Lucky</a:t>
            </a:r>
            <a:r>
              <a:rPr lang="en-US" sz="1600" baseline="0"/>
              <a:t> Star Revenue Growth (%)</a:t>
            </a:r>
            <a:endParaRPr lang="en-US" sz="1600"/>
          </a:p>
        </c:rich>
      </c:tx>
      <c:layout/>
      <c:overlay val="0"/>
    </c:title>
    <c:autoTitleDeleted val="0"/>
    <c:plotArea>
      <c:layout/>
      <c:barChart>
        <c:barDir val="col"/>
        <c:grouping val="clustered"/>
        <c:varyColors val="0"/>
        <c:ser>
          <c:idx val="0"/>
          <c:order val="0"/>
          <c:tx>
            <c:strRef>
              <c:f>'3a. InShore Fishing Div.'!$D$24</c:f>
              <c:strCache>
                <c:ptCount val="1"/>
                <c:pt idx="0">
                  <c:v>YoY Growth</c:v>
                </c:pt>
              </c:strCache>
            </c:strRef>
          </c:tx>
          <c:spPr>
            <a:solidFill>
              <a:schemeClr val="tx2">
                <a:lumMod val="50000"/>
              </a:schemeClr>
            </a:solidFill>
          </c:spPr>
          <c:invertIfNegative val="0"/>
          <c:dPt>
            <c:idx val="0"/>
            <c:invertIfNegative val="0"/>
            <c:bubble3D val="0"/>
            <c:spPr>
              <a:solidFill>
                <a:srgbClr val="8EB4E3"/>
              </a:solidFill>
            </c:spPr>
          </c:dPt>
          <c:dPt>
            <c:idx val="1"/>
            <c:invertIfNegative val="0"/>
            <c:bubble3D val="0"/>
            <c:spPr>
              <a:solidFill>
                <a:srgbClr val="8EB4E3"/>
              </a:solidFill>
            </c:spPr>
          </c:dPt>
          <c:dPt>
            <c:idx val="2"/>
            <c:invertIfNegative val="0"/>
            <c:bubble3D val="0"/>
            <c:spPr>
              <a:solidFill>
                <a:srgbClr val="8EB4E3"/>
              </a:solidFill>
            </c:spPr>
          </c:dPt>
          <c:dLbls>
            <c:txPr>
              <a:bodyPr/>
              <a:lstStyle/>
              <a:p>
                <a:pPr>
                  <a:defRPr sz="1200" b="1"/>
                </a:pPr>
                <a:endParaRPr lang="en-US"/>
              </a:p>
            </c:txPr>
            <c:showLegendKey val="0"/>
            <c:showVal val="1"/>
            <c:showCatName val="0"/>
            <c:showSerName val="0"/>
            <c:showPercent val="0"/>
            <c:showBubbleSize val="0"/>
            <c:showLeaderLines val="0"/>
          </c:dLbls>
          <c:cat>
            <c:strRef>
              <c:f>'3a. InShore Fishing Div.'!$M$22:$T$22</c:f>
              <c:strCache>
                <c:ptCount val="8"/>
                <c:pt idx="0">
                  <c:v>2013A</c:v>
                </c:pt>
                <c:pt idx="1">
                  <c:v>2014A</c:v>
                </c:pt>
                <c:pt idx="2">
                  <c:v>2015A</c:v>
                </c:pt>
                <c:pt idx="3">
                  <c:v>2016E</c:v>
                </c:pt>
                <c:pt idx="4">
                  <c:v>2017E</c:v>
                </c:pt>
                <c:pt idx="5">
                  <c:v>2018E</c:v>
                </c:pt>
                <c:pt idx="6">
                  <c:v>2019E</c:v>
                </c:pt>
                <c:pt idx="7">
                  <c:v>2020E</c:v>
                </c:pt>
              </c:strCache>
            </c:strRef>
          </c:cat>
          <c:val>
            <c:numRef>
              <c:f>'3a. InShore Fishing Div.'!$M$24:$T$24</c:f>
              <c:numCache>
                <c:formatCode>0%</c:formatCode>
                <c:ptCount val="8"/>
                <c:pt idx="0">
                  <c:v>0.0189922234492201</c:v>
                </c:pt>
                <c:pt idx="1">
                  <c:v>0.172813169960246</c:v>
                </c:pt>
                <c:pt idx="2">
                  <c:v>0.104491983738088</c:v>
                </c:pt>
                <c:pt idx="3">
                  <c:v>0.17297273989228</c:v>
                </c:pt>
                <c:pt idx="4">
                  <c:v>0.102221677849347</c:v>
                </c:pt>
                <c:pt idx="5">
                  <c:v>0.0857878462321793</c:v>
                </c:pt>
                <c:pt idx="6">
                  <c:v>0.0754868447580648</c:v>
                </c:pt>
                <c:pt idx="7">
                  <c:v>0.0651880838323351</c:v>
                </c:pt>
              </c:numCache>
            </c:numRef>
          </c:val>
        </c:ser>
        <c:dLbls>
          <c:showLegendKey val="0"/>
          <c:showVal val="0"/>
          <c:showCatName val="0"/>
          <c:showSerName val="0"/>
          <c:showPercent val="0"/>
          <c:showBubbleSize val="0"/>
        </c:dLbls>
        <c:gapWidth val="150"/>
        <c:axId val="-2108263192"/>
        <c:axId val="-2108260216"/>
      </c:barChart>
      <c:catAx>
        <c:axId val="-2108263192"/>
        <c:scaling>
          <c:orientation val="minMax"/>
        </c:scaling>
        <c:delete val="0"/>
        <c:axPos val="b"/>
        <c:majorTickMark val="out"/>
        <c:minorTickMark val="none"/>
        <c:tickLblPos val="nextTo"/>
        <c:crossAx val="-2108260216"/>
        <c:crosses val="autoZero"/>
        <c:auto val="1"/>
        <c:lblAlgn val="ctr"/>
        <c:lblOffset val="100"/>
        <c:noMultiLvlLbl val="0"/>
      </c:catAx>
      <c:valAx>
        <c:axId val="-2108260216"/>
        <c:scaling>
          <c:orientation val="minMax"/>
        </c:scaling>
        <c:delete val="0"/>
        <c:axPos val="l"/>
        <c:majorGridlines/>
        <c:numFmt formatCode="0%" sourceLinked="1"/>
        <c:majorTickMark val="out"/>
        <c:minorTickMark val="none"/>
        <c:tickLblPos val="nextTo"/>
        <c:crossAx val="-2108263192"/>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Platinum Prices</a:t>
            </a:r>
          </a:p>
        </c:rich>
      </c:tx>
      <c:overlay val="0"/>
    </c:title>
    <c:autoTitleDeleted val="0"/>
    <c:plotArea>
      <c:layout/>
      <c:lineChart>
        <c:grouping val="standard"/>
        <c:varyColors val="0"/>
        <c:ser>
          <c:idx val="0"/>
          <c:order val="0"/>
          <c:spPr>
            <a:ln>
              <a:solidFill>
                <a:schemeClr val="tx2">
                  <a:lumMod val="50000"/>
                </a:schemeClr>
              </a:solidFill>
            </a:ln>
          </c:spPr>
          <c:marker>
            <c:symbol val="none"/>
          </c:marker>
          <c:cat>
            <c:numRef>
              <c:f>'4j. South Africa Macro'!$A$9:$A$261</c:f>
              <c:numCache>
                <c:formatCode>m/d/yy</c:formatCode>
                <c:ptCount val="253"/>
                <c:pt idx="0">
                  <c:v>42510.0</c:v>
                </c:pt>
                <c:pt idx="1">
                  <c:v>42509.0</c:v>
                </c:pt>
                <c:pt idx="2">
                  <c:v>42508.0</c:v>
                </c:pt>
                <c:pt idx="3">
                  <c:v>42507.0</c:v>
                </c:pt>
                <c:pt idx="4">
                  <c:v>42506.0</c:v>
                </c:pt>
                <c:pt idx="5">
                  <c:v>42503.0</c:v>
                </c:pt>
                <c:pt idx="6">
                  <c:v>42502.0</c:v>
                </c:pt>
                <c:pt idx="7">
                  <c:v>42501.0</c:v>
                </c:pt>
                <c:pt idx="8">
                  <c:v>42500.0</c:v>
                </c:pt>
                <c:pt idx="9">
                  <c:v>42499.0</c:v>
                </c:pt>
                <c:pt idx="10">
                  <c:v>42496.0</c:v>
                </c:pt>
                <c:pt idx="11">
                  <c:v>42495.0</c:v>
                </c:pt>
                <c:pt idx="12">
                  <c:v>42494.0</c:v>
                </c:pt>
                <c:pt idx="13">
                  <c:v>42493.0</c:v>
                </c:pt>
                <c:pt idx="14">
                  <c:v>42492.0</c:v>
                </c:pt>
                <c:pt idx="15">
                  <c:v>42489.0</c:v>
                </c:pt>
                <c:pt idx="16">
                  <c:v>42488.0</c:v>
                </c:pt>
                <c:pt idx="17">
                  <c:v>42487.0</c:v>
                </c:pt>
                <c:pt idx="18">
                  <c:v>42486.0</c:v>
                </c:pt>
                <c:pt idx="19">
                  <c:v>42485.0</c:v>
                </c:pt>
                <c:pt idx="20">
                  <c:v>42482.0</c:v>
                </c:pt>
                <c:pt idx="21">
                  <c:v>42481.0</c:v>
                </c:pt>
                <c:pt idx="22">
                  <c:v>42480.0</c:v>
                </c:pt>
                <c:pt idx="23">
                  <c:v>42479.0</c:v>
                </c:pt>
                <c:pt idx="24">
                  <c:v>42478.0</c:v>
                </c:pt>
                <c:pt idx="25">
                  <c:v>42475.0</c:v>
                </c:pt>
                <c:pt idx="26">
                  <c:v>42474.0</c:v>
                </c:pt>
                <c:pt idx="27">
                  <c:v>42473.0</c:v>
                </c:pt>
                <c:pt idx="28">
                  <c:v>42472.0</c:v>
                </c:pt>
                <c:pt idx="29">
                  <c:v>42471.0</c:v>
                </c:pt>
                <c:pt idx="30">
                  <c:v>42468.0</c:v>
                </c:pt>
                <c:pt idx="31">
                  <c:v>42467.0</c:v>
                </c:pt>
                <c:pt idx="32">
                  <c:v>42466.0</c:v>
                </c:pt>
                <c:pt idx="33">
                  <c:v>42465.0</c:v>
                </c:pt>
                <c:pt idx="34">
                  <c:v>42464.0</c:v>
                </c:pt>
                <c:pt idx="35">
                  <c:v>42461.0</c:v>
                </c:pt>
                <c:pt idx="36">
                  <c:v>42460.0</c:v>
                </c:pt>
                <c:pt idx="37">
                  <c:v>42459.0</c:v>
                </c:pt>
                <c:pt idx="38">
                  <c:v>42458.0</c:v>
                </c:pt>
                <c:pt idx="39">
                  <c:v>42457.0</c:v>
                </c:pt>
                <c:pt idx="40">
                  <c:v>42453.0</c:v>
                </c:pt>
                <c:pt idx="41">
                  <c:v>42452.0</c:v>
                </c:pt>
                <c:pt idx="42">
                  <c:v>42451.0</c:v>
                </c:pt>
                <c:pt idx="43">
                  <c:v>42450.0</c:v>
                </c:pt>
                <c:pt idx="44">
                  <c:v>42447.0</c:v>
                </c:pt>
                <c:pt idx="45">
                  <c:v>42446.0</c:v>
                </c:pt>
                <c:pt idx="46">
                  <c:v>42445.0</c:v>
                </c:pt>
                <c:pt idx="47">
                  <c:v>42444.0</c:v>
                </c:pt>
                <c:pt idx="48">
                  <c:v>42443.0</c:v>
                </c:pt>
                <c:pt idx="49">
                  <c:v>42440.0</c:v>
                </c:pt>
                <c:pt idx="50">
                  <c:v>42439.0</c:v>
                </c:pt>
                <c:pt idx="51">
                  <c:v>42438.0</c:v>
                </c:pt>
                <c:pt idx="52">
                  <c:v>42437.0</c:v>
                </c:pt>
                <c:pt idx="53">
                  <c:v>42436.0</c:v>
                </c:pt>
                <c:pt idx="54">
                  <c:v>42433.0</c:v>
                </c:pt>
                <c:pt idx="55">
                  <c:v>42432.0</c:v>
                </c:pt>
                <c:pt idx="56">
                  <c:v>42431.0</c:v>
                </c:pt>
                <c:pt idx="57">
                  <c:v>42430.0</c:v>
                </c:pt>
                <c:pt idx="58">
                  <c:v>42429.0</c:v>
                </c:pt>
                <c:pt idx="59">
                  <c:v>42426.0</c:v>
                </c:pt>
                <c:pt idx="60">
                  <c:v>42425.0</c:v>
                </c:pt>
                <c:pt idx="61">
                  <c:v>42424.0</c:v>
                </c:pt>
                <c:pt idx="62">
                  <c:v>42423.0</c:v>
                </c:pt>
                <c:pt idx="63">
                  <c:v>42422.0</c:v>
                </c:pt>
                <c:pt idx="64">
                  <c:v>42419.0</c:v>
                </c:pt>
                <c:pt idx="65">
                  <c:v>42418.0</c:v>
                </c:pt>
                <c:pt idx="66">
                  <c:v>42417.0</c:v>
                </c:pt>
                <c:pt idx="67">
                  <c:v>42416.0</c:v>
                </c:pt>
                <c:pt idx="68">
                  <c:v>42412.0</c:v>
                </c:pt>
                <c:pt idx="69">
                  <c:v>42411.0</c:v>
                </c:pt>
                <c:pt idx="70">
                  <c:v>42410.0</c:v>
                </c:pt>
                <c:pt idx="71">
                  <c:v>42409.0</c:v>
                </c:pt>
                <c:pt idx="72">
                  <c:v>42408.0</c:v>
                </c:pt>
                <c:pt idx="73">
                  <c:v>42405.0</c:v>
                </c:pt>
                <c:pt idx="74">
                  <c:v>42404.0</c:v>
                </c:pt>
                <c:pt idx="75">
                  <c:v>42403.0</c:v>
                </c:pt>
                <c:pt idx="76">
                  <c:v>42402.0</c:v>
                </c:pt>
                <c:pt idx="77">
                  <c:v>42401.0</c:v>
                </c:pt>
                <c:pt idx="78">
                  <c:v>42398.0</c:v>
                </c:pt>
                <c:pt idx="79">
                  <c:v>42397.0</c:v>
                </c:pt>
                <c:pt idx="80">
                  <c:v>42396.0</c:v>
                </c:pt>
                <c:pt idx="81">
                  <c:v>42395.0</c:v>
                </c:pt>
                <c:pt idx="82">
                  <c:v>42394.0</c:v>
                </c:pt>
                <c:pt idx="83">
                  <c:v>42391.0</c:v>
                </c:pt>
                <c:pt idx="84">
                  <c:v>42390.0</c:v>
                </c:pt>
                <c:pt idx="85">
                  <c:v>42389.0</c:v>
                </c:pt>
                <c:pt idx="86">
                  <c:v>42388.0</c:v>
                </c:pt>
                <c:pt idx="87">
                  <c:v>42384.0</c:v>
                </c:pt>
                <c:pt idx="88">
                  <c:v>42383.0</c:v>
                </c:pt>
                <c:pt idx="89">
                  <c:v>42382.0</c:v>
                </c:pt>
                <c:pt idx="90">
                  <c:v>42381.0</c:v>
                </c:pt>
                <c:pt idx="91">
                  <c:v>42380.0</c:v>
                </c:pt>
                <c:pt idx="92">
                  <c:v>42377.0</c:v>
                </c:pt>
                <c:pt idx="93">
                  <c:v>42376.0</c:v>
                </c:pt>
                <c:pt idx="94">
                  <c:v>42375.0</c:v>
                </c:pt>
                <c:pt idx="95">
                  <c:v>42374.0</c:v>
                </c:pt>
                <c:pt idx="96">
                  <c:v>42373.0</c:v>
                </c:pt>
                <c:pt idx="97">
                  <c:v>42369.0</c:v>
                </c:pt>
                <c:pt idx="98">
                  <c:v>42368.0</c:v>
                </c:pt>
                <c:pt idx="99">
                  <c:v>42367.0</c:v>
                </c:pt>
                <c:pt idx="100">
                  <c:v>42366.0</c:v>
                </c:pt>
                <c:pt idx="101">
                  <c:v>42362.0</c:v>
                </c:pt>
                <c:pt idx="102">
                  <c:v>42361.0</c:v>
                </c:pt>
                <c:pt idx="103">
                  <c:v>42360.0</c:v>
                </c:pt>
                <c:pt idx="104">
                  <c:v>42359.0</c:v>
                </c:pt>
                <c:pt idx="105">
                  <c:v>42356.0</c:v>
                </c:pt>
                <c:pt idx="106">
                  <c:v>42355.0</c:v>
                </c:pt>
                <c:pt idx="107">
                  <c:v>42354.0</c:v>
                </c:pt>
                <c:pt idx="108">
                  <c:v>42353.0</c:v>
                </c:pt>
                <c:pt idx="109">
                  <c:v>42352.0</c:v>
                </c:pt>
                <c:pt idx="110">
                  <c:v>42349.0</c:v>
                </c:pt>
                <c:pt idx="111">
                  <c:v>42348.0</c:v>
                </c:pt>
                <c:pt idx="112">
                  <c:v>42347.0</c:v>
                </c:pt>
                <c:pt idx="113">
                  <c:v>42346.0</c:v>
                </c:pt>
                <c:pt idx="114">
                  <c:v>42345.0</c:v>
                </c:pt>
                <c:pt idx="115">
                  <c:v>42342.0</c:v>
                </c:pt>
                <c:pt idx="116">
                  <c:v>42341.0</c:v>
                </c:pt>
                <c:pt idx="117">
                  <c:v>42340.0</c:v>
                </c:pt>
                <c:pt idx="118">
                  <c:v>42339.0</c:v>
                </c:pt>
                <c:pt idx="119">
                  <c:v>42338.0</c:v>
                </c:pt>
                <c:pt idx="120">
                  <c:v>42335.0</c:v>
                </c:pt>
                <c:pt idx="121">
                  <c:v>42333.0</c:v>
                </c:pt>
                <c:pt idx="122">
                  <c:v>42332.0</c:v>
                </c:pt>
                <c:pt idx="123">
                  <c:v>42331.0</c:v>
                </c:pt>
                <c:pt idx="124">
                  <c:v>42328.0</c:v>
                </c:pt>
                <c:pt idx="125">
                  <c:v>42327.0</c:v>
                </c:pt>
                <c:pt idx="126">
                  <c:v>42326.0</c:v>
                </c:pt>
                <c:pt idx="127">
                  <c:v>42325.0</c:v>
                </c:pt>
                <c:pt idx="128">
                  <c:v>42324.0</c:v>
                </c:pt>
                <c:pt idx="129">
                  <c:v>42321.0</c:v>
                </c:pt>
                <c:pt idx="130">
                  <c:v>42320.0</c:v>
                </c:pt>
                <c:pt idx="131">
                  <c:v>42319.0</c:v>
                </c:pt>
                <c:pt idx="132">
                  <c:v>42318.0</c:v>
                </c:pt>
                <c:pt idx="133">
                  <c:v>42317.0</c:v>
                </c:pt>
                <c:pt idx="134">
                  <c:v>42314.0</c:v>
                </c:pt>
                <c:pt idx="135">
                  <c:v>42313.0</c:v>
                </c:pt>
                <c:pt idx="136">
                  <c:v>42312.0</c:v>
                </c:pt>
                <c:pt idx="137">
                  <c:v>42311.0</c:v>
                </c:pt>
                <c:pt idx="138">
                  <c:v>42310.0</c:v>
                </c:pt>
                <c:pt idx="139">
                  <c:v>42307.0</c:v>
                </c:pt>
                <c:pt idx="140">
                  <c:v>42306.0</c:v>
                </c:pt>
                <c:pt idx="141">
                  <c:v>42305.0</c:v>
                </c:pt>
                <c:pt idx="142">
                  <c:v>42304.0</c:v>
                </c:pt>
                <c:pt idx="143">
                  <c:v>42303.0</c:v>
                </c:pt>
                <c:pt idx="144">
                  <c:v>42300.0</c:v>
                </c:pt>
                <c:pt idx="145">
                  <c:v>42299.0</c:v>
                </c:pt>
                <c:pt idx="146">
                  <c:v>42298.0</c:v>
                </c:pt>
                <c:pt idx="147">
                  <c:v>42297.0</c:v>
                </c:pt>
                <c:pt idx="148">
                  <c:v>42296.0</c:v>
                </c:pt>
                <c:pt idx="149">
                  <c:v>42293.0</c:v>
                </c:pt>
                <c:pt idx="150">
                  <c:v>42292.0</c:v>
                </c:pt>
                <c:pt idx="151">
                  <c:v>42291.0</c:v>
                </c:pt>
                <c:pt idx="152">
                  <c:v>42290.0</c:v>
                </c:pt>
                <c:pt idx="153">
                  <c:v>42289.0</c:v>
                </c:pt>
                <c:pt idx="154">
                  <c:v>42286.0</c:v>
                </c:pt>
                <c:pt idx="155">
                  <c:v>42285.0</c:v>
                </c:pt>
                <c:pt idx="156">
                  <c:v>42284.0</c:v>
                </c:pt>
                <c:pt idx="157">
                  <c:v>42283.0</c:v>
                </c:pt>
                <c:pt idx="158">
                  <c:v>42282.0</c:v>
                </c:pt>
                <c:pt idx="159">
                  <c:v>42279.0</c:v>
                </c:pt>
                <c:pt idx="160">
                  <c:v>42278.0</c:v>
                </c:pt>
                <c:pt idx="161">
                  <c:v>42277.0</c:v>
                </c:pt>
                <c:pt idx="162">
                  <c:v>42276.0</c:v>
                </c:pt>
                <c:pt idx="163">
                  <c:v>42275.0</c:v>
                </c:pt>
                <c:pt idx="164">
                  <c:v>42272.0</c:v>
                </c:pt>
                <c:pt idx="165">
                  <c:v>42271.0</c:v>
                </c:pt>
                <c:pt idx="166">
                  <c:v>42270.0</c:v>
                </c:pt>
                <c:pt idx="167">
                  <c:v>42269.0</c:v>
                </c:pt>
                <c:pt idx="168">
                  <c:v>42268.0</c:v>
                </c:pt>
                <c:pt idx="169">
                  <c:v>42265.0</c:v>
                </c:pt>
                <c:pt idx="170">
                  <c:v>42264.0</c:v>
                </c:pt>
                <c:pt idx="171">
                  <c:v>42263.0</c:v>
                </c:pt>
                <c:pt idx="172">
                  <c:v>42262.0</c:v>
                </c:pt>
                <c:pt idx="173">
                  <c:v>42261.0</c:v>
                </c:pt>
                <c:pt idx="174">
                  <c:v>42258.0</c:v>
                </c:pt>
                <c:pt idx="175">
                  <c:v>42257.0</c:v>
                </c:pt>
                <c:pt idx="176">
                  <c:v>42256.0</c:v>
                </c:pt>
                <c:pt idx="177">
                  <c:v>42255.0</c:v>
                </c:pt>
                <c:pt idx="178">
                  <c:v>42251.0</c:v>
                </c:pt>
                <c:pt idx="179">
                  <c:v>42250.0</c:v>
                </c:pt>
                <c:pt idx="180">
                  <c:v>42249.0</c:v>
                </c:pt>
                <c:pt idx="181">
                  <c:v>42248.0</c:v>
                </c:pt>
                <c:pt idx="182">
                  <c:v>42247.0</c:v>
                </c:pt>
                <c:pt idx="183">
                  <c:v>42244.0</c:v>
                </c:pt>
                <c:pt idx="184">
                  <c:v>42243.0</c:v>
                </c:pt>
                <c:pt idx="185">
                  <c:v>42242.0</c:v>
                </c:pt>
                <c:pt idx="186">
                  <c:v>42241.0</c:v>
                </c:pt>
                <c:pt idx="187">
                  <c:v>42240.0</c:v>
                </c:pt>
                <c:pt idx="188">
                  <c:v>42237.0</c:v>
                </c:pt>
                <c:pt idx="189">
                  <c:v>42236.0</c:v>
                </c:pt>
                <c:pt idx="190">
                  <c:v>42235.0</c:v>
                </c:pt>
                <c:pt idx="191">
                  <c:v>42234.0</c:v>
                </c:pt>
                <c:pt idx="192">
                  <c:v>42233.0</c:v>
                </c:pt>
                <c:pt idx="193">
                  <c:v>42230.0</c:v>
                </c:pt>
                <c:pt idx="194">
                  <c:v>42229.0</c:v>
                </c:pt>
                <c:pt idx="195">
                  <c:v>42228.0</c:v>
                </c:pt>
                <c:pt idx="196">
                  <c:v>42227.0</c:v>
                </c:pt>
                <c:pt idx="197">
                  <c:v>42226.0</c:v>
                </c:pt>
                <c:pt idx="198">
                  <c:v>42223.0</c:v>
                </c:pt>
                <c:pt idx="199">
                  <c:v>42222.0</c:v>
                </c:pt>
                <c:pt idx="200">
                  <c:v>42221.0</c:v>
                </c:pt>
                <c:pt idx="201">
                  <c:v>42220.0</c:v>
                </c:pt>
                <c:pt idx="202">
                  <c:v>42219.0</c:v>
                </c:pt>
                <c:pt idx="203">
                  <c:v>42216.0</c:v>
                </c:pt>
                <c:pt idx="204">
                  <c:v>42215.0</c:v>
                </c:pt>
                <c:pt idx="205">
                  <c:v>42214.0</c:v>
                </c:pt>
                <c:pt idx="206">
                  <c:v>42213.0</c:v>
                </c:pt>
                <c:pt idx="207">
                  <c:v>42212.0</c:v>
                </c:pt>
                <c:pt idx="208">
                  <c:v>42209.0</c:v>
                </c:pt>
                <c:pt idx="209">
                  <c:v>42208.0</c:v>
                </c:pt>
                <c:pt idx="210">
                  <c:v>42207.0</c:v>
                </c:pt>
                <c:pt idx="211">
                  <c:v>42206.0</c:v>
                </c:pt>
                <c:pt idx="212">
                  <c:v>42205.0</c:v>
                </c:pt>
                <c:pt idx="213">
                  <c:v>42202.0</c:v>
                </c:pt>
                <c:pt idx="214">
                  <c:v>42201.0</c:v>
                </c:pt>
                <c:pt idx="215">
                  <c:v>42200.0</c:v>
                </c:pt>
                <c:pt idx="216">
                  <c:v>42199.0</c:v>
                </c:pt>
                <c:pt idx="217">
                  <c:v>42198.0</c:v>
                </c:pt>
                <c:pt idx="218">
                  <c:v>42195.0</c:v>
                </c:pt>
                <c:pt idx="219">
                  <c:v>42194.0</c:v>
                </c:pt>
                <c:pt idx="220">
                  <c:v>42193.0</c:v>
                </c:pt>
                <c:pt idx="221">
                  <c:v>42192.0</c:v>
                </c:pt>
                <c:pt idx="222">
                  <c:v>42191.0</c:v>
                </c:pt>
                <c:pt idx="223">
                  <c:v>42187.0</c:v>
                </c:pt>
                <c:pt idx="224">
                  <c:v>42186.0</c:v>
                </c:pt>
                <c:pt idx="225">
                  <c:v>42185.0</c:v>
                </c:pt>
                <c:pt idx="226">
                  <c:v>42184.0</c:v>
                </c:pt>
                <c:pt idx="227">
                  <c:v>42181.0</c:v>
                </c:pt>
                <c:pt idx="228">
                  <c:v>42180.0</c:v>
                </c:pt>
                <c:pt idx="229">
                  <c:v>42179.0</c:v>
                </c:pt>
                <c:pt idx="230">
                  <c:v>42178.0</c:v>
                </c:pt>
                <c:pt idx="231">
                  <c:v>42177.0</c:v>
                </c:pt>
                <c:pt idx="232">
                  <c:v>42174.0</c:v>
                </c:pt>
                <c:pt idx="233">
                  <c:v>42173.0</c:v>
                </c:pt>
                <c:pt idx="234">
                  <c:v>42172.0</c:v>
                </c:pt>
                <c:pt idx="235">
                  <c:v>42171.0</c:v>
                </c:pt>
                <c:pt idx="236">
                  <c:v>42170.0</c:v>
                </c:pt>
                <c:pt idx="237">
                  <c:v>42167.0</c:v>
                </c:pt>
                <c:pt idx="238">
                  <c:v>42166.0</c:v>
                </c:pt>
                <c:pt idx="239">
                  <c:v>42165.0</c:v>
                </c:pt>
                <c:pt idx="240">
                  <c:v>42164.0</c:v>
                </c:pt>
                <c:pt idx="241">
                  <c:v>42163.0</c:v>
                </c:pt>
                <c:pt idx="242">
                  <c:v>42160.0</c:v>
                </c:pt>
                <c:pt idx="243">
                  <c:v>42159.0</c:v>
                </c:pt>
                <c:pt idx="244">
                  <c:v>42158.0</c:v>
                </c:pt>
                <c:pt idx="245">
                  <c:v>42157.0</c:v>
                </c:pt>
                <c:pt idx="246">
                  <c:v>42156.0</c:v>
                </c:pt>
                <c:pt idx="247">
                  <c:v>42153.0</c:v>
                </c:pt>
                <c:pt idx="248">
                  <c:v>42152.0</c:v>
                </c:pt>
                <c:pt idx="249">
                  <c:v>42151.0</c:v>
                </c:pt>
                <c:pt idx="250">
                  <c:v>42150.0</c:v>
                </c:pt>
                <c:pt idx="251">
                  <c:v>42146.0</c:v>
                </c:pt>
                <c:pt idx="252">
                  <c:v>42145.0</c:v>
                </c:pt>
              </c:numCache>
            </c:numRef>
          </c:cat>
          <c:val>
            <c:numRef>
              <c:f>'4j. South Africa Macro'!$B$9:$B$261</c:f>
              <c:numCache>
                <c:formatCode>General</c:formatCode>
                <c:ptCount val="253"/>
                <c:pt idx="0">
                  <c:v>1023.3</c:v>
                </c:pt>
                <c:pt idx="1">
                  <c:v>1013.3</c:v>
                </c:pt>
                <c:pt idx="2">
                  <c:v>1042.5</c:v>
                </c:pt>
                <c:pt idx="3">
                  <c:v>1054.5</c:v>
                </c:pt>
                <c:pt idx="4">
                  <c:v>1053.5</c:v>
                </c:pt>
                <c:pt idx="5">
                  <c:v>1052.1</c:v>
                </c:pt>
                <c:pt idx="6">
                  <c:v>1054.0</c:v>
                </c:pt>
                <c:pt idx="7">
                  <c:v>1066.1</c:v>
                </c:pt>
                <c:pt idx="8">
                  <c:v>1049.3</c:v>
                </c:pt>
                <c:pt idx="9">
                  <c:v>1046.8</c:v>
                </c:pt>
                <c:pt idx="10">
                  <c:v>1085.1</c:v>
                </c:pt>
                <c:pt idx="11">
                  <c:v>1063.8</c:v>
                </c:pt>
                <c:pt idx="12">
                  <c:v>1055.6</c:v>
                </c:pt>
                <c:pt idx="13">
                  <c:v>1071.6</c:v>
                </c:pt>
                <c:pt idx="14">
                  <c:v>1086.4</c:v>
                </c:pt>
                <c:pt idx="15">
                  <c:v>1078.4</c:v>
                </c:pt>
                <c:pt idx="16">
                  <c:v>1050.7</c:v>
                </c:pt>
                <c:pt idx="17">
                  <c:v>1025.4</c:v>
                </c:pt>
                <c:pt idx="18">
                  <c:v>1020.2</c:v>
                </c:pt>
                <c:pt idx="19">
                  <c:v>1018.0</c:v>
                </c:pt>
                <c:pt idx="20">
                  <c:v>1011.3</c:v>
                </c:pt>
                <c:pt idx="21">
                  <c:v>1031.9</c:v>
                </c:pt>
                <c:pt idx="22">
                  <c:v>1028.0</c:v>
                </c:pt>
                <c:pt idx="23">
                  <c:v>1015.3</c:v>
                </c:pt>
                <c:pt idx="24">
                  <c:v>977.7</c:v>
                </c:pt>
                <c:pt idx="25">
                  <c:v>989.8</c:v>
                </c:pt>
                <c:pt idx="26">
                  <c:v>993.4</c:v>
                </c:pt>
                <c:pt idx="27">
                  <c:v>1003.5</c:v>
                </c:pt>
                <c:pt idx="28">
                  <c:v>999.8</c:v>
                </c:pt>
                <c:pt idx="29">
                  <c:v>990.7</c:v>
                </c:pt>
                <c:pt idx="30">
                  <c:v>968.8</c:v>
                </c:pt>
                <c:pt idx="31">
                  <c:v>955.1</c:v>
                </c:pt>
                <c:pt idx="32">
                  <c:v>944.2</c:v>
                </c:pt>
                <c:pt idx="33">
                  <c:v>951.3</c:v>
                </c:pt>
                <c:pt idx="34">
                  <c:v>943.8</c:v>
                </c:pt>
                <c:pt idx="35">
                  <c:v>954.9</c:v>
                </c:pt>
                <c:pt idx="36">
                  <c:v>977.9</c:v>
                </c:pt>
                <c:pt idx="37">
                  <c:v>965.6</c:v>
                </c:pt>
                <c:pt idx="38">
                  <c:v>966.5</c:v>
                </c:pt>
                <c:pt idx="39">
                  <c:v>946.0</c:v>
                </c:pt>
                <c:pt idx="40">
                  <c:v>953.7</c:v>
                </c:pt>
                <c:pt idx="41">
                  <c:v>962.1</c:v>
                </c:pt>
                <c:pt idx="42">
                  <c:v>998.1</c:v>
                </c:pt>
                <c:pt idx="43">
                  <c:v>983.1</c:v>
                </c:pt>
                <c:pt idx="44">
                  <c:v>971.8</c:v>
                </c:pt>
                <c:pt idx="45">
                  <c:v>990.4</c:v>
                </c:pt>
                <c:pt idx="46">
                  <c:v>960.0</c:v>
                </c:pt>
                <c:pt idx="47">
                  <c:v>961.1</c:v>
                </c:pt>
                <c:pt idx="48">
                  <c:v>966.7</c:v>
                </c:pt>
                <c:pt idx="49">
                  <c:v>971.0</c:v>
                </c:pt>
                <c:pt idx="50">
                  <c:v>979.0</c:v>
                </c:pt>
                <c:pt idx="51">
                  <c:v>984.1</c:v>
                </c:pt>
                <c:pt idx="52">
                  <c:v>990.7</c:v>
                </c:pt>
                <c:pt idx="53">
                  <c:v>1003.3</c:v>
                </c:pt>
                <c:pt idx="54">
                  <c:v>987.6</c:v>
                </c:pt>
                <c:pt idx="55">
                  <c:v>944.0</c:v>
                </c:pt>
                <c:pt idx="56">
                  <c:v>937.5</c:v>
                </c:pt>
                <c:pt idx="57">
                  <c:v>938.0</c:v>
                </c:pt>
                <c:pt idx="58">
                  <c:v>935.6</c:v>
                </c:pt>
                <c:pt idx="59">
                  <c:v>916.4</c:v>
                </c:pt>
                <c:pt idx="60">
                  <c:v>928.3</c:v>
                </c:pt>
                <c:pt idx="61">
                  <c:v>945.0</c:v>
                </c:pt>
                <c:pt idx="62">
                  <c:v>944.8</c:v>
                </c:pt>
                <c:pt idx="63">
                  <c:v>929.1</c:v>
                </c:pt>
                <c:pt idx="64">
                  <c:v>946.9</c:v>
                </c:pt>
                <c:pt idx="65">
                  <c:v>946.9</c:v>
                </c:pt>
                <c:pt idx="66">
                  <c:v>951.0</c:v>
                </c:pt>
                <c:pt idx="67">
                  <c:v>938.6</c:v>
                </c:pt>
                <c:pt idx="68">
                  <c:v>959.4</c:v>
                </c:pt>
                <c:pt idx="69">
                  <c:v>964.5</c:v>
                </c:pt>
                <c:pt idx="70">
                  <c:v>935.5</c:v>
                </c:pt>
                <c:pt idx="71">
                  <c:v>940.7</c:v>
                </c:pt>
                <c:pt idx="72">
                  <c:v>930.0</c:v>
                </c:pt>
                <c:pt idx="73">
                  <c:v>905.0</c:v>
                </c:pt>
                <c:pt idx="74">
                  <c:v>907.6</c:v>
                </c:pt>
                <c:pt idx="75">
                  <c:v>881.4</c:v>
                </c:pt>
                <c:pt idx="76">
                  <c:v>857.0</c:v>
                </c:pt>
                <c:pt idx="77">
                  <c:v>871.4</c:v>
                </c:pt>
                <c:pt idx="78">
                  <c:v>875.6</c:v>
                </c:pt>
                <c:pt idx="79">
                  <c:v>869.2</c:v>
                </c:pt>
                <c:pt idx="80">
                  <c:v>883.4</c:v>
                </c:pt>
                <c:pt idx="81">
                  <c:v>878.2</c:v>
                </c:pt>
                <c:pt idx="82">
                  <c:v>862.7</c:v>
                </c:pt>
                <c:pt idx="83">
                  <c:v>832.7</c:v>
                </c:pt>
                <c:pt idx="84">
                  <c:v>821.1</c:v>
                </c:pt>
                <c:pt idx="85">
                  <c:v>820.9</c:v>
                </c:pt>
                <c:pt idx="86">
                  <c:v>831.7</c:v>
                </c:pt>
                <c:pt idx="87">
                  <c:v>828.7</c:v>
                </c:pt>
                <c:pt idx="88">
                  <c:v>837.0</c:v>
                </c:pt>
                <c:pt idx="89">
                  <c:v>853.2</c:v>
                </c:pt>
                <c:pt idx="90">
                  <c:v>840.5</c:v>
                </c:pt>
                <c:pt idx="91">
                  <c:v>848.0</c:v>
                </c:pt>
                <c:pt idx="92">
                  <c:v>880.1</c:v>
                </c:pt>
                <c:pt idx="93">
                  <c:v>879.4</c:v>
                </c:pt>
                <c:pt idx="94">
                  <c:v>876.7</c:v>
                </c:pt>
                <c:pt idx="95">
                  <c:v>891.6</c:v>
                </c:pt>
                <c:pt idx="96">
                  <c:v>886.2</c:v>
                </c:pt>
                <c:pt idx="97">
                  <c:v>894.7</c:v>
                </c:pt>
                <c:pt idx="98">
                  <c:v>874.1</c:v>
                </c:pt>
                <c:pt idx="99">
                  <c:v>894.2</c:v>
                </c:pt>
                <c:pt idx="100">
                  <c:v>883.8</c:v>
                </c:pt>
                <c:pt idx="101">
                  <c:v>887.2</c:v>
                </c:pt>
                <c:pt idx="102">
                  <c:v>871.1</c:v>
                </c:pt>
                <c:pt idx="103">
                  <c:v>876.0</c:v>
                </c:pt>
                <c:pt idx="104">
                  <c:v>884.3</c:v>
                </c:pt>
                <c:pt idx="105">
                  <c:v>863.8</c:v>
                </c:pt>
                <c:pt idx="106">
                  <c:v>847.7</c:v>
                </c:pt>
                <c:pt idx="107">
                  <c:v>879.0</c:v>
                </c:pt>
                <c:pt idx="108">
                  <c:v>858.8</c:v>
                </c:pt>
                <c:pt idx="109">
                  <c:v>853.2</c:v>
                </c:pt>
                <c:pt idx="110">
                  <c:v>846.7</c:v>
                </c:pt>
                <c:pt idx="111">
                  <c:v>858.9</c:v>
                </c:pt>
                <c:pt idx="112">
                  <c:v>868.8</c:v>
                </c:pt>
                <c:pt idx="113">
                  <c:v>849.5</c:v>
                </c:pt>
                <c:pt idx="114">
                  <c:v>866.2</c:v>
                </c:pt>
                <c:pt idx="115">
                  <c:v>883.6</c:v>
                </c:pt>
                <c:pt idx="116">
                  <c:v>850.5</c:v>
                </c:pt>
                <c:pt idx="117">
                  <c:v>835.4</c:v>
                </c:pt>
                <c:pt idx="118">
                  <c:v>838.4</c:v>
                </c:pt>
                <c:pt idx="119">
                  <c:v>835.9</c:v>
                </c:pt>
                <c:pt idx="120">
                  <c:v>838.8</c:v>
                </c:pt>
                <c:pt idx="121">
                  <c:v>846.9</c:v>
                </c:pt>
                <c:pt idx="122">
                  <c:v>844.7</c:v>
                </c:pt>
                <c:pt idx="123">
                  <c:v>850.4</c:v>
                </c:pt>
                <c:pt idx="124">
                  <c:v>858.9</c:v>
                </c:pt>
                <c:pt idx="125">
                  <c:v>861.1</c:v>
                </c:pt>
                <c:pt idx="126">
                  <c:v>851.0</c:v>
                </c:pt>
                <c:pt idx="127">
                  <c:v>858.0</c:v>
                </c:pt>
                <c:pt idx="128">
                  <c:v>868.5</c:v>
                </c:pt>
                <c:pt idx="129">
                  <c:v>866.7</c:v>
                </c:pt>
                <c:pt idx="130">
                  <c:v>879.9</c:v>
                </c:pt>
                <c:pt idx="131">
                  <c:v>886.1</c:v>
                </c:pt>
                <c:pt idx="132">
                  <c:v>902.5</c:v>
                </c:pt>
                <c:pt idx="133">
                  <c:v>917.4</c:v>
                </c:pt>
                <c:pt idx="134">
                  <c:v>943.0</c:v>
                </c:pt>
                <c:pt idx="135">
                  <c:v>956.1</c:v>
                </c:pt>
                <c:pt idx="136">
                  <c:v>957.8</c:v>
                </c:pt>
                <c:pt idx="137">
                  <c:v>965.2</c:v>
                </c:pt>
                <c:pt idx="138">
                  <c:v>981.4</c:v>
                </c:pt>
                <c:pt idx="139">
                  <c:v>992.1</c:v>
                </c:pt>
                <c:pt idx="140">
                  <c:v>996.3</c:v>
                </c:pt>
                <c:pt idx="141">
                  <c:v>1015.8</c:v>
                </c:pt>
                <c:pt idx="142">
                  <c:v>993.2</c:v>
                </c:pt>
                <c:pt idx="143">
                  <c:v>1000.6</c:v>
                </c:pt>
                <c:pt idx="144">
                  <c:v>1004.8</c:v>
                </c:pt>
                <c:pt idx="145">
                  <c:v>1017.0</c:v>
                </c:pt>
                <c:pt idx="146">
                  <c:v>1010.8</c:v>
                </c:pt>
                <c:pt idx="147">
                  <c:v>1023.7</c:v>
                </c:pt>
                <c:pt idx="148">
                  <c:v>1018.2</c:v>
                </c:pt>
                <c:pt idx="149">
                  <c:v>1026.1</c:v>
                </c:pt>
                <c:pt idx="150">
                  <c:v>1010.4</c:v>
                </c:pt>
                <c:pt idx="151">
                  <c:v>999.0</c:v>
                </c:pt>
                <c:pt idx="152">
                  <c:v>996.3</c:v>
                </c:pt>
                <c:pt idx="153">
                  <c:v>999.4</c:v>
                </c:pt>
                <c:pt idx="154">
                  <c:v>984.3</c:v>
                </c:pt>
                <c:pt idx="155">
                  <c:v>958.1</c:v>
                </c:pt>
                <c:pt idx="156">
                  <c:v>949.3</c:v>
                </c:pt>
                <c:pt idx="157">
                  <c:v>937.8</c:v>
                </c:pt>
                <c:pt idx="158">
                  <c:v>915.9</c:v>
                </c:pt>
                <c:pt idx="159">
                  <c:v>912.1</c:v>
                </c:pt>
                <c:pt idx="160">
                  <c:v>908.0</c:v>
                </c:pt>
                <c:pt idx="161">
                  <c:v>912.0</c:v>
                </c:pt>
                <c:pt idx="162">
                  <c:v>921.9</c:v>
                </c:pt>
                <c:pt idx="163">
                  <c:v>927.3</c:v>
                </c:pt>
                <c:pt idx="164">
                  <c:v>955.9</c:v>
                </c:pt>
                <c:pt idx="165">
                  <c:v>960.6</c:v>
                </c:pt>
                <c:pt idx="166">
                  <c:v>937.2</c:v>
                </c:pt>
                <c:pt idx="167">
                  <c:v>942.3</c:v>
                </c:pt>
                <c:pt idx="168">
                  <c:v>978.5</c:v>
                </c:pt>
                <c:pt idx="169">
                  <c:v>989.2</c:v>
                </c:pt>
                <c:pt idx="170">
                  <c:v>973.2</c:v>
                </c:pt>
                <c:pt idx="171">
                  <c:v>980.5</c:v>
                </c:pt>
                <c:pt idx="172">
                  <c:v>963.0</c:v>
                </c:pt>
                <c:pt idx="173">
                  <c:v>960.2</c:v>
                </c:pt>
                <c:pt idx="174">
                  <c:v>969.7</c:v>
                </c:pt>
                <c:pt idx="175">
                  <c:v>986.0</c:v>
                </c:pt>
                <c:pt idx="176">
                  <c:v>986.0</c:v>
                </c:pt>
                <c:pt idx="177">
                  <c:v>1007.7</c:v>
                </c:pt>
                <c:pt idx="178">
                  <c:v>997.2</c:v>
                </c:pt>
                <c:pt idx="179">
                  <c:v>1014.9</c:v>
                </c:pt>
                <c:pt idx="180">
                  <c:v>1018.4</c:v>
                </c:pt>
                <c:pt idx="181">
                  <c:v>1013.2</c:v>
                </c:pt>
                <c:pt idx="182">
                  <c:v>1015.3</c:v>
                </c:pt>
                <c:pt idx="183">
                  <c:v>1026.5</c:v>
                </c:pt>
                <c:pt idx="184">
                  <c:v>1010.8</c:v>
                </c:pt>
                <c:pt idx="185">
                  <c:v>985.0</c:v>
                </c:pt>
                <c:pt idx="186">
                  <c:v>981.5</c:v>
                </c:pt>
                <c:pt idx="187">
                  <c:v>996.3</c:v>
                </c:pt>
                <c:pt idx="188">
                  <c:v>1031.9</c:v>
                </c:pt>
                <c:pt idx="189">
                  <c:v>1039.7</c:v>
                </c:pt>
                <c:pt idx="190">
                  <c:v>1017.9</c:v>
                </c:pt>
                <c:pt idx="191">
                  <c:v>998.9</c:v>
                </c:pt>
                <c:pt idx="192">
                  <c:v>1005.5</c:v>
                </c:pt>
                <c:pt idx="193">
                  <c:v>998.8</c:v>
                </c:pt>
                <c:pt idx="194">
                  <c:v>999.8</c:v>
                </c:pt>
                <c:pt idx="195">
                  <c:v>1004.7</c:v>
                </c:pt>
                <c:pt idx="196">
                  <c:v>997.1</c:v>
                </c:pt>
                <c:pt idx="197">
                  <c:v>994.6</c:v>
                </c:pt>
                <c:pt idx="198">
                  <c:v>967.0</c:v>
                </c:pt>
                <c:pt idx="199">
                  <c:v>960.8</c:v>
                </c:pt>
                <c:pt idx="200">
                  <c:v>955.7</c:v>
                </c:pt>
                <c:pt idx="201">
                  <c:v>963.3</c:v>
                </c:pt>
                <c:pt idx="202">
                  <c:v>971.9</c:v>
                </c:pt>
                <c:pt idx="203">
                  <c:v>989.8</c:v>
                </c:pt>
                <c:pt idx="204">
                  <c:v>994.7</c:v>
                </c:pt>
                <c:pt idx="205">
                  <c:v>989.7</c:v>
                </c:pt>
                <c:pt idx="206">
                  <c:v>993.1</c:v>
                </c:pt>
                <c:pt idx="207">
                  <c:v>995.8</c:v>
                </c:pt>
                <c:pt idx="208">
                  <c:v>987.7</c:v>
                </c:pt>
                <c:pt idx="209">
                  <c:v>988.1</c:v>
                </c:pt>
                <c:pt idx="210">
                  <c:v>986.9</c:v>
                </c:pt>
                <c:pt idx="211">
                  <c:v>991.3</c:v>
                </c:pt>
                <c:pt idx="212">
                  <c:v>995.5</c:v>
                </c:pt>
                <c:pt idx="213">
                  <c:v>1006.3</c:v>
                </c:pt>
                <c:pt idx="214">
                  <c:v>1017.4</c:v>
                </c:pt>
                <c:pt idx="215">
                  <c:v>1026.9</c:v>
                </c:pt>
                <c:pt idx="216">
                  <c:v>1033.2</c:v>
                </c:pt>
                <c:pt idx="217">
                  <c:v>1041.3</c:v>
                </c:pt>
                <c:pt idx="218">
                  <c:v>1037.6</c:v>
                </c:pt>
                <c:pt idx="219">
                  <c:v>1027.7</c:v>
                </c:pt>
                <c:pt idx="220">
                  <c:v>1041.4</c:v>
                </c:pt>
                <c:pt idx="221">
                  <c:v>1046.4</c:v>
                </c:pt>
                <c:pt idx="222">
                  <c:v>1071.2</c:v>
                </c:pt>
                <c:pt idx="223">
                  <c:v>1088.9</c:v>
                </c:pt>
                <c:pt idx="224">
                  <c:v>1092.2</c:v>
                </c:pt>
                <c:pt idx="225">
                  <c:v>1083.9</c:v>
                </c:pt>
                <c:pt idx="226">
                  <c:v>1086.7</c:v>
                </c:pt>
                <c:pt idx="227">
                  <c:v>1086.0</c:v>
                </c:pt>
                <c:pt idx="228">
                  <c:v>1089.7</c:v>
                </c:pt>
                <c:pt idx="229">
                  <c:v>1079.4</c:v>
                </c:pt>
                <c:pt idx="230">
                  <c:v>1072.8</c:v>
                </c:pt>
                <c:pt idx="231">
                  <c:v>1065.9</c:v>
                </c:pt>
                <c:pt idx="232">
                  <c:v>1092.1</c:v>
                </c:pt>
                <c:pt idx="233">
                  <c:v>1088.1</c:v>
                </c:pt>
                <c:pt idx="234">
                  <c:v>1078.0</c:v>
                </c:pt>
                <c:pt idx="235">
                  <c:v>1085.1</c:v>
                </c:pt>
                <c:pt idx="236">
                  <c:v>1093.9</c:v>
                </c:pt>
                <c:pt idx="237">
                  <c:v>1102.1</c:v>
                </c:pt>
                <c:pt idx="238">
                  <c:v>1110.5</c:v>
                </c:pt>
                <c:pt idx="239">
                  <c:v>1120.5</c:v>
                </c:pt>
                <c:pt idx="240">
                  <c:v>1113.8</c:v>
                </c:pt>
                <c:pt idx="241">
                  <c:v>1106.5</c:v>
                </c:pt>
                <c:pt idx="242">
                  <c:v>1097.3</c:v>
                </c:pt>
                <c:pt idx="243">
                  <c:v>1104.5</c:v>
                </c:pt>
                <c:pt idx="244">
                  <c:v>1109.4</c:v>
                </c:pt>
                <c:pt idx="245">
                  <c:v>1118.1</c:v>
                </c:pt>
                <c:pt idx="246">
                  <c:v>1109.5</c:v>
                </c:pt>
                <c:pt idx="247">
                  <c:v>1116.8</c:v>
                </c:pt>
                <c:pt idx="248">
                  <c:v>1121.6</c:v>
                </c:pt>
                <c:pt idx="249">
                  <c:v>1124.3</c:v>
                </c:pt>
                <c:pt idx="250">
                  <c:v>1129.4</c:v>
                </c:pt>
                <c:pt idx="251">
                  <c:v>1153.9</c:v>
                </c:pt>
                <c:pt idx="252">
                  <c:v>1157.6</c:v>
                </c:pt>
              </c:numCache>
            </c:numRef>
          </c:val>
          <c:smooth val="0"/>
        </c:ser>
        <c:dLbls>
          <c:showLegendKey val="0"/>
          <c:showVal val="0"/>
          <c:showCatName val="0"/>
          <c:showSerName val="0"/>
          <c:showPercent val="0"/>
          <c:showBubbleSize val="0"/>
        </c:dLbls>
        <c:marker val="1"/>
        <c:smooth val="0"/>
        <c:axId val="-2108131544"/>
        <c:axId val="-2108128536"/>
      </c:lineChart>
      <c:dateAx>
        <c:axId val="-2108131544"/>
        <c:scaling>
          <c:orientation val="minMax"/>
        </c:scaling>
        <c:delete val="0"/>
        <c:axPos val="b"/>
        <c:numFmt formatCode="m/d/yy" sourceLinked="1"/>
        <c:majorTickMark val="out"/>
        <c:minorTickMark val="none"/>
        <c:tickLblPos val="nextTo"/>
        <c:crossAx val="-2108128536"/>
        <c:crossesAt val="700.0"/>
        <c:auto val="1"/>
        <c:lblOffset val="100"/>
        <c:baseTimeUnit val="days"/>
      </c:dateAx>
      <c:valAx>
        <c:axId val="-2108128536"/>
        <c:scaling>
          <c:orientation val="minMax"/>
          <c:max val="1300.0"/>
          <c:min val="600.0"/>
        </c:scaling>
        <c:delete val="0"/>
        <c:axPos val="l"/>
        <c:majorGridlines/>
        <c:numFmt formatCode="General" sourceLinked="1"/>
        <c:majorTickMark val="out"/>
        <c:minorTickMark val="none"/>
        <c:tickLblPos val="nextTo"/>
        <c:crossAx val="-2108131544"/>
        <c:crosses val="autoZero"/>
        <c:crossBetween val="between"/>
        <c:majorUnit val="100.0"/>
      </c:valAx>
    </c:plotArea>
    <c:plotVisOnly val="1"/>
    <c:dispBlanksAs val="gap"/>
    <c:showDLblsOverMax val="0"/>
  </c:chart>
  <c:printSettings>
    <c:headerFooter/>
    <c:pageMargins b="1.0" l="0.75" r="0.75" t="1.0"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Platinum Prices</a:t>
            </a:r>
          </a:p>
        </c:rich>
      </c:tx>
      <c:layout/>
      <c:overlay val="0"/>
    </c:title>
    <c:autoTitleDeleted val="0"/>
    <c:plotArea>
      <c:layout/>
      <c:lineChart>
        <c:grouping val="standard"/>
        <c:varyColors val="0"/>
        <c:ser>
          <c:idx val="0"/>
          <c:order val="0"/>
          <c:spPr>
            <a:ln>
              <a:solidFill>
                <a:schemeClr val="tx2">
                  <a:lumMod val="50000"/>
                </a:schemeClr>
              </a:solidFill>
            </a:ln>
          </c:spPr>
          <c:marker>
            <c:symbol val="none"/>
          </c:marker>
          <c:cat>
            <c:numRef>
              <c:f>'4j. South Africa Macro'!$A$9:$A$261</c:f>
              <c:numCache>
                <c:formatCode>m/d/yy</c:formatCode>
                <c:ptCount val="253"/>
                <c:pt idx="0">
                  <c:v>42510.0</c:v>
                </c:pt>
                <c:pt idx="1">
                  <c:v>42509.0</c:v>
                </c:pt>
                <c:pt idx="2">
                  <c:v>42508.0</c:v>
                </c:pt>
                <c:pt idx="3">
                  <c:v>42507.0</c:v>
                </c:pt>
                <c:pt idx="4">
                  <c:v>42506.0</c:v>
                </c:pt>
                <c:pt idx="5">
                  <c:v>42503.0</c:v>
                </c:pt>
                <c:pt idx="6">
                  <c:v>42502.0</c:v>
                </c:pt>
                <c:pt idx="7">
                  <c:v>42501.0</c:v>
                </c:pt>
                <c:pt idx="8">
                  <c:v>42500.0</c:v>
                </c:pt>
                <c:pt idx="9">
                  <c:v>42499.0</c:v>
                </c:pt>
                <c:pt idx="10">
                  <c:v>42496.0</c:v>
                </c:pt>
                <c:pt idx="11">
                  <c:v>42495.0</c:v>
                </c:pt>
                <c:pt idx="12">
                  <c:v>42494.0</c:v>
                </c:pt>
                <c:pt idx="13">
                  <c:v>42493.0</c:v>
                </c:pt>
                <c:pt idx="14">
                  <c:v>42492.0</c:v>
                </c:pt>
                <c:pt idx="15">
                  <c:v>42489.0</c:v>
                </c:pt>
                <c:pt idx="16">
                  <c:v>42488.0</c:v>
                </c:pt>
                <c:pt idx="17">
                  <c:v>42487.0</c:v>
                </c:pt>
                <c:pt idx="18">
                  <c:v>42486.0</c:v>
                </c:pt>
                <c:pt idx="19">
                  <c:v>42485.0</c:v>
                </c:pt>
                <c:pt idx="20">
                  <c:v>42482.0</c:v>
                </c:pt>
                <c:pt idx="21">
                  <c:v>42481.0</c:v>
                </c:pt>
                <c:pt idx="22">
                  <c:v>42480.0</c:v>
                </c:pt>
                <c:pt idx="23">
                  <c:v>42479.0</c:v>
                </c:pt>
                <c:pt idx="24">
                  <c:v>42478.0</c:v>
                </c:pt>
                <c:pt idx="25">
                  <c:v>42475.0</c:v>
                </c:pt>
                <c:pt idx="26">
                  <c:v>42474.0</c:v>
                </c:pt>
                <c:pt idx="27">
                  <c:v>42473.0</c:v>
                </c:pt>
                <c:pt idx="28">
                  <c:v>42472.0</c:v>
                </c:pt>
                <c:pt idx="29">
                  <c:v>42471.0</c:v>
                </c:pt>
                <c:pt idx="30">
                  <c:v>42468.0</c:v>
                </c:pt>
                <c:pt idx="31">
                  <c:v>42467.0</c:v>
                </c:pt>
                <c:pt idx="32">
                  <c:v>42466.0</c:v>
                </c:pt>
                <c:pt idx="33">
                  <c:v>42465.0</c:v>
                </c:pt>
                <c:pt idx="34">
                  <c:v>42464.0</c:v>
                </c:pt>
                <c:pt idx="35">
                  <c:v>42461.0</c:v>
                </c:pt>
                <c:pt idx="36">
                  <c:v>42460.0</c:v>
                </c:pt>
                <c:pt idx="37">
                  <c:v>42459.0</c:v>
                </c:pt>
                <c:pt idx="38">
                  <c:v>42458.0</c:v>
                </c:pt>
                <c:pt idx="39">
                  <c:v>42457.0</c:v>
                </c:pt>
                <c:pt idx="40">
                  <c:v>42453.0</c:v>
                </c:pt>
                <c:pt idx="41">
                  <c:v>42452.0</c:v>
                </c:pt>
                <c:pt idx="42">
                  <c:v>42451.0</c:v>
                </c:pt>
                <c:pt idx="43">
                  <c:v>42450.0</c:v>
                </c:pt>
                <c:pt idx="44">
                  <c:v>42447.0</c:v>
                </c:pt>
                <c:pt idx="45">
                  <c:v>42446.0</c:v>
                </c:pt>
                <c:pt idx="46">
                  <c:v>42445.0</c:v>
                </c:pt>
                <c:pt idx="47">
                  <c:v>42444.0</c:v>
                </c:pt>
                <c:pt idx="48">
                  <c:v>42443.0</c:v>
                </c:pt>
                <c:pt idx="49">
                  <c:v>42440.0</c:v>
                </c:pt>
                <c:pt idx="50">
                  <c:v>42439.0</c:v>
                </c:pt>
                <c:pt idx="51">
                  <c:v>42438.0</c:v>
                </c:pt>
                <c:pt idx="52">
                  <c:v>42437.0</c:v>
                </c:pt>
                <c:pt idx="53">
                  <c:v>42436.0</c:v>
                </c:pt>
                <c:pt idx="54">
                  <c:v>42433.0</c:v>
                </c:pt>
                <c:pt idx="55">
                  <c:v>42432.0</c:v>
                </c:pt>
                <c:pt idx="56">
                  <c:v>42431.0</c:v>
                </c:pt>
                <c:pt idx="57">
                  <c:v>42430.0</c:v>
                </c:pt>
                <c:pt idx="58">
                  <c:v>42429.0</c:v>
                </c:pt>
                <c:pt idx="59">
                  <c:v>42426.0</c:v>
                </c:pt>
                <c:pt idx="60">
                  <c:v>42425.0</c:v>
                </c:pt>
                <c:pt idx="61">
                  <c:v>42424.0</c:v>
                </c:pt>
                <c:pt idx="62">
                  <c:v>42423.0</c:v>
                </c:pt>
                <c:pt idx="63">
                  <c:v>42422.0</c:v>
                </c:pt>
                <c:pt idx="64">
                  <c:v>42419.0</c:v>
                </c:pt>
                <c:pt idx="65">
                  <c:v>42418.0</c:v>
                </c:pt>
                <c:pt idx="66">
                  <c:v>42417.0</c:v>
                </c:pt>
                <c:pt idx="67">
                  <c:v>42416.0</c:v>
                </c:pt>
                <c:pt idx="68">
                  <c:v>42412.0</c:v>
                </c:pt>
                <c:pt idx="69">
                  <c:v>42411.0</c:v>
                </c:pt>
                <c:pt idx="70">
                  <c:v>42410.0</c:v>
                </c:pt>
                <c:pt idx="71">
                  <c:v>42409.0</c:v>
                </c:pt>
                <c:pt idx="72">
                  <c:v>42408.0</c:v>
                </c:pt>
                <c:pt idx="73">
                  <c:v>42405.0</c:v>
                </c:pt>
                <c:pt idx="74">
                  <c:v>42404.0</c:v>
                </c:pt>
                <c:pt idx="75">
                  <c:v>42403.0</c:v>
                </c:pt>
                <c:pt idx="76">
                  <c:v>42402.0</c:v>
                </c:pt>
                <c:pt idx="77">
                  <c:v>42401.0</c:v>
                </c:pt>
                <c:pt idx="78">
                  <c:v>42398.0</c:v>
                </c:pt>
                <c:pt idx="79">
                  <c:v>42397.0</c:v>
                </c:pt>
                <c:pt idx="80">
                  <c:v>42396.0</c:v>
                </c:pt>
                <c:pt idx="81">
                  <c:v>42395.0</c:v>
                </c:pt>
                <c:pt idx="82">
                  <c:v>42394.0</c:v>
                </c:pt>
                <c:pt idx="83">
                  <c:v>42391.0</c:v>
                </c:pt>
                <c:pt idx="84">
                  <c:v>42390.0</c:v>
                </c:pt>
                <c:pt idx="85">
                  <c:v>42389.0</c:v>
                </c:pt>
                <c:pt idx="86">
                  <c:v>42388.0</c:v>
                </c:pt>
                <c:pt idx="87">
                  <c:v>42384.0</c:v>
                </c:pt>
                <c:pt idx="88">
                  <c:v>42383.0</c:v>
                </c:pt>
                <c:pt idx="89">
                  <c:v>42382.0</c:v>
                </c:pt>
                <c:pt idx="90">
                  <c:v>42381.0</c:v>
                </c:pt>
                <c:pt idx="91">
                  <c:v>42380.0</c:v>
                </c:pt>
                <c:pt idx="92">
                  <c:v>42377.0</c:v>
                </c:pt>
                <c:pt idx="93">
                  <c:v>42376.0</c:v>
                </c:pt>
                <c:pt idx="94">
                  <c:v>42375.0</c:v>
                </c:pt>
                <c:pt idx="95">
                  <c:v>42374.0</c:v>
                </c:pt>
                <c:pt idx="96">
                  <c:v>42373.0</c:v>
                </c:pt>
                <c:pt idx="97">
                  <c:v>42369.0</c:v>
                </c:pt>
                <c:pt idx="98">
                  <c:v>42368.0</c:v>
                </c:pt>
                <c:pt idx="99">
                  <c:v>42367.0</c:v>
                </c:pt>
                <c:pt idx="100">
                  <c:v>42366.0</c:v>
                </c:pt>
                <c:pt idx="101">
                  <c:v>42362.0</c:v>
                </c:pt>
                <c:pt idx="102">
                  <c:v>42361.0</c:v>
                </c:pt>
                <c:pt idx="103">
                  <c:v>42360.0</c:v>
                </c:pt>
                <c:pt idx="104">
                  <c:v>42359.0</c:v>
                </c:pt>
                <c:pt idx="105">
                  <c:v>42356.0</c:v>
                </c:pt>
                <c:pt idx="106">
                  <c:v>42355.0</c:v>
                </c:pt>
                <c:pt idx="107">
                  <c:v>42354.0</c:v>
                </c:pt>
                <c:pt idx="108">
                  <c:v>42353.0</c:v>
                </c:pt>
                <c:pt idx="109">
                  <c:v>42352.0</c:v>
                </c:pt>
                <c:pt idx="110">
                  <c:v>42349.0</c:v>
                </c:pt>
                <c:pt idx="111">
                  <c:v>42348.0</c:v>
                </c:pt>
                <c:pt idx="112">
                  <c:v>42347.0</c:v>
                </c:pt>
                <c:pt idx="113">
                  <c:v>42346.0</c:v>
                </c:pt>
                <c:pt idx="114">
                  <c:v>42345.0</c:v>
                </c:pt>
                <c:pt idx="115">
                  <c:v>42342.0</c:v>
                </c:pt>
                <c:pt idx="116">
                  <c:v>42341.0</c:v>
                </c:pt>
                <c:pt idx="117">
                  <c:v>42340.0</c:v>
                </c:pt>
                <c:pt idx="118">
                  <c:v>42339.0</c:v>
                </c:pt>
                <c:pt idx="119">
                  <c:v>42338.0</c:v>
                </c:pt>
                <c:pt idx="120">
                  <c:v>42335.0</c:v>
                </c:pt>
                <c:pt idx="121">
                  <c:v>42333.0</c:v>
                </c:pt>
                <c:pt idx="122">
                  <c:v>42332.0</c:v>
                </c:pt>
                <c:pt idx="123">
                  <c:v>42331.0</c:v>
                </c:pt>
                <c:pt idx="124">
                  <c:v>42328.0</c:v>
                </c:pt>
                <c:pt idx="125">
                  <c:v>42327.0</c:v>
                </c:pt>
                <c:pt idx="126">
                  <c:v>42326.0</c:v>
                </c:pt>
                <c:pt idx="127">
                  <c:v>42325.0</c:v>
                </c:pt>
                <c:pt idx="128">
                  <c:v>42324.0</c:v>
                </c:pt>
                <c:pt idx="129">
                  <c:v>42321.0</c:v>
                </c:pt>
                <c:pt idx="130">
                  <c:v>42320.0</c:v>
                </c:pt>
                <c:pt idx="131">
                  <c:v>42319.0</c:v>
                </c:pt>
                <c:pt idx="132">
                  <c:v>42318.0</c:v>
                </c:pt>
                <c:pt idx="133">
                  <c:v>42317.0</c:v>
                </c:pt>
                <c:pt idx="134">
                  <c:v>42314.0</c:v>
                </c:pt>
                <c:pt idx="135">
                  <c:v>42313.0</c:v>
                </c:pt>
                <c:pt idx="136">
                  <c:v>42312.0</c:v>
                </c:pt>
                <c:pt idx="137">
                  <c:v>42311.0</c:v>
                </c:pt>
                <c:pt idx="138">
                  <c:v>42310.0</c:v>
                </c:pt>
                <c:pt idx="139">
                  <c:v>42307.0</c:v>
                </c:pt>
                <c:pt idx="140">
                  <c:v>42306.0</c:v>
                </c:pt>
                <c:pt idx="141">
                  <c:v>42305.0</c:v>
                </c:pt>
                <c:pt idx="142">
                  <c:v>42304.0</c:v>
                </c:pt>
                <c:pt idx="143">
                  <c:v>42303.0</c:v>
                </c:pt>
                <c:pt idx="144">
                  <c:v>42300.0</c:v>
                </c:pt>
                <c:pt idx="145">
                  <c:v>42299.0</c:v>
                </c:pt>
                <c:pt idx="146">
                  <c:v>42298.0</c:v>
                </c:pt>
                <c:pt idx="147">
                  <c:v>42297.0</c:v>
                </c:pt>
                <c:pt idx="148">
                  <c:v>42296.0</c:v>
                </c:pt>
                <c:pt idx="149">
                  <c:v>42293.0</c:v>
                </c:pt>
                <c:pt idx="150">
                  <c:v>42292.0</c:v>
                </c:pt>
                <c:pt idx="151">
                  <c:v>42291.0</c:v>
                </c:pt>
                <c:pt idx="152">
                  <c:v>42290.0</c:v>
                </c:pt>
                <c:pt idx="153">
                  <c:v>42289.0</c:v>
                </c:pt>
                <c:pt idx="154">
                  <c:v>42286.0</c:v>
                </c:pt>
                <c:pt idx="155">
                  <c:v>42285.0</c:v>
                </c:pt>
                <c:pt idx="156">
                  <c:v>42284.0</c:v>
                </c:pt>
                <c:pt idx="157">
                  <c:v>42283.0</c:v>
                </c:pt>
                <c:pt idx="158">
                  <c:v>42282.0</c:v>
                </c:pt>
                <c:pt idx="159">
                  <c:v>42279.0</c:v>
                </c:pt>
                <c:pt idx="160">
                  <c:v>42278.0</c:v>
                </c:pt>
                <c:pt idx="161">
                  <c:v>42277.0</c:v>
                </c:pt>
                <c:pt idx="162">
                  <c:v>42276.0</c:v>
                </c:pt>
                <c:pt idx="163">
                  <c:v>42275.0</c:v>
                </c:pt>
                <c:pt idx="164">
                  <c:v>42272.0</c:v>
                </c:pt>
                <c:pt idx="165">
                  <c:v>42271.0</c:v>
                </c:pt>
                <c:pt idx="166">
                  <c:v>42270.0</c:v>
                </c:pt>
                <c:pt idx="167">
                  <c:v>42269.0</c:v>
                </c:pt>
                <c:pt idx="168">
                  <c:v>42268.0</c:v>
                </c:pt>
                <c:pt idx="169">
                  <c:v>42265.0</c:v>
                </c:pt>
                <c:pt idx="170">
                  <c:v>42264.0</c:v>
                </c:pt>
                <c:pt idx="171">
                  <c:v>42263.0</c:v>
                </c:pt>
                <c:pt idx="172">
                  <c:v>42262.0</c:v>
                </c:pt>
                <c:pt idx="173">
                  <c:v>42261.0</c:v>
                </c:pt>
                <c:pt idx="174">
                  <c:v>42258.0</c:v>
                </c:pt>
                <c:pt idx="175">
                  <c:v>42257.0</c:v>
                </c:pt>
                <c:pt idx="176">
                  <c:v>42256.0</c:v>
                </c:pt>
                <c:pt idx="177">
                  <c:v>42255.0</c:v>
                </c:pt>
                <c:pt idx="178">
                  <c:v>42251.0</c:v>
                </c:pt>
                <c:pt idx="179">
                  <c:v>42250.0</c:v>
                </c:pt>
                <c:pt idx="180">
                  <c:v>42249.0</c:v>
                </c:pt>
                <c:pt idx="181">
                  <c:v>42248.0</c:v>
                </c:pt>
                <c:pt idx="182">
                  <c:v>42247.0</c:v>
                </c:pt>
                <c:pt idx="183">
                  <c:v>42244.0</c:v>
                </c:pt>
                <c:pt idx="184">
                  <c:v>42243.0</c:v>
                </c:pt>
                <c:pt idx="185">
                  <c:v>42242.0</c:v>
                </c:pt>
                <c:pt idx="186">
                  <c:v>42241.0</c:v>
                </c:pt>
                <c:pt idx="187">
                  <c:v>42240.0</c:v>
                </c:pt>
                <c:pt idx="188">
                  <c:v>42237.0</c:v>
                </c:pt>
                <c:pt idx="189">
                  <c:v>42236.0</c:v>
                </c:pt>
                <c:pt idx="190">
                  <c:v>42235.0</c:v>
                </c:pt>
                <c:pt idx="191">
                  <c:v>42234.0</c:v>
                </c:pt>
                <c:pt idx="192">
                  <c:v>42233.0</c:v>
                </c:pt>
                <c:pt idx="193">
                  <c:v>42230.0</c:v>
                </c:pt>
                <c:pt idx="194">
                  <c:v>42229.0</c:v>
                </c:pt>
                <c:pt idx="195">
                  <c:v>42228.0</c:v>
                </c:pt>
                <c:pt idx="196">
                  <c:v>42227.0</c:v>
                </c:pt>
                <c:pt idx="197">
                  <c:v>42226.0</c:v>
                </c:pt>
                <c:pt idx="198">
                  <c:v>42223.0</c:v>
                </c:pt>
                <c:pt idx="199">
                  <c:v>42222.0</c:v>
                </c:pt>
                <c:pt idx="200">
                  <c:v>42221.0</c:v>
                </c:pt>
                <c:pt idx="201">
                  <c:v>42220.0</c:v>
                </c:pt>
                <c:pt idx="202">
                  <c:v>42219.0</c:v>
                </c:pt>
                <c:pt idx="203">
                  <c:v>42216.0</c:v>
                </c:pt>
                <c:pt idx="204">
                  <c:v>42215.0</c:v>
                </c:pt>
                <c:pt idx="205">
                  <c:v>42214.0</c:v>
                </c:pt>
                <c:pt idx="206">
                  <c:v>42213.0</c:v>
                </c:pt>
                <c:pt idx="207">
                  <c:v>42212.0</c:v>
                </c:pt>
                <c:pt idx="208">
                  <c:v>42209.0</c:v>
                </c:pt>
                <c:pt idx="209">
                  <c:v>42208.0</c:v>
                </c:pt>
                <c:pt idx="210">
                  <c:v>42207.0</c:v>
                </c:pt>
                <c:pt idx="211">
                  <c:v>42206.0</c:v>
                </c:pt>
                <c:pt idx="212">
                  <c:v>42205.0</c:v>
                </c:pt>
                <c:pt idx="213">
                  <c:v>42202.0</c:v>
                </c:pt>
                <c:pt idx="214">
                  <c:v>42201.0</c:v>
                </c:pt>
                <c:pt idx="215">
                  <c:v>42200.0</c:v>
                </c:pt>
                <c:pt idx="216">
                  <c:v>42199.0</c:v>
                </c:pt>
                <c:pt idx="217">
                  <c:v>42198.0</c:v>
                </c:pt>
                <c:pt idx="218">
                  <c:v>42195.0</c:v>
                </c:pt>
                <c:pt idx="219">
                  <c:v>42194.0</c:v>
                </c:pt>
                <c:pt idx="220">
                  <c:v>42193.0</c:v>
                </c:pt>
                <c:pt idx="221">
                  <c:v>42192.0</c:v>
                </c:pt>
                <c:pt idx="222">
                  <c:v>42191.0</c:v>
                </c:pt>
                <c:pt idx="223">
                  <c:v>42187.0</c:v>
                </c:pt>
                <c:pt idx="224">
                  <c:v>42186.0</c:v>
                </c:pt>
                <c:pt idx="225">
                  <c:v>42185.0</c:v>
                </c:pt>
                <c:pt idx="226">
                  <c:v>42184.0</c:v>
                </c:pt>
                <c:pt idx="227">
                  <c:v>42181.0</c:v>
                </c:pt>
                <c:pt idx="228">
                  <c:v>42180.0</c:v>
                </c:pt>
                <c:pt idx="229">
                  <c:v>42179.0</c:v>
                </c:pt>
                <c:pt idx="230">
                  <c:v>42178.0</c:v>
                </c:pt>
                <c:pt idx="231">
                  <c:v>42177.0</c:v>
                </c:pt>
                <c:pt idx="232">
                  <c:v>42174.0</c:v>
                </c:pt>
                <c:pt idx="233">
                  <c:v>42173.0</c:v>
                </c:pt>
                <c:pt idx="234">
                  <c:v>42172.0</c:v>
                </c:pt>
                <c:pt idx="235">
                  <c:v>42171.0</c:v>
                </c:pt>
                <c:pt idx="236">
                  <c:v>42170.0</c:v>
                </c:pt>
                <c:pt idx="237">
                  <c:v>42167.0</c:v>
                </c:pt>
                <c:pt idx="238">
                  <c:v>42166.0</c:v>
                </c:pt>
                <c:pt idx="239">
                  <c:v>42165.0</c:v>
                </c:pt>
                <c:pt idx="240">
                  <c:v>42164.0</c:v>
                </c:pt>
                <c:pt idx="241">
                  <c:v>42163.0</c:v>
                </c:pt>
                <c:pt idx="242">
                  <c:v>42160.0</c:v>
                </c:pt>
                <c:pt idx="243">
                  <c:v>42159.0</c:v>
                </c:pt>
                <c:pt idx="244">
                  <c:v>42158.0</c:v>
                </c:pt>
                <c:pt idx="245">
                  <c:v>42157.0</c:v>
                </c:pt>
                <c:pt idx="246">
                  <c:v>42156.0</c:v>
                </c:pt>
                <c:pt idx="247">
                  <c:v>42153.0</c:v>
                </c:pt>
                <c:pt idx="248">
                  <c:v>42152.0</c:v>
                </c:pt>
                <c:pt idx="249">
                  <c:v>42151.0</c:v>
                </c:pt>
                <c:pt idx="250">
                  <c:v>42150.0</c:v>
                </c:pt>
                <c:pt idx="251">
                  <c:v>42146.0</c:v>
                </c:pt>
                <c:pt idx="252">
                  <c:v>42145.0</c:v>
                </c:pt>
              </c:numCache>
            </c:numRef>
          </c:cat>
          <c:val>
            <c:numRef>
              <c:f>'4j. South Africa Macro'!$B$9:$B$261</c:f>
              <c:numCache>
                <c:formatCode>General</c:formatCode>
                <c:ptCount val="253"/>
                <c:pt idx="0">
                  <c:v>1023.3</c:v>
                </c:pt>
                <c:pt idx="1">
                  <c:v>1013.3</c:v>
                </c:pt>
                <c:pt idx="2">
                  <c:v>1042.5</c:v>
                </c:pt>
                <c:pt idx="3">
                  <c:v>1054.5</c:v>
                </c:pt>
                <c:pt idx="4">
                  <c:v>1053.5</c:v>
                </c:pt>
                <c:pt idx="5">
                  <c:v>1052.1</c:v>
                </c:pt>
                <c:pt idx="6">
                  <c:v>1054.0</c:v>
                </c:pt>
                <c:pt idx="7">
                  <c:v>1066.1</c:v>
                </c:pt>
                <c:pt idx="8">
                  <c:v>1049.3</c:v>
                </c:pt>
                <c:pt idx="9">
                  <c:v>1046.8</c:v>
                </c:pt>
                <c:pt idx="10">
                  <c:v>1085.1</c:v>
                </c:pt>
                <c:pt idx="11">
                  <c:v>1063.8</c:v>
                </c:pt>
                <c:pt idx="12">
                  <c:v>1055.6</c:v>
                </c:pt>
                <c:pt idx="13">
                  <c:v>1071.6</c:v>
                </c:pt>
                <c:pt idx="14">
                  <c:v>1086.4</c:v>
                </c:pt>
                <c:pt idx="15">
                  <c:v>1078.4</c:v>
                </c:pt>
                <c:pt idx="16">
                  <c:v>1050.7</c:v>
                </c:pt>
                <c:pt idx="17">
                  <c:v>1025.4</c:v>
                </c:pt>
                <c:pt idx="18">
                  <c:v>1020.2</c:v>
                </c:pt>
                <c:pt idx="19">
                  <c:v>1018.0</c:v>
                </c:pt>
                <c:pt idx="20">
                  <c:v>1011.3</c:v>
                </c:pt>
                <c:pt idx="21">
                  <c:v>1031.9</c:v>
                </c:pt>
                <c:pt idx="22">
                  <c:v>1028.0</c:v>
                </c:pt>
                <c:pt idx="23">
                  <c:v>1015.3</c:v>
                </c:pt>
                <c:pt idx="24">
                  <c:v>977.7</c:v>
                </c:pt>
                <c:pt idx="25">
                  <c:v>989.8</c:v>
                </c:pt>
                <c:pt idx="26">
                  <c:v>993.4</c:v>
                </c:pt>
                <c:pt idx="27">
                  <c:v>1003.5</c:v>
                </c:pt>
                <c:pt idx="28">
                  <c:v>999.8</c:v>
                </c:pt>
                <c:pt idx="29">
                  <c:v>990.7</c:v>
                </c:pt>
                <c:pt idx="30">
                  <c:v>968.8</c:v>
                </c:pt>
                <c:pt idx="31">
                  <c:v>955.1</c:v>
                </c:pt>
                <c:pt idx="32">
                  <c:v>944.2</c:v>
                </c:pt>
                <c:pt idx="33">
                  <c:v>951.3</c:v>
                </c:pt>
                <c:pt idx="34">
                  <c:v>943.8</c:v>
                </c:pt>
                <c:pt idx="35">
                  <c:v>954.9</c:v>
                </c:pt>
                <c:pt idx="36">
                  <c:v>977.9</c:v>
                </c:pt>
                <c:pt idx="37">
                  <c:v>965.6</c:v>
                </c:pt>
                <c:pt idx="38">
                  <c:v>966.5</c:v>
                </c:pt>
                <c:pt idx="39">
                  <c:v>946.0</c:v>
                </c:pt>
                <c:pt idx="40">
                  <c:v>953.7</c:v>
                </c:pt>
                <c:pt idx="41">
                  <c:v>962.1</c:v>
                </c:pt>
                <c:pt idx="42">
                  <c:v>998.1</c:v>
                </c:pt>
                <c:pt idx="43">
                  <c:v>983.1</c:v>
                </c:pt>
                <c:pt idx="44">
                  <c:v>971.8</c:v>
                </c:pt>
                <c:pt idx="45">
                  <c:v>990.4</c:v>
                </c:pt>
                <c:pt idx="46">
                  <c:v>960.0</c:v>
                </c:pt>
                <c:pt idx="47">
                  <c:v>961.1</c:v>
                </c:pt>
                <c:pt idx="48">
                  <c:v>966.7</c:v>
                </c:pt>
                <c:pt idx="49">
                  <c:v>971.0</c:v>
                </c:pt>
                <c:pt idx="50">
                  <c:v>979.0</c:v>
                </c:pt>
                <c:pt idx="51">
                  <c:v>984.1</c:v>
                </c:pt>
                <c:pt idx="52">
                  <c:v>990.7</c:v>
                </c:pt>
                <c:pt idx="53">
                  <c:v>1003.3</c:v>
                </c:pt>
                <c:pt idx="54">
                  <c:v>987.6</c:v>
                </c:pt>
                <c:pt idx="55">
                  <c:v>944.0</c:v>
                </c:pt>
                <c:pt idx="56">
                  <c:v>937.5</c:v>
                </c:pt>
                <c:pt idx="57">
                  <c:v>938.0</c:v>
                </c:pt>
                <c:pt idx="58">
                  <c:v>935.6</c:v>
                </c:pt>
                <c:pt idx="59">
                  <c:v>916.4</c:v>
                </c:pt>
                <c:pt idx="60">
                  <c:v>928.3</c:v>
                </c:pt>
                <c:pt idx="61">
                  <c:v>945.0</c:v>
                </c:pt>
                <c:pt idx="62">
                  <c:v>944.8</c:v>
                </c:pt>
                <c:pt idx="63">
                  <c:v>929.1</c:v>
                </c:pt>
                <c:pt idx="64">
                  <c:v>946.9</c:v>
                </c:pt>
                <c:pt idx="65">
                  <c:v>946.9</c:v>
                </c:pt>
                <c:pt idx="66">
                  <c:v>951.0</c:v>
                </c:pt>
                <c:pt idx="67">
                  <c:v>938.6</c:v>
                </c:pt>
                <c:pt idx="68">
                  <c:v>959.4</c:v>
                </c:pt>
                <c:pt idx="69">
                  <c:v>964.5</c:v>
                </c:pt>
                <c:pt idx="70">
                  <c:v>935.5</c:v>
                </c:pt>
                <c:pt idx="71">
                  <c:v>940.7</c:v>
                </c:pt>
                <c:pt idx="72">
                  <c:v>930.0</c:v>
                </c:pt>
                <c:pt idx="73">
                  <c:v>905.0</c:v>
                </c:pt>
                <c:pt idx="74">
                  <c:v>907.6</c:v>
                </c:pt>
                <c:pt idx="75">
                  <c:v>881.4</c:v>
                </c:pt>
                <c:pt idx="76">
                  <c:v>857.0</c:v>
                </c:pt>
                <c:pt idx="77">
                  <c:v>871.4</c:v>
                </c:pt>
                <c:pt idx="78">
                  <c:v>875.6</c:v>
                </c:pt>
                <c:pt idx="79">
                  <c:v>869.2</c:v>
                </c:pt>
                <c:pt idx="80">
                  <c:v>883.4</c:v>
                </c:pt>
                <c:pt idx="81">
                  <c:v>878.2</c:v>
                </c:pt>
                <c:pt idx="82">
                  <c:v>862.7</c:v>
                </c:pt>
                <c:pt idx="83">
                  <c:v>832.7</c:v>
                </c:pt>
                <c:pt idx="84">
                  <c:v>821.1</c:v>
                </c:pt>
                <c:pt idx="85">
                  <c:v>820.9</c:v>
                </c:pt>
                <c:pt idx="86">
                  <c:v>831.7</c:v>
                </c:pt>
                <c:pt idx="87">
                  <c:v>828.7</c:v>
                </c:pt>
                <c:pt idx="88">
                  <c:v>837.0</c:v>
                </c:pt>
                <c:pt idx="89">
                  <c:v>853.2</c:v>
                </c:pt>
                <c:pt idx="90">
                  <c:v>840.5</c:v>
                </c:pt>
                <c:pt idx="91">
                  <c:v>848.0</c:v>
                </c:pt>
                <c:pt idx="92">
                  <c:v>880.1</c:v>
                </c:pt>
                <c:pt idx="93">
                  <c:v>879.4</c:v>
                </c:pt>
                <c:pt idx="94">
                  <c:v>876.7</c:v>
                </c:pt>
                <c:pt idx="95">
                  <c:v>891.6</c:v>
                </c:pt>
                <c:pt idx="96">
                  <c:v>886.2</c:v>
                </c:pt>
                <c:pt idx="97">
                  <c:v>894.7</c:v>
                </c:pt>
                <c:pt idx="98">
                  <c:v>874.1</c:v>
                </c:pt>
                <c:pt idx="99">
                  <c:v>894.2</c:v>
                </c:pt>
                <c:pt idx="100">
                  <c:v>883.8</c:v>
                </c:pt>
                <c:pt idx="101">
                  <c:v>887.2</c:v>
                </c:pt>
                <c:pt idx="102">
                  <c:v>871.1</c:v>
                </c:pt>
                <c:pt idx="103">
                  <c:v>876.0</c:v>
                </c:pt>
                <c:pt idx="104">
                  <c:v>884.3</c:v>
                </c:pt>
                <c:pt idx="105">
                  <c:v>863.8</c:v>
                </c:pt>
                <c:pt idx="106">
                  <c:v>847.7</c:v>
                </c:pt>
                <c:pt idx="107">
                  <c:v>879.0</c:v>
                </c:pt>
                <c:pt idx="108">
                  <c:v>858.8</c:v>
                </c:pt>
                <c:pt idx="109">
                  <c:v>853.2</c:v>
                </c:pt>
                <c:pt idx="110">
                  <c:v>846.7</c:v>
                </c:pt>
                <c:pt idx="111">
                  <c:v>858.9</c:v>
                </c:pt>
                <c:pt idx="112">
                  <c:v>868.8</c:v>
                </c:pt>
                <c:pt idx="113">
                  <c:v>849.5</c:v>
                </c:pt>
                <c:pt idx="114">
                  <c:v>866.2</c:v>
                </c:pt>
                <c:pt idx="115">
                  <c:v>883.6</c:v>
                </c:pt>
                <c:pt idx="116">
                  <c:v>850.5</c:v>
                </c:pt>
                <c:pt idx="117">
                  <c:v>835.4</c:v>
                </c:pt>
                <c:pt idx="118">
                  <c:v>838.4</c:v>
                </c:pt>
                <c:pt idx="119">
                  <c:v>835.9</c:v>
                </c:pt>
                <c:pt idx="120">
                  <c:v>838.8</c:v>
                </c:pt>
                <c:pt idx="121">
                  <c:v>846.9</c:v>
                </c:pt>
                <c:pt idx="122">
                  <c:v>844.7</c:v>
                </c:pt>
                <c:pt idx="123">
                  <c:v>850.4</c:v>
                </c:pt>
                <c:pt idx="124">
                  <c:v>858.9</c:v>
                </c:pt>
                <c:pt idx="125">
                  <c:v>861.1</c:v>
                </c:pt>
                <c:pt idx="126">
                  <c:v>851.0</c:v>
                </c:pt>
                <c:pt idx="127">
                  <c:v>858.0</c:v>
                </c:pt>
                <c:pt idx="128">
                  <c:v>868.5</c:v>
                </c:pt>
                <c:pt idx="129">
                  <c:v>866.7</c:v>
                </c:pt>
                <c:pt idx="130">
                  <c:v>879.9</c:v>
                </c:pt>
                <c:pt idx="131">
                  <c:v>886.1</c:v>
                </c:pt>
                <c:pt idx="132">
                  <c:v>902.5</c:v>
                </c:pt>
                <c:pt idx="133">
                  <c:v>917.4</c:v>
                </c:pt>
                <c:pt idx="134">
                  <c:v>943.0</c:v>
                </c:pt>
                <c:pt idx="135">
                  <c:v>956.1</c:v>
                </c:pt>
                <c:pt idx="136">
                  <c:v>957.8</c:v>
                </c:pt>
                <c:pt idx="137">
                  <c:v>965.2</c:v>
                </c:pt>
                <c:pt idx="138">
                  <c:v>981.4</c:v>
                </c:pt>
                <c:pt idx="139">
                  <c:v>992.1</c:v>
                </c:pt>
                <c:pt idx="140">
                  <c:v>996.3</c:v>
                </c:pt>
                <c:pt idx="141">
                  <c:v>1015.8</c:v>
                </c:pt>
                <c:pt idx="142">
                  <c:v>993.2</c:v>
                </c:pt>
                <c:pt idx="143">
                  <c:v>1000.6</c:v>
                </c:pt>
                <c:pt idx="144">
                  <c:v>1004.8</c:v>
                </c:pt>
                <c:pt idx="145">
                  <c:v>1017.0</c:v>
                </c:pt>
                <c:pt idx="146">
                  <c:v>1010.8</c:v>
                </c:pt>
                <c:pt idx="147">
                  <c:v>1023.7</c:v>
                </c:pt>
                <c:pt idx="148">
                  <c:v>1018.2</c:v>
                </c:pt>
                <c:pt idx="149">
                  <c:v>1026.1</c:v>
                </c:pt>
                <c:pt idx="150">
                  <c:v>1010.4</c:v>
                </c:pt>
                <c:pt idx="151">
                  <c:v>999.0</c:v>
                </c:pt>
                <c:pt idx="152">
                  <c:v>996.3</c:v>
                </c:pt>
                <c:pt idx="153">
                  <c:v>999.4</c:v>
                </c:pt>
                <c:pt idx="154">
                  <c:v>984.3</c:v>
                </c:pt>
                <c:pt idx="155">
                  <c:v>958.1</c:v>
                </c:pt>
                <c:pt idx="156">
                  <c:v>949.3</c:v>
                </c:pt>
                <c:pt idx="157">
                  <c:v>937.8</c:v>
                </c:pt>
                <c:pt idx="158">
                  <c:v>915.9</c:v>
                </c:pt>
                <c:pt idx="159">
                  <c:v>912.1</c:v>
                </c:pt>
                <c:pt idx="160">
                  <c:v>908.0</c:v>
                </c:pt>
                <c:pt idx="161">
                  <c:v>912.0</c:v>
                </c:pt>
                <c:pt idx="162">
                  <c:v>921.9</c:v>
                </c:pt>
                <c:pt idx="163">
                  <c:v>927.3</c:v>
                </c:pt>
                <c:pt idx="164">
                  <c:v>955.9</c:v>
                </c:pt>
                <c:pt idx="165">
                  <c:v>960.6</c:v>
                </c:pt>
                <c:pt idx="166">
                  <c:v>937.2</c:v>
                </c:pt>
                <c:pt idx="167">
                  <c:v>942.3</c:v>
                </c:pt>
                <c:pt idx="168">
                  <c:v>978.5</c:v>
                </c:pt>
                <c:pt idx="169">
                  <c:v>989.2</c:v>
                </c:pt>
                <c:pt idx="170">
                  <c:v>973.2</c:v>
                </c:pt>
                <c:pt idx="171">
                  <c:v>980.5</c:v>
                </c:pt>
                <c:pt idx="172">
                  <c:v>963.0</c:v>
                </c:pt>
                <c:pt idx="173">
                  <c:v>960.2</c:v>
                </c:pt>
                <c:pt idx="174">
                  <c:v>969.7</c:v>
                </c:pt>
                <c:pt idx="175">
                  <c:v>986.0</c:v>
                </c:pt>
                <c:pt idx="176">
                  <c:v>986.0</c:v>
                </c:pt>
                <c:pt idx="177">
                  <c:v>1007.7</c:v>
                </c:pt>
                <c:pt idx="178">
                  <c:v>997.2</c:v>
                </c:pt>
                <c:pt idx="179">
                  <c:v>1014.9</c:v>
                </c:pt>
                <c:pt idx="180">
                  <c:v>1018.4</c:v>
                </c:pt>
                <c:pt idx="181">
                  <c:v>1013.2</c:v>
                </c:pt>
                <c:pt idx="182">
                  <c:v>1015.3</c:v>
                </c:pt>
                <c:pt idx="183">
                  <c:v>1026.5</c:v>
                </c:pt>
                <c:pt idx="184">
                  <c:v>1010.8</c:v>
                </c:pt>
                <c:pt idx="185">
                  <c:v>985.0</c:v>
                </c:pt>
                <c:pt idx="186">
                  <c:v>981.5</c:v>
                </c:pt>
                <c:pt idx="187">
                  <c:v>996.3</c:v>
                </c:pt>
                <c:pt idx="188">
                  <c:v>1031.9</c:v>
                </c:pt>
                <c:pt idx="189">
                  <c:v>1039.7</c:v>
                </c:pt>
                <c:pt idx="190">
                  <c:v>1017.9</c:v>
                </c:pt>
                <c:pt idx="191">
                  <c:v>998.9</c:v>
                </c:pt>
                <c:pt idx="192">
                  <c:v>1005.5</c:v>
                </c:pt>
                <c:pt idx="193">
                  <c:v>998.8</c:v>
                </c:pt>
                <c:pt idx="194">
                  <c:v>999.8</c:v>
                </c:pt>
                <c:pt idx="195">
                  <c:v>1004.7</c:v>
                </c:pt>
                <c:pt idx="196">
                  <c:v>997.1</c:v>
                </c:pt>
                <c:pt idx="197">
                  <c:v>994.6</c:v>
                </c:pt>
                <c:pt idx="198">
                  <c:v>967.0</c:v>
                </c:pt>
                <c:pt idx="199">
                  <c:v>960.8</c:v>
                </c:pt>
                <c:pt idx="200">
                  <c:v>955.7</c:v>
                </c:pt>
                <c:pt idx="201">
                  <c:v>963.3</c:v>
                </c:pt>
                <c:pt idx="202">
                  <c:v>971.9</c:v>
                </c:pt>
                <c:pt idx="203">
                  <c:v>989.8</c:v>
                </c:pt>
                <c:pt idx="204">
                  <c:v>994.7</c:v>
                </c:pt>
                <c:pt idx="205">
                  <c:v>989.7</c:v>
                </c:pt>
                <c:pt idx="206">
                  <c:v>993.1</c:v>
                </c:pt>
                <c:pt idx="207">
                  <c:v>995.8</c:v>
                </c:pt>
                <c:pt idx="208">
                  <c:v>987.7</c:v>
                </c:pt>
                <c:pt idx="209">
                  <c:v>988.1</c:v>
                </c:pt>
                <c:pt idx="210">
                  <c:v>986.9</c:v>
                </c:pt>
                <c:pt idx="211">
                  <c:v>991.3</c:v>
                </c:pt>
                <c:pt idx="212">
                  <c:v>995.5</c:v>
                </c:pt>
                <c:pt idx="213">
                  <c:v>1006.3</c:v>
                </c:pt>
                <c:pt idx="214">
                  <c:v>1017.4</c:v>
                </c:pt>
                <c:pt idx="215">
                  <c:v>1026.9</c:v>
                </c:pt>
                <c:pt idx="216">
                  <c:v>1033.2</c:v>
                </c:pt>
                <c:pt idx="217">
                  <c:v>1041.3</c:v>
                </c:pt>
                <c:pt idx="218">
                  <c:v>1037.6</c:v>
                </c:pt>
                <c:pt idx="219">
                  <c:v>1027.7</c:v>
                </c:pt>
                <c:pt idx="220">
                  <c:v>1041.4</c:v>
                </c:pt>
                <c:pt idx="221">
                  <c:v>1046.4</c:v>
                </c:pt>
                <c:pt idx="222">
                  <c:v>1071.2</c:v>
                </c:pt>
                <c:pt idx="223">
                  <c:v>1088.9</c:v>
                </c:pt>
                <c:pt idx="224">
                  <c:v>1092.2</c:v>
                </c:pt>
                <c:pt idx="225">
                  <c:v>1083.9</c:v>
                </c:pt>
                <c:pt idx="226">
                  <c:v>1086.7</c:v>
                </c:pt>
                <c:pt idx="227">
                  <c:v>1086.0</c:v>
                </c:pt>
                <c:pt idx="228">
                  <c:v>1089.7</c:v>
                </c:pt>
                <c:pt idx="229">
                  <c:v>1079.4</c:v>
                </c:pt>
                <c:pt idx="230">
                  <c:v>1072.8</c:v>
                </c:pt>
                <c:pt idx="231">
                  <c:v>1065.9</c:v>
                </c:pt>
                <c:pt idx="232">
                  <c:v>1092.1</c:v>
                </c:pt>
                <c:pt idx="233">
                  <c:v>1088.1</c:v>
                </c:pt>
                <c:pt idx="234">
                  <c:v>1078.0</c:v>
                </c:pt>
                <c:pt idx="235">
                  <c:v>1085.1</c:v>
                </c:pt>
                <c:pt idx="236">
                  <c:v>1093.9</c:v>
                </c:pt>
                <c:pt idx="237">
                  <c:v>1102.1</c:v>
                </c:pt>
                <c:pt idx="238">
                  <c:v>1110.5</c:v>
                </c:pt>
                <c:pt idx="239">
                  <c:v>1120.5</c:v>
                </c:pt>
                <c:pt idx="240">
                  <c:v>1113.8</c:v>
                </c:pt>
                <c:pt idx="241">
                  <c:v>1106.5</c:v>
                </c:pt>
                <c:pt idx="242">
                  <c:v>1097.3</c:v>
                </c:pt>
                <c:pt idx="243">
                  <c:v>1104.5</c:v>
                </c:pt>
                <c:pt idx="244">
                  <c:v>1109.4</c:v>
                </c:pt>
                <c:pt idx="245">
                  <c:v>1118.1</c:v>
                </c:pt>
                <c:pt idx="246">
                  <c:v>1109.5</c:v>
                </c:pt>
                <c:pt idx="247">
                  <c:v>1116.8</c:v>
                </c:pt>
                <c:pt idx="248">
                  <c:v>1121.6</c:v>
                </c:pt>
                <c:pt idx="249">
                  <c:v>1124.3</c:v>
                </c:pt>
                <c:pt idx="250">
                  <c:v>1129.4</c:v>
                </c:pt>
                <c:pt idx="251">
                  <c:v>1153.9</c:v>
                </c:pt>
                <c:pt idx="252">
                  <c:v>1157.6</c:v>
                </c:pt>
              </c:numCache>
            </c:numRef>
          </c:val>
          <c:smooth val="0"/>
        </c:ser>
        <c:dLbls>
          <c:showLegendKey val="0"/>
          <c:showVal val="0"/>
          <c:showCatName val="0"/>
          <c:showSerName val="0"/>
          <c:showPercent val="0"/>
          <c:showBubbleSize val="0"/>
        </c:dLbls>
        <c:marker val="1"/>
        <c:smooth val="0"/>
        <c:axId val="-2108099448"/>
        <c:axId val="-2109826088"/>
      </c:lineChart>
      <c:dateAx>
        <c:axId val="-2108099448"/>
        <c:scaling>
          <c:orientation val="minMax"/>
        </c:scaling>
        <c:delete val="0"/>
        <c:axPos val="b"/>
        <c:numFmt formatCode="m/d/yy" sourceLinked="1"/>
        <c:majorTickMark val="out"/>
        <c:minorTickMark val="none"/>
        <c:tickLblPos val="nextTo"/>
        <c:crossAx val="-2109826088"/>
        <c:crossesAt val="700.0"/>
        <c:auto val="1"/>
        <c:lblOffset val="100"/>
        <c:baseTimeUnit val="days"/>
      </c:dateAx>
      <c:valAx>
        <c:axId val="-2109826088"/>
        <c:scaling>
          <c:orientation val="minMax"/>
          <c:max val="1300.0"/>
          <c:min val="600.0"/>
        </c:scaling>
        <c:delete val="0"/>
        <c:axPos val="l"/>
        <c:majorGridlines/>
        <c:numFmt formatCode="General" sourceLinked="1"/>
        <c:majorTickMark val="out"/>
        <c:minorTickMark val="none"/>
        <c:tickLblPos val="nextTo"/>
        <c:crossAx val="-2108099448"/>
        <c:crosses val="autoZero"/>
        <c:crossBetween val="between"/>
        <c:majorUnit val="100.0"/>
      </c:valAx>
    </c:plotArea>
    <c:plotVisOnly val="1"/>
    <c:dispBlanksAs val="gap"/>
    <c:showDLblsOverMax val="0"/>
  </c:chart>
  <c:spPr>
    <a:ln>
      <a:noFill/>
    </a:ln>
  </c:spPr>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Lucky Star EBIT</a:t>
            </a:r>
            <a:r>
              <a:rPr lang="en-US" sz="1600" baseline="0"/>
              <a:t> Margin (%)</a:t>
            </a:r>
            <a:endParaRPr lang="en-US" sz="1600"/>
          </a:p>
        </c:rich>
      </c:tx>
      <c:layout/>
      <c:overlay val="0"/>
    </c:title>
    <c:autoTitleDeleted val="0"/>
    <c:plotArea>
      <c:layout/>
      <c:barChart>
        <c:barDir val="col"/>
        <c:grouping val="clustered"/>
        <c:varyColors val="0"/>
        <c:ser>
          <c:idx val="0"/>
          <c:order val="0"/>
          <c:spPr>
            <a:solidFill>
              <a:schemeClr val="tx2">
                <a:lumMod val="50000"/>
              </a:schemeClr>
            </a:solidFill>
          </c:spPr>
          <c:invertIfNegative val="0"/>
          <c:dPt>
            <c:idx val="0"/>
            <c:invertIfNegative val="0"/>
            <c:bubble3D val="0"/>
            <c:spPr>
              <a:solidFill>
                <a:srgbClr val="8EB4E3"/>
              </a:solidFill>
            </c:spPr>
          </c:dPt>
          <c:dPt>
            <c:idx val="1"/>
            <c:invertIfNegative val="0"/>
            <c:bubble3D val="0"/>
            <c:spPr>
              <a:solidFill>
                <a:schemeClr val="tx2">
                  <a:lumMod val="40000"/>
                  <a:lumOff val="60000"/>
                </a:schemeClr>
              </a:solidFill>
            </c:spPr>
          </c:dPt>
          <c:dPt>
            <c:idx val="2"/>
            <c:invertIfNegative val="0"/>
            <c:bubble3D val="0"/>
            <c:spPr>
              <a:solidFill>
                <a:srgbClr val="8EB4E3"/>
              </a:solidFill>
            </c:spPr>
          </c:dPt>
          <c:dLbls>
            <c:txPr>
              <a:bodyPr/>
              <a:lstStyle/>
              <a:p>
                <a:pPr>
                  <a:defRPr sz="1200" b="1"/>
                </a:pPr>
                <a:endParaRPr lang="en-US"/>
              </a:p>
            </c:txPr>
            <c:showLegendKey val="0"/>
            <c:showVal val="1"/>
            <c:showCatName val="0"/>
            <c:showSerName val="0"/>
            <c:showPercent val="0"/>
            <c:showBubbleSize val="0"/>
            <c:showLeaderLines val="0"/>
          </c:dLbls>
          <c:cat>
            <c:strRef>
              <c:f>'3a. InShore Fishing Div.'!$M$22:$T$22</c:f>
              <c:strCache>
                <c:ptCount val="8"/>
                <c:pt idx="0">
                  <c:v>2013A</c:v>
                </c:pt>
                <c:pt idx="1">
                  <c:v>2014A</c:v>
                </c:pt>
                <c:pt idx="2">
                  <c:v>2015A</c:v>
                </c:pt>
                <c:pt idx="3">
                  <c:v>2016E</c:v>
                </c:pt>
                <c:pt idx="4">
                  <c:v>2017E</c:v>
                </c:pt>
                <c:pt idx="5">
                  <c:v>2018E</c:v>
                </c:pt>
                <c:pt idx="6">
                  <c:v>2019E</c:v>
                </c:pt>
                <c:pt idx="7">
                  <c:v>2020E</c:v>
                </c:pt>
              </c:strCache>
            </c:strRef>
          </c:cat>
          <c:val>
            <c:numRef>
              <c:f>'3a. InShore Fishing Div.'!$M$29:$T$29</c:f>
              <c:numCache>
                <c:formatCode>0%</c:formatCode>
                <c:ptCount val="8"/>
                <c:pt idx="0">
                  <c:v>0.0816639979085651</c:v>
                </c:pt>
                <c:pt idx="1">
                  <c:v>0.123419394804949</c:v>
                </c:pt>
                <c:pt idx="2">
                  <c:v>0.132738513599931</c:v>
                </c:pt>
                <c:pt idx="3">
                  <c:v>0.15273851359993</c:v>
                </c:pt>
                <c:pt idx="4">
                  <c:v>0.15273851359993</c:v>
                </c:pt>
                <c:pt idx="5">
                  <c:v>0.14273851359993</c:v>
                </c:pt>
                <c:pt idx="6">
                  <c:v>0.14273851359993</c:v>
                </c:pt>
                <c:pt idx="7">
                  <c:v>0.14273851359993</c:v>
                </c:pt>
              </c:numCache>
            </c:numRef>
          </c:val>
        </c:ser>
        <c:dLbls>
          <c:showLegendKey val="0"/>
          <c:showVal val="1"/>
          <c:showCatName val="0"/>
          <c:showSerName val="0"/>
          <c:showPercent val="0"/>
          <c:showBubbleSize val="0"/>
        </c:dLbls>
        <c:gapWidth val="150"/>
        <c:axId val="-2125434024"/>
        <c:axId val="2139924552"/>
      </c:barChart>
      <c:catAx>
        <c:axId val="-2125434024"/>
        <c:scaling>
          <c:orientation val="minMax"/>
        </c:scaling>
        <c:delete val="0"/>
        <c:axPos val="b"/>
        <c:majorTickMark val="out"/>
        <c:minorTickMark val="none"/>
        <c:tickLblPos val="nextTo"/>
        <c:crossAx val="2139924552"/>
        <c:crosses val="autoZero"/>
        <c:auto val="1"/>
        <c:lblAlgn val="ctr"/>
        <c:lblOffset val="100"/>
        <c:noMultiLvlLbl val="0"/>
      </c:catAx>
      <c:valAx>
        <c:axId val="2139924552"/>
        <c:scaling>
          <c:orientation val="minMax"/>
        </c:scaling>
        <c:delete val="0"/>
        <c:axPos val="l"/>
        <c:majorGridlines/>
        <c:numFmt formatCode="0%" sourceLinked="1"/>
        <c:majorTickMark val="out"/>
        <c:minorTickMark val="none"/>
        <c:tickLblPos val="nextTo"/>
        <c:crossAx val="-2125434024"/>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L,S and F.F. Revenue</a:t>
            </a:r>
            <a:r>
              <a:rPr lang="en-US" sz="1600" baseline="0"/>
              <a:t> Growth (%)</a:t>
            </a:r>
            <a:endParaRPr lang="en-US" sz="1600"/>
          </a:p>
        </c:rich>
      </c:tx>
      <c:layout/>
      <c:overlay val="0"/>
    </c:title>
    <c:autoTitleDeleted val="0"/>
    <c:plotArea>
      <c:layout/>
      <c:barChart>
        <c:barDir val="col"/>
        <c:grouping val="clustered"/>
        <c:varyColors val="0"/>
        <c:ser>
          <c:idx val="0"/>
          <c:order val="0"/>
          <c:spPr>
            <a:solidFill>
              <a:schemeClr val="tx2">
                <a:lumMod val="50000"/>
              </a:schemeClr>
            </a:solidFill>
          </c:spPr>
          <c:invertIfNegative val="0"/>
          <c:dPt>
            <c:idx val="0"/>
            <c:invertIfNegative val="0"/>
            <c:bubble3D val="0"/>
            <c:spPr>
              <a:solidFill>
                <a:srgbClr val="95B3D7"/>
              </a:solidFill>
            </c:spPr>
          </c:dPt>
          <c:dPt>
            <c:idx val="1"/>
            <c:invertIfNegative val="0"/>
            <c:bubble3D val="0"/>
            <c:spPr>
              <a:solidFill>
                <a:schemeClr val="accent1">
                  <a:lumMod val="60000"/>
                  <a:lumOff val="40000"/>
                </a:schemeClr>
              </a:solidFill>
            </c:spPr>
          </c:dPt>
          <c:dPt>
            <c:idx val="2"/>
            <c:invertIfNegative val="0"/>
            <c:bubble3D val="0"/>
            <c:spPr>
              <a:solidFill>
                <a:srgbClr val="95B3D7"/>
              </a:solidFill>
            </c:spPr>
          </c:dPt>
          <c:dLbls>
            <c:txPr>
              <a:bodyPr/>
              <a:lstStyle/>
              <a:p>
                <a:pPr>
                  <a:defRPr sz="1200" b="1"/>
                </a:pPr>
                <a:endParaRPr lang="en-US"/>
              </a:p>
            </c:txPr>
            <c:showLegendKey val="0"/>
            <c:showVal val="1"/>
            <c:showCatName val="0"/>
            <c:showSerName val="0"/>
            <c:showPercent val="0"/>
            <c:showBubbleSize val="0"/>
            <c:showLeaderLines val="0"/>
          </c:dLbls>
          <c:cat>
            <c:strRef>
              <c:f>'3a. InShore Fishing Div.'!$M$155:$T$155</c:f>
              <c:strCache>
                <c:ptCount val="8"/>
                <c:pt idx="0">
                  <c:v>2013A</c:v>
                </c:pt>
                <c:pt idx="1">
                  <c:v>2014A</c:v>
                </c:pt>
                <c:pt idx="2">
                  <c:v>2015A</c:v>
                </c:pt>
                <c:pt idx="3">
                  <c:v>2016E</c:v>
                </c:pt>
                <c:pt idx="4">
                  <c:v>2017E</c:v>
                </c:pt>
                <c:pt idx="5">
                  <c:v>2018E</c:v>
                </c:pt>
                <c:pt idx="6">
                  <c:v>2019E</c:v>
                </c:pt>
                <c:pt idx="7">
                  <c:v>2020E</c:v>
                </c:pt>
              </c:strCache>
            </c:strRef>
          </c:cat>
          <c:val>
            <c:numRef>
              <c:f>'3a. InShore Fishing Div.'!$M$157:$T$157</c:f>
              <c:numCache>
                <c:formatCode>0%</c:formatCode>
                <c:ptCount val="8"/>
                <c:pt idx="0">
                  <c:v>0.0540772679151817</c:v>
                </c:pt>
                <c:pt idx="1">
                  <c:v>0.0977357509867513</c:v>
                </c:pt>
                <c:pt idx="2">
                  <c:v>0.0163996281106888</c:v>
                </c:pt>
                <c:pt idx="3">
                  <c:v>0.29698926296872</c:v>
                </c:pt>
                <c:pt idx="4">
                  <c:v>0.0794818627307772</c:v>
                </c:pt>
                <c:pt idx="5">
                  <c:v>0.125969540235314</c:v>
                </c:pt>
                <c:pt idx="6">
                  <c:v>0.129816624590163</c:v>
                </c:pt>
                <c:pt idx="7">
                  <c:v>0.127731785016142</c:v>
                </c:pt>
              </c:numCache>
            </c:numRef>
          </c:val>
        </c:ser>
        <c:dLbls>
          <c:showLegendKey val="0"/>
          <c:showVal val="0"/>
          <c:showCatName val="0"/>
          <c:showSerName val="0"/>
          <c:showPercent val="0"/>
          <c:showBubbleSize val="0"/>
        </c:dLbls>
        <c:gapWidth val="150"/>
        <c:axId val="2139192984"/>
        <c:axId val="-2125394232"/>
      </c:barChart>
      <c:catAx>
        <c:axId val="2139192984"/>
        <c:scaling>
          <c:orientation val="minMax"/>
        </c:scaling>
        <c:delete val="0"/>
        <c:axPos val="b"/>
        <c:majorTickMark val="out"/>
        <c:minorTickMark val="none"/>
        <c:tickLblPos val="nextTo"/>
        <c:crossAx val="-2125394232"/>
        <c:crosses val="autoZero"/>
        <c:auto val="1"/>
        <c:lblAlgn val="ctr"/>
        <c:lblOffset val="100"/>
        <c:noMultiLvlLbl val="0"/>
      </c:catAx>
      <c:valAx>
        <c:axId val="-2125394232"/>
        <c:scaling>
          <c:orientation val="minMax"/>
        </c:scaling>
        <c:delete val="0"/>
        <c:axPos val="l"/>
        <c:majorGridlines/>
        <c:numFmt formatCode="0%" sourceLinked="1"/>
        <c:majorTickMark val="out"/>
        <c:minorTickMark val="none"/>
        <c:tickLblPos val="nextTo"/>
        <c:crossAx val="2139192984"/>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L, S and F.F. EBIT</a:t>
            </a:r>
            <a:r>
              <a:rPr lang="en-US" sz="1600" baseline="0"/>
              <a:t> Margin (%)</a:t>
            </a:r>
            <a:endParaRPr lang="en-US" sz="1600"/>
          </a:p>
        </c:rich>
      </c:tx>
      <c:layout/>
      <c:overlay val="0"/>
    </c:title>
    <c:autoTitleDeleted val="0"/>
    <c:plotArea>
      <c:layout/>
      <c:barChart>
        <c:barDir val="col"/>
        <c:grouping val="clustered"/>
        <c:varyColors val="0"/>
        <c:ser>
          <c:idx val="0"/>
          <c:order val="0"/>
          <c:invertIfNegative val="0"/>
          <c:dPt>
            <c:idx val="0"/>
            <c:invertIfNegative val="0"/>
            <c:bubble3D val="0"/>
            <c:spPr>
              <a:solidFill>
                <a:srgbClr val="95B3D7"/>
              </a:solidFill>
            </c:spPr>
          </c:dPt>
          <c:dPt>
            <c:idx val="1"/>
            <c:invertIfNegative val="0"/>
            <c:bubble3D val="0"/>
            <c:spPr>
              <a:solidFill>
                <a:srgbClr val="95B3D7"/>
              </a:solidFill>
            </c:spPr>
          </c:dPt>
          <c:dPt>
            <c:idx val="2"/>
            <c:invertIfNegative val="0"/>
            <c:bubble3D val="0"/>
            <c:spPr>
              <a:solidFill>
                <a:srgbClr val="95B3D7"/>
              </a:solidFill>
            </c:spPr>
          </c:dPt>
          <c:dPt>
            <c:idx val="3"/>
            <c:invertIfNegative val="0"/>
            <c:bubble3D val="0"/>
            <c:spPr>
              <a:solidFill>
                <a:srgbClr val="10253F"/>
              </a:solidFill>
            </c:spPr>
          </c:dPt>
          <c:dPt>
            <c:idx val="4"/>
            <c:invertIfNegative val="0"/>
            <c:bubble3D val="0"/>
            <c:spPr>
              <a:solidFill>
                <a:schemeClr val="tx2">
                  <a:lumMod val="50000"/>
                </a:schemeClr>
              </a:solidFill>
            </c:spPr>
          </c:dPt>
          <c:dPt>
            <c:idx val="5"/>
            <c:invertIfNegative val="0"/>
            <c:bubble3D val="0"/>
            <c:spPr>
              <a:solidFill>
                <a:srgbClr val="10253F"/>
              </a:solidFill>
            </c:spPr>
          </c:dPt>
          <c:dPt>
            <c:idx val="6"/>
            <c:invertIfNegative val="0"/>
            <c:bubble3D val="0"/>
            <c:spPr>
              <a:solidFill>
                <a:srgbClr val="10253F"/>
              </a:solidFill>
            </c:spPr>
          </c:dPt>
          <c:dPt>
            <c:idx val="7"/>
            <c:invertIfNegative val="0"/>
            <c:bubble3D val="0"/>
            <c:spPr>
              <a:solidFill>
                <a:srgbClr val="10253F"/>
              </a:solidFill>
            </c:spPr>
          </c:dPt>
          <c:dLbls>
            <c:txPr>
              <a:bodyPr/>
              <a:lstStyle/>
              <a:p>
                <a:pPr>
                  <a:defRPr sz="1200" b="1"/>
                </a:pPr>
                <a:endParaRPr lang="en-US"/>
              </a:p>
            </c:txPr>
            <c:showLegendKey val="0"/>
            <c:showVal val="1"/>
            <c:showCatName val="0"/>
            <c:showSerName val="0"/>
            <c:showPercent val="0"/>
            <c:showBubbleSize val="0"/>
            <c:showLeaderLines val="0"/>
          </c:dLbls>
          <c:cat>
            <c:strRef>
              <c:f>'3a. InShore Fishing Div.'!$M$155:$T$155</c:f>
              <c:strCache>
                <c:ptCount val="8"/>
                <c:pt idx="0">
                  <c:v>2013A</c:v>
                </c:pt>
                <c:pt idx="1">
                  <c:v>2014A</c:v>
                </c:pt>
                <c:pt idx="2">
                  <c:v>2015A</c:v>
                </c:pt>
                <c:pt idx="3">
                  <c:v>2016E</c:v>
                </c:pt>
                <c:pt idx="4">
                  <c:v>2017E</c:v>
                </c:pt>
                <c:pt idx="5">
                  <c:v>2018E</c:v>
                </c:pt>
                <c:pt idx="6">
                  <c:v>2019E</c:v>
                </c:pt>
                <c:pt idx="7">
                  <c:v>2020E</c:v>
                </c:pt>
              </c:strCache>
            </c:strRef>
          </c:cat>
          <c:val>
            <c:numRef>
              <c:f>'3a. InShore Fishing Div.'!$M$164:$T$164</c:f>
              <c:numCache>
                <c:formatCode>0%</c:formatCode>
                <c:ptCount val="8"/>
                <c:pt idx="0">
                  <c:v>0.0631926885655966</c:v>
                </c:pt>
                <c:pt idx="1">
                  <c:v>0.110654332831069</c:v>
                </c:pt>
                <c:pt idx="2">
                  <c:v>0.113003370156764</c:v>
                </c:pt>
                <c:pt idx="3">
                  <c:v>0.11</c:v>
                </c:pt>
                <c:pt idx="4">
                  <c:v>0.11</c:v>
                </c:pt>
                <c:pt idx="5">
                  <c:v>0.11</c:v>
                </c:pt>
                <c:pt idx="6">
                  <c:v>0.11</c:v>
                </c:pt>
                <c:pt idx="7">
                  <c:v>0.11</c:v>
                </c:pt>
              </c:numCache>
            </c:numRef>
          </c:val>
        </c:ser>
        <c:dLbls>
          <c:showLegendKey val="0"/>
          <c:showVal val="1"/>
          <c:showCatName val="0"/>
          <c:showSerName val="0"/>
          <c:showPercent val="0"/>
          <c:showBubbleSize val="0"/>
        </c:dLbls>
        <c:gapWidth val="150"/>
        <c:axId val="-2107893688"/>
        <c:axId val="-2107827368"/>
      </c:barChart>
      <c:catAx>
        <c:axId val="-2107893688"/>
        <c:scaling>
          <c:orientation val="minMax"/>
        </c:scaling>
        <c:delete val="0"/>
        <c:axPos val="b"/>
        <c:majorTickMark val="out"/>
        <c:minorTickMark val="none"/>
        <c:tickLblPos val="nextTo"/>
        <c:crossAx val="-2107827368"/>
        <c:crosses val="autoZero"/>
        <c:auto val="1"/>
        <c:lblAlgn val="ctr"/>
        <c:lblOffset val="100"/>
        <c:noMultiLvlLbl val="0"/>
      </c:catAx>
      <c:valAx>
        <c:axId val="-2107827368"/>
        <c:scaling>
          <c:orientation val="minMax"/>
        </c:scaling>
        <c:delete val="0"/>
        <c:axPos val="l"/>
        <c:majorGridlines/>
        <c:numFmt formatCode="0%" sourceLinked="1"/>
        <c:majorTickMark val="out"/>
        <c:minorTickMark val="none"/>
        <c:tickLblPos val="nextTo"/>
        <c:crossAx val="-2107893688"/>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BCP Revenues Growth (%)</a:t>
            </a:r>
          </a:p>
        </c:rich>
      </c:tx>
      <c:layout/>
      <c:overlay val="0"/>
    </c:title>
    <c:autoTitleDeleted val="0"/>
    <c:plotArea>
      <c:layout/>
      <c:barChart>
        <c:barDir val="col"/>
        <c:grouping val="clustered"/>
        <c:varyColors val="0"/>
        <c:ser>
          <c:idx val="0"/>
          <c:order val="0"/>
          <c:spPr>
            <a:solidFill>
              <a:srgbClr val="10253F"/>
            </a:solidFill>
            <a:ln>
              <a:solidFill>
                <a:schemeClr val="tx2">
                  <a:lumMod val="50000"/>
                </a:schemeClr>
              </a:solidFill>
            </a:ln>
          </c:spPr>
          <c:invertIfNegative val="0"/>
          <c:dPt>
            <c:idx val="0"/>
            <c:invertIfNegative val="0"/>
            <c:bubble3D val="0"/>
            <c:spPr>
              <a:solidFill>
                <a:srgbClr val="C6D9F1"/>
              </a:solidFill>
              <a:ln>
                <a:solidFill>
                  <a:schemeClr val="tx2">
                    <a:lumMod val="50000"/>
                  </a:schemeClr>
                </a:solidFill>
              </a:ln>
            </c:spPr>
          </c:dPt>
          <c:dPt>
            <c:idx val="1"/>
            <c:invertIfNegative val="0"/>
            <c:bubble3D val="0"/>
            <c:spPr>
              <a:solidFill>
                <a:srgbClr val="C6D9F1"/>
              </a:solidFill>
              <a:ln>
                <a:solidFill>
                  <a:schemeClr val="tx2">
                    <a:lumMod val="50000"/>
                  </a:schemeClr>
                </a:solidFill>
              </a:ln>
            </c:spPr>
          </c:dPt>
          <c:dPt>
            <c:idx val="2"/>
            <c:invertIfNegative val="0"/>
            <c:bubble3D val="0"/>
            <c:spPr>
              <a:solidFill>
                <a:schemeClr val="tx2">
                  <a:lumMod val="20000"/>
                  <a:lumOff val="80000"/>
                </a:schemeClr>
              </a:solidFill>
              <a:ln>
                <a:solidFill>
                  <a:schemeClr val="tx2">
                    <a:lumMod val="50000"/>
                  </a:schemeClr>
                </a:solidFill>
              </a:ln>
            </c:spPr>
          </c:dPt>
          <c:dLbls>
            <c:txPr>
              <a:bodyPr/>
              <a:lstStyle/>
              <a:p>
                <a:pPr>
                  <a:defRPr sz="1200" b="1"/>
                </a:pPr>
                <a:endParaRPr lang="en-US"/>
              </a:p>
            </c:txPr>
            <c:showLegendKey val="0"/>
            <c:showVal val="1"/>
            <c:showCatName val="0"/>
            <c:showSerName val="0"/>
            <c:showPercent val="0"/>
            <c:showBubbleSize val="0"/>
            <c:showLeaderLines val="0"/>
          </c:dLbls>
          <c:cat>
            <c:strRef>
              <c:f>'3b. Mid Deep Water Fishing Div.'!$M$4:$T$4</c:f>
              <c:strCache>
                <c:ptCount val="8"/>
                <c:pt idx="0">
                  <c:v>2013A</c:v>
                </c:pt>
                <c:pt idx="1">
                  <c:v>2014A</c:v>
                </c:pt>
                <c:pt idx="2">
                  <c:v>2015A</c:v>
                </c:pt>
                <c:pt idx="3">
                  <c:v>2016E</c:v>
                </c:pt>
                <c:pt idx="4">
                  <c:v>2017E</c:v>
                </c:pt>
                <c:pt idx="5">
                  <c:v>2018E</c:v>
                </c:pt>
                <c:pt idx="6">
                  <c:v>2019E</c:v>
                </c:pt>
                <c:pt idx="7">
                  <c:v>2020E</c:v>
                </c:pt>
              </c:strCache>
            </c:strRef>
          </c:cat>
          <c:val>
            <c:numRef>
              <c:f>'3b. Mid Deep Water Fishing Div.'!$M$6:$T$6</c:f>
              <c:numCache>
                <c:formatCode>0%</c:formatCode>
                <c:ptCount val="8"/>
                <c:pt idx="0">
                  <c:v>-0.0426860625385866</c:v>
                </c:pt>
                <c:pt idx="1">
                  <c:v>-0.123999871890431</c:v>
                </c:pt>
                <c:pt idx="2">
                  <c:v>0.0924634598286622</c:v>
                </c:pt>
                <c:pt idx="3">
                  <c:v>0.0540526259380078</c:v>
                </c:pt>
                <c:pt idx="4">
                  <c:v>0.0335952607292007</c:v>
                </c:pt>
                <c:pt idx="5">
                  <c:v>0.0403073920662111</c:v>
                </c:pt>
                <c:pt idx="6">
                  <c:v>0.0466412902360527</c:v>
                </c:pt>
                <c:pt idx="7">
                  <c:v>0.0504360381859017</c:v>
                </c:pt>
              </c:numCache>
            </c:numRef>
          </c:val>
        </c:ser>
        <c:dLbls>
          <c:showLegendKey val="0"/>
          <c:showVal val="1"/>
          <c:showCatName val="0"/>
          <c:showSerName val="0"/>
          <c:showPercent val="0"/>
          <c:showBubbleSize val="0"/>
        </c:dLbls>
        <c:gapWidth val="150"/>
        <c:axId val="-2108171800"/>
        <c:axId val="-2108160776"/>
      </c:barChart>
      <c:catAx>
        <c:axId val="-2108171800"/>
        <c:scaling>
          <c:orientation val="minMax"/>
        </c:scaling>
        <c:delete val="0"/>
        <c:axPos val="b"/>
        <c:majorTickMark val="out"/>
        <c:minorTickMark val="none"/>
        <c:tickLblPos val="nextTo"/>
        <c:crossAx val="-2108160776"/>
        <c:crosses val="autoZero"/>
        <c:auto val="1"/>
        <c:lblAlgn val="ctr"/>
        <c:lblOffset val="100"/>
        <c:noMultiLvlLbl val="0"/>
      </c:catAx>
      <c:valAx>
        <c:axId val="-2108160776"/>
        <c:scaling>
          <c:orientation val="minMax"/>
        </c:scaling>
        <c:delete val="0"/>
        <c:axPos val="l"/>
        <c:majorGridlines/>
        <c:numFmt formatCode="0%" sourceLinked="1"/>
        <c:majorTickMark val="out"/>
        <c:minorTickMark val="none"/>
        <c:tickLblPos val="nextTo"/>
        <c:crossAx val="-2108171800"/>
        <c:crosses val="autoZero"/>
        <c:crossBetween val="between"/>
      </c:valAx>
      <c:spPr>
        <a:ln>
          <a:noFill/>
        </a:ln>
      </c:spPr>
    </c:plotArea>
    <c:plotVisOnly val="1"/>
    <c:dispBlanksAs val="gap"/>
    <c:showDLblsOverMax val="0"/>
  </c:chart>
  <c:spPr>
    <a:ln>
      <a:noFill/>
    </a:ln>
  </c:spPr>
  <c:printSettings>
    <c:headerFooter/>
    <c:pageMargins b="1.0" l="0.75" r="0.75" t="1.0"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600"/>
            </a:pPr>
            <a:r>
              <a:rPr lang="en-US" sz="1600"/>
              <a:t>BCP EBIT Margin (%)</a:t>
            </a:r>
          </a:p>
        </c:rich>
      </c:tx>
      <c:layout/>
      <c:overlay val="0"/>
    </c:title>
    <c:autoTitleDeleted val="0"/>
    <c:plotArea>
      <c:layout/>
      <c:barChart>
        <c:barDir val="col"/>
        <c:grouping val="clustered"/>
        <c:varyColors val="0"/>
        <c:ser>
          <c:idx val="0"/>
          <c:order val="0"/>
          <c:spPr>
            <a:solidFill>
              <a:schemeClr val="tx2">
                <a:lumMod val="50000"/>
              </a:schemeClr>
            </a:solidFill>
          </c:spPr>
          <c:invertIfNegative val="0"/>
          <c:dPt>
            <c:idx val="0"/>
            <c:invertIfNegative val="0"/>
            <c:bubble3D val="0"/>
            <c:spPr>
              <a:solidFill>
                <a:schemeClr val="tx2">
                  <a:lumMod val="20000"/>
                  <a:lumOff val="80000"/>
                </a:schemeClr>
              </a:solidFill>
            </c:spPr>
          </c:dPt>
          <c:dPt>
            <c:idx val="1"/>
            <c:invertIfNegative val="0"/>
            <c:bubble3D val="0"/>
            <c:spPr>
              <a:solidFill>
                <a:srgbClr val="C6D9F1"/>
              </a:solidFill>
            </c:spPr>
          </c:dPt>
          <c:dPt>
            <c:idx val="2"/>
            <c:invertIfNegative val="0"/>
            <c:bubble3D val="0"/>
            <c:spPr>
              <a:solidFill>
                <a:srgbClr val="C6D9F1"/>
              </a:solidFill>
            </c:spPr>
          </c:dPt>
          <c:dLbls>
            <c:txPr>
              <a:bodyPr/>
              <a:lstStyle/>
              <a:p>
                <a:pPr>
                  <a:defRPr sz="1200" b="1"/>
                </a:pPr>
                <a:endParaRPr lang="en-US"/>
              </a:p>
            </c:txPr>
            <c:showLegendKey val="0"/>
            <c:showVal val="1"/>
            <c:showCatName val="0"/>
            <c:showSerName val="0"/>
            <c:showPercent val="0"/>
            <c:showBubbleSize val="0"/>
            <c:showLeaderLines val="0"/>
          </c:dLbls>
          <c:cat>
            <c:strRef>
              <c:f>'3b. Mid Deep Water Fishing Div.'!$M$4:$T$4</c:f>
              <c:strCache>
                <c:ptCount val="8"/>
                <c:pt idx="0">
                  <c:v>2013A</c:v>
                </c:pt>
                <c:pt idx="1">
                  <c:v>2014A</c:v>
                </c:pt>
                <c:pt idx="2">
                  <c:v>2015A</c:v>
                </c:pt>
                <c:pt idx="3">
                  <c:v>2016E</c:v>
                </c:pt>
                <c:pt idx="4">
                  <c:v>2017E</c:v>
                </c:pt>
                <c:pt idx="5">
                  <c:v>2018E</c:v>
                </c:pt>
                <c:pt idx="6">
                  <c:v>2019E</c:v>
                </c:pt>
                <c:pt idx="7">
                  <c:v>2020E</c:v>
                </c:pt>
              </c:strCache>
            </c:strRef>
          </c:cat>
          <c:val>
            <c:numRef>
              <c:f>'3b. Mid Deep Water Fishing Div.'!$M$11:$T$11</c:f>
              <c:numCache>
                <c:formatCode>0%</c:formatCode>
                <c:ptCount val="8"/>
                <c:pt idx="0">
                  <c:v>0.307538665797074</c:v>
                </c:pt>
                <c:pt idx="1">
                  <c:v>0.288541467589554</c:v>
                </c:pt>
                <c:pt idx="2">
                  <c:v>0.160502362812009</c:v>
                </c:pt>
                <c:pt idx="3">
                  <c:v>0.174230960238814</c:v>
                </c:pt>
                <c:pt idx="4">
                  <c:v>0.174404755550769</c:v>
                </c:pt>
                <c:pt idx="5">
                  <c:v>0.174590374344445</c:v>
                </c:pt>
                <c:pt idx="6">
                  <c:v>0.174783569814457</c:v>
                </c:pt>
                <c:pt idx="7">
                  <c:v>0.174975704893003</c:v>
                </c:pt>
              </c:numCache>
            </c:numRef>
          </c:val>
        </c:ser>
        <c:dLbls>
          <c:showLegendKey val="0"/>
          <c:showVal val="0"/>
          <c:showCatName val="0"/>
          <c:showSerName val="0"/>
          <c:showPercent val="0"/>
          <c:showBubbleSize val="0"/>
        </c:dLbls>
        <c:gapWidth val="150"/>
        <c:axId val="-2109042168"/>
        <c:axId val="-2109011368"/>
      </c:barChart>
      <c:catAx>
        <c:axId val="-2109042168"/>
        <c:scaling>
          <c:orientation val="minMax"/>
        </c:scaling>
        <c:delete val="0"/>
        <c:axPos val="b"/>
        <c:majorTickMark val="out"/>
        <c:minorTickMark val="none"/>
        <c:tickLblPos val="nextTo"/>
        <c:crossAx val="-2109011368"/>
        <c:crosses val="autoZero"/>
        <c:auto val="1"/>
        <c:lblAlgn val="ctr"/>
        <c:lblOffset val="100"/>
        <c:noMultiLvlLbl val="0"/>
      </c:catAx>
      <c:valAx>
        <c:axId val="-2109011368"/>
        <c:scaling>
          <c:orientation val="minMax"/>
        </c:scaling>
        <c:delete val="0"/>
        <c:axPos val="l"/>
        <c:majorGridlines/>
        <c:numFmt formatCode="0%" sourceLinked="1"/>
        <c:majorTickMark val="out"/>
        <c:minorTickMark val="none"/>
        <c:tickLblPos val="nextTo"/>
        <c:crossAx val="-2109042168"/>
        <c:crosses val="autoZero"/>
        <c:crossBetween val="between"/>
      </c:valAx>
    </c:plotArea>
    <c:plotVisOnly val="1"/>
    <c:dispBlanksAs val="gap"/>
    <c:showDLblsOverMax val="0"/>
  </c:chart>
  <c:spPr>
    <a:ln>
      <a:noFill/>
    </a:ln>
  </c:spPr>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11" Type="http://schemas.openxmlformats.org/officeDocument/2006/relationships/chart" Target="../charts/chart26.xml"/><Relationship Id="rId12" Type="http://schemas.openxmlformats.org/officeDocument/2006/relationships/image" Target="../media/image13.emf"/><Relationship Id="rId13" Type="http://schemas.openxmlformats.org/officeDocument/2006/relationships/image" Target="../media/image14.emf"/><Relationship Id="rId14" Type="http://schemas.openxmlformats.org/officeDocument/2006/relationships/image" Target="../media/image15.emf"/><Relationship Id="rId15" Type="http://schemas.openxmlformats.org/officeDocument/2006/relationships/image" Target="../media/image16.emf"/><Relationship Id="rId1" Type="http://schemas.openxmlformats.org/officeDocument/2006/relationships/chart" Target="../charts/chart19.xml"/><Relationship Id="rId2" Type="http://schemas.openxmlformats.org/officeDocument/2006/relationships/chart" Target="../charts/chart20.xml"/><Relationship Id="rId3" Type="http://schemas.openxmlformats.org/officeDocument/2006/relationships/chart" Target="../charts/chart21.xml"/><Relationship Id="rId4" Type="http://schemas.openxmlformats.org/officeDocument/2006/relationships/chart" Target="../charts/chart22.xml"/><Relationship Id="rId5" Type="http://schemas.openxmlformats.org/officeDocument/2006/relationships/chart" Target="../charts/chart23.xml"/><Relationship Id="rId6" Type="http://schemas.openxmlformats.org/officeDocument/2006/relationships/chart" Target="../charts/chart24.xml"/><Relationship Id="rId7" Type="http://schemas.openxmlformats.org/officeDocument/2006/relationships/chart" Target="../charts/chart25.xml"/><Relationship Id="rId8" Type="http://schemas.openxmlformats.org/officeDocument/2006/relationships/image" Target="../media/image10.emf"/><Relationship Id="rId9" Type="http://schemas.openxmlformats.org/officeDocument/2006/relationships/image" Target="../media/image11.emf"/><Relationship Id="rId10" Type="http://schemas.openxmlformats.org/officeDocument/2006/relationships/image" Target="../media/image12.emf"/></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0.xml"/><Relationship Id="rId4" Type="http://schemas.openxmlformats.org/officeDocument/2006/relationships/chart" Target="../charts/chart31.xml"/><Relationship Id="rId5" Type="http://schemas.openxmlformats.org/officeDocument/2006/relationships/image" Target="../media/image17.emf"/><Relationship Id="rId6" Type="http://schemas.openxmlformats.org/officeDocument/2006/relationships/image" Target="../media/image18.emf"/><Relationship Id="rId7" Type="http://schemas.openxmlformats.org/officeDocument/2006/relationships/image" Target="../media/image19.emf"/><Relationship Id="rId8" Type="http://schemas.openxmlformats.org/officeDocument/2006/relationships/image" Target="../media/image20.png"/><Relationship Id="rId9" Type="http://schemas.openxmlformats.org/officeDocument/2006/relationships/image" Target="../media/image21.png"/><Relationship Id="rId1" Type="http://schemas.openxmlformats.org/officeDocument/2006/relationships/chart" Target="../charts/chart28.xml"/><Relationship Id="rId2" Type="http://schemas.openxmlformats.org/officeDocument/2006/relationships/chart" Target="../charts/chart2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15.xml.rels><?xml version="1.0" encoding="UTF-8" standalone="yes"?>
<Relationships xmlns="http://schemas.openxmlformats.org/package/2006/relationships"><Relationship Id="rId11" Type="http://schemas.openxmlformats.org/officeDocument/2006/relationships/chart" Target="../charts/chart34.xml"/><Relationship Id="rId12" Type="http://schemas.openxmlformats.org/officeDocument/2006/relationships/chart" Target="../charts/chart35.xml"/><Relationship Id="rId13" Type="http://schemas.openxmlformats.org/officeDocument/2006/relationships/image" Target="../media/image31.emf"/><Relationship Id="rId1" Type="http://schemas.openxmlformats.org/officeDocument/2006/relationships/image" Target="../media/image22.emf"/><Relationship Id="rId2" Type="http://schemas.openxmlformats.org/officeDocument/2006/relationships/image" Target="../media/image23.emf"/><Relationship Id="rId3" Type="http://schemas.openxmlformats.org/officeDocument/2006/relationships/image" Target="../media/image24.emf"/><Relationship Id="rId4" Type="http://schemas.openxmlformats.org/officeDocument/2006/relationships/image" Target="../media/image25.emf"/><Relationship Id="rId5" Type="http://schemas.openxmlformats.org/officeDocument/2006/relationships/image" Target="../media/image26.emf"/><Relationship Id="rId6" Type="http://schemas.openxmlformats.org/officeDocument/2006/relationships/image" Target="../media/image27.emf"/><Relationship Id="rId7" Type="http://schemas.openxmlformats.org/officeDocument/2006/relationships/image" Target="../media/image28.emf"/><Relationship Id="rId8" Type="http://schemas.openxmlformats.org/officeDocument/2006/relationships/image" Target="../media/image29.emf"/><Relationship Id="rId9" Type="http://schemas.openxmlformats.org/officeDocument/2006/relationships/image" Target="../media/image30.emf"/><Relationship Id="rId10"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6.xml"/><Relationship Id="rId2" Type="http://schemas.openxmlformats.org/officeDocument/2006/relationships/chart" Target="../charts/chart3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8.xml"/><Relationship Id="rId2" Type="http://schemas.openxmlformats.org/officeDocument/2006/relationships/chart" Target="../charts/chart39.xml"/></Relationships>
</file>

<file path=xl/drawings/_rels/drawing18.xml.rels><?xml version="1.0" encoding="UTF-8" standalone="yes"?>
<Relationships xmlns="http://schemas.openxmlformats.org/package/2006/relationships"><Relationship Id="rId1" Type="http://schemas.openxmlformats.org/officeDocument/2006/relationships/image" Target="../media/image32.emf"/><Relationship Id="rId2" Type="http://schemas.openxmlformats.org/officeDocument/2006/relationships/image" Target="../media/image33.emf"/></Relationships>
</file>

<file path=xl/drawings/_rels/drawing19.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 Id="rId2" Type="http://schemas.openxmlformats.org/officeDocument/2006/relationships/chart" Target="../charts/chart4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4" Type="http://schemas.openxmlformats.org/officeDocument/2006/relationships/image" Target="../media/image3.emf"/><Relationship Id="rId5" Type="http://schemas.openxmlformats.org/officeDocument/2006/relationships/chart" Target="../charts/chart6.xml"/><Relationship Id="rId6" Type="http://schemas.openxmlformats.org/officeDocument/2006/relationships/chart" Target="../charts/chart7.xml"/><Relationship Id="rId1" Type="http://schemas.openxmlformats.org/officeDocument/2006/relationships/chart" Target="../charts/chart4.xml"/><Relationship Id="rId2" Type="http://schemas.openxmlformats.org/officeDocument/2006/relationships/image" Target="../media/image2.emf"/></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4" Type="http://schemas.openxmlformats.org/officeDocument/2006/relationships/image" Target="../media/image5.emf"/><Relationship Id="rId5" Type="http://schemas.openxmlformats.org/officeDocument/2006/relationships/image" Target="../media/image6.emf"/><Relationship Id="rId1" Type="http://schemas.openxmlformats.org/officeDocument/2006/relationships/chart" Target="../charts/chart8.xml"/><Relationship Id="rId2"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chart" Target="../charts/chart11.xml"/><Relationship Id="rId3"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8.emf"/><Relationship Id="rId2" Type="http://schemas.openxmlformats.org/officeDocument/2006/relationships/chart" Target="../charts/chart12.xml"/><Relationship Id="rId3"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3" Type="http://schemas.openxmlformats.org/officeDocument/2006/relationships/chart" Target="../charts/chart16.xml"/><Relationship Id="rId4" Type="http://schemas.openxmlformats.org/officeDocument/2006/relationships/chart" Target="../charts/chart17.xml"/><Relationship Id="rId1" Type="http://schemas.openxmlformats.org/officeDocument/2006/relationships/chart" Target="../charts/chart14.xml"/><Relationship Id="rId2"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9</xdr:col>
      <xdr:colOff>558800</xdr:colOff>
      <xdr:row>25</xdr:row>
      <xdr:rowOff>127000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651000" y="952500"/>
          <a:ext cx="8318500" cy="3937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135467</xdr:colOff>
      <xdr:row>8</xdr:row>
      <xdr:rowOff>67733</xdr:rowOff>
    </xdr:from>
    <xdr:to>
      <xdr:col>17</xdr:col>
      <xdr:colOff>643467</xdr:colOff>
      <xdr:row>27</xdr:row>
      <xdr:rowOff>16933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101600</xdr:colOff>
      <xdr:row>2</xdr:row>
      <xdr:rowOff>38099</xdr:rowOff>
    </xdr:from>
    <xdr:to>
      <xdr:col>42</xdr:col>
      <xdr:colOff>321734</xdr:colOff>
      <xdr:row>17</xdr:row>
      <xdr:rowOff>135467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43</xdr:col>
      <xdr:colOff>67733</xdr:colOff>
      <xdr:row>2</xdr:row>
      <xdr:rowOff>80432</xdr:rowOff>
    </xdr:from>
    <xdr:to>
      <xdr:col>49</xdr:col>
      <xdr:colOff>421601</xdr:colOff>
      <xdr:row>17</xdr:row>
      <xdr:rowOff>189766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50</xdr:col>
      <xdr:colOff>29633</xdr:colOff>
      <xdr:row>2</xdr:row>
      <xdr:rowOff>16934</xdr:rowOff>
    </xdr:from>
    <xdr:to>
      <xdr:col>56</xdr:col>
      <xdr:colOff>451233</xdr:colOff>
      <xdr:row>17</xdr:row>
      <xdr:rowOff>126266</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35</xdr:col>
      <xdr:colOff>84666</xdr:colOff>
      <xdr:row>108</xdr:row>
      <xdr:rowOff>67733</xdr:rowOff>
    </xdr:from>
    <xdr:to>
      <xdr:col>42</xdr:col>
      <xdr:colOff>203200</xdr:colOff>
      <xdr:row>126</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16933</xdr:colOff>
      <xdr:row>108</xdr:row>
      <xdr:rowOff>33864</xdr:rowOff>
    </xdr:from>
    <xdr:to>
      <xdr:col>58</xdr:col>
      <xdr:colOff>241334</xdr:colOff>
      <xdr:row>125</xdr:row>
      <xdr:rowOff>179328</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36</xdr:col>
      <xdr:colOff>25400</xdr:colOff>
      <xdr:row>53</xdr:row>
      <xdr:rowOff>84668</xdr:rowOff>
    </xdr:from>
    <xdr:to>
      <xdr:col>42</xdr:col>
      <xdr:colOff>253999</xdr:colOff>
      <xdr:row>68</xdr:row>
      <xdr:rowOff>25400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44</xdr:col>
      <xdr:colOff>25399</xdr:colOff>
      <xdr:row>53</xdr:row>
      <xdr:rowOff>67731</xdr:rowOff>
    </xdr:from>
    <xdr:to>
      <xdr:col>49</xdr:col>
      <xdr:colOff>1729599</xdr:colOff>
      <xdr:row>68</xdr:row>
      <xdr:rowOff>9731</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57</xdr:col>
      <xdr:colOff>114300</xdr:colOff>
      <xdr:row>11</xdr:row>
      <xdr:rowOff>253999</xdr:rowOff>
    </xdr:from>
    <xdr:to>
      <xdr:col>74</xdr:col>
      <xdr:colOff>601132</xdr:colOff>
      <xdr:row>19</xdr:row>
      <xdr:rowOff>0</xdr:rowOff>
    </xdr:to>
    <xdr:pic>
      <xdr:nvPicPr>
        <xdr:cNvPr id="13" name="Picture 12"/>
        <xdr:cNvPicPr>
          <a:picLocks noChangeAspect="1"/>
        </xdr:cNvPicPr>
      </xdr:nvPicPr>
      <xdr:blipFill>
        <a:blip xmlns:r="http://schemas.openxmlformats.org/officeDocument/2006/relationships" r:embed="rId8"/>
        <a:stretch>
          <a:fillRect/>
        </a:stretch>
      </xdr:blipFill>
      <xdr:spPr>
        <a:xfrm>
          <a:off x="27901900" y="2412999"/>
          <a:ext cx="9952566" cy="1346201"/>
        </a:xfrm>
        <a:prstGeom prst="rect">
          <a:avLst/>
        </a:prstGeom>
      </xdr:spPr>
    </xdr:pic>
    <xdr:clientData/>
  </xdr:twoCellAnchor>
  <xdr:twoCellAnchor editAs="oneCell">
    <xdr:from>
      <xdr:col>57</xdr:col>
      <xdr:colOff>0</xdr:colOff>
      <xdr:row>1</xdr:row>
      <xdr:rowOff>0</xdr:rowOff>
    </xdr:from>
    <xdr:to>
      <xdr:col>70</xdr:col>
      <xdr:colOff>702733</xdr:colOff>
      <xdr:row>7</xdr:row>
      <xdr:rowOff>114300</xdr:rowOff>
    </xdr:to>
    <xdr:pic>
      <xdr:nvPicPr>
        <xdr:cNvPr id="18" name="Picture 17"/>
        <xdr:cNvPicPr>
          <a:picLocks noChangeAspect="1"/>
        </xdr:cNvPicPr>
      </xdr:nvPicPr>
      <xdr:blipFill>
        <a:blip xmlns:r="http://schemas.openxmlformats.org/officeDocument/2006/relationships" r:embed="rId9"/>
        <a:stretch>
          <a:fillRect/>
        </a:stretch>
      </xdr:blipFill>
      <xdr:spPr>
        <a:xfrm>
          <a:off x="27673300" y="254000"/>
          <a:ext cx="8051800" cy="1295400"/>
        </a:xfrm>
        <a:prstGeom prst="rect">
          <a:avLst/>
        </a:prstGeom>
      </xdr:spPr>
    </xdr:pic>
    <xdr:clientData/>
  </xdr:twoCellAnchor>
  <xdr:twoCellAnchor editAs="oneCell">
    <xdr:from>
      <xdr:col>51</xdr:col>
      <xdr:colOff>4233</xdr:colOff>
      <xdr:row>56</xdr:row>
      <xdr:rowOff>143934</xdr:rowOff>
    </xdr:from>
    <xdr:to>
      <xdr:col>63</xdr:col>
      <xdr:colOff>668866</xdr:colOff>
      <xdr:row>66</xdr:row>
      <xdr:rowOff>114300</xdr:rowOff>
    </xdr:to>
    <xdr:pic>
      <xdr:nvPicPr>
        <xdr:cNvPr id="20" name="Picture 19"/>
        <xdr:cNvPicPr>
          <a:picLocks noChangeAspect="1"/>
        </xdr:cNvPicPr>
      </xdr:nvPicPr>
      <xdr:blipFill>
        <a:blip xmlns:r="http://schemas.openxmlformats.org/officeDocument/2006/relationships" r:embed="rId10"/>
        <a:stretch>
          <a:fillRect/>
        </a:stretch>
      </xdr:blipFill>
      <xdr:spPr>
        <a:xfrm>
          <a:off x="27470100" y="11082867"/>
          <a:ext cx="7996767" cy="1866900"/>
        </a:xfrm>
        <a:prstGeom prst="rect">
          <a:avLst/>
        </a:prstGeom>
      </xdr:spPr>
    </xdr:pic>
    <xdr:clientData/>
  </xdr:twoCellAnchor>
  <xdr:twoCellAnchor>
    <xdr:from>
      <xdr:col>44</xdr:col>
      <xdr:colOff>33867</xdr:colOff>
      <xdr:row>108</xdr:row>
      <xdr:rowOff>-1</xdr:rowOff>
    </xdr:from>
    <xdr:to>
      <xdr:col>50</xdr:col>
      <xdr:colOff>541868</xdr:colOff>
      <xdr:row>125</xdr:row>
      <xdr:rowOff>135466</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61</xdr:col>
      <xdr:colOff>67732</xdr:colOff>
      <xdr:row>108</xdr:row>
      <xdr:rowOff>33866</xdr:rowOff>
    </xdr:from>
    <xdr:to>
      <xdr:col>75</xdr:col>
      <xdr:colOff>372533</xdr:colOff>
      <xdr:row>116</xdr:row>
      <xdr:rowOff>177800</xdr:rowOff>
    </xdr:to>
    <xdr:pic>
      <xdr:nvPicPr>
        <xdr:cNvPr id="11" name="Picture 10"/>
        <xdr:cNvPicPr>
          <a:picLocks noChangeAspect="1"/>
        </xdr:cNvPicPr>
      </xdr:nvPicPr>
      <xdr:blipFill>
        <a:blip xmlns:r="http://schemas.openxmlformats.org/officeDocument/2006/relationships" r:embed="rId12"/>
        <a:stretch>
          <a:fillRect/>
        </a:stretch>
      </xdr:blipFill>
      <xdr:spPr>
        <a:xfrm>
          <a:off x="36186532" y="20946533"/>
          <a:ext cx="7984067" cy="1667934"/>
        </a:xfrm>
        <a:prstGeom prst="rect">
          <a:avLst/>
        </a:prstGeom>
      </xdr:spPr>
    </xdr:pic>
    <xdr:clientData/>
  </xdr:twoCellAnchor>
  <xdr:twoCellAnchor editAs="oneCell">
    <xdr:from>
      <xdr:col>71</xdr:col>
      <xdr:colOff>118533</xdr:colOff>
      <xdr:row>135</xdr:row>
      <xdr:rowOff>152400</xdr:rowOff>
    </xdr:from>
    <xdr:to>
      <xdr:col>87</xdr:col>
      <xdr:colOff>414866</xdr:colOff>
      <xdr:row>146</xdr:row>
      <xdr:rowOff>130065</xdr:rowOff>
    </xdr:to>
    <xdr:pic>
      <xdr:nvPicPr>
        <xdr:cNvPr id="27" name="Picture 26"/>
        <xdr:cNvPicPr>
          <a:picLocks/>
        </xdr:cNvPicPr>
      </xdr:nvPicPr>
      <xdr:blipFill>
        <a:blip xmlns:r="http://schemas.openxmlformats.org/officeDocument/2006/relationships" r:embed="rId13"/>
        <a:stretch>
          <a:fillRect/>
        </a:stretch>
      </xdr:blipFill>
      <xdr:spPr>
        <a:xfrm>
          <a:off x="48886533" y="26771600"/>
          <a:ext cx="11167533" cy="2136665"/>
        </a:xfrm>
        <a:prstGeom prst="rect">
          <a:avLst/>
        </a:prstGeom>
      </xdr:spPr>
    </xdr:pic>
    <xdr:clientData/>
  </xdr:twoCellAnchor>
  <xdr:twoCellAnchor editAs="oneCell">
    <xdr:from>
      <xdr:col>36</xdr:col>
      <xdr:colOff>118534</xdr:colOff>
      <xdr:row>168</xdr:row>
      <xdr:rowOff>0</xdr:rowOff>
    </xdr:from>
    <xdr:to>
      <xdr:col>49</xdr:col>
      <xdr:colOff>1143000</xdr:colOff>
      <xdr:row>175</xdr:row>
      <xdr:rowOff>118534</xdr:rowOff>
    </xdr:to>
    <xdr:pic>
      <xdr:nvPicPr>
        <xdr:cNvPr id="3" name="Picture 2"/>
        <xdr:cNvPicPr>
          <a:picLocks noChangeAspect="1"/>
        </xdr:cNvPicPr>
      </xdr:nvPicPr>
      <xdr:blipFill>
        <a:blip xmlns:r="http://schemas.openxmlformats.org/officeDocument/2006/relationships" r:embed="rId14"/>
        <a:stretch>
          <a:fillRect/>
        </a:stretch>
      </xdr:blipFill>
      <xdr:spPr>
        <a:xfrm>
          <a:off x="16899467" y="32224133"/>
          <a:ext cx="7933266" cy="1473200"/>
        </a:xfrm>
        <a:prstGeom prst="rect">
          <a:avLst/>
        </a:prstGeom>
      </xdr:spPr>
    </xdr:pic>
    <xdr:clientData/>
  </xdr:twoCellAnchor>
  <xdr:twoCellAnchor editAs="oneCell">
    <xdr:from>
      <xdr:col>36</xdr:col>
      <xdr:colOff>118534</xdr:colOff>
      <xdr:row>182</xdr:row>
      <xdr:rowOff>33866</xdr:rowOff>
    </xdr:from>
    <xdr:to>
      <xdr:col>55</xdr:col>
      <xdr:colOff>474133</xdr:colOff>
      <xdr:row>190</xdr:row>
      <xdr:rowOff>33867</xdr:rowOff>
    </xdr:to>
    <xdr:pic>
      <xdr:nvPicPr>
        <xdr:cNvPr id="8" name="Picture 7"/>
        <xdr:cNvPicPr>
          <a:picLocks noChangeAspect="1"/>
        </xdr:cNvPicPr>
      </xdr:nvPicPr>
      <xdr:blipFill>
        <a:blip xmlns:r="http://schemas.openxmlformats.org/officeDocument/2006/relationships" r:embed="rId15"/>
        <a:stretch>
          <a:fillRect/>
        </a:stretch>
      </xdr:blipFill>
      <xdr:spPr>
        <a:xfrm>
          <a:off x="16899467" y="33714266"/>
          <a:ext cx="12158133" cy="149013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25400</xdr:colOff>
      <xdr:row>144</xdr:row>
      <xdr:rowOff>31750</xdr:rowOff>
    </xdr:from>
    <xdr:to>
      <xdr:col>23</xdr:col>
      <xdr:colOff>419100</xdr:colOff>
      <xdr:row>158</xdr:row>
      <xdr:rowOff>101600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146050</xdr:colOff>
      <xdr:row>370</xdr:row>
      <xdr:rowOff>19050</xdr:rowOff>
    </xdr:from>
    <xdr:to>
      <xdr:col>16</xdr:col>
      <xdr:colOff>254000</xdr:colOff>
      <xdr:row>387</xdr:row>
      <xdr:rowOff>31750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95250</xdr:colOff>
      <xdr:row>393</xdr:row>
      <xdr:rowOff>38100</xdr:rowOff>
    </xdr:from>
    <xdr:to>
      <xdr:col>15</xdr:col>
      <xdr:colOff>1085850</xdr:colOff>
      <xdr:row>410</xdr:row>
      <xdr:rowOff>101600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114300</xdr:colOff>
      <xdr:row>19</xdr:row>
      <xdr:rowOff>50800</xdr:rowOff>
    </xdr:from>
    <xdr:to>
      <xdr:col>5</xdr:col>
      <xdr:colOff>256200</xdr:colOff>
      <xdr:row>35</xdr:row>
      <xdr:rowOff>266200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88900</xdr:colOff>
      <xdr:row>18</xdr:row>
      <xdr:rowOff>127000</xdr:rowOff>
    </xdr:from>
    <xdr:to>
      <xdr:col>7</xdr:col>
      <xdr:colOff>1574800</xdr:colOff>
      <xdr:row>35</xdr:row>
      <xdr:rowOff>88900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177800</xdr:colOff>
      <xdr:row>428</xdr:row>
      <xdr:rowOff>101600</xdr:rowOff>
    </xdr:from>
    <xdr:to>
      <xdr:col>3</xdr:col>
      <xdr:colOff>1384300</xdr:colOff>
      <xdr:row>431</xdr:row>
      <xdr:rowOff>76200</xdr:rowOff>
    </xdr:to>
    <xdr:pic>
      <xdr:nvPicPr>
        <xdr:cNvPr id="2" name="Picture 1"/>
        <xdr:cNvPicPr>
          <a:picLocks noChangeAspect="1"/>
        </xdr:cNvPicPr>
      </xdr:nvPicPr>
      <xdr:blipFill>
        <a:blip xmlns:r="http://schemas.openxmlformats.org/officeDocument/2006/relationships" r:embed="rId5"/>
        <a:stretch>
          <a:fillRect/>
        </a:stretch>
      </xdr:blipFill>
      <xdr:spPr>
        <a:xfrm>
          <a:off x="177800" y="75450700"/>
          <a:ext cx="1206500" cy="546100"/>
        </a:xfrm>
        <a:prstGeom prst="rect">
          <a:avLst/>
        </a:prstGeom>
      </xdr:spPr>
    </xdr:pic>
    <xdr:clientData/>
  </xdr:twoCellAnchor>
  <xdr:twoCellAnchor editAs="oneCell">
    <xdr:from>
      <xdr:col>3</xdr:col>
      <xdr:colOff>1587500</xdr:colOff>
      <xdr:row>428</xdr:row>
      <xdr:rowOff>50800</xdr:rowOff>
    </xdr:from>
    <xdr:to>
      <xdr:col>4</xdr:col>
      <xdr:colOff>1054100</xdr:colOff>
      <xdr:row>431</xdr:row>
      <xdr:rowOff>114300</xdr:rowOff>
    </xdr:to>
    <xdr:pic>
      <xdr:nvPicPr>
        <xdr:cNvPr id="7" name="Picture 6"/>
        <xdr:cNvPicPr>
          <a:picLocks noChangeAspect="1"/>
        </xdr:cNvPicPr>
      </xdr:nvPicPr>
      <xdr:blipFill>
        <a:blip xmlns:r="http://schemas.openxmlformats.org/officeDocument/2006/relationships" r:embed="rId6"/>
        <a:stretch>
          <a:fillRect/>
        </a:stretch>
      </xdr:blipFill>
      <xdr:spPr>
        <a:xfrm>
          <a:off x="1587500" y="75399900"/>
          <a:ext cx="1054100" cy="635000"/>
        </a:xfrm>
        <a:prstGeom prst="rect">
          <a:avLst/>
        </a:prstGeom>
      </xdr:spPr>
    </xdr:pic>
    <xdr:clientData/>
  </xdr:twoCellAnchor>
  <xdr:twoCellAnchor editAs="oneCell">
    <xdr:from>
      <xdr:col>0</xdr:col>
      <xdr:colOff>0</xdr:colOff>
      <xdr:row>432</xdr:row>
      <xdr:rowOff>38100</xdr:rowOff>
    </xdr:from>
    <xdr:to>
      <xdr:col>4</xdr:col>
      <xdr:colOff>25400</xdr:colOff>
      <xdr:row>440</xdr:row>
      <xdr:rowOff>76200</xdr:rowOff>
    </xdr:to>
    <xdr:pic>
      <xdr:nvPicPr>
        <xdr:cNvPr id="8" name="Picture 7"/>
        <xdr:cNvPicPr>
          <a:picLocks noChangeAspect="1"/>
        </xdr:cNvPicPr>
      </xdr:nvPicPr>
      <xdr:blipFill>
        <a:blip xmlns:r="http://schemas.openxmlformats.org/officeDocument/2006/relationships" r:embed="rId7"/>
        <a:stretch>
          <a:fillRect/>
        </a:stretch>
      </xdr:blipFill>
      <xdr:spPr>
        <a:xfrm>
          <a:off x="0" y="76149200"/>
          <a:ext cx="1473200" cy="1562100"/>
        </a:xfrm>
        <a:prstGeom prst="rect">
          <a:avLst/>
        </a:prstGeom>
      </xdr:spPr>
    </xdr:pic>
    <xdr:clientData/>
  </xdr:twoCellAnchor>
  <xdr:twoCellAnchor editAs="oneCell">
    <xdr:from>
      <xdr:col>3</xdr:col>
      <xdr:colOff>1422400</xdr:colOff>
      <xdr:row>432</xdr:row>
      <xdr:rowOff>101600</xdr:rowOff>
    </xdr:from>
    <xdr:to>
      <xdr:col>4</xdr:col>
      <xdr:colOff>965200</xdr:colOff>
      <xdr:row>435</xdr:row>
      <xdr:rowOff>50800</xdr:rowOff>
    </xdr:to>
    <xdr:pic>
      <xdr:nvPicPr>
        <xdr:cNvPr id="9" name="Picture 8"/>
        <xdr:cNvPicPr>
          <a:picLocks noChangeAspect="1"/>
        </xdr:cNvPicPr>
      </xdr:nvPicPr>
      <xdr:blipFill>
        <a:blip xmlns:r="http://schemas.openxmlformats.org/officeDocument/2006/relationships" r:embed="rId8"/>
        <a:stretch>
          <a:fillRect/>
        </a:stretch>
      </xdr:blipFill>
      <xdr:spPr>
        <a:xfrm>
          <a:off x="1422400" y="76949300"/>
          <a:ext cx="990600" cy="520700"/>
        </a:xfrm>
        <a:prstGeom prst="rect">
          <a:avLst/>
        </a:prstGeom>
      </xdr:spPr>
    </xdr:pic>
    <xdr:clientData/>
  </xdr:twoCellAnchor>
  <xdr:twoCellAnchor editAs="oneCell">
    <xdr:from>
      <xdr:col>3</xdr:col>
      <xdr:colOff>1358900</xdr:colOff>
      <xdr:row>436</xdr:row>
      <xdr:rowOff>101600</xdr:rowOff>
    </xdr:from>
    <xdr:to>
      <xdr:col>4</xdr:col>
      <xdr:colOff>990600</xdr:colOff>
      <xdr:row>439</xdr:row>
      <xdr:rowOff>63500</xdr:rowOff>
    </xdr:to>
    <xdr:pic>
      <xdr:nvPicPr>
        <xdr:cNvPr id="12" name="Picture 11"/>
        <xdr:cNvPicPr>
          <a:picLocks noChangeAspect="1"/>
        </xdr:cNvPicPr>
      </xdr:nvPicPr>
      <xdr:blipFill>
        <a:blip xmlns:r="http://schemas.openxmlformats.org/officeDocument/2006/relationships" r:embed="rId9"/>
        <a:stretch>
          <a:fillRect/>
        </a:stretch>
      </xdr:blipFill>
      <xdr:spPr>
        <a:xfrm>
          <a:off x="1358900" y="77711300"/>
          <a:ext cx="1079500" cy="533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133350</xdr:colOff>
      <xdr:row>13</xdr:row>
      <xdr:rowOff>31750</xdr:rowOff>
    </xdr:from>
    <xdr:to>
      <xdr:col>9</xdr:col>
      <xdr:colOff>660400</xdr:colOff>
      <xdr:row>31</xdr:row>
      <xdr:rowOff>101600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876300</xdr:colOff>
      <xdr:row>11</xdr:row>
      <xdr:rowOff>76200</xdr:rowOff>
    </xdr:from>
    <xdr:to>
      <xdr:col>7</xdr:col>
      <xdr:colOff>12874</xdr:colOff>
      <xdr:row>25</xdr:row>
      <xdr:rowOff>63500</xdr:rowOff>
    </xdr:to>
    <xdr:pic>
      <xdr:nvPicPr>
        <xdr:cNvPr id="3" name="Picture 2"/>
        <xdr:cNvPicPr>
          <a:picLocks noChangeAspect="1"/>
        </xdr:cNvPicPr>
      </xdr:nvPicPr>
      <xdr:blipFill>
        <a:blip xmlns:r="http://schemas.openxmlformats.org/officeDocument/2006/relationships" r:embed="rId1"/>
        <a:stretch>
          <a:fillRect/>
        </a:stretch>
      </xdr:blipFill>
      <xdr:spPr>
        <a:xfrm>
          <a:off x="876300" y="2171700"/>
          <a:ext cx="4508674" cy="2654300"/>
        </a:xfrm>
        <a:prstGeom prst="rect">
          <a:avLst/>
        </a:prstGeom>
      </xdr:spPr>
    </xdr:pic>
    <xdr:clientData/>
  </xdr:twoCellAnchor>
  <xdr:twoCellAnchor editAs="oneCell">
    <xdr:from>
      <xdr:col>0</xdr:col>
      <xdr:colOff>0</xdr:colOff>
      <xdr:row>29</xdr:row>
      <xdr:rowOff>0</xdr:rowOff>
    </xdr:from>
    <xdr:to>
      <xdr:col>6</xdr:col>
      <xdr:colOff>1155700</xdr:colOff>
      <xdr:row>49</xdr:row>
      <xdr:rowOff>139700</xdr:rowOff>
    </xdr:to>
    <xdr:pic>
      <xdr:nvPicPr>
        <xdr:cNvPr id="4" name="Picture 3"/>
        <xdr:cNvPicPr>
          <a:picLocks noChangeAspect="1"/>
        </xdr:cNvPicPr>
      </xdr:nvPicPr>
      <xdr:blipFill>
        <a:blip xmlns:r="http://schemas.openxmlformats.org/officeDocument/2006/relationships" r:embed="rId2"/>
        <a:stretch>
          <a:fillRect/>
        </a:stretch>
      </xdr:blipFill>
      <xdr:spPr>
        <a:xfrm>
          <a:off x="0" y="5524500"/>
          <a:ext cx="4902200" cy="4013200"/>
        </a:xfrm>
        <a:prstGeom prst="rect">
          <a:avLst/>
        </a:prstGeom>
      </xdr:spPr>
    </xdr:pic>
    <xdr:clientData/>
  </xdr:twoCellAnchor>
  <xdr:twoCellAnchor editAs="oneCell">
    <xdr:from>
      <xdr:col>0</xdr:col>
      <xdr:colOff>0</xdr:colOff>
      <xdr:row>52</xdr:row>
      <xdr:rowOff>0</xdr:rowOff>
    </xdr:from>
    <xdr:to>
      <xdr:col>6</xdr:col>
      <xdr:colOff>838200</xdr:colOff>
      <xdr:row>66</xdr:row>
      <xdr:rowOff>165100</xdr:rowOff>
    </xdr:to>
    <xdr:pic>
      <xdr:nvPicPr>
        <xdr:cNvPr id="5" name="Picture 4"/>
        <xdr:cNvPicPr>
          <a:picLocks noChangeAspect="1"/>
        </xdr:cNvPicPr>
      </xdr:nvPicPr>
      <xdr:blipFill>
        <a:blip xmlns:r="http://schemas.openxmlformats.org/officeDocument/2006/relationships" r:embed="rId3"/>
        <a:stretch>
          <a:fillRect/>
        </a:stretch>
      </xdr:blipFill>
      <xdr:spPr>
        <a:xfrm>
          <a:off x="0" y="9906000"/>
          <a:ext cx="4584700" cy="2832100"/>
        </a:xfrm>
        <a:prstGeom prst="rect">
          <a:avLst/>
        </a:prstGeom>
      </xdr:spPr>
    </xdr:pic>
    <xdr:clientData/>
  </xdr:twoCellAnchor>
  <xdr:twoCellAnchor editAs="oneCell">
    <xdr:from>
      <xdr:col>0</xdr:col>
      <xdr:colOff>0</xdr:colOff>
      <xdr:row>68</xdr:row>
      <xdr:rowOff>0</xdr:rowOff>
    </xdr:from>
    <xdr:to>
      <xdr:col>6</xdr:col>
      <xdr:colOff>127000</xdr:colOff>
      <xdr:row>89</xdr:row>
      <xdr:rowOff>114300</xdr:rowOff>
    </xdr:to>
    <xdr:pic>
      <xdr:nvPicPr>
        <xdr:cNvPr id="6" name="Picture 5"/>
        <xdr:cNvPicPr>
          <a:picLocks noChangeAspect="1"/>
        </xdr:cNvPicPr>
      </xdr:nvPicPr>
      <xdr:blipFill>
        <a:blip xmlns:r="http://schemas.openxmlformats.org/officeDocument/2006/relationships" r:embed="rId4"/>
        <a:stretch>
          <a:fillRect/>
        </a:stretch>
      </xdr:blipFill>
      <xdr:spPr>
        <a:xfrm>
          <a:off x="0" y="12954000"/>
          <a:ext cx="3873500" cy="4114800"/>
        </a:xfrm>
        <a:prstGeom prst="rect">
          <a:avLst/>
        </a:prstGeom>
      </xdr:spPr>
    </xdr:pic>
    <xdr:clientData/>
  </xdr:twoCellAnchor>
  <xdr:twoCellAnchor editAs="oneCell">
    <xdr:from>
      <xdr:col>3</xdr:col>
      <xdr:colOff>749300</xdr:colOff>
      <xdr:row>83</xdr:row>
      <xdr:rowOff>31125</xdr:rowOff>
    </xdr:from>
    <xdr:to>
      <xdr:col>6</xdr:col>
      <xdr:colOff>901700</xdr:colOff>
      <xdr:row>111</xdr:row>
      <xdr:rowOff>177800</xdr:rowOff>
    </xdr:to>
    <xdr:pic>
      <xdr:nvPicPr>
        <xdr:cNvPr id="7" name="Picture 6"/>
        <xdr:cNvPicPr>
          <a:picLocks noChangeAspect="1"/>
        </xdr:cNvPicPr>
      </xdr:nvPicPr>
      <xdr:blipFill>
        <a:blip xmlns:r="http://schemas.openxmlformats.org/officeDocument/2006/relationships" r:embed="rId5"/>
        <a:stretch>
          <a:fillRect/>
        </a:stretch>
      </xdr:blipFill>
      <xdr:spPr>
        <a:xfrm>
          <a:off x="749300" y="15842625"/>
          <a:ext cx="3898900" cy="6306175"/>
        </a:xfrm>
        <a:prstGeom prst="rect">
          <a:avLst/>
        </a:prstGeom>
      </xdr:spPr>
    </xdr:pic>
    <xdr:clientData/>
  </xdr:twoCellAnchor>
  <xdr:twoCellAnchor editAs="oneCell">
    <xdr:from>
      <xdr:col>0</xdr:col>
      <xdr:colOff>0</xdr:colOff>
      <xdr:row>118</xdr:row>
      <xdr:rowOff>12700</xdr:rowOff>
    </xdr:from>
    <xdr:to>
      <xdr:col>6</xdr:col>
      <xdr:colOff>132146</xdr:colOff>
      <xdr:row>132</xdr:row>
      <xdr:rowOff>139699</xdr:rowOff>
    </xdr:to>
    <xdr:pic>
      <xdr:nvPicPr>
        <xdr:cNvPr id="8" name="Picture 7"/>
        <xdr:cNvPicPr>
          <a:picLocks noChangeAspect="1"/>
        </xdr:cNvPicPr>
      </xdr:nvPicPr>
      <xdr:blipFill rotWithShape="1">
        <a:blip xmlns:r="http://schemas.openxmlformats.org/officeDocument/2006/relationships" r:embed="rId6"/>
        <a:srcRect t="7895" b="6192"/>
        <a:stretch/>
      </xdr:blipFill>
      <xdr:spPr>
        <a:xfrm>
          <a:off x="0" y="23507700"/>
          <a:ext cx="3878646" cy="2870199"/>
        </a:xfrm>
        <a:prstGeom prst="rect">
          <a:avLst/>
        </a:prstGeom>
      </xdr:spPr>
    </xdr:pic>
    <xdr:clientData/>
  </xdr:twoCellAnchor>
  <xdr:twoCellAnchor editAs="oneCell">
    <xdr:from>
      <xdr:col>0</xdr:col>
      <xdr:colOff>0</xdr:colOff>
      <xdr:row>138</xdr:row>
      <xdr:rowOff>0</xdr:rowOff>
    </xdr:from>
    <xdr:to>
      <xdr:col>5</xdr:col>
      <xdr:colOff>736600</xdr:colOff>
      <xdr:row>152</xdr:row>
      <xdr:rowOff>127000</xdr:rowOff>
    </xdr:to>
    <xdr:pic>
      <xdr:nvPicPr>
        <xdr:cNvPr id="9" name="Picture 8"/>
        <xdr:cNvPicPr>
          <a:picLocks noChangeAspect="1"/>
        </xdr:cNvPicPr>
      </xdr:nvPicPr>
      <xdr:blipFill>
        <a:blip xmlns:r="http://schemas.openxmlformats.org/officeDocument/2006/relationships" r:embed="rId7"/>
        <a:stretch>
          <a:fillRect/>
        </a:stretch>
      </xdr:blipFill>
      <xdr:spPr>
        <a:xfrm>
          <a:off x="0" y="26289000"/>
          <a:ext cx="3492500" cy="2857500"/>
        </a:xfrm>
        <a:prstGeom prst="rect">
          <a:avLst/>
        </a:prstGeom>
      </xdr:spPr>
    </xdr:pic>
    <xdr:clientData/>
  </xdr:twoCellAnchor>
  <xdr:twoCellAnchor editAs="oneCell">
    <xdr:from>
      <xdr:col>0</xdr:col>
      <xdr:colOff>0</xdr:colOff>
      <xdr:row>154</xdr:row>
      <xdr:rowOff>0</xdr:rowOff>
    </xdr:from>
    <xdr:to>
      <xdr:col>6</xdr:col>
      <xdr:colOff>292100</xdr:colOff>
      <xdr:row>188</xdr:row>
      <xdr:rowOff>127001</xdr:rowOff>
    </xdr:to>
    <xdr:pic>
      <xdr:nvPicPr>
        <xdr:cNvPr id="10" name="Picture 9"/>
        <xdr:cNvPicPr>
          <a:picLocks noChangeAspect="1"/>
        </xdr:cNvPicPr>
      </xdr:nvPicPr>
      <xdr:blipFill>
        <a:blip xmlns:r="http://schemas.openxmlformats.org/officeDocument/2006/relationships" r:embed="rId8"/>
        <a:stretch>
          <a:fillRect/>
        </a:stretch>
      </xdr:blipFill>
      <xdr:spPr>
        <a:xfrm>
          <a:off x="0" y="29337000"/>
          <a:ext cx="4038600" cy="6604000"/>
        </a:xfrm>
        <a:prstGeom prst="rect">
          <a:avLst/>
        </a:prstGeom>
      </xdr:spPr>
    </xdr:pic>
    <xdr:clientData/>
  </xdr:twoCellAnchor>
  <xdr:twoCellAnchor editAs="oneCell">
    <xdr:from>
      <xdr:col>6</xdr:col>
      <xdr:colOff>152400</xdr:colOff>
      <xdr:row>5</xdr:row>
      <xdr:rowOff>25399</xdr:rowOff>
    </xdr:from>
    <xdr:to>
      <xdr:col>13</xdr:col>
      <xdr:colOff>203200</xdr:colOff>
      <xdr:row>24</xdr:row>
      <xdr:rowOff>79964</xdr:rowOff>
    </xdr:to>
    <xdr:pic>
      <xdr:nvPicPr>
        <xdr:cNvPr id="11" name="Picture 10"/>
        <xdr:cNvPicPr>
          <a:picLocks noChangeAspect="1"/>
        </xdr:cNvPicPr>
      </xdr:nvPicPr>
      <xdr:blipFill rotWithShape="1">
        <a:blip xmlns:r="http://schemas.openxmlformats.org/officeDocument/2006/relationships" r:embed="rId9"/>
        <a:srcRect t="12185" r="3243" b="8403"/>
        <a:stretch/>
      </xdr:blipFill>
      <xdr:spPr>
        <a:xfrm>
          <a:off x="7404100" y="1041399"/>
          <a:ext cx="6972300" cy="3674065"/>
        </a:xfrm>
        <a:prstGeom prst="rect">
          <a:avLst/>
        </a:prstGeom>
      </xdr:spPr>
    </xdr:pic>
    <xdr:clientData/>
  </xdr:twoCellAnchor>
  <xdr:twoCellAnchor editAs="oneCell">
    <xdr:from>
      <xdr:col>5</xdr:col>
      <xdr:colOff>50800</xdr:colOff>
      <xdr:row>86</xdr:row>
      <xdr:rowOff>76200</xdr:rowOff>
    </xdr:from>
    <xdr:to>
      <xdr:col>11</xdr:col>
      <xdr:colOff>1809296</xdr:colOff>
      <xdr:row>102</xdr:row>
      <xdr:rowOff>292100</xdr:rowOff>
    </xdr:to>
    <xdr:pic>
      <xdr:nvPicPr>
        <xdr:cNvPr id="12" name="Picture 11"/>
        <xdr:cNvPicPr>
          <a:picLocks noChangeAspect="1"/>
        </xdr:cNvPicPr>
      </xdr:nvPicPr>
      <xdr:blipFill rotWithShape="1">
        <a:blip xmlns:r="http://schemas.openxmlformats.org/officeDocument/2006/relationships" r:embed="rId5"/>
        <a:srcRect t="7261" b="59952"/>
        <a:stretch/>
      </xdr:blipFill>
      <xdr:spPr>
        <a:xfrm>
          <a:off x="4546600" y="16459200"/>
          <a:ext cx="6178096" cy="3263900"/>
        </a:xfrm>
        <a:prstGeom prst="rect">
          <a:avLst/>
        </a:prstGeom>
      </xdr:spPr>
    </xdr:pic>
    <xdr:clientData/>
  </xdr:twoCellAnchor>
  <xdr:twoCellAnchor editAs="oneCell">
    <xdr:from>
      <xdr:col>10</xdr:col>
      <xdr:colOff>787400</xdr:colOff>
      <xdr:row>103</xdr:row>
      <xdr:rowOff>50799</xdr:rowOff>
    </xdr:from>
    <xdr:to>
      <xdr:col>15</xdr:col>
      <xdr:colOff>469900</xdr:colOff>
      <xdr:row>121</xdr:row>
      <xdr:rowOff>101600</xdr:rowOff>
    </xdr:to>
    <xdr:pic>
      <xdr:nvPicPr>
        <xdr:cNvPr id="13" name="Picture 12"/>
        <xdr:cNvPicPr>
          <a:picLocks noChangeAspect="1"/>
        </xdr:cNvPicPr>
      </xdr:nvPicPr>
      <xdr:blipFill rotWithShape="1">
        <a:blip xmlns:r="http://schemas.openxmlformats.org/officeDocument/2006/relationships" r:embed="rId5"/>
        <a:srcRect l="8333" t="54801" b="3044"/>
        <a:stretch/>
      </xdr:blipFill>
      <xdr:spPr>
        <a:xfrm>
          <a:off x="12141200" y="19989799"/>
          <a:ext cx="5613400" cy="3543301"/>
        </a:xfrm>
        <a:prstGeom prst="rect">
          <a:avLst/>
        </a:prstGeom>
      </xdr:spPr>
    </xdr:pic>
    <xdr:clientData/>
  </xdr:twoCellAnchor>
  <xdr:twoCellAnchor>
    <xdr:from>
      <xdr:col>5</xdr:col>
      <xdr:colOff>1155700</xdr:colOff>
      <xdr:row>149</xdr:row>
      <xdr:rowOff>38100</xdr:rowOff>
    </xdr:from>
    <xdr:to>
      <xdr:col>8</xdr:col>
      <xdr:colOff>520700</xdr:colOff>
      <xdr:row>163</xdr:row>
      <xdr:rowOff>114300</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101600</xdr:colOff>
      <xdr:row>146</xdr:row>
      <xdr:rowOff>63500</xdr:rowOff>
    </xdr:from>
    <xdr:to>
      <xdr:col>11</xdr:col>
      <xdr:colOff>3644900</xdr:colOff>
      <xdr:row>156</xdr:row>
      <xdr:rowOff>114300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63500</xdr:colOff>
      <xdr:row>31</xdr:row>
      <xdr:rowOff>12700</xdr:rowOff>
    </xdr:from>
    <xdr:to>
      <xdr:col>10</xdr:col>
      <xdr:colOff>774700</xdr:colOff>
      <xdr:row>46</xdr:row>
      <xdr:rowOff>88900</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5</xdr:col>
      <xdr:colOff>0</xdr:colOff>
      <xdr:row>193</xdr:row>
      <xdr:rowOff>0</xdr:rowOff>
    </xdr:from>
    <xdr:to>
      <xdr:col>10</xdr:col>
      <xdr:colOff>165100</xdr:colOff>
      <xdr:row>205</xdr:row>
      <xdr:rowOff>50800</xdr:rowOff>
    </xdr:to>
    <xdr:pic>
      <xdr:nvPicPr>
        <xdr:cNvPr id="2" name="Picture 1"/>
        <xdr:cNvPicPr>
          <a:picLocks noChangeAspect="1"/>
        </xdr:cNvPicPr>
      </xdr:nvPicPr>
      <xdr:blipFill rotWithShape="1">
        <a:blip xmlns:r="http://schemas.openxmlformats.org/officeDocument/2006/relationships" r:embed="rId13"/>
        <a:srcRect b="5641"/>
        <a:stretch/>
      </xdr:blipFill>
      <xdr:spPr>
        <a:xfrm>
          <a:off x="2755900" y="37909500"/>
          <a:ext cx="4368800" cy="233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8</xdr:col>
      <xdr:colOff>393700</xdr:colOff>
      <xdr:row>2736</xdr:row>
      <xdr:rowOff>82550</xdr:rowOff>
    </xdr:from>
    <xdr:to>
      <xdr:col>14</xdr:col>
      <xdr:colOff>508000</xdr:colOff>
      <xdr:row>2751</xdr:row>
      <xdr:rowOff>165100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469900</xdr:colOff>
      <xdr:row>8</xdr:row>
      <xdr:rowOff>0</xdr:rowOff>
    </xdr:from>
    <xdr:to>
      <xdr:col>15</xdr:col>
      <xdr:colOff>457200</xdr:colOff>
      <xdr:row>29</xdr:row>
      <xdr:rowOff>88900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19050</xdr:colOff>
      <xdr:row>2734</xdr:row>
      <xdr:rowOff>88900</xdr:rowOff>
    </xdr:from>
    <xdr:to>
      <xdr:col>11</xdr:col>
      <xdr:colOff>762000</xdr:colOff>
      <xdr:row>2749</xdr:row>
      <xdr:rowOff>50800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xdr:colOff>
      <xdr:row>9</xdr:row>
      <xdr:rowOff>0</xdr:rowOff>
    </xdr:from>
    <xdr:to>
      <xdr:col>10</xdr:col>
      <xdr:colOff>742950</xdr:colOff>
      <xdr:row>23</xdr:row>
      <xdr:rowOff>152400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0</xdr:colOff>
      <xdr:row>5</xdr:row>
      <xdr:rowOff>0</xdr:rowOff>
    </xdr:from>
    <xdr:to>
      <xdr:col>11</xdr:col>
      <xdr:colOff>457200</xdr:colOff>
      <xdr:row>17</xdr:row>
      <xdr:rowOff>165100</xdr:rowOff>
    </xdr:to>
    <xdr:pic>
      <xdr:nvPicPr>
        <xdr:cNvPr id="2" name="Picture 1"/>
        <xdr:cNvPicPr>
          <a:picLocks noChangeAspect="1"/>
        </xdr:cNvPicPr>
      </xdr:nvPicPr>
      <xdr:blipFill>
        <a:blip xmlns:r="http://schemas.openxmlformats.org/officeDocument/2006/relationships" r:embed="rId1"/>
        <a:stretch>
          <a:fillRect/>
        </a:stretch>
      </xdr:blipFill>
      <xdr:spPr>
        <a:xfrm>
          <a:off x="2476500" y="952500"/>
          <a:ext cx="6096000" cy="2451100"/>
        </a:xfrm>
        <a:prstGeom prst="rect">
          <a:avLst/>
        </a:prstGeom>
      </xdr:spPr>
    </xdr:pic>
    <xdr:clientData/>
  </xdr:twoCellAnchor>
  <xdr:twoCellAnchor editAs="oneCell">
    <xdr:from>
      <xdr:col>3</xdr:col>
      <xdr:colOff>0</xdr:colOff>
      <xdr:row>21</xdr:row>
      <xdr:rowOff>0</xdr:rowOff>
    </xdr:from>
    <xdr:to>
      <xdr:col>11</xdr:col>
      <xdr:colOff>88900</xdr:colOff>
      <xdr:row>34</xdr:row>
      <xdr:rowOff>139700</xdr:rowOff>
    </xdr:to>
    <xdr:pic>
      <xdr:nvPicPr>
        <xdr:cNvPr id="3" name="Picture 2"/>
        <xdr:cNvPicPr>
          <a:picLocks noChangeAspect="1"/>
        </xdr:cNvPicPr>
      </xdr:nvPicPr>
      <xdr:blipFill>
        <a:blip xmlns:r="http://schemas.openxmlformats.org/officeDocument/2006/relationships" r:embed="rId2"/>
        <a:stretch>
          <a:fillRect/>
        </a:stretch>
      </xdr:blipFill>
      <xdr:spPr>
        <a:xfrm>
          <a:off x="2476500" y="4000500"/>
          <a:ext cx="5727700" cy="26162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3</xdr:row>
      <xdr:rowOff>0</xdr:rowOff>
    </xdr:from>
    <xdr:to>
      <xdr:col>10</xdr:col>
      <xdr:colOff>635000</xdr:colOff>
      <xdr:row>17</xdr:row>
      <xdr:rowOff>107826</xdr:rowOff>
    </xdr:to>
    <xdr:pic>
      <xdr:nvPicPr>
        <xdr:cNvPr id="2" name="Picture 1"/>
        <xdr:cNvPicPr>
          <a:picLocks noChangeAspect="1"/>
        </xdr:cNvPicPr>
      </xdr:nvPicPr>
      <xdr:blipFill>
        <a:blip xmlns:r="http://schemas.openxmlformats.org/officeDocument/2006/relationships" r:embed="rId1"/>
        <a:stretch>
          <a:fillRect/>
        </a:stretch>
      </xdr:blipFill>
      <xdr:spPr>
        <a:xfrm>
          <a:off x="2476500" y="647700"/>
          <a:ext cx="5321300" cy="2774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11</xdr:row>
      <xdr:rowOff>19050</xdr:rowOff>
    </xdr:from>
    <xdr:to>
      <xdr:col>13</xdr:col>
      <xdr:colOff>152400</xdr:colOff>
      <xdr:row>26</xdr:row>
      <xdr:rowOff>63500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603250</xdr:colOff>
      <xdr:row>238</xdr:row>
      <xdr:rowOff>19050</xdr:rowOff>
    </xdr:from>
    <xdr:to>
      <xdr:col>13</xdr:col>
      <xdr:colOff>177800</xdr:colOff>
      <xdr:row>253</xdr:row>
      <xdr:rowOff>101600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4</xdr:row>
      <xdr:rowOff>0</xdr:rowOff>
    </xdr:from>
    <xdr:to>
      <xdr:col>10</xdr:col>
      <xdr:colOff>400050</xdr:colOff>
      <xdr:row>19</xdr:row>
      <xdr:rowOff>82550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541866</xdr:colOff>
      <xdr:row>3</xdr:row>
      <xdr:rowOff>143933</xdr:rowOff>
    </xdr:from>
    <xdr:to>
      <xdr:col>42</xdr:col>
      <xdr:colOff>762000</xdr:colOff>
      <xdr:row>23</xdr:row>
      <xdr:rowOff>135466</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84668</xdr:colOff>
      <xdr:row>29</xdr:row>
      <xdr:rowOff>8466</xdr:rowOff>
    </xdr:from>
    <xdr:to>
      <xdr:col>43</xdr:col>
      <xdr:colOff>324533</xdr:colOff>
      <xdr:row>49</xdr:row>
      <xdr:rowOff>46199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423333</xdr:colOff>
      <xdr:row>23</xdr:row>
      <xdr:rowOff>33867</xdr:rowOff>
    </xdr:from>
    <xdr:to>
      <xdr:col>2</xdr:col>
      <xdr:colOff>664633</xdr:colOff>
      <xdr:row>83</xdr:row>
      <xdr:rowOff>169333</xdr:rowOff>
    </xdr:to>
    <xdr:sp macro="" textlink="">
      <xdr:nvSpPr>
        <xdr:cNvPr id="2" name="Curved Right Arrow 1"/>
        <xdr:cNvSpPr/>
      </xdr:nvSpPr>
      <xdr:spPr>
        <a:xfrm>
          <a:off x="2082800" y="6604000"/>
          <a:ext cx="241300" cy="8551333"/>
        </a:xfrm>
        <a:prstGeom prst="curved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41</xdr:col>
      <xdr:colOff>16932</xdr:colOff>
      <xdr:row>20</xdr:row>
      <xdr:rowOff>84667</xdr:rowOff>
    </xdr:from>
    <xdr:to>
      <xdr:col>46</xdr:col>
      <xdr:colOff>575732</xdr:colOff>
      <xdr:row>159</xdr:row>
      <xdr:rowOff>101600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41</xdr:col>
      <xdr:colOff>101600</xdr:colOff>
      <xdr:row>2</xdr:row>
      <xdr:rowOff>0</xdr:rowOff>
    </xdr:from>
    <xdr:to>
      <xdr:col>57</xdr:col>
      <xdr:colOff>626533</xdr:colOff>
      <xdr:row>12</xdr:row>
      <xdr:rowOff>67733</xdr:rowOff>
    </xdr:to>
    <xdr:pic>
      <xdr:nvPicPr>
        <xdr:cNvPr id="7" name="Picture 6"/>
        <xdr:cNvPicPr>
          <a:picLocks noChangeAspect="1"/>
        </xdr:cNvPicPr>
      </xdr:nvPicPr>
      <xdr:blipFill>
        <a:blip xmlns:r="http://schemas.openxmlformats.org/officeDocument/2006/relationships" r:embed="rId2"/>
        <a:stretch>
          <a:fillRect/>
        </a:stretch>
      </xdr:blipFill>
      <xdr:spPr>
        <a:xfrm>
          <a:off x="30429200" y="440267"/>
          <a:ext cx="10820400" cy="1642533"/>
        </a:xfrm>
        <a:prstGeom prst="rect">
          <a:avLst/>
        </a:prstGeom>
      </xdr:spPr>
    </xdr:pic>
    <xdr:clientData/>
  </xdr:twoCellAnchor>
  <xdr:twoCellAnchor>
    <xdr:from>
      <xdr:col>48</xdr:col>
      <xdr:colOff>16934</xdr:colOff>
      <xdr:row>20</xdr:row>
      <xdr:rowOff>50801</xdr:rowOff>
    </xdr:from>
    <xdr:to>
      <xdr:col>53</xdr:col>
      <xdr:colOff>440267</xdr:colOff>
      <xdr:row>159</xdr:row>
      <xdr:rowOff>118534</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41</xdr:col>
      <xdr:colOff>33867</xdr:colOff>
      <xdr:row>260</xdr:row>
      <xdr:rowOff>253999</xdr:rowOff>
    </xdr:from>
    <xdr:to>
      <xdr:col>58</xdr:col>
      <xdr:colOff>21166</xdr:colOff>
      <xdr:row>270</xdr:row>
      <xdr:rowOff>152398</xdr:rowOff>
    </xdr:to>
    <xdr:pic>
      <xdr:nvPicPr>
        <xdr:cNvPr id="5" name="Picture 4"/>
        <xdr:cNvPicPr>
          <a:picLocks noChangeAspect="1"/>
        </xdr:cNvPicPr>
      </xdr:nvPicPr>
      <xdr:blipFill>
        <a:blip xmlns:r="http://schemas.openxmlformats.org/officeDocument/2006/relationships" r:embed="rId4"/>
        <a:stretch>
          <a:fillRect/>
        </a:stretch>
      </xdr:blipFill>
      <xdr:spPr>
        <a:xfrm>
          <a:off x="36220400" y="7365999"/>
          <a:ext cx="11129433" cy="1828799"/>
        </a:xfrm>
        <a:prstGeom prst="rect">
          <a:avLst/>
        </a:prstGeom>
      </xdr:spPr>
    </xdr:pic>
    <xdr:clientData/>
  </xdr:twoCellAnchor>
  <xdr:twoCellAnchor>
    <xdr:from>
      <xdr:col>41</xdr:col>
      <xdr:colOff>42333</xdr:colOff>
      <xdr:row>274</xdr:row>
      <xdr:rowOff>76200</xdr:rowOff>
    </xdr:from>
    <xdr:to>
      <xdr:col>46</xdr:col>
      <xdr:colOff>2370666</xdr:colOff>
      <xdr:row>290</xdr:row>
      <xdr:rowOff>33867</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48</xdr:col>
      <xdr:colOff>50800</xdr:colOff>
      <xdr:row>274</xdr:row>
      <xdr:rowOff>177799</xdr:rowOff>
    </xdr:from>
    <xdr:to>
      <xdr:col>56</xdr:col>
      <xdr:colOff>338666</xdr:colOff>
      <xdr:row>290</xdr:row>
      <xdr:rowOff>16934</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50</xdr:col>
      <xdr:colOff>50800</xdr:colOff>
      <xdr:row>2</xdr:row>
      <xdr:rowOff>253996</xdr:rowOff>
    </xdr:from>
    <xdr:to>
      <xdr:col>56</xdr:col>
      <xdr:colOff>355600</xdr:colOff>
      <xdr:row>21</xdr:row>
      <xdr:rowOff>16934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57</xdr:col>
      <xdr:colOff>1</xdr:colOff>
      <xdr:row>2</xdr:row>
      <xdr:rowOff>254000</xdr:rowOff>
    </xdr:from>
    <xdr:to>
      <xdr:col>63</xdr:col>
      <xdr:colOff>287867</xdr:colOff>
      <xdr:row>21</xdr:row>
      <xdr:rowOff>16934</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34</xdr:col>
      <xdr:colOff>67733</xdr:colOff>
      <xdr:row>22</xdr:row>
      <xdr:rowOff>16934</xdr:rowOff>
    </xdr:from>
    <xdr:to>
      <xdr:col>50</xdr:col>
      <xdr:colOff>223467</xdr:colOff>
      <xdr:row>29</xdr:row>
      <xdr:rowOff>83201</xdr:rowOff>
    </xdr:to>
    <xdr:pic>
      <xdr:nvPicPr>
        <xdr:cNvPr id="2" name="Picture 1"/>
        <xdr:cNvPicPr>
          <a:picLocks/>
        </xdr:cNvPicPr>
      </xdr:nvPicPr>
      <xdr:blipFill>
        <a:blip xmlns:r="http://schemas.openxmlformats.org/officeDocument/2006/relationships" r:embed="rId3"/>
        <a:stretch>
          <a:fillRect/>
        </a:stretch>
      </xdr:blipFill>
      <xdr:spPr>
        <a:xfrm>
          <a:off x="17187333" y="3454401"/>
          <a:ext cx="11687334" cy="1404000"/>
        </a:xfrm>
        <a:prstGeom prst="rect">
          <a:avLst/>
        </a:prstGeom>
      </xdr:spPr>
    </xdr:pic>
    <xdr:clientData/>
  </xdr:twoCellAnchor>
  <xdr:twoCellAnchor editAs="oneCell">
    <xdr:from>
      <xdr:col>34</xdr:col>
      <xdr:colOff>25400</xdr:colOff>
      <xdr:row>35</xdr:row>
      <xdr:rowOff>33866</xdr:rowOff>
    </xdr:from>
    <xdr:to>
      <xdr:col>50</xdr:col>
      <xdr:colOff>177800</xdr:colOff>
      <xdr:row>109</xdr:row>
      <xdr:rowOff>101600</xdr:rowOff>
    </xdr:to>
    <xdr:pic>
      <xdr:nvPicPr>
        <xdr:cNvPr id="5" name="Picture 4"/>
        <xdr:cNvPicPr>
          <a:picLocks noChangeAspect="1"/>
        </xdr:cNvPicPr>
      </xdr:nvPicPr>
      <xdr:blipFill>
        <a:blip xmlns:r="http://schemas.openxmlformats.org/officeDocument/2006/relationships" r:embed="rId4"/>
        <a:stretch>
          <a:fillRect/>
        </a:stretch>
      </xdr:blipFill>
      <xdr:spPr>
        <a:xfrm>
          <a:off x="27254200" y="6688666"/>
          <a:ext cx="11811000" cy="1464734"/>
        </a:xfrm>
        <a:prstGeom prst="rect">
          <a:avLst/>
        </a:prstGeom>
      </xdr:spPr>
    </xdr:pic>
    <xdr:clientData/>
  </xdr:twoCellAnchor>
  <xdr:twoCellAnchor editAs="oneCell">
    <xdr:from>
      <xdr:col>34</xdr:col>
      <xdr:colOff>67733</xdr:colOff>
      <xdr:row>3</xdr:row>
      <xdr:rowOff>0</xdr:rowOff>
    </xdr:from>
    <xdr:to>
      <xdr:col>50</xdr:col>
      <xdr:colOff>135467</xdr:colOff>
      <xdr:row>11</xdr:row>
      <xdr:rowOff>50800</xdr:rowOff>
    </xdr:to>
    <xdr:pic>
      <xdr:nvPicPr>
        <xdr:cNvPr id="7" name="Picture 6"/>
        <xdr:cNvPicPr>
          <a:picLocks noChangeAspect="1"/>
        </xdr:cNvPicPr>
      </xdr:nvPicPr>
      <xdr:blipFill>
        <a:blip xmlns:r="http://schemas.openxmlformats.org/officeDocument/2006/relationships" r:embed="rId5"/>
        <a:stretch>
          <a:fillRect/>
        </a:stretch>
      </xdr:blipFill>
      <xdr:spPr>
        <a:xfrm>
          <a:off x="17187333" y="643467"/>
          <a:ext cx="11599334" cy="1219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35</xdr:col>
      <xdr:colOff>16934</xdr:colOff>
      <xdr:row>15</xdr:row>
      <xdr:rowOff>67734</xdr:rowOff>
    </xdr:from>
    <xdr:to>
      <xdr:col>40</xdr:col>
      <xdr:colOff>440268</xdr:colOff>
      <xdr:row>35</xdr:row>
      <xdr:rowOff>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50799</xdr:colOff>
      <xdr:row>39</xdr:row>
      <xdr:rowOff>84667</xdr:rowOff>
    </xdr:from>
    <xdr:to>
      <xdr:col>40</xdr:col>
      <xdr:colOff>474133</xdr:colOff>
      <xdr:row>51</xdr:row>
      <xdr:rowOff>84667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35</xdr:col>
      <xdr:colOff>67732</xdr:colOff>
      <xdr:row>2</xdr:row>
      <xdr:rowOff>0</xdr:rowOff>
    </xdr:from>
    <xdr:to>
      <xdr:col>47</xdr:col>
      <xdr:colOff>491065</xdr:colOff>
      <xdr:row>11</xdr:row>
      <xdr:rowOff>16933</xdr:rowOff>
    </xdr:to>
    <xdr:pic>
      <xdr:nvPicPr>
        <xdr:cNvPr id="4" name="Picture 3"/>
        <xdr:cNvPicPr>
          <a:picLocks noChangeAspect="1"/>
        </xdr:cNvPicPr>
      </xdr:nvPicPr>
      <xdr:blipFill>
        <a:blip xmlns:r="http://schemas.openxmlformats.org/officeDocument/2006/relationships" r:embed="rId3"/>
        <a:stretch>
          <a:fillRect/>
        </a:stretch>
      </xdr:blipFill>
      <xdr:spPr>
        <a:xfrm>
          <a:off x="16052799" y="440267"/>
          <a:ext cx="9618133" cy="13885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32</xdr:col>
      <xdr:colOff>33866</xdr:colOff>
      <xdr:row>4</xdr:row>
      <xdr:rowOff>-1</xdr:rowOff>
    </xdr:from>
    <xdr:to>
      <xdr:col>52</xdr:col>
      <xdr:colOff>787400</xdr:colOff>
      <xdr:row>14</xdr:row>
      <xdr:rowOff>55033</xdr:rowOff>
    </xdr:to>
    <xdr:pic>
      <xdr:nvPicPr>
        <xdr:cNvPr id="2" name="Picture 1"/>
        <xdr:cNvPicPr>
          <a:picLocks noChangeAspect="1"/>
        </xdr:cNvPicPr>
      </xdr:nvPicPr>
      <xdr:blipFill>
        <a:blip xmlns:r="http://schemas.openxmlformats.org/officeDocument/2006/relationships" r:embed="rId1"/>
        <a:stretch>
          <a:fillRect/>
        </a:stretch>
      </xdr:blipFill>
      <xdr:spPr>
        <a:xfrm>
          <a:off x="19270133" y="846666"/>
          <a:ext cx="15925800" cy="1917700"/>
        </a:xfrm>
        <a:prstGeom prst="rect">
          <a:avLst/>
        </a:prstGeom>
      </xdr:spPr>
    </xdr:pic>
    <xdr:clientData/>
  </xdr:twoCellAnchor>
  <xdr:twoCellAnchor>
    <xdr:from>
      <xdr:col>32</xdr:col>
      <xdr:colOff>16933</xdr:colOff>
      <xdr:row>37</xdr:row>
      <xdr:rowOff>127000</xdr:rowOff>
    </xdr:from>
    <xdr:to>
      <xdr:col>38</xdr:col>
      <xdr:colOff>406400</xdr:colOff>
      <xdr:row>52</xdr:row>
      <xdr:rowOff>59267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118533</xdr:colOff>
      <xdr:row>56</xdr:row>
      <xdr:rowOff>93133</xdr:rowOff>
    </xdr:from>
    <xdr:to>
      <xdr:col>38</xdr:col>
      <xdr:colOff>508000</xdr:colOff>
      <xdr:row>70</xdr:row>
      <xdr:rowOff>93133</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25</xdr:col>
      <xdr:colOff>2302932</xdr:colOff>
      <xdr:row>3</xdr:row>
      <xdr:rowOff>-1</xdr:rowOff>
    </xdr:from>
    <xdr:to>
      <xdr:col>34</xdr:col>
      <xdr:colOff>372531</xdr:colOff>
      <xdr:row>15</xdr:row>
      <xdr:rowOff>135466</xdr:rowOff>
    </xdr:to>
    <xdr:pic>
      <xdr:nvPicPr>
        <xdr:cNvPr id="2" name="Picture 1"/>
        <xdr:cNvPicPr>
          <a:picLocks noChangeAspect="1"/>
        </xdr:cNvPicPr>
      </xdr:nvPicPr>
      <xdr:blipFill>
        <a:blip xmlns:r="http://schemas.openxmlformats.org/officeDocument/2006/relationships" r:embed="rId1"/>
        <a:stretch>
          <a:fillRect/>
        </a:stretch>
      </xdr:blipFill>
      <xdr:spPr>
        <a:xfrm>
          <a:off x="17830799" y="643466"/>
          <a:ext cx="11904133" cy="16425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677333</xdr:colOff>
      <xdr:row>2587</xdr:row>
      <xdr:rowOff>67733</xdr:rowOff>
    </xdr:from>
    <xdr:to>
      <xdr:col>13</xdr:col>
      <xdr:colOff>270933</xdr:colOff>
      <xdr:row>2602</xdr:row>
      <xdr:rowOff>16933</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677333</xdr:colOff>
      <xdr:row>2587</xdr:row>
      <xdr:rowOff>67733</xdr:rowOff>
    </xdr:from>
    <xdr:to>
      <xdr:col>13</xdr:col>
      <xdr:colOff>270933</xdr:colOff>
      <xdr:row>2602</xdr:row>
      <xdr:rowOff>16933</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677333</xdr:colOff>
      <xdr:row>2587</xdr:row>
      <xdr:rowOff>67733</xdr:rowOff>
    </xdr:from>
    <xdr:to>
      <xdr:col>13</xdr:col>
      <xdr:colOff>270933</xdr:colOff>
      <xdr:row>2602</xdr:row>
      <xdr:rowOff>16933</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67733</xdr:colOff>
      <xdr:row>15</xdr:row>
      <xdr:rowOff>1</xdr:rowOff>
    </xdr:from>
    <xdr:to>
      <xdr:col>10</xdr:col>
      <xdr:colOff>423333</xdr:colOff>
      <xdr:row>31</xdr:row>
      <xdr:rowOff>135467</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8.vml"/><Relationship Id="rId3"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9.vml"/><Relationship Id="rId3" Type="http://schemas.openxmlformats.org/officeDocument/2006/relationships/comments" Target="../comments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10.vml"/><Relationship Id="rId3" Type="http://schemas.openxmlformats.org/officeDocument/2006/relationships/comments" Target="../comments10.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vmlDrawing" Target="../drawings/vmlDrawing11.vml"/><Relationship Id="rId3"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vmlDrawing" Target="../drawings/vmlDrawing12.vml"/><Relationship Id="rId3"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vmlDrawing" Target="../drawings/vmlDrawing13.vml"/><Relationship Id="rId3" Type="http://schemas.openxmlformats.org/officeDocument/2006/relationships/comments" Target="../comments1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1.xml"/><Relationship Id="rId2" Type="http://schemas.openxmlformats.org/officeDocument/2006/relationships/vmlDrawing" Target="../drawings/vmlDrawing14.vml"/><Relationship Id="rId3"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3.xml"/><Relationship Id="rId2" Type="http://schemas.openxmlformats.org/officeDocument/2006/relationships/vmlDrawing" Target="../drawings/vmlDrawing15.vml"/><Relationship Id="rId3" Type="http://schemas.openxmlformats.org/officeDocument/2006/relationships/comments" Target="../comments15.xml"/></Relationships>
</file>

<file path=xl/worksheets/_rels/sheet29.xml.rels><?xml version="1.0" encoding="UTF-8" standalone="yes"?>
<Relationships xmlns="http://schemas.openxmlformats.org/package/2006/relationships"><Relationship Id="rId1" Type="http://schemas.openxmlformats.org/officeDocument/2006/relationships/vmlDrawing" Target="../drawings/vmlDrawing16.vml"/><Relationship Id="rId2"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vmlDrawing" Target="../drawings/vmlDrawing17.vml"/><Relationship Id="rId2" Type="http://schemas.openxmlformats.org/officeDocument/2006/relationships/comments" Target="../comments17.xml"/></Relationships>
</file>

<file path=xl/worksheets/_rels/sheet31.xml.rels><?xml version="1.0" encoding="UTF-8" standalone="yes"?>
<Relationships xmlns="http://schemas.openxmlformats.org/package/2006/relationships"><Relationship Id="rId1" Type="http://schemas.openxmlformats.org/officeDocument/2006/relationships/vmlDrawing" Target="../drawings/vmlDrawing18.vml"/><Relationship Id="rId2" Type="http://schemas.openxmlformats.org/officeDocument/2006/relationships/comments" Target="../comments18.xml"/></Relationships>
</file>

<file path=xl/worksheets/_rels/sheet32.xml.rels><?xml version="1.0" encoding="UTF-8" standalone="yes"?>
<Relationships xmlns="http://schemas.openxmlformats.org/package/2006/relationships"><Relationship Id="rId1" Type="http://schemas.openxmlformats.org/officeDocument/2006/relationships/vmlDrawing" Target="../drawings/vmlDrawing19.vml"/><Relationship Id="rId2" Type="http://schemas.openxmlformats.org/officeDocument/2006/relationships/comments" Target="../comments19.xml"/></Relationships>
</file>

<file path=xl/worksheets/_rels/sheet33.xml.rels><?xml version="1.0" encoding="UTF-8" standalone="yes"?>
<Relationships xmlns="http://schemas.openxmlformats.org/package/2006/relationships"><Relationship Id="rId1" Type="http://schemas.openxmlformats.org/officeDocument/2006/relationships/vmlDrawing" Target="../drawings/vmlDrawing20.vml"/><Relationship Id="rId2" Type="http://schemas.openxmlformats.org/officeDocument/2006/relationships/comments" Target="../comments20.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2.xml.rels><?xml version="1.0" encoding="UTF-8" standalone="yes"?>
<Relationships xmlns="http://schemas.openxmlformats.org/package/2006/relationships"><Relationship Id="rId1" Type="http://schemas.openxmlformats.org/officeDocument/2006/relationships/vmlDrawing" Target="../drawings/vmlDrawing21.vml"/><Relationship Id="rId2" Type="http://schemas.openxmlformats.org/officeDocument/2006/relationships/comments" Target="../comments21.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499984740745262"/>
  </sheetPr>
  <dimension ref="C4:I25"/>
  <sheetViews>
    <sheetView showGridLines="0" workbookViewId="0">
      <selection activeCell="E1" sqref="E1"/>
    </sheetView>
  </sheetViews>
  <sheetFormatPr baseColWidth="10" defaultRowHeight="15" x14ac:dyDescent="0"/>
  <cols>
    <col min="3" max="3" width="20" bestFit="1" customWidth="1"/>
    <col min="4" max="4" width="16.33203125" bestFit="1" customWidth="1"/>
    <col min="5" max="5" width="12" bestFit="1" customWidth="1"/>
    <col min="6" max="6" width="12.6640625" bestFit="1" customWidth="1"/>
    <col min="7" max="7" width="13.33203125" bestFit="1" customWidth="1"/>
    <col min="8" max="8" width="16.6640625" bestFit="1" customWidth="1"/>
  </cols>
  <sheetData>
    <row r="4" spans="3:9">
      <c r="C4" s="4" t="s">
        <v>1748</v>
      </c>
      <c r="D4" s="1355"/>
      <c r="E4" s="1372"/>
      <c r="F4" s="1356"/>
      <c r="G4" s="1356"/>
      <c r="H4" s="1356"/>
      <c r="I4" s="1373"/>
    </row>
    <row r="5" spans="3:9">
      <c r="D5" s="1363"/>
      <c r="E5" s="1371"/>
      <c r="F5" s="1371"/>
      <c r="G5" s="1371"/>
      <c r="H5" s="1371"/>
      <c r="I5" s="1374"/>
    </row>
    <row r="6" spans="3:9">
      <c r="C6" s="1386"/>
      <c r="D6" s="1372"/>
      <c r="E6" s="1356"/>
      <c r="F6" s="1356"/>
      <c r="G6" s="1356"/>
      <c r="H6" s="1373"/>
      <c r="I6" s="1375"/>
    </row>
    <row r="7" spans="3:9">
      <c r="C7" s="1896"/>
      <c r="D7" s="1897"/>
      <c r="E7" s="1897"/>
      <c r="F7" s="1897"/>
      <c r="G7" s="1897"/>
      <c r="H7" s="1898"/>
      <c r="I7" s="1375"/>
    </row>
    <row r="8" spans="3:9">
      <c r="C8" s="190"/>
      <c r="D8" s="1390"/>
      <c r="E8" s="1390"/>
      <c r="F8" s="1390"/>
      <c r="G8" s="1390"/>
      <c r="H8" s="1099"/>
      <c r="I8" s="1375"/>
    </row>
    <row r="9" spans="3:9">
      <c r="C9" s="190"/>
      <c r="D9" s="1390"/>
      <c r="E9" s="1390"/>
      <c r="F9" s="1390"/>
      <c r="G9" s="1390"/>
      <c r="H9" s="1099"/>
      <c r="I9" s="1375"/>
    </row>
    <row r="10" spans="3:9">
      <c r="C10" s="190"/>
      <c r="D10" s="1390"/>
      <c r="E10" s="1390"/>
      <c r="F10" s="1390"/>
      <c r="G10" s="1390"/>
      <c r="H10" s="1099"/>
      <c r="I10" s="1376"/>
    </row>
    <row r="11" spans="3:9">
      <c r="C11" s="190"/>
      <c r="D11" s="1390"/>
      <c r="E11" s="1390"/>
      <c r="F11" s="1390"/>
      <c r="G11" s="1390"/>
      <c r="H11" s="1099"/>
      <c r="I11" s="1375"/>
    </row>
    <row r="12" spans="3:9">
      <c r="C12" s="109"/>
      <c r="D12" s="919"/>
      <c r="E12" s="919"/>
      <c r="F12" s="919"/>
      <c r="G12" s="919"/>
      <c r="H12" s="1128"/>
      <c r="I12" s="1375"/>
    </row>
    <row r="13" spans="3:9">
      <c r="C13" s="190"/>
      <c r="D13" s="1390"/>
      <c r="E13" s="1390"/>
      <c r="F13" s="1390"/>
      <c r="G13" s="1390"/>
      <c r="H13" s="1099"/>
      <c r="I13" s="1375"/>
    </row>
    <row r="14" spans="3:9">
      <c r="C14" s="190"/>
      <c r="D14" s="1390"/>
      <c r="E14" s="1390"/>
      <c r="F14" s="1390"/>
      <c r="G14" s="1390"/>
      <c r="H14" s="1099"/>
      <c r="I14" s="1375"/>
    </row>
    <row r="15" spans="3:9">
      <c r="C15" s="190"/>
      <c r="D15" s="1390"/>
      <c r="E15" s="1390"/>
      <c r="F15" s="1390"/>
      <c r="G15" s="1390"/>
      <c r="H15" s="1099"/>
      <c r="I15" s="1376"/>
    </row>
    <row r="16" spans="3:9">
      <c r="C16" s="190"/>
      <c r="D16" s="1390"/>
      <c r="E16" s="1390"/>
      <c r="F16" s="1390"/>
      <c r="G16" s="1390"/>
      <c r="H16" s="1099"/>
      <c r="I16" s="1375"/>
    </row>
    <row r="17" spans="3:9">
      <c r="C17" s="190"/>
      <c r="D17" s="1390"/>
      <c r="E17" s="1390"/>
      <c r="F17" s="1390"/>
      <c r="G17" s="1390"/>
      <c r="H17" s="1099"/>
      <c r="I17" s="1376"/>
    </row>
    <row r="18" spans="3:9">
      <c r="C18" s="190"/>
      <c r="D18" s="1390"/>
      <c r="E18" s="1390"/>
      <c r="F18" s="1390"/>
      <c r="G18" s="1390"/>
      <c r="H18" s="1099"/>
      <c r="I18" s="1375"/>
    </row>
    <row r="19" spans="3:9">
      <c r="C19" s="190"/>
      <c r="D19" s="1390"/>
      <c r="E19" s="1390"/>
      <c r="F19" s="1390"/>
      <c r="G19" s="1390"/>
      <c r="H19" s="1099"/>
      <c r="I19" s="1375"/>
    </row>
    <row r="20" spans="3:9">
      <c r="C20" s="109"/>
      <c r="D20" s="919"/>
      <c r="E20" s="919"/>
      <c r="F20" s="919"/>
      <c r="G20" s="919"/>
      <c r="H20" s="1128"/>
      <c r="I20" s="239"/>
    </row>
    <row r="21" spans="3:9">
      <c r="C21" s="190"/>
      <c r="D21" s="1899"/>
      <c r="E21" s="1899"/>
      <c r="F21" s="1899"/>
      <c r="G21" s="1899"/>
      <c r="H21" s="1900"/>
    </row>
    <row r="22" spans="3:9">
      <c r="C22" s="109"/>
      <c r="D22" s="1901"/>
      <c r="E22" s="1901"/>
      <c r="F22" s="1901"/>
      <c r="G22" s="1901"/>
      <c r="H22" s="1901"/>
    </row>
    <row r="23" spans="3:9">
      <c r="C23" s="190"/>
      <c r="D23" s="1900"/>
      <c r="E23" s="1900"/>
      <c r="F23" s="1900"/>
      <c r="G23" s="1900"/>
      <c r="H23" s="1902"/>
    </row>
    <row r="24" spans="3:9">
      <c r="C24" s="190"/>
      <c r="D24" s="1900"/>
      <c r="E24" s="1900"/>
      <c r="F24" s="1900"/>
      <c r="G24" s="1900"/>
      <c r="H24" s="1902"/>
    </row>
    <row r="25" spans="3:9">
      <c r="C25" s="109"/>
      <c r="D25" s="239"/>
      <c r="E25" s="239"/>
      <c r="F25" s="239"/>
      <c r="G25" s="239"/>
      <c r="H25" s="239"/>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499984740745262"/>
  </sheetPr>
  <dimension ref="A1"/>
  <sheetViews>
    <sheetView workbookViewId="0">
      <selection activeCell="O30" sqref="O30"/>
    </sheetView>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4:AN142"/>
  <sheetViews>
    <sheetView showGridLines="0" zoomScale="75" zoomScaleNormal="75" zoomScalePageLayoutView="75" workbookViewId="0">
      <pane xSplit="4" topLeftCell="E1" activePane="topRight" state="frozen"/>
      <selection activeCell="Q37" sqref="Q37"/>
      <selection pane="topRight" activeCell="Q128" sqref="Q128"/>
    </sheetView>
  </sheetViews>
  <sheetFormatPr baseColWidth="10" defaultRowHeight="15" x14ac:dyDescent="0"/>
  <cols>
    <col min="1" max="1" width="0" hidden="1" customWidth="1"/>
    <col min="2" max="2" width="11.1640625" hidden="1" customWidth="1"/>
    <col min="3" max="3" width="0" hidden="1" customWidth="1"/>
    <col min="4" max="4" width="71.1640625" bestFit="1" customWidth="1"/>
    <col min="5" max="11" width="16.5" hidden="1" customWidth="1"/>
    <col min="12" max="12" width="16.5" customWidth="1"/>
    <col min="13" max="13" width="10.83203125" customWidth="1"/>
    <col min="14" max="14" width="16.5" customWidth="1"/>
    <col min="15" max="15" width="19.33203125" bestFit="1" customWidth="1"/>
    <col min="16" max="30" width="16.5" customWidth="1"/>
    <col min="31" max="16384" width="10.83203125" style="39"/>
  </cols>
  <sheetData>
    <row r="4" spans="1:40" ht="16" thickBot="1">
      <c r="D4" s="3"/>
      <c r="E4" s="3"/>
      <c r="F4" s="3"/>
      <c r="G4" s="3"/>
      <c r="H4" s="3"/>
      <c r="I4" s="3"/>
      <c r="J4" s="3"/>
      <c r="K4" s="3"/>
      <c r="L4" s="3"/>
      <c r="M4" s="3"/>
    </row>
    <row r="5" spans="1:40" ht="16" thickBot="1">
      <c r="A5" s="408"/>
      <c r="B5" s="408"/>
      <c r="C5" s="407"/>
      <c r="D5" s="683" t="s">
        <v>1593</v>
      </c>
      <c r="E5" s="403" t="s">
        <v>216</v>
      </c>
      <c r="F5" s="403" t="s">
        <v>217</v>
      </c>
      <c r="G5" s="403" t="s">
        <v>218</v>
      </c>
      <c r="H5" s="403" t="s">
        <v>28</v>
      </c>
      <c r="I5" s="403" t="s">
        <v>17</v>
      </c>
      <c r="J5" s="403" t="s">
        <v>18</v>
      </c>
      <c r="K5" s="403" t="s">
        <v>19</v>
      </c>
      <c r="L5" s="403" t="s">
        <v>20</v>
      </c>
      <c r="M5" s="403" t="s">
        <v>21</v>
      </c>
      <c r="N5" s="403" t="s">
        <v>22</v>
      </c>
      <c r="O5" s="403" t="s">
        <v>23</v>
      </c>
      <c r="P5" s="404" t="s">
        <v>24</v>
      </c>
      <c r="Q5" s="404" t="s">
        <v>25</v>
      </c>
      <c r="R5" s="404" t="s">
        <v>26</v>
      </c>
      <c r="S5" s="404" t="s">
        <v>27</v>
      </c>
      <c r="T5" s="404" t="s">
        <v>712</v>
      </c>
      <c r="U5" s="404" t="s">
        <v>713</v>
      </c>
      <c r="V5" s="404" t="s">
        <v>714</v>
      </c>
      <c r="W5" s="404" t="s">
        <v>715</v>
      </c>
      <c r="X5" s="404" t="s">
        <v>716</v>
      </c>
      <c r="Y5" s="404" t="s">
        <v>717</v>
      </c>
      <c r="Z5" s="404" t="s">
        <v>718</v>
      </c>
      <c r="AA5" s="404" t="s">
        <v>719</v>
      </c>
      <c r="AB5" s="404" t="s">
        <v>720</v>
      </c>
      <c r="AC5" s="404" t="s">
        <v>721</v>
      </c>
      <c r="AD5" s="776" t="s">
        <v>722</v>
      </c>
    </row>
    <row r="6" spans="1:40" s="20" customFormat="1" ht="16" thickBot="1">
      <c r="A6" s="4"/>
      <c r="B6" s="4"/>
      <c r="C6" s="19"/>
      <c r="D6" s="871" t="s">
        <v>0</v>
      </c>
      <c r="E6" s="261">
        <v>2576513</v>
      </c>
      <c r="F6" s="261">
        <v>2544558</v>
      </c>
      <c r="G6" s="261">
        <v>2608894</v>
      </c>
      <c r="H6" s="261">
        <v>3002476</v>
      </c>
      <c r="I6" s="261">
        <v>3301288</v>
      </c>
      <c r="J6" s="261">
        <v>3423219</v>
      </c>
      <c r="K6" s="261">
        <v>3657196</v>
      </c>
      <c r="L6" s="261">
        <v>4647951</v>
      </c>
      <c r="M6" s="261">
        <v>4701224</v>
      </c>
      <c r="N6" s="261">
        <v>5039134</v>
      </c>
      <c r="O6" s="261">
        <v>6168777</v>
      </c>
      <c r="P6" s="261">
        <f>'All Together'!P22</f>
        <v>8453950.3387853839</v>
      </c>
      <c r="Q6" s="261">
        <f>'All Together'!Q22</f>
        <v>9241127.2927219532</v>
      </c>
      <c r="R6" s="261">
        <f>'All Together'!R22</f>
        <v>10047111.711007658</v>
      </c>
      <c r="S6" s="261">
        <f>'All Together'!S22</f>
        <v>10910346.048071465</v>
      </c>
      <c r="T6" s="261">
        <f>'All Together'!T22</f>
        <v>11785818.337516539</v>
      </c>
      <c r="U6" s="261">
        <f>'All Together'!U22</f>
        <v>12688630.401384242</v>
      </c>
      <c r="V6" s="261">
        <f>'All Together'!V22</f>
        <v>13668485.033154622</v>
      </c>
      <c r="W6" s="261">
        <f>'All Together'!W22</f>
        <v>14753013.179027023</v>
      </c>
      <c r="X6" s="261">
        <f>'All Together'!X22</f>
        <v>15987894.886791775</v>
      </c>
      <c r="Y6" s="261">
        <f>'All Together'!Y22</f>
        <v>17275185.061395328</v>
      </c>
      <c r="Z6" s="261">
        <f>'All Together'!Z22</f>
        <v>18669206.091269538</v>
      </c>
      <c r="AA6" s="261">
        <f>'All Together'!AA22</f>
        <v>20188960.156025864</v>
      </c>
      <c r="AB6" s="261">
        <f>'All Together'!AB22</f>
        <v>21848814.667358316</v>
      </c>
      <c r="AC6" s="261">
        <f>'All Together'!AC22</f>
        <v>23662692.39495552</v>
      </c>
      <c r="AD6" s="872">
        <f>'All Together'!AD22</f>
        <v>25645936.450370364</v>
      </c>
    </row>
    <row r="7" spans="1:40" s="187" customFormat="1" ht="11">
      <c r="A7" s="104"/>
      <c r="B7" s="104"/>
      <c r="C7" s="104"/>
      <c r="D7" s="702" t="s">
        <v>442</v>
      </c>
      <c r="E7" s="247"/>
      <c r="F7" s="247">
        <f>(F6/E6)-1</f>
        <v>-1.2402421412195497E-2</v>
      </c>
      <c r="G7" s="247">
        <f t="shared" ref="G7:Q7" si="0">(G6/F6)-1</f>
        <v>2.528376244518693E-2</v>
      </c>
      <c r="H7" s="247">
        <f t="shared" si="0"/>
        <v>0.15086162948743786</v>
      </c>
      <c r="I7" s="247">
        <f t="shared" si="0"/>
        <v>9.9521861290481572E-2</v>
      </c>
      <c r="J7" s="247">
        <f t="shared" si="0"/>
        <v>3.6934372281364203E-2</v>
      </c>
      <c r="K7" s="247">
        <f t="shared" si="0"/>
        <v>6.8349994551911486E-2</v>
      </c>
      <c r="L7" s="700">
        <f t="shared" si="0"/>
        <v>0.27090563371500997</v>
      </c>
      <c r="M7" s="700">
        <f t="shared" si="0"/>
        <v>1.1461609642614556E-2</v>
      </c>
      <c r="N7" s="700">
        <f t="shared" si="0"/>
        <v>7.1877026068104755E-2</v>
      </c>
      <c r="O7" s="700">
        <f t="shared" si="0"/>
        <v>0.22417403466548014</v>
      </c>
      <c r="P7" s="700">
        <f t="shared" si="0"/>
        <v>0.37044187831483999</v>
      </c>
      <c r="Q7" s="700">
        <f t="shared" si="0"/>
        <v>9.3113505803922969E-2</v>
      </c>
      <c r="R7" s="700">
        <f t="shared" ref="R7" si="1">(R6/Q6)-1</f>
        <v>8.7217110289182553E-2</v>
      </c>
      <c r="S7" s="700">
        <f t="shared" ref="S7" si="2">(S6/R6)-1</f>
        <v>8.5918656216198208E-2</v>
      </c>
      <c r="T7" s="700">
        <f t="shared" ref="T7" si="3">(T6/S6)-1</f>
        <v>8.0242394291409669E-2</v>
      </c>
      <c r="U7" s="700">
        <f t="shared" ref="U7" si="4">(U6/T6)-1</f>
        <v>7.6601559434687605E-2</v>
      </c>
      <c r="V7" s="700">
        <f t="shared" ref="V7" si="5">(V6/U6)-1</f>
        <v>7.7223041476839338E-2</v>
      </c>
      <c r="W7" s="700">
        <f t="shared" ref="W7" si="6">(W6/V6)-1</f>
        <v>7.9345161021264765E-2</v>
      </c>
      <c r="X7" s="700">
        <f t="shared" ref="X7:Y7" si="7">(X6/W6)-1</f>
        <v>8.37036944778351E-2</v>
      </c>
      <c r="Y7" s="700">
        <f t="shared" si="7"/>
        <v>8.0516552286507448E-2</v>
      </c>
      <c r="Z7" s="700">
        <f t="shared" ref="Z7" si="8">(Z6/Y6)-1</f>
        <v>8.0694998341257262E-2</v>
      </c>
      <c r="AA7" s="700">
        <f t="shared" ref="AA7" si="9">(AA6/Z6)-1</f>
        <v>8.1404322033116649E-2</v>
      </c>
      <c r="AB7" s="700">
        <f t="shared" ref="AB7" si="10">(AB6/AA6)-1</f>
        <v>8.2215948642457848E-2</v>
      </c>
      <c r="AC7" s="700">
        <f t="shared" ref="AC7" si="11">(AC6/AB6)-1</f>
        <v>8.3019502669272827E-2</v>
      </c>
      <c r="AD7" s="873">
        <f t="shared" ref="AD7" si="12">(AD6/AC6)-1</f>
        <v>8.381311907843747E-2</v>
      </c>
    </row>
    <row r="8" spans="1:40">
      <c r="C8" s="13"/>
      <c r="D8" s="874" t="s">
        <v>1</v>
      </c>
      <c r="E8" s="263">
        <v>1813926</v>
      </c>
      <c r="F8" s="263">
        <v>1805035</v>
      </c>
      <c r="G8" s="263">
        <v>1773442</v>
      </c>
      <c r="H8" s="263">
        <v>2131946</v>
      </c>
      <c r="I8" s="263">
        <v>2231648</v>
      </c>
      <c r="J8" s="263">
        <v>2160639</v>
      </c>
      <c r="K8" s="263">
        <v>2299778</v>
      </c>
      <c r="L8" s="263">
        <v>2875765</v>
      </c>
      <c r="M8" s="263">
        <v>2833604</v>
      </c>
      <c r="N8" s="263">
        <v>3062606</v>
      </c>
      <c r="O8" s="263">
        <v>3832997</v>
      </c>
      <c r="P8" s="263">
        <f>O8*(1+P9)</f>
        <v>5252899.608255147</v>
      </c>
      <c r="Q8" s="263">
        <f>P8*(1+Q9)</f>
        <v>5742015.5064158374</v>
      </c>
      <c r="R8" s="263">
        <f t="shared" ref="R8:T8" si="13">Q8*(1+R9)</f>
        <v>6242817.5061211037</v>
      </c>
      <c r="S8" s="263">
        <f t="shared" si="13"/>
        <v>6779191.997249987</v>
      </c>
      <c r="T8" s="263">
        <f t="shared" si="13"/>
        <v>7323170.5944704898</v>
      </c>
      <c r="U8" s="263">
        <f t="shared" ref="U8" si="14">T8*(1+U9)</f>
        <v>7884136.8820131775</v>
      </c>
      <c r="V8" s="263">
        <f t="shared" ref="V8" si="15">U8*(1+V9)</f>
        <v>8492973.9114619605</v>
      </c>
      <c r="W8" s="263">
        <f t="shared" ref="W8" si="16">V8*(1+W9)</f>
        <v>9166850.2940163109</v>
      </c>
      <c r="X8" s="263">
        <f t="shared" ref="X8:Y8" si="17">W8*(1+X9)</f>
        <v>9934149.5303507056</v>
      </c>
      <c r="Y8" s="263">
        <f t="shared" si="17"/>
        <v>10734013.000433171</v>
      </c>
      <c r="Z8" s="263">
        <f t="shared" ref="Z8" si="18">Y8*(1+Z9)</f>
        <v>11600194.161698161</v>
      </c>
      <c r="AA8" s="263">
        <f t="shared" ref="AA8" si="19">Z8*(1+AA9)</f>
        <v>12544500.102883717</v>
      </c>
      <c r="AB8" s="263">
        <f t="shared" ref="AB8" si="20">AA8*(1+AB9)</f>
        <v>13575858.079087712</v>
      </c>
      <c r="AC8" s="263">
        <f t="shared" ref="AC8" si="21">AB8*(1+AC9)</f>
        <v>14702919.065122204</v>
      </c>
      <c r="AD8" s="875">
        <f t="shared" ref="AD8" si="22">AC8*(1+AD9)</f>
        <v>15935216.571527919</v>
      </c>
      <c r="AE8" s="160"/>
      <c r="AF8" s="160"/>
      <c r="AG8" s="160"/>
      <c r="AH8" s="160"/>
      <c r="AI8" s="160"/>
      <c r="AJ8" s="160"/>
      <c r="AK8" s="160"/>
      <c r="AL8" s="160"/>
      <c r="AM8" s="160"/>
      <c r="AN8" s="160"/>
    </row>
    <row r="9" spans="1:40" s="106" customFormat="1" ht="11">
      <c r="A9" s="105"/>
      <c r="B9" s="105"/>
      <c r="C9" s="105"/>
      <c r="D9" s="702" t="s">
        <v>442</v>
      </c>
      <c r="E9" s="232"/>
      <c r="F9" s="232">
        <f>(F8/E8)-1</f>
        <v>-4.901522994874119E-3</v>
      </c>
      <c r="G9" s="232">
        <f t="shared" ref="G9:O9" si="23">(G8/F8)-1</f>
        <v>-1.7502707703728748E-2</v>
      </c>
      <c r="H9" s="232">
        <f t="shared" si="23"/>
        <v>0.20215152229393452</v>
      </c>
      <c r="I9" s="232">
        <f t="shared" si="23"/>
        <v>4.6765724835432065E-2</v>
      </c>
      <c r="J9" s="232">
        <f t="shared" si="23"/>
        <v>-3.1819086164126209E-2</v>
      </c>
      <c r="K9" s="232">
        <f t="shared" si="23"/>
        <v>6.4397152879310138E-2</v>
      </c>
      <c r="L9" s="692">
        <f t="shared" si="23"/>
        <v>0.25045330462331572</v>
      </c>
      <c r="M9" s="692">
        <f t="shared" si="23"/>
        <v>-1.4660794605957039E-2</v>
      </c>
      <c r="N9" s="692">
        <f t="shared" si="23"/>
        <v>8.0816514939984652E-2</v>
      </c>
      <c r="O9" s="692">
        <f t="shared" si="23"/>
        <v>0.25154753827296106</v>
      </c>
      <c r="P9" s="692">
        <f>P7</f>
        <v>0.37044187831483999</v>
      </c>
      <c r="Q9" s="692">
        <f>Q7</f>
        <v>9.3113505803922969E-2</v>
      </c>
      <c r="R9" s="692">
        <f t="shared" ref="R9:AD9" si="24">R7</f>
        <v>8.7217110289182553E-2</v>
      </c>
      <c r="S9" s="692">
        <f t="shared" si="24"/>
        <v>8.5918656216198208E-2</v>
      </c>
      <c r="T9" s="692">
        <f t="shared" si="24"/>
        <v>8.0242394291409669E-2</v>
      </c>
      <c r="U9" s="692">
        <f t="shared" si="24"/>
        <v>7.6601559434687605E-2</v>
      </c>
      <c r="V9" s="692">
        <f t="shared" si="24"/>
        <v>7.7223041476839338E-2</v>
      </c>
      <c r="W9" s="692">
        <f t="shared" si="24"/>
        <v>7.9345161021264765E-2</v>
      </c>
      <c r="X9" s="692">
        <f t="shared" si="24"/>
        <v>8.37036944778351E-2</v>
      </c>
      <c r="Y9" s="692">
        <f t="shared" ref="Y9" si="25">Y7</f>
        <v>8.0516552286507448E-2</v>
      </c>
      <c r="Z9" s="692">
        <f t="shared" si="24"/>
        <v>8.0694998341257262E-2</v>
      </c>
      <c r="AA9" s="692">
        <f t="shared" si="24"/>
        <v>8.1404322033116649E-2</v>
      </c>
      <c r="AB9" s="692">
        <f t="shared" si="24"/>
        <v>8.2215948642457848E-2</v>
      </c>
      <c r="AC9" s="692">
        <f t="shared" si="24"/>
        <v>8.3019502669272827E-2</v>
      </c>
      <c r="AD9" s="728">
        <f t="shared" si="24"/>
        <v>8.381311907843747E-2</v>
      </c>
    </row>
    <row r="10" spans="1:40" s="106" customFormat="1" ht="12" thickBot="1">
      <c r="A10" s="105"/>
      <c r="B10" s="105"/>
      <c r="C10" s="105"/>
      <c r="D10" s="703" t="s">
        <v>443</v>
      </c>
      <c r="E10" s="232">
        <f>E8/E6</f>
        <v>0.70402361641489875</v>
      </c>
      <c r="F10" s="232">
        <f>F8/F6</f>
        <v>0.70937074336682437</v>
      </c>
      <c r="G10" s="232">
        <f t="shared" ref="G10:O10" si="26">G8/G6</f>
        <v>0.67976774832553566</v>
      </c>
      <c r="H10" s="232">
        <f t="shared" si="26"/>
        <v>0.7100626283107675</v>
      </c>
      <c r="I10" s="232">
        <f t="shared" si="26"/>
        <v>0.67599312753083041</v>
      </c>
      <c r="J10" s="232">
        <f t="shared" si="26"/>
        <v>0.631171712940364</v>
      </c>
      <c r="K10" s="232">
        <f t="shared" si="26"/>
        <v>0.6288364090959303</v>
      </c>
      <c r="L10" s="692">
        <f t="shared" si="26"/>
        <v>0.61871672055062543</v>
      </c>
      <c r="M10" s="692">
        <f t="shared" si="26"/>
        <v>0.60273749985110259</v>
      </c>
      <c r="N10" s="692">
        <f t="shared" si="26"/>
        <v>0.60776434998553319</v>
      </c>
      <c r="O10" s="692">
        <f t="shared" si="26"/>
        <v>0.62135444351449243</v>
      </c>
      <c r="P10" s="692">
        <f>P8/P6</f>
        <v>0.62135444351449243</v>
      </c>
      <c r="Q10" s="692">
        <f>Q8/Q6</f>
        <v>0.62135444351449243</v>
      </c>
      <c r="R10" s="692">
        <f t="shared" ref="R10:AD10" si="27">R8/R6</f>
        <v>0.62135444351449243</v>
      </c>
      <c r="S10" s="692">
        <f t="shared" si="27"/>
        <v>0.62135444351449243</v>
      </c>
      <c r="T10" s="692">
        <f t="shared" si="27"/>
        <v>0.62135444351449243</v>
      </c>
      <c r="U10" s="692">
        <f t="shared" si="27"/>
        <v>0.62135444351449254</v>
      </c>
      <c r="V10" s="692">
        <f t="shared" si="27"/>
        <v>0.62135444351449254</v>
      </c>
      <c r="W10" s="692">
        <f t="shared" si="27"/>
        <v>0.62135444351449254</v>
      </c>
      <c r="X10" s="692">
        <f t="shared" si="27"/>
        <v>0.62135444351449265</v>
      </c>
      <c r="Y10" s="692">
        <f t="shared" ref="Y10" si="28">Y8/Y6</f>
        <v>0.62135444351449265</v>
      </c>
      <c r="Z10" s="692">
        <f t="shared" si="27"/>
        <v>0.62135444351449265</v>
      </c>
      <c r="AA10" s="692">
        <f t="shared" si="27"/>
        <v>0.62135444351449276</v>
      </c>
      <c r="AB10" s="692">
        <f t="shared" si="27"/>
        <v>0.62135444351449265</v>
      </c>
      <c r="AC10" s="692">
        <f t="shared" si="27"/>
        <v>0.62135444351449265</v>
      </c>
      <c r="AD10" s="728">
        <f t="shared" si="27"/>
        <v>0.62135444351449254</v>
      </c>
    </row>
    <row r="11" spans="1:40" s="20" customFormat="1" ht="16" thickBot="1">
      <c r="A11" s="4"/>
      <c r="B11" s="4"/>
      <c r="C11" s="19"/>
      <c r="D11" s="691" t="s">
        <v>2</v>
      </c>
      <c r="E11" s="262">
        <f t="shared" ref="E11:F11" si="29">E6-E8</f>
        <v>762587</v>
      </c>
      <c r="F11" s="262">
        <f t="shared" si="29"/>
        <v>739523</v>
      </c>
      <c r="G11" s="262">
        <f>G6-G8</f>
        <v>835452</v>
      </c>
      <c r="H11" s="262">
        <f>H6-H8</f>
        <v>870530</v>
      </c>
      <c r="I11" s="262">
        <f t="shared" ref="I11:AD11" si="30">I6-I8</f>
        <v>1069640</v>
      </c>
      <c r="J11" s="262">
        <f t="shared" si="30"/>
        <v>1262580</v>
      </c>
      <c r="K11" s="262">
        <f t="shared" si="30"/>
        <v>1357418</v>
      </c>
      <c r="L11" s="262">
        <f t="shared" si="30"/>
        <v>1772186</v>
      </c>
      <c r="M11" s="262">
        <f t="shared" si="30"/>
        <v>1867620</v>
      </c>
      <c r="N11" s="262">
        <f t="shared" si="30"/>
        <v>1976528</v>
      </c>
      <c r="O11" s="262">
        <f t="shared" si="30"/>
        <v>2335780</v>
      </c>
      <c r="P11" s="262">
        <f t="shared" si="30"/>
        <v>3201050.7305302368</v>
      </c>
      <c r="Q11" s="262">
        <f t="shared" si="30"/>
        <v>3499111.7863061158</v>
      </c>
      <c r="R11" s="262">
        <f t="shared" si="30"/>
        <v>3804294.2048865547</v>
      </c>
      <c r="S11" s="262">
        <f t="shared" si="30"/>
        <v>4131154.0508214775</v>
      </c>
      <c r="T11" s="262">
        <f t="shared" si="30"/>
        <v>4462647.743046049</v>
      </c>
      <c r="U11" s="262">
        <f t="shared" si="30"/>
        <v>4804493.5193710644</v>
      </c>
      <c r="V11" s="262">
        <f t="shared" si="30"/>
        <v>5175511.1216926612</v>
      </c>
      <c r="W11" s="262">
        <f t="shared" si="30"/>
        <v>5586162.8850107118</v>
      </c>
      <c r="X11" s="262">
        <f t="shared" si="30"/>
        <v>6053745.3564410694</v>
      </c>
      <c r="Y11" s="262">
        <f t="shared" si="30"/>
        <v>6541172.0609621573</v>
      </c>
      <c r="Z11" s="262">
        <f t="shared" si="30"/>
        <v>7069011.9295713771</v>
      </c>
      <c r="AA11" s="262">
        <f t="shared" si="30"/>
        <v>7644460.0531421471</v>
      </c>
      <c r="AB11" s="262">
        <f t="shared" si="30"/>
        <v>8272956.5882706046</v>
      </c>
      <c r="AC11" s="262">
        <f t="shared" si="30"/>
        <v>8959773.3298333157</v>
      </c>
      <c r="AD11" s="876">
        <f t="shared" si="30"/>
        <v>9710719.8788424451</v>
      </c>
    </row>
    <row r="12" spans="1:40" s="106" customFormat="1" ht="11">
      <c r="A12" s="105"/>
      <c r="B12" s="105"/>
      <c r="C12" s="105"/>
      <c r="D12" s="702" t="s">
        <v>442</v>
      </c>
      <c r="E12" s="232"/>
      <c r="F12" s="232">
        <f>(F11/E11)-1</f>
        <v>-3.0244418013944618E-2</v>
      </c>
      <c r="G12" s="232">
        <f t="shared" ref="G12:O12" si="31">(G11/F11)-1</f>
        <v>0.1297173989179512</v>
      </c>
      <c r="H12" s="232">
        <f t="shared" si="31"/>
        <v>4.1986852625883975E-2</v>
      </c>
      <c r="I12" s="232">
        <f t="shared" si="31"/>
        <v>0.22872273212870331</v>
      </c>
      <c r="J12" s="232">
        <f t="shared" si="31"/>
        <v>0.18037844508432754</v>
      </c>
      <c r="K12" s="232">
        <f t="shared" si="31"/>
        <v>7.5114448193381866E-2</v>
      </c>
      <c r="L12" s="692">
        <f t="shared" si="31"/>
        <v>0.30555657873993125</v>
      </c>
      <c r="M12" s="692">
        <f t="shared" si="31"/>
        <v>5.3851006609915597E-2</v>
      </c>
      <c r="N12" s="692">
        <f t="shared" si="31"/>
        <v>5.8313789743095423E-2</v>
      </c>
      <c r="O12" s="692">
        <f t="shared" si="31"/>
        <v>0.1817591250920807</v>
      </c>
      <c r="P12" s="750"/>
      <c r="Q12" s="750"/>
      <c r="R12" s="750"/>
      <c r="S12" s="750"/>
      <c r="T12" s="750"/>
      <c r="U12" s="750"/>
      <c r="V12" s="750"/>
      <c r="W12" s="750"/>
      <c r="X12" s="750"/>
      <c r="Y12" s="750"/>
      <c r="Z12" s="750"/>
      <c r="AA12" s="750"/>
      <c r="AB12" s="750"/>
      <c r="AC12" s="750"/>
      <c r="AD12" s="877"/>
    </row>
    <row r="13" spans="1:40" s="106" customFormat="1" ht="11">
      <c r="A13" s="105"/>
      <c r="B13" s="105"/>
      <c r="C13" s="105"/>
      <c r="D13" s="703" t="s">
        <v>444</v>
      </c>
      <c r="E13" s="232">
        <f>E11/E6</f>
        <v>0.29597638358510125</v>
      </c>
      <c r="F13" s="232">
        <f t="shared" ref="F13:O13" si="32">F11/F6</f>
        <v>0.29062925663317557</v>
      </c>
      <c r="G13" s="232">
        <f t="shared" si="32"/>
        <v>0.32023225167446434</v>
      </c>
      <c r="H13" s="232">
        <f t="shared" si="32"/>
        <v>0.2899373716892325</v>
      </c>
      <c r="I13" s="232">
        <f t="shared" si="32"/>
        <v>0.32400687246916959</v>
      </c>
      <c r="J13" s="232">
        <f t="shared" si="32"/>
        <v>0.368828287059636</v>
      </c>
      <c r="K13" s="232">
        <f t="shared" si="32"/>
        <v>0.3711635909040697</v>
      </c>
      <c r="L13" s="692">
        <f t="shared" si="32"/>
        <v>0.38128327944937457</v>
      </c>
      <c r="M13" s="692">
        <f t="shared" si="32"/>
        <v>0.39726250014889741</v>
      </c>
      <c r="N13" s="692">
        <f t="shared" si="32"/>
        <v>0.39223565001446675</v>
      </c>
      <c r="O13" s="692">
        <f t="shared" si="32"/>
        <v>0.37864555648550757</v>
      </c>
      <c r="P13" s="750"/>
      <c r="Q13" s="750"/>
      <c r="R13" s="750"/>
      <c r="S13" s="750"/>
      <c r="T13" s="750"/>
      <c r="U13" s="750"/>
      <c r="V13" s="750"/>
      <c r="W13" s="750"/>
      <c r="X13" s="750"/>
      <c r="Y13" s="750"/>
      <c r="Z13" s="750"/>
      <c r="AA13" s="750"/>
      <c r="AB13" s="750"/>
      <c r="AC13" s="750"/>
      <c r="AD13" s="877"/>
    </row>
    <row r="14" spans="1:40">
      <c r="C14" s="13"/>
      <c r="D14" s="874" t="s">
        <v>3</v>
      </c>
      <c r="E14" s="263">
        <v>280808</v>
      </c>
      <c r="F14" s="263">
        <v>274465</v>
      </c>
      <c r="G14" s="263">
        <v>269448</v>
      </c>
      <c r="H14" s="263">
        <v>203459</v>
      </c>
      <c r="I14" s="263">
        <v>246473</v>
      </c>
      <c r="J14" s="263">
        <v>298073</v>
      </c>
      <c r="K14" s="263">
        <v>338927</v>
      </c>
      <c r="L14" s="263">
        <v>428870</v>
      </c>
      <c r="M14" s="263">
        <v>458384</v>
      </c>
      <c r="N14" s="263">
        <v>500320</v>
      </c>
      <c r="O14" s="263">
        <v>513241</v>
      </c>
      <c r="P14" s="752"/>
      <c r="Q14" s="752"/>
      <c r="R14" s="752"/>
      <c r="S14" s="752"/>
      <c r="T14" s="753"/>
      <c r="U14" s="753"/>
      <c r="V14" s="753"/>
      <c r="W14" s="753"/>
      <c r="X14" s="753"/>
      <c r="Y14" s="753"/>
      <c r="Z14" s="753"/>
      <c r="AA14" s="753"/>
      <c r="AB14" s="753"/>
      <c r="AC14" s="753"/>
      <c r="AD14" s="878"/>
      <c r="AE14" s="160"/>
      <c r="AF14" s="160"/>
      <c r="AG14" s="160"/>
      <c r="AH14" s="160"/>
      <c r="AI14" s="160"/>
      <c r="AJ14" s="160"/>
      <c r="AK14" s="160"/>
      <c r="AL14" s="160"/>
      <c r="AM14" s="160"/>
      <c r="AN14" s="160"/>
    </row>
    <row r="15" spans="1:40" s="106" customFormat="1" ht="11">
      <c r="A15" s="105"/>
      <c r="B15" s="105"/>
      <c r="C15" s="105"/>
      <c r="D15" s="702" t="s">
        <v>442</v>
      </c>
      <c r="E15" s="232"/>
      <c r="F15" s="232">
        <f>(F14/E14)-1</f>
        <v>-2.2588387795219544E-2</v>
      </c>
      <c r="G15" s="232">
        <f t="shared" ref="G15:O15" si="33">(G14/F14)-1</f>
        <v>-1.8279197711912221E-2</v>
      </c>
      <c r="H15" s="232">
        <f t="shared" si="33"/>
        <v>-0.24490439713785217</v>
      </c>
      <c r="I15" s="232">
        <f t="shared" si="33"/>
        <v>0.21141360175760227</v>
      </c>
      <c r="J15" s="232">
        <f t="shared" si="33"/>
        <v>0.20935356002483041</v>
      </c>
      <c r="K15" s="232">
        <f t="shared" si="33"/>
        <v>0.1370603845366738</v>
      </c>
      <c r="L15" s="692">
        <f t="shared" si="33"/>
        <v>0.26537572987693525</v>
      </c>
      <c r="M15" s="692">
        <f t="shared" si="33"/>
        <v>6.8818056753794821E-2</v>
      </c>
      <c r="N15" s="692">
        <f t="shared" si="33"/>
        <v>9.1486613843415165E-2</v>
      </c>
      <c r="O15" s="692">
        <f t="shared" si="33"/>
        <v>2.5825471698113223E-2</v>
      </c>
      <c r="P15" s="750"/>
      <c r="Q15" s="750"/>
      <c r="R15" s="750"/>
      <c r="S15" s="750"/>
      <c r="T15" s="750"/>
      <c r="U15" s="750"/>
      <c r="V15" s="750"/>
      <c r="W15" s="750"/>
      <c r="X15" s="750"/>
      <c r="Y15" s="750"/>
      <c r="Z15" s="750"/>
      <c r="AA15" s="750"/>
      <c r="AB15" s="750"/>
      <c r="AC15" s="750"/>
      <c r="AD15" s="877"/>
    </row>
    <row r="16" spans="1:40" s="106" customFormat="1" ht="11">
      <c r="A16" s="105"/>
      <c r="B16" s="105"/>
      <c r="C16" s="105"/>
      <c r="D16" s="703" t="s">
        <v>443</v>
      </c>
      <c r="E16" s="232">
        <f>E14/E6</f>
        <v>0.10898761232720347</v>
      </c>
      <c r="F16" s="232">
        <f t="shared" ref="F16:O16" si="34">F14/F6</f>
        <v>0.10786352678932844</v>
      </c>
      <c r="G16" s="232">
        <f t="shared" si="34"/>
        <v>0.10328054723572518</v>
      </c>
      <c r="H16" s="232">
        <f t="shared" si="34"/>
        <v>6.7763738994083556E-2</v>
      </c>
      <c r="I16" s="232">
        <f t="shared" si="34"/>
        <v>7.4659647991935266E-2</v>
      </c>
      <c r="J16" s="232">
        <f t="shared" si="34"/>
        <v>8.7073891562298528E-2</v>
      </c>
      <c r="K16" s="232">
        <f t="shared" si="34"/>
        <v>9.2674004893366399E-2</v>
      </c>
      <c r="L16" s="692">
        <f t="shared" si="34"/>
        <v>9.2270766193533457E-2</v>
      </c>
      <c r="M16" s="692">
        <f t="shared" si="34"/>
        <v>9.7503118336841638E-2</v>
      </c>
      <c r="N16" s="692">
        <f t="shared" si="34"/>
        <v>9.9286901281053455E-2</v>
      </c>
      <c r="O16" s="692">
        <f t="shared" si="34"/>
        <v>8.3199797950225793E-2</v>
      </c>
      <c r="P16" s="750"/>
      <c r="Q16" s="750"/>
      <c r="R16" s="750"/>
      <c r="S16" s="750"/>
      <c r="T16" s="750"/>
      <c r="U16" s="750"/>
      <c r="V16" s="750"/>
      <c r="W16" s="750"/>
      <c r="X16" s="750"/>
      <c r="Y16" s="750"/>
      <c r="Z16" s="750"/>
      <c r="AA16" s="750"/>
      <c r="AB16" s="750"/>
      <c r="AC16" s="750"/>
      <c r="AD16" s="877"/>
    </row>
    <row r="17" spans="1:40">
      <c r="C17" s="15"/>
      <c r="D17" s="874" t="s">
        <v>4</v>
      </c>
      <c r="E17" s="263">
        <v>15759</v>
      </c>
      <c r="F17" s="263">
        <v>14583</v>
      </c>
      <c r="G17" s="263">
        <v>17515</v>
      </c>
      <c r="H17" s="263">
        <v>24373</v>
      </c>
      <c r="I17" s="263">
        <v>29641</v>
      </c>
      <c r="J17" s="263">
        <v>39658</v>
      </c>
      <c r="K17" s="263">
        <v>44389</v>
      </c>
      <c r="L17" s="263">
        <v>51323</v>
      </c>
      <c r="M17" s="263">
        <v>63489</v>
      </c>
      <c r="N17" s="263">
        <v>57804</v>
      </c>
      <c r="O17" s="263">
        <v>69775</v>
      </c>
      <c r="P17" s="752"/>
      <c r="Q17" s="752"/>
      <c r="R17" s="752"/>
      <c r="S17" s="752"/>
      <c r="T17" s="753"/>
      <c r="U17" s="753"/>
      <c r="V17" s="753"/>
      <c r="W17" s="753"/>
      <c r="X17" s="753"/>
      <c r="Y17" s="753"/>
      <c r="Z17" s="753"/>
      <c r="AA17" s="753"/>
      <c r="AB17" s="753"/>
      <c r="AC17" s="753"/>
      <c r="AD17" s="878"/>
      <c r="AE17" s="160"/>
      <c r="AF17" s="160"/>
      <c r="AG17" s="160"/>
      <c r="AH17" s="160"/>
      <c r="AI17" s="160"/>
      <c r="AJ17" s="160"/>
      <c r="AK17" s="160"/>
      <c r="AL17" s="160"/>
      <c r="AM17" s="160"/>
      <c r="AN17" s="160"/>
    </row>
    <row r="18" spans="1:40" s="106" customFormat="1" ht="11">
      <c r="A18" s="105"/>
      <c r="B18" s="105"/>
      <c r="C18" s="105"/>
      <c r="D18" s="702" t="s">
        <v>442</v>
      </c>
      <c r="E18" s="232"/>
      <c r="F18" s="232">
        <f>(F17/E17)-1</f>
        <v>-7.4624024367028419E-2</v>
      </c>
      <c r="G18" s="232">
        <f t="shared" ref="G18:O18" si="35">(G17/F17)-1</f>
        <v>0.20105602413769463</v>
      </c>
      <c r="H18" s="232">
        <f t="shared" si="35"/>
        <v>0.39155009991435907</v>
      </c>
      <c r="I18" s="232">
        <f t="shared" si="35"/>
        <v>0.21614081155376841</v>
      </c>
      <c r="J18" s="232">
        <f t="shared" si="35"/>
        <v>0.33794406396545318</v>
      </c>
      <c r="K18" s="232">
        <f t="shared" si="35"/>
        <v>0.1192949720106915</v>
      </c>
      <c r="L18" s="692">
        <f t="shared" si="35"/>
        <v>0.15620987181508927</v>
      </c>
      <c r="M18" s="692">
        <f t="shared" si="35"/>
        <v>0.23704771739765795</v>
      </c>
      <c r="N18" s="692">
        <f t="shared" si="35"/>
        <v>-8.9543070453149354E-2</v>
      </c>
      <c r="O18" s="692">
        <f t="shared" si="35"/>
        <v>0.20709639471316854</v>
      </c>
      <c r="P18" s="750"/>
      <c r="Q18" s="750"/>
      <c r="R18" s="750"/>
      <c r="S18" s="750"/>
      <c r="T18" s="750"/>
      <c r="U18" s="750"/>
      <c r="V18" s="750"/>
      <c r="W18" s="750"/>
      <c r="X18" s="750"/>
      <c r="Y18" s="750"/>
      <c r="Z18" s="750"/>
      <c r="AA18" s="750"/>
      <c r="AB18" s="750"/>
      <c r="AC18" s="750"/>
      <c r="AD18" s="877"/>
    </row>
    <row r="19" spans="1:40" s="106" customFormat="1" ht="11">
      <c r="A19" s="105"/>
      <c r="B19" s="105"/>
      <c r="C19" s="105"/>
      <c r="D19" s="703" t="s">
        <v>443</v>
      </c>
      <c r="E19" s="232">
        <f>E17/E6</f>
        <v>6.1164061660080888E-3</v>
      </c>
      <c r="F19" s="232">
        <f t="shared" ref="F19:O19" si="36">F17/F6</f>
        <v>5.7310542734730352E-3</v>
      </c>
      <c r="G19" s="232">
        <f t="shared" si="36"/>
        <v>6.713572878008842E-3</v>
      </c>
      <c r="H19" s="232">
        <f t="shared" si="36"/>
        <v>8.1176335797521777E-3</v>
      </c>
      <c r="I19" s="232">
        <f t="shared" si="36"/>
        <v>8.9786168307642352E-3</v>
      </c>
      <c r="J19" s="232">
        <f t="shared" si="36"/>
        <v>1.1585002303387543E-2</v>
      </c>
      <c r="K19" s="232">
        <f t="shared" si="36"/>
        <v>1.2137440815313153E-2</v>
      </c>
      <c r="L19" s="692">
        <f t="shared" si="36"/>
        <v>1.1042069935763092E-2</v>
      </c>
      <c r="M19" s="692">
        <f t="shared" si="36"/>
        <v>1.3504780882595682E-2</v>
      </c>
      <c r="N19" s="692">
        <f t="shared" si="36"/>
        <v>1.1471018631375948E-2</v>
      </c>
      <c r="O19" s="692">
        <f t="shared" si="36"/>
        <v>1.1310994059276255E-2</v>
      </c>
      <c r="P19" s="750"/>
      <c r="Q19" s="750"/>
      <c r="R19" s="750"/>
      <c r="S19" s="750"/>
      <c r="T19" s="750"/>
      <c r="U19" s="750"/>
      <c r="V19" s="750"/>
      <c r="W19" s="750"/>
      <c r="X19" s="750"/>
      <c r="Y19" s="750"/>
      <c r="Z19" s="750"/>
      <c r="AA19" s="750"/>
      <c r="AB19" s="750"/>
      <c r="AC19" s="750"/>
      <c r="AD19" s="877"/>
    </row>
    <row r="20" spans="1:40">
      <c r="C20" s="13"/>
      <c r="D20" s="874" t="s">
        <v>5</v>
      </c>
      <c r="E20" s="263">
        <v>285348</v>
      </c>
      <c r="F20" s="263">
        <v>267150</v>
      </c>
      <c r="G20" s="263">
        <v>311766</v>
      </c>
      <c r="H20" s="263">
        <v>325414</v>
      </c>
      <c r="I20" s="263">
        <v>382660</v>
      </c>
      <c r="J20" s="263">
        <v>440375</v>
      </c>
      <c r="K20" s="263">
        <v>461413</v>
      </c>
      <c r="L20" s="263">
        <v>580968</v>
      </c>
      <c r="M20" s="263">
        <v>675526</v>
      </c>
      <c r="N20" s="263">
        <v>599358</v>
      </c>
      <c r="O20" s="263">
        <v>812148</v>
      </c>
      <c r="P20" s="752"/>
      <c r="Q20" s="752"/>
      <c r="R20" s="752"/>
      <c r="S20" s="752"/>
      <c r="T20" s="753"/>
      <c r="U20" s="753"/>
      <c r="V20" s="753"/>
      <c r="W20" s="753"/>
      <c r="X20" s="753"/>
      <c r="Y20" s="753"/>
      <c r="Z20" s="753"/>
      <c r="AA20" s="753"/>
      <c r="AB20" s="753"/>
      <c r="AC20" s="753"/>
      <c r="AD20" s="878"/>
      <c r="AE20" s="160"/>
      <c r="AF20" s="160"/>
      <c r="AG20" s="160"/>
      <c r="AH20" s="160"/>
      <c r="AI20" s="160"/>
      <c r="AJ20" s="160"/>
      <c r="AK20" s="160"/>
      <c r="AL20" s="160"/>
      <c r="AM20" s="160"/>
      <c r="AN20" s="160"/>
    </row>
    <row r="21" spans="1:40" s="106" customFormat="1" ht="11">
      <c r="A21" s="105"/>
      <c r="B21" s="105"/>
      <c r="C21" s="105"/>
      <c r="D21" s="702" t="s">
        <v>442</v>
      </c>
      <c r="E21" s="232"/>
      <c r="F21" s="232">
        <f>(F20/E20)-1</f>
        <v>-6.3774759241347456E-2</v>
      </c>
      <c r="G21" s="232">
        <f t="shared" ref="G21:O21" si="37">(G20/F20)-1</f>
        <v>0.16700729927007307</v>
      </c>
      <c r="H21" s="232">
        <f t="shared" si="37"/>
        <v>4.3776422060134879E-2</v>
      </c>
      <c r="I21" s="232">
        <f t="shared" si="37"/>
        <v>0.17591744669866682</v>
      </c>
      <c r="J21" s="232">
        <f t="shared" si="37"/>
        <v>0.15082579835885634</v>
      </c>
      <c r="K21" s="232">
        <f t="shared" si="37"/>
        <v>4.7772920806131047E-2</v>
      </c>
      <c r="L21" s="692">
        <f t="shared" si="37"/>
        <v>0.25910626705359396</v>
      </c>
      <c r="M21" s="692">
        <f t="shared" si="37"/>
        <v>0.16275939466545486</v>
      </c>
      <c r="N21" s="692">
        <f t="shared" si="37"/>
        <v>-0.11275361718127797</v>
      </c>
      <c r="O21" s="692">
        <f t="shared" si="37"/>
        <v>0.35502988197371188</v>
      </c>
      <c r="P21" s="750"/>
      <c r="Q21" s="750"/>
      <c r="R21" s="750"/>
      <c r="S21" s="750"/>
      <c r="T21" s="750"/>
      <c r="U21" s="750"/>
      <c r="V21" s="750"/>
      <c r="W21" s="750"/>
      <c r="X21" s="750"/>
      <c r="Y21" s="750"/>
      <c r="Z21" s="750"/>
      <c r="AA21" s="750"/>
      <c r="AB21" s="750"/>
      <c r="AC21" s="750"/>
      <c r="AD21" s="877"/>
    </row>
    <row r="22" spans="1:40" s="106" customFormat="1" ht="11">
      <c r="A22" s="105"/>
      <c r="B22" s="105"/>
      <c r="C22" s="105"/>
      <c r="D22" s="703" t="s">
        <v>443</v>
      </c>
      <c r="E22" s="232">
        <f>E20/E6</f>
        <v>0.11074968377803644</v>
      </c>
      <c r="F22" s="232">
        <f t="shared" ref="F22:O22" si="38">F20/F6</f>
        <v>0.10498876425689649</v>
      </c>
      <c r="G22" s="232">
        <f t="shared" si="38"/>
        <v>0.11950121392436795</v>
      </c>
      <c r="H22" s="232">
        <f t="shared" si="38"/>
        <v>0.10838188215326285</v>
      </c>
      <c r="I22" s="232">
        <f t="shared" si="38"/>
        <v>0.11591233482204522</v>
      </c>
      <c r="J22" s="232">
        <f t="shared" si="38"/>
        <v>0.12864353697499342</v>
      </c>
      <c r="K22" s="232">
        <f t="shared" si="38"/>
        <v>0.12616578384095356</v>
      </c>
      <c r="L22" s="692">
        <f t="shared" si="38"/>
        <v>0.12499443303081294</v>
      </c>
      <c r="M22" s="692">
        <f t="shared" si="38"/>
        <v>0.1436915152309271</v>
      </c>
      <c r="N22" s="692">
        <f t="shared" si="38"/>
        <v>0.11894067512393995</v>
      </c>
      <c r="O22" s="692">
        <f t="shared" si="38"/>
        <v>0.13165462132931699</v>
      </c>
      <c r="P22" s="750"/>
      <c r="Q22" s="750"/>
      <c r="R22" s="750"/>
      <c r="S22" s="750"/>
      <c r="T22" s="750"/>
      <c r="U22" s="750"/>
      <c r="V22" s="750"/>
      <c r="W22" s="750"/>
      <c r="X22" s="750"/>
      <c r="Y22" s="750"/>
      <c r="Z22" s="750"/>
      <c r="AA22" s="750"/>
      <c r="AB22" s="750"/>
      <c r="AC22" s="750"/>
      <c r="AD22" s="877"/>
    </row>
    <row r="23" spans="1:40">
      <c r="C23" s="13"/>
      <c r="D23" s="874" t="s">
        <v>6</v>
      </c>
      <c r="E23" s="263"/>
      <c r="F23" s="263"/>
      <c r="G23" s="263"/>
      <c r="H23" s="263"/>
      <c r="I23" s="263"/>
      <c r="J23" s="263"/>
      <c r="K23" s="263"/>
      <c r="L23" s="263"/>
      <c r="M23" s="263">
        <v>-43293</v>
      </c>
      <c r="N23" s="263">
        <v>-37196</v>
      </c>
      <c r="O23" s="263">
        <v>-40542</v>
      </c>
      <c r="P23" s="752"/>
      <c r="Q23" s="752"/>
      <c r="R23" s="752"/>
      <c r="S23" s="752"/>
      <c r="T23" s="753"/>
      <c r="U23" s="753"/>
      <c r="V23" s="753"/>
      <c r="W23" s="753"/>
      <c r="X23" s="753"/>
      <c r="Y23" s="753"/>
      <c r="Z23" s="753"/>
      <c r="AA23" s="753"/>
      <c r="AB23" s="753"/>
      <c r="AC23" s="753"/>
      <c r="AD23" s="878"/>
      <c r="AE23" s="160"/>
      <c r="AF23" s="160"/>
      <c r="AG23" s="160"/>
      <c r="AH23" s="160"/>
      <c r="AI23" s="160"/>
      <c r="AJ23" s="160"/>
      <c r="AK23" s="160"/>
      <c r="AL23" s="160"/>
      <c r="AM23" s="160"/>
      <c r="AN23" s="160"/>
    </row>
    <row r="24" spans="1:40" s="106" customFormat="1" ht="11">
      <c r="A24" s="105"/>
      <c r="B24" s="105"/>
      <c r="C24" s="105"/>
      <c r="D24" s="702" t="s">
        <v>442</v>
      </c>
      <c r="E24" s="232"/>
      <c r="F24" s="232" t="e">
        <f>(F23/E23)-1</f>
        <v>#DIV/0!</v>
      </c>
      <c r="G24" s="232" t="e">
        <f t="shared" ref="G24:O24" si="39">(G23/F23)-1</f>
        <v>#DIV/0!</v>
      </c>
      <c r="H24" s="232" t="e">
        <f t="shared" si="39"/>
        <v>#DIV/0!</v>
      </c>
      <c r="I24" s="232" t="e">
        <f t="shared" si="39"/>
        <v>#DIV/0!</v>
      </c>
      <c r="J24" s="232" t="e">
        <f t="shared" si="39"/>
        <v>#DIV/0!</v>
      </c>
      <c r="K24" s="232" t="e">
        <f t="shared" si="39"/>
        <v>#DIV/0!</v>
      </c>
      <c r="L24" s="692"/>
      <c r="M24" s="692"/>
      <c r="N24" s="692">
        <f t="shared" si="39"/>
        <v>-0.14083108123715149</v>
      </c>
      <c r="O24" s="692">
        <f t="shared" si="39"/>
        <v>8.9955909237552367E-2</v>
      </c>
      <c r="P24" s="750"/>
      <c r="Q24" s="750"/>
      <c r="R24" s="750"/>
      <c r="S24" s="750"/>
      <c r="T24" s="750"/>
      <c r="U24" s="750"/>
      <c r="V24" s="750"/>
      <c r="W24" s="750"/>
      <c r="X24" s="750"/>
      <c r="Y24" s="750"/>
      <c r="Z24" s="750"/>
      <c r="AA24" s="750"/>
      <c r="AB24" s="750"/>
      <c r="AC24" s="750"/>
      <c r="AD24" s="877"/>
    </row>
    <row r="25" spans="1:40" s="106" customFormat="1" ht="12" thickBot="1">
      <c r="A25" s="105"/>
      <c r="B25" s="105"/>
      <c r="C25" s="105"/>
      <c r="D25" s="703" t="s">
        <v>443</v>
      </c>
      <c r="E25" s="232">
        <f>E23/E6</f>
        <v>0</v>
      </c>
      <c r="F25" s="232">
        <f t="shared" ref="F25:O25" si="40">F23/F6</f>
        <v>0</v>
      </c>
      <c r="G25" s="232">
        <f t="shared" si="40"/>
        <v>0</v>
      </c>
      <c r="H25" s="232">
        <f t="shared" si="40"/>
        <v>0</v>
      </c>
      <c r="I25" s="232">
        <f t="shared" si="40"/>
        <v>0</v>
      </c>
      <c r="J25" s="232">
        <f t="shared" si="40"/>
        <v>0</v>
      </c>
      <c r="K25" s="232">
        <f t="shared" si="40"/>
        <v>0</v>
      </c>
      <c r="L25" s="692">
        <f t="shared" si="40"/>
        <v>0</v>
      </c>
      <c r="M25" s="692">
        <f t="shared" si="40"/>
        <v>-9.2088783686971737E-3</v>
      </c>
      <c r="N25" s="692">
        <f t="shared" si="40"/>
        <v>-7.3814270467901823E-3</v>
      </c>
      <c r="O25" s="692">
        <f t="shared" si="40"/>
        <v>-6.5721292891605578E-3</v>
      </c>
      <c r="P25" s="750"/>
      <c r="Q25" s="750"/>
      <c r="R25" s="750"/>
      <c r="S25" s="750"/>
      <c r="T25" s="750"/>
      <c r="U25" s="750"/>
      <c r="V25" s="750"/>
      <c r="W25" s="750"/>
      <c r="X25" s="750"/>
      <c r="Y25" s="750"/>
      <c r="Z25" s="750"/>
      <c r="AA25" s="750"/>
      <c r="AB25" s="750"/>
      <c r="AC25" s="750"/>
      <c r="AD25" s="877"/>
    </row>
    <row r="26" spans="1:40" s="20" customFormat="1" ht="16" thickBot="1">
      <c r="A26" s="4"/>
      <c r="B26" s="4"/>
      <c r="C26" s="19"/>
      <c r="D26" s="691" t="s">
        <v>7</v>
      </c>
      <c r="E26" s="262">
        <f>E11-E14-E17-E20</f>
        <v>180672</v>
      </c>
      <c r="F26" s="262">
        <f t="shared" ref="F26:L26" si="41">F11-F14-F17-F20</f>
        <v>183325</v>
      </c>
      <c r="G26" s="262">
        <f>G11-G14-G17-G20</f>
        <v>236723</v>
      </c>
      <c r="H26" s="262">
        <f t="shared" si="41"/>
        <v>317284</v>
      </c>
      <c r="I26" s="262">
        <f t="shared" si="41"/>
        <v>410866</v>
      </c>
      <c r="J26" s="262">
        <f t="shared" si="41"/>
        <v>484474</v>
      </c>
      <c r="K26" s="262">
        <f t="shared" si="41"/>
        <v>512689</v>
      </c>
      <c r="L26" s="262">
        <f t="shared" si="41"/>
        <v>711025</v>
      </c>
      <c r="M26" s="262">
        <f>M11-M14-M17-M20-M23</f>
        <v>713514</v>
      </c>
      <c r="N26" s="262">
        <f>N11-N14-N17-N20-N23</f>
        <v>856242</v>
      </c>
      <c r="O26" s="262">
        <f>O11-O14-O17-O20-O23</f>
        <v>981158</v>
      </c>
      <c r="P26" s="751"/>
      <c r="Q26" s="751"/>
      <c r="R26" s="751"/>
      <c r="S26" s="751"/>
      <c r="T26" s="751"/>
      <c r="U26" s="879"/>
      <c r="V26" s="879"/>
      <c r="W26" s="879"/>
      <c r="X26" s="879"/>
      <c r="Y26" s="879"/>
      <c r="Z26" s="879"/>
      <c r="AA26" s="879"/>
      <c r="AB26" s="879"/>
      <c r="AC26" s="879"/>
      <c r="AD26" s="880"/>
    </row>
    <row r="27" spans="1:40" s="106" customFormat="1" ht="11">
      <c r="A27" s="105"/>
      <c r="B27" s="105"/>
      <c r="C27" s="105"/>
      <c r="D27" s="702" t="s">
        <v>442</v>
      </c>
      <c r="E27" s="232"/>
      <c r="F27" s="232">
        <f>(F26/E26)-1</f>
        <v>1.4684068366985548E-2</v>
      </c>
      <c r="G27" s="232">
        <f t="shared" ref="G27:O27" si="42">(G26/F26)-1</f>
        <v>0.29127505795717989</v>
      </c>
      <c r="H27" s="232">
        <f t="shared" si="42"/>
        <v>0.34031758637732712</v>
      </c>
      <c r="I27" s="232">
        <f t="shared" si="42"/>
        <v>0.2949471136269084</v>
      </c>
      <c r="J27" s="232">
        <f t="shared" si="42"/>
        <v>0.17915330058948653</v>
      </c>
      <c r="K27" s="232">
        <f t="shared" si="42"/>
        <v>5.8238419399183394E-2</v>
      </c>
      <c r="L27" s="692">
        <f t="shared" si="42"/>
        <v>0.38685440881314004</v>
      </c>
      <c r="M27" s="692">
        <f t="shared" si="42"/>
        <v>3.5005801483773968E-3</v>
      </c>
      <c r="N27" s="692">
        <f t="shared" si="42"/>
        <v>0.20003531815773767</v>
      </c>
      <c r="O27" s="692">
        <f t="shared" si="42"/>
        <v>0.14588866231742892</v>
      </c>
      <c r="P27" s="750"/>
      <c r="Q27" s="750"/>
      <c r="R27" s="750"/>
      <c r="S27" s="750"/>
      <c r="T27" s="750"/>
      <c r="U27" s="750"/>
      <c r="V27" s="750"/>
      <c r="W27" s="750"/>
      <c r="X27" s="750"/>
      <c r="Y27" s="750"/>
      <c r="Z27" s="750"/>
      <c r="AA27" s="750"/>
      <c r="AB27" s="750"/>
      <c r="AC27" s="750"/>
      <c r="AD27" s="877"/>
    </row>
    <row r="28" spans="1:40" s="106" customFormat="1" ht="11">
      <c r="A28" s="105"/>
      <c r="B28" s="105"/>
      <c r="C28" s="105"/>
      <c r="D28" s="703" t="s">
        <v>445</v>
      </c>
      <c r="E28" s="232">
        <f>E26/E6</f>
        <v>7.0122681313853255E-2</v>
      </c>
      <c r="F28" s="232">
        <f t="shared" ref="F28:O28" si="43">F26/F6</f>
        <v>7.2045911313477623E-2</v>
      </c>
      <c r="G28" s="232">
        <f t="shared" si="43"/>
        <v>9.073691763636238E-2</v>
      </c>
      <c r="H28" s="232">
        <f t="shared" si="43"/>
        <v>0.10567411696213391</v>
      </c>
      <c r="I28" s="232">
        <f t="shared" si="43"/>
        <v>0.1244562728244249</v>
      </c>
      <c r="J28" s="232">
        <f t="shared" si="43"/>
        <v>0.1415258562189565</v>
      </c>
      <c r="K28" s="232">
        <f t="shared" si="43"/>
        <v>0.14018636135443657</v>
      </c>
      <c r="L28" s="692">
        <f t="shared" si="43"/>
        <v>0.15297601028926511</v>
      </c>
      <c r="M28" s="692">
        <f t="shared" si="43"/>
        <v>0.15177196406723015</v>
      </c>
      <c r="N28" s="692">
        <f t="shared" si="43"/>
        <v>0.1699184820248876</v>
      </c>
      <c r="O28" s="692">
        <f t="shared" si="43"/>
        <v>0.15905227243584913</v>
      </c>
      <c r="P28" s="750"/>
      <c r="Q28" s="750"/>
      <c r="R28" s="750"/>
      <c r="S28" s="750"/>
      <c r="T28" s="750"/>
      <c r="U28" s="750"/>
      <c r="V28" s="750"/>
      <c r="W28" s="750"/>
      <c r="X28" s="750"/>
      <c r="Y28" s="750"/>
      <c r="Z28" s="750"/>
      <c r="AA28" s="750"/>
      <c r="AB28" s="750"/>
      <c r="AC28" s="750"/>
      <c r="AD28" s="877"/>
    </row>
    <row r="29" spans="1:40">
      <c r="C29" s="13"/>
      <c r="D29" s="874" t="s">
        <v>8</v>
      </c>
      <c r="E29" s="263">
        <v>0</v>
      </c>
      <c r="F29" s="263"/>
      <c r="G29" s="263"/>
      <c r="H29" s="263"/>
      <c r="I29" s="263"/>
      <c r="J29" s="263"/>
      <c r="K29" s="263"/>
      <c r="L29" s="263">
        <v>0</v>
      </c>
      <c r="M29" s="263">
        <v>30046</v>
      </c>
      <c r="N29" s="263">
        <v>23324</v>
      </c>
      <c r="O29" s="263">
        <v>26097</v>
      </c>
      <c r="P29" s="752">
        <v>0</v>
      </c>
      <c r="Q29" s="752">
        <v>0</v>
      </c>
      <c r="R29" s="752"/>
      <c r="S29" s="752"/>
      <c r="T29" s="753"/>
      <c r="U29" s="753"/>
      <c r="V29" s="753"/>
      <c r="W29" s="753"/>
      <c r="X29" s="753"/>
      <c r="Y29" s="753"/>
      <c r="Z29" s="753"/>
      <c r="AA29" s="753"/>
      <c r="AB29" s="753"/>
      <c r="AC29" s="753"/>
      <c r="AD29" s="878"/>
      <c r="AE29" s="160"/>
      <c r="AF29" s="160"/>
      <c r="AG29" s="160"/>
      <c r="AH29" s="160"/>
      <c r="AI29" s="160"/>
      <c r="AJ29" s="160"/>
      <c r="AK29" s="160"/>
      <c r="AL29" s="160"/>
      <c r="AM29" s="160"/>
      <c r="AN29" s="160"/>
    </row>
    <row r="30" spans="1:40" s="106" customFormat="1" ht="11">
      <c r="A30" s="105"/>
      <c r="B30" s="105"/>
      <c r="C30" s="105"/>
      <c r="D30" s="702" t="s">
        <v>442</v>
      </c>
      <c r="E30" s="232"/>
      <c r="F30" s="232" t="e">
        <f>(F29/E29)-1</f>
        <v>#DIV/0!</v>
      </c>
      <c r="G30" s="232" t="e">
        <f t="shared" ref="G30:O30" si="44">(G29/F29)-1</f>
        <v>#DIV/0!</v>
      </c>
      <c r="H30" s="232" t="e">
        <f t="shared" si="44"/>
        <v>#DIV/0!</v>
      </c>
      <c r="I30" s="232" t="e">
        <f t="shared" si="44"/>
        <v>#DIV/0!</v>
      </c>
      <c r="J30" s="232" t="e">
        <f t="shared" si="44"/>
        <v>#DIV/0!</v>
      </c>
      <c r="K30" s="232" t="e">
        <f t="shared" si="44"/>
        <v>#DIV/0!</v>
      </c>
      <c r="L30" s="692"/>
      <c r="M30" s="692"/>
      <c r="N30" s="692">
        <f t="shared" si="44"/>
        <v>-0.22372362377687549</v>
      </c>
      <c r="O30" s="692">
        <f t="shared" si="44"/>
        <v>0.11889041330818051</v>
      </c>
      <c r="P30" s="858"/>
      <c r="Q30" s="750"/>
      <c r="R30" s="750"/>
      <c r="S30" s="750"/>
      <c r="T30" s="750"/>
      <c r="U30" s="750"/>
      <c r="V30" s="750"/>
      <c r="W30" s="750"/>
      <c r="X30" s="750"/>
      <c r="Y30" s="750"/>
      <c r="Z30" s="750"/>
      <c r="AA30" s="750"/>
      <c r="AB30" s="750"/>
      <c r="AC30" s="750"/>
      <c r="AD30" s="877"/>
    </row>
    <row r="31" spans="1:40" s="106" customFormat="1" ht="12" thickBot="1">
      <c r="A31" s="105"/>
      <c r="B31" s="105"/>
      <c r="C31" s="105"/>
      <c r="D31" s="703" t="s">
        <v>446</v>
      </c>
      <c r="E31" s="232">
        <f>E29/E26</f>
        <v>0</v>
      </c>
      <c r="F31" s="232">
        <f t="shared" ref="F31:O31" si="45">F29/F26</f>
        <v>0</v>
      </c>
      <c r="G31" s="232">
        <f t="shared" si="45"/>
        <v>0</v>
      </c>
      <c r="H31" s="232">
        <f t="shared" si="45"/>
        <v>0</v>
      </c>
      <c r="I31" s="232">
        <f t="shared" si="45"/>
        <v>0</v>
      </c>
      <c r="J31" s="232">
        <f t="shared" si="45"/>
        <v>0</v>
      </c>
      <c r="K31" s="232">
        <f t="shared" si="45"/>
        <v>0</v>
      </c>
      <c r="L31" s="692">
        <f t="shared" si="45"/>
        <v>0</v>
      </c>
      <c r="M31" s="692">
        <f t="shared" si="45"/>
        <v>4.2109895531131834E-2</v>
      </c>
      <c r="N31" s="692">
        <f t="shared" si="45"/>
        <v>2.7239962533956521E-2</v>
      </c>
      <c r="O31" s="692">
        <f t="shared" si="45"/>
        <v>2.6598162579319538E-2</v>
      </c>
      <c r="P31" s="858"/>
      <c r="Q31" s="750"/>
      <c r="R31" s="750"/>
      <c r="S31" s="750"/>
      <c r="T31" s="750"/>
      <c r="U31" s="750"/>
      <c r="V31" s="750"/>
      <c r="W31" s="750"/>
      <c r="X31" s="750"/>
      <c r="Y31" s="750"/>
      <c r="Z31" s="750"/>
      <c r="AA31" s="750"/>
      <c r="AB31" s="750"/>
      <c r="AC31" s="750"/>
      <c r="AD31" s="877"/>
    </row>
    <row r="32" spans="1:40" s="20" customFormat="1" ht="16" thickBot="1">
      <c r="A32" s="4"/>
      <c r="B32" s="4"/>
      <c r="C32" s="19"/>
      <c r="D32" s="691" t="s">
        <v>9</v>
      </c>
      <c r="E32" s="262">
        <f t="shared" ref="E32" si="46">E26+E29</f>
        <v>180672</v>
      </c>
      <c r="F32" s="262">
        <f t="shared" ref="F32" si="47">F26+F29</f>
        <v>183325</v>
      </c>
      <c r="G32" s="262">
        <f t="shared" ref="G32" si="48">G26+G29</f>
        <v>236723</v>
      </c>
      <c r="H32" s="262">
        <f t="shared" ref="H32:L32" si="49">H26+H29</f>
        <v>317284</v>
      </c>
      <c r="I32" s="262">
        <f t="shared" si="49"/>
        <v>410866</v>
      </c>
      <c r="J32" s="262">
        <f t="shared" si="49"/>
        <v>484474</v>
      </c>
      <c r="K32" s="262">
        <f t="shared" si="49"/>
        <v>512689</v>
      </c>
      <c r="L32" s="262">
        <f t="shared" si="49"/>
        <v>711025</v>
      </c>
      <c r="M32" s="262">
        <f>M26+M29</f>
        <v>743560</v>
      </c>
      <c r="N32" s="262">
        <f>N26+N29</f>
        <v>879566</v>
      </c>
      <c r="O32" s="262">
        <f>O26+O29</f>
        <v>1007255</v>
      </c>
      <c r="P32" s="262">
        <f>'All Together'!P51</f>
        <v>1653844.1042273296</v>
      </c>
      <c r="Q32" s="262">
        <f>'All Together'!Q51</f>
        <v>1801282.4492003783</v>
      </c>
      <c r="R32" s="262">
        <f>'All Together'!R51</f>
        <v>1913086.6095035733</v>
      </c>
      <c r="S32" s="262">
        <f>'All Together'!S51</f>
        <v>2087578.6114970965</v>
      </c>
      <c r="T32" s="262">
        <f>'All Together'!T51</f>
        <v>2266809.3788446356</v>
      </c>
      <c r="U32" s="262">
        <f>'All Together'!U51</f>
        <v>2444128.0031330413</v>
      </c>
      <c r="V32" s="262">
        <f>'All Together'!V51</f>
        <v>2644470.8557153419</v>
      </c>
      <c r="W32" s="262">
        <f>'All Together'!W51</f>
        <v>2867459.7122532884</v>
      </c>
      <c r="X32" s="262">
        <f>'All Together'!X51</f>
        <v>3120053.279338019</v>
      </c>
      <c r="Y32" s="262">
        <f>'All Together'!Y51</f>
        <v>3386480.7192832539</v>
      </c>
      <c r="Z32" s="262">
        <f>'All Together'!Z51</f>
        <v>3675537.8072529077</v>
      </c>
      <c r="AA32" s="262">
        <f>'All Together'!AA51</f>
        <v>3991337.2496793629</v>
      </c>
      <c r="AB32" s="262">
        <f>'All Together'!AB51</f>
        <v>4337121.5812901035</v>
      </c>
      <c r="AC32" s="262">
        <f>'All Together'!AC51</f>
        <v>4715900.0850399034</v>
      </c>
      <c r="AD32" s="876">
        <f>'All Together'!AD51</f>
        <v>5130989.4269775841</v>
      </c>
    </row>
    <row r="33" spans="1:40" s="106" customFormat="1" ht="11">
      <c r="A33" s="105"/>
      <c r="B33" s="105"/>
      <c r="C33" s="105"/>
      <c r="D33" s="702" t="s">
        <v>442</v>
      </c>
      <c r="E33" s="232"/>
      <c r="F33" s="232">
        <f>(F32/E32)-1</f>
        <v>1.4684068366985548E-2</v>
      </c>
      <c r="G33" s="232">
        <f t="shared" ref="G33:P33" si="50">(G32/F32)-1</f>
        <v>0.29127505795717989</v>
      </c>
      <c r="H33" s="232">
        <f t="shared" si="50"/>
        <v>0.34031758637732712</v>
      </c>
      <c r="I33" s="232">
        <f t="shared" si="50"/>
        <v>0.2949471136269084</v>
      </c>
      <c r="J33" s="232">
        <f t="shared" si="50"/>
        <v>0.17915330058948653</v>
      </c>
      <c r="K33" s="232">
        <f t="shared" si="50"/>
        <v>5.8238419399183394E-2</v>
      </c>
      <c r="L33" s="692">
        <f t="shared" si="50"/>
        <v>0.38685440881314004</v>
      </c>
      <c r="M33" s="692">
        <f t="shared" si="50"/>
        <v>4.5757884743855781E-2</v>
      </c>
      <c r="N33" s="692">
        <f t="shared" si="50"/>
        <v>0.18291193716714194</v>
      </c>
      <c r="O33" s="692">
        <f t="shared" si="50"/>
        <v>0.14517273291600641</v>
      </c>
      <c r="P33" s="692">
        <f t="shared" si="50"/>
        <v>0.64193188837715343</v>
      </c>
      <c r="Q33" s="692">
        <f t="shared" ref="Q33" si="51">(Q32/P32)-1</f>
        <v>8.9148877210486255E-2</v>
      </c>
      <c r="R33" s="692">
        <f t="shared" ref="R33" si="52">(R32/Q32)-1</f>
        <v>6.2069199837497369E-2</v>
      </c>
      <c r="S33" s="692">
        <f t="shared" ref="S33" si="53">(S32/R32)-1</f>
        <v>9.120967191276419E-2</v>
      </c>
      <c r="T33" s="692">
        <f t="shared" ref="T33" si="54">(T32/S32)-1</f>
        <v>8.5855817050647376E-2</v>
      </c>
      <c r="U33" s="692">
        <f t="shared" ref="U33" si="55">(U32/T32)-1</f>
        <v>7.822387975948053E-2</v>
      </c>
      <c r="V33" s="692">
        <f t="shared" ref="V33" si="56">(V32/U32)-1</f>
        <v>8.1969050853919256E-2</v>
      </c>
      <c r="W33" s="692">
        <f t="shared" ref="W33" si="57">(W32/V32)-1</f>
        <v>8.4322675009260717E-2</v>
      </c>
      <c r="X33" s="692">
        <f t="shared" ref="X33:Y33" si="58">(X32/W32)-1</f>
        <v>8.8089665568915398E-2</v>
      </c>
      <c r="Y33" s="692">
        <f t="shared" si="58"/>
        <v>8.539195202517913E-2</v>
      </c>
      <c r="Z33" s="692">
        <f t="shared" ref="Z33" si="59">(Z32/Y32)-1</f>
        <v>8.5356188896546392E-2</v>
      </c>
      <c r="AA33" s="692">
        <f t="shared" ref="AA33" si="60">(AA32/Z32)-1</f>
        <v>8.5919247464490978E-2</v>
      </c>
      <c r="AB33" s="692">
        <f t="shared" ref="AB33" si="61">(AB32/AA32)-1</f>
        <v>8.6633704440414849E-2</v>
      </c>
      <c r="AC33" s="692">
        <f t="shared" ref="AC33" si="62">(AC32/AB32)-1</f>
        <v>8.7334075526914301E-2</v>
      </c>
      <c r="AD33" s="728">
        <f t="shared" ref="AD33" si="63">(AD32/AC32)-1</f>
        <v>8.8019112884612394E-2</v>
      </c>
    </row>
    <row r="34" spans="1:40" s="106" customFormat="1" ht="11">
      <c r="A34" s="105"/>
      <c r="B34" s="105"/>
      <c r="C34" s="105"/>
      <c r="D34" s="703" t="s">
        <v>447</v>
      </c>
      <c r="E34" s="232">
        <f>E32/E6</f>
        <v>7.0122681313853255E-2</v>
      </c>
      <c r="F34" s="232">
        <f t="shared" ref="F34:P34" si="64">F32/F6</f>
        <v>7.2045911313477623E-2</v>
      </c>
      <c r="G34" s="232">
        <f t="shared" si="64"/>
        <v>9.073691763636238E-2</v>
      </c>
      <c r="H34" s="232">
        <f t="shared" si="64"/>
        <v>0.10567411696213391</v>
      </c>
      <c r="I34" s="232">
        <f t="shared" si="64"/>
        <v>0.1244562728244249</v>
      </c>
      <c r="J34" s="232">
        <f t="shared" si="64"/>
        <v>0.1415258562189565</v>
      </c>
      <c r="K34" s="232">
        <f t="shared" si="64"/>
        <v>0.14018636135443657</v>
      </c>
      <c r="L34" s="692">
        <f t="shared" si="64"/>
        <v>0.15297601028926511</v>
      </c>
      <c r="M34" s="692">
        <f t="shared" si="64"/>
        <v>0.1581630656186559</v>
      </c>
      <c r="N34" s="692">
        <f t="shared" si="64"/>
        <v>0.17454705510907231</v>
      </c>
      <c r="O34" s="692">
        <f t="shared" si="64"/>
        <v>0.16328277063670804</v>
      </c>
      <c r="P34" s="692">
        <f t="shared" si="64"/>
        <v>0.19562973970165817</v>
      </c>
      <c r="Q34" s="692">
        <f t="shared" ref="Q34:AD34" si="65">Q32/Q6</f>
        <v>0.19492020747501407</v>
      </c>
      <c r="R34" s="692">
        <f t="shared" si="65"/>
        <v>0.19041159932636037</v>
      </c>
      <c r="S34" s="692">
        <f t="shared" si="65"/>
        <v>0.19133935828424994</v>
      </c>
      <c r="T34" s="692">
        <f t="shared" si="65"/>
        <v>0.19233364319123628</v>
      </c>
      <c r="U34" s="692">
        <f t="shared" si="65"/>
        <v>0.19262346887071466</v>
      </c>
      <c r="V34" s="692">
        <f t="shared" si="65"/>
        <v>0.19347212579161821</v>
      </c>
      <c r="W34" s="692">
        <f t="shared" si="65"/>
        <v>0.19436434289435106</v>
      </c>
      <c r="X34" s="692">
        <f t="shared" si="65"/>
        <v>0.19515097524913158</v>
      </c>
      <c r="Y34" s="692">
        <f t="shared" ref="Y34" si="66">Y32/Y6</f>
        <v>0.19603151614572201</v>
      </c>
      <c r="Z34" s="692">
        <f t="shared" si="65"/>
        <v>0.19687702783310829</v>
      </c>
      <c r="AA34" s="692">
        <f t="shared" si="65"/>
        <v>0.1976990007822694</v>
      </c>
      <c r="AB34" s="692">
        <f t="shared" si="65"/>
        <v>0.19850603555943355</v>
      </c>
      <c r="AC34" s="692">
        <f t="shared" si="65"/>
        <v>0.19929685119201618</v>
      </c>
      <c r="AD34" s="728">
        <f t="shared" si="65"/>
        <v>0.2000702698810394</v>
      </c>
    </row>
    <row r="35" spans="1:40">
      <c r="C35" s="13"/>
      <c r="D35" s="874" t="s">
        <v>10</v>
      </c>
      <c r="E35" s="263">
        <v>-27830</v>
      </c>
      <c r="F35" s="263">
        <v>-5882</v>
      </c>
      <c r="G35" s="263">
        <v>2549</v>
      </c>
      <c r="H35" s="263">
        <v>11725</v>
      </c>
      <c r="I35" s="263">
        <v>19329</v>
      </c>
      <c r="J35" s="263">
        <v>-19697</v>
      </c>
      <c r="K35" s="263"/>
      <c r="L35" s="263">
        <v>-47955</v>
      </c>
      <c r="M35" s="263"/>
      <c r="N35" s="263"/>
      <c r="O35" s="263">
        <v>18346</v>
      </c>
      <c r="P35" s="263">
        <v>0</v>
      </c>
      <c r="Q35" s="263">
        <v>0</v>
      </c>
      <c r="R35" s="263">
        <v>0</v>
      </c>
      <c r="S35" s="263">
        <v>0</v>
      </c>
      <c r="T35" s="263">
        <v>0</v>
      </c>
      <c r="U35" s="263">
        <v>0</v>
      </c>
      <c r="V35" s="263">
        <v>0</v>
      </c>
      <c r="W35" s="263">
        <v>0</v>
      </c>
      <c r="X35" s="263">
        <v>0</v>
      </c>
      <c r="Y35" s="263">
        <v>0</v>
      </c>
      <c r="Z35" s="263">
        <v>0</v>
      </c>
      <c r="AA35" s="263">
        <v>0</v>
      </c>
      <c r="AB35" s="263">
        <v>0</v>
      </c>
      <c r="AC35" s="263">
        <v>0</v>
      </c>
      <c r="AD35" s="875">
        <v>0</v>
      </c>
      <c r="AE35" s="160"/>
      <c r="AF35" s="160"/>
      <c r="AG35" s="160"/>
      <c r="AH35" s="160"/>
      <c r="AI35" s="160"/>
      <c r="AJ35" s="160"/>
      <c r="AK35" s="160"/>
      <c r="AL35" s="160"/>
      <c r="AM35" s="160"/>
      <c r="AN35" s="160"/>
    </row>
    <row r="36" spans="1:40" s="106" customFormat="1" ht="11">
      <c r="A36" s="105"/>
      <c r="B36" s="105"/>
      <c r="C36" s="105"/>
      <c r="D36" s="702" t="s">
        <v>442</v>
      </c>
      <c r="E36" s="232"/>
      <c r="F36" s="232">
        <f>(F35/E35)-1</f>
        <v>-0.7886453467481136</v>
      </c>
      <c r="G36" s="232">
        <f t="shared" ref="G36:K36" si="67">(G35/F35)-1</f>
        <v>-1.4333560013600817</v>
      </c>
      <c r="H36" s="232">
        <f t="shared" si="67"/>
        <v>3.5998430757159667</v>
      </c>
      <c r="I36" s="232">
        <f t="shared" si="67"/>
        <v>0.64852878464818753</v>
      </c>
      <c r="J36" s="232">
        <f t="shared" si="67"/>
        <v>-2.0190387500646696</v>
      </c>
      <c r="K36" s="232">
        <f t="shared" si="67"/>
        <v>-1</v>
      </c>
      <c r="L36" s="232"/>
      <c r="M36" s="232"/>
      <c r="N36" s="232"/>
      <c r="O36" s="232"/>
      <c r="P36" s="232"/>
      <c r="Q36" s="232"/>
      <c r="R36" s="232"/>
      <c r="S36" s="232"/>
      <c r="T36" s="232"/>
      <c r="U36" s="232"/>
      <c r="V36" s="232"/>
      <c r="W36" s="232"/>
      <c r="X36" s="232"/>
      <c r="Y36" s="232"/>
      <c r="Z36" s="232"/>
      <c r="AA36" s="232"/>
      <c r="AB36" s="232"/>
      <c r="AC36" s="232"/>
      <c r="AD36" s="251"/>
    </row>
    <row r="37" spans="1:40" s="106" customFormat="1" ht="12" thickBot="1">
      <c r="A37" s="105"/>
      <c r="B37" s="105"/>
      <c r="C37" s="105"/>
      <c r="D37" s="703" t="s">
        <v>448</v>
      </c>
      <c r="E37" s="232">
        <f>E35/E32</f>
        <v>-0.15403604321643641</v>
      </c>
      <c r="F37" s="232">
        <f t="shared" ref="F37:O37" si="68">F35/F32</f>
        <v>-3.208509477703532E-2</v>
      </c>
      <c r="G37" s="232">
        <f t="shared" si="68"/>
        <v>1.0767859481334725E-2</v>
      </c>
      <c r="H37" s="232">
        <f t="shared" si="68"/>
        <v>3.6954274404003985E-2</v>
      </c>
      <c r="I37" s="232">
        <f t="shared" si="68"/>
        <v>4.7044535201257828E-2</v>
      </c>
      <c r="J37" s="232">
        <f t="shared" si="68"/>
        <v>-4.065646453679661E-2</v>
      </c>
      <c r="K37" s="232">
        <f t="shared" si="68"/>
        <v>0</v>
      </c>
      <c r="L37" s="232"/>
      <c r="M37" s="232"/>
      <c r="N37" s="232"/>
      <c r="O37" s="692">
        <f t="shared" si="68"/>
        <v>1.8213858456895226E-2</v>
      </c>
      <c r="P37" s="232"/>
      <c r="Q37" s="232"/>
      <c r="R37" s="232"/>
      <c r="S37" s="232"/>
      <c r="T37" s="232"/>
      <c r="U37" s="232"/>
      <c r="V37" s="232"/>
      <c r="W37" s="232"/>
      <c r="X37" s="232"/>
      <c r="Y37" s="232"/>
      <c r="Z37" s="232"/>
      <c r="AA37" s="232"/>
      <c r="AB37" s="232"/>
      <c r="AC37" s="232"/>
      <c r="AD37" s="251"/>
    </row>
    <row r="38" spans="1:40" s="20" customFormat="1" ht="16" thickBot="1">
      <c r="A38" s="4"/>
      <c r="B38" s="4"/>
      <c r="C38" s="19"/>
      <c r="D38" s="691" t="s">
        <v>11</v>
      </c>
      <c r="E38" s="262">
        <f t="shared" ref="E38" si="69">E32+E35</f>
        <v>152842</v>
      </c>
      <c r="F38" s="262">
        <f t="shared" ref="F38" si="70">F32+F35</f>
        <v>177443</v>
      </c>
      <c r="G38" s="262">
        <f t="shared" ref="G38" si="71">G32+G35</f>
        <v>239272</v>
      </c>
      <c r="H38" s="262">
        <f t="shared" ref="H38:L38" si="72">H32+H35</f>
        <v>329009</v>
      </c>
      <c r="I38" s="262">
        <f t="shared" si="72"/>
        <v>430195</v>
      </c>
      <c r="J38" s="262">
        <f t="shared" si="72"/>
        <v>464777</v>
      </c>
      <c r="K38" s="262">
        <f t="shared" si="72"/>
        <v>512689</v>
      </c>
      <c r="L38" s="262">
        <f t="shared" si="72"/>
        <v>663070</v>
      </c>
      <c r="M38" s="262">
        <f>M32+M35</f>
        <v>743560</v>
      </c>
      <c r="N38" s="262">
        <f>N32+N35</f>
        <v>879566</v>
      </c>
      <c r="O38" s="262">
        <f>O32+O35</f>
        <v>1025601</v>
      </c>
      <c r="P38" s="262">
        <f t="shared" ref="P38" si="73">P32+P35</f>
        <v>1653844.1042273296</v>
      </c>
      <c r="Q38" s="262">
        <f>Q32+Q35</f>
        <v>1801282.4492003783</v>
      </c>
      <c r="R38" s="262">
        <f t="shared" ref="R38:AD38" si="74">R32+R35</f>
        <v>1913086.6095035733</v>
      </c>
      <c r="S38" s="262">
        <f t="shared" si="74"/>
        <v>2087578.6114970965</v>
      </c>
      <c r="T38" s="262">
        <f t="shared" si="74"/>
        <v>2266809.3788446356</v>
      </c>
      <c r="U38" s="262">
        <f t="shared" si="74"/>
        <v>2444128.0031330413</v>
      </c>
      <c r="V38" s="262">
        <f t="shared" si="74"/>
        <v>2644470.8557153419</v>
      </c>
      <c r="W38" s="262">
        <f t="shared" si="74"/>
        <v>2867459.7122532884</v>
      </c>
      <c r="X38" s="262">
        <f t="shared" si="74"/>
        <v>3120053.279338019</v>
      </c>
      <c r="Y38" s="262">
        <f t="shared" si="74"/>
        <v>3386480.7192832539</v>
      </c>
      <c r="Z38" s="262">
        <f t="shared" si="74"/>
        <v>3675537.8072529077</v>
      </c>
      <c r="AA38" s="262">
        <f t="shared" si="74"/>
        <v>3991337.2496793629</v>
      </c>
      <c r="AB38" s="262">
        <f t="shared" si="74"/>
        <v>4337121.5812901035</v>
      </c>
      <c r="AC38" s="262">
        <f t="shared" si="74"/>
        <v>4715900.0850399034</v>
      </c>
      <c r="AD38" s="876">
        <f t="shared" si="74"/>
        <v>5130989.4269775841</v>
      </c>
    </row>
    <row r="39" spans="1:40" s="106" customFormat="1" ht="11">
      <c r="A39" s="105"/>
      <c r="B39" s="105"/>
      <c r="C39" s="105"/>
      <c r="D39" s="702" t="s">
        <v>442</v>
      </c>
      <c r="E39" s="232"/>
      <c r="F39" s="232">
        <f>(F38/E38)-1</f>
        <v>0.16095706677483945</v>
      </c>
      <c r="G39" s="232">
        <f t="shared" ref="G39" si="75">(G38/F38)-1</f>
        <v>0.34844428915200942</v>
      </c>
      <c r="H39" s="232">
        <f t="shared" ref="H39" si="76">(H38/G38)-1</f>
        <v>0.37504179344010158</v>
      </c>
      <c r="I39" s="232">
        <f t="shared" ref="I39" si="77">(I38/H38)-1</f>
        <v>0.30754781784084928</v>
      </c>
      <c r="J39" s="232">
        <f t="shared" ref="J39" si="78">(J38/I38)-1</f>
        <v>8.0386801334278557E-2</v>
      </c>
      <c r="K39" s="232">
        <f t="shared" ref="K39" si="79">(K38/J38)-1</f>
        <v>0.10308599607984048</v>
      </c>
      <c r="L39" s="692">
        <f t="shared" ref="L39" si="80">(L38/K38)-1</f>
        <v>0.293318171445067</v>
      </c>
      <c r="M39" s="692">
        <f t="shared" ref="M39" si="81">(M38/L38)-1</f>
        <v>0.12138989850242066</v>
      </c>
      <c r="N39" s="692">
        <f t="shared" ref="N39" si="82">(N38/M38)-1</f>
        <v>0.18291193716714194</v>
      </c>
      <c r="O39" s="692">
        <f t="shared" ref="O39" si="83">(O38/N38)-1</f>
        <v>0.16603074698203435</v>
      </c>
      <c r="P39" s="692">
        <f t="shared" ref="P39" si="84">(P38/O38)-1</f>
        <v>0.61256093181201043</v>
      </c>
      <c r="Q39" s="692">
        <f t="shared" ref="Q39" si="85">(Q38/P38)-1</f>
        <v>8.9148877210486255E-2</v>
      </c>
      <c r="R39" s="692">
        <f t="shared" ref="R39" si="86">(R38/Q38)-1</f>
        <v>6.2069199837497369E-2</v>
      </c>
      <c r="S39" s="692">
        <f t="shared" ref="S39" si="87">(S38/R38)-1</f>
        <v>9.120967191276419E-2</v>
      </c>
      <c r="T39" s="692">
        <f t="shared" ref="T39" si="88">(T38/S38)-1</f>
        <v>8.5855817050647376E-2</v>
      </c>
      <c r="U39" s="692">
        <f t="shared" ref="U39" si="89">(U38/T38)-1</f>
        <v>7.822387975948053E-2</v>
      </c>
      <c r="V39" s="692">
        <f t="shared" ref="V39" si="90">(V38/U38)-1</f>
        <v>8.1969050853919256E-2</v>
      </c>
      <c r="W39" s="692">
        <f t="shared" ref="W39" si="91">(W38/V38)-1</f>
        <v>8.4322675009260717E-2</v>
      </c>
      <c r="X39" s="692">
        <f t="shared" ref="X39" si="92">(X38/W38)-1</f>
        <v>8.8089665568915398E-2</v>
      </c>
      <c r="Y39" s="692">
        <f t="shared" ref="Y39" si="93">(Y38/X38)-1</f>
        <v>8.539195202517913E-2</v>
      </c>
      <c r="Z39" s="692">
        <f t="shared" ref="Z39" si="94">(Z38/Y38)-1</f>
        <v>8.5356188896546392E-2</v>
      </c>
      <c r="AA39" s="692">
        <f t="shared" ref="AA39" si="95">(AA38/Z38)-1</f>
        <v>8.5919247464490978E-2</v>
      </c>
      <c r="AB39" s="692">
        <f t="shared" ref="AB39" si="96">(AB38/AA38)-1</f>
        <v>8.6633704440414849E-2</v>
      </c>
      <c r="AC39" s="692">
        <f t="shared" ref="AC39" si="97">(AC38/AB38)-1</f>
        <v>8.7334075526914301E-2</v>
      </c>
      <c r="AD39" s="728">
        <f t="shared" ref="AD39" si="98">(AD38/AC38)-1</f>
        <v>8.8019112884612394E-2</v>
      </c>
    </row>
    <row r="40" spans="1:40" s="106" customFormat="1" ht="11">
      <c r="A40" s="105"/>
      <c r="B40" s="105"/>
      <c r="C40" s="105"/>
      <c r="D40" s="703" t="s">
        <v>460</v>
      </c>
      <c r="E40" s="232">
        <f>E38/E6</f>
        <v>5.9321260944540162E-2</v>
      </c>
      <c r="F40" s="232">
        <f t="shared" ref="F40:O40" si="99">F38/F6</f>
        <v>6.9734311420686812E-2</v>
      </c>
      <c r="G40" s="232">
        <f t="shared" si="99"/>
        <v>9.1713960015240181E-2</v>
      </c>
      <c r="H40" s="232">
        <f t="shared" si="99"/>
        <v>0.10957922727775343</v>
      </c>
      <c r="I40" s="232">
        <f t="shared" si="99"/>
        <v>0.1303112603323309</v>
      </c>
      <c r="J40" s="232">
        <f t="shared" si="99"/>
        <v>0.13577191526455071</v>
      </c>
      <c r="K40" s="232">
        <f t="shared" si="99"/>
        <v>0.14018636135443657</v>
      </c>
      <c r="L40" s="692">
        <f t="shared" si="99"/>
        <v>0.14265856072923316</v>
      </c>
      <c r="M40" s="692">
        <f t="shared" si="99"/>
        <v>0.1581630656186559</v>
      </c>
      <c r="N40" s="692">
        <f t="shared" si="99"/>
        <v>0.17454705510907231</v>
      </c>
      <c r="O40" s="692">
        <f t="shared" si="99"/>
        <v>0.16625677990953475</v>
      </c>
      <c r="P40" s="692">
        <f t="shared" ref="P40:T40" si="100">P38/P6</f>
        <v>0.19562973970165817</v>
      </c>
      <c r="Q40" s="692">
        <f t="shared" si="100"/>
        <v>0.19492020747501407</v>
      </c>
      <c r="R40" s="692">
        <f t="shared" si="100"/>
        <v>0.19041159932636037</v>
      </c>
      <c r="S40" s="692">
        <f t="shared" si="100"/>
        <v>0.19133935828424994</v>
      </c>
      <c r="T40" s="692">
        <f t="shared" si="100"/>
        <v>0.19233364319123628</v>
      </c>
      <c r="U40" s="692">
        <f t="shared" ref="U40:AD40" si="101">U38/U6</f>
        <v>0.19262346887071466</v>
      </c>
      <c r="V40" s="692">
        <f t="shared" si="101"/>
        <v>0.19347212579161821</v>
      </c>
      <c r="W40" s="692">
        <f t="shared" si="101"/>
        <v>0.19436434289435106</v>
      </c>
      <c r="X40" s="692">
        <f t="shared" si="101"/>
        <v>0.19515097524913158</v>
      </c>
      <c r="Y40" s="692">
        <f t="shared" si="101"/>
        <v>0.19603151614572201</v>
      </c>
      <c r="Z40" s="692">
        <f t="shared" si="101"/>
        <v>0.19687702783310829</v>
      </c>
      <c r="AA40" s="692">
        <f t="shared" si="101"/>
        <v>0.1976990007822694</v>
      </c>
      <c r="AB40" s="692">
        <f t="shared" si="101"/>
        <v>0.19850603555943355</v>
      </c>
      <c r="AC40" s="692">
        <f t="shared" si="101"/>
        <v>0.19929685119201618</v>
      </c>
      <c r="AD40" s="728">
        <f t="shared" si="101"/>
        <v>0.2000702698810394</v>
      </c>
    </row>
    <row r="41" spans="1:40">
      <c r="C41" s="13"/>
      <c r="D41" s="874" t="s">
        <v>12</v>
      </c>
      <c r="E41" s="263">
        <f>1+29047</f>
        <v>29048</v>
      </c>
      <c r="F41" s="263">
        <f>6151+28500</f>
        <v>34651</v>
      </c>
      <c r="G41" s="263">
        <f>15922+19856</f>
        <v>35778</v>
      </c>
      <c r="H41" s="263">
        <f>19103+16775</f>
        <v>35878</v>
      </c>
      <c r="I41" s="263">
        <f>18731+12830</f>
        <v>31561</v>
      </c>
      <c r="J41" s="263">
        <f>13532+6218</f>
        <v>19750</v>
      </c>
      <c r="K41" s="263">
        <v>25826</v>
      </c>
      <c r="L41" s="263">
        <v>36279</v>
      </c>
      <c r="M41" s="263">
        <v>16451</v>
      </c>
      <c r="N41" s="263">
        <v>13273</v>
      </c>
      <c r="O41" s="263">
        <v>61558</v>
      </c>
      <c r="P41" s="263">
        <f>'2e. Notes to the New Fin Stat'!P97</f>
        <v>53568.098538384831</v>
      </c>
      <c r="Q41" s="263">
        <f>'2e. Notes to the New Fin Stat'!Q97</f>
        <v>1464.164400403203</v>
      </c>
      <c r="R41" s="263">
        <f>'2e. Notes to the New Fin Stat'!R97</f>
        <v>5317.2219369511722</v>
      </c>
      <c r="S41" s="263">
        <f>'2e. Notes to the New Fin Stat'!S97</f>
        <v>6919.9562203362038</v>
      </c>
      <c r="T41" s="263">
        <f>'2e. Notes to the New Fin Stat'!T97</f>
        <v>8390.0637170864265</v>
      </c>
      <c r="U41" s="263">
        <f>'2e. Notes to the New Fin Stat'!U97</f>
        <v>10105.290038473138</v>
      </c>
      <c r="V41" s="263">
        <f>'2e. Notes to the New Fin Stat'!V97</f>
        <v>11894.738482998695</v>
      </c>
      <c r="W41" s="263">
        <f>'2e. Notes to the New Fin Stat'!W97</f>
        <v>13377.100731142393</v>
      </c>
      <c r="X41" s="263">
        <f>'2e. Notes to the New Fin Stat'!X97</f>
        <v>14341.156527019926</v>
      </c>
      <c r="Y41" s="263">
        <f>'2e. Notes to the New Fin Stat'!Y97</f>
        <v>14429.868088161771</v>
      </c>
      <c r="Z41" s="263">
        <f>'2e. Notes to the New Fin Stat'!Z97</f>
        <v>14476.565220047522</v>
      </c>
      <c r="AA41" s="263">
        <f>'2e. Notes to the New Fin Stat'!AA97</f>
        <v>14027.151837097421</v>
      </c>
      <c r="AB41" s="263">
        <f>'2e. Notes to the New Fin Stat'!AB97</f>
        <v>12930.694187671159</v>
      </c>
      <c r="AC41" s="263">
        <f>'2e. Notes to the New Fin Stat'!AC97</f>
        <v>11075.183374559851</v>
      </c>
      <c r="AD41" s="875">
        <f>'2e. Notes to the New Fin Stat'!AD97</f>
        <v>8350.6765004538338</v>
      </c>
      <c r="AE41" s="160"/>
      <c r="AF41" s="160"/>
      <c r="AG41" s="160"/>
      <c r="AH41" s="160"/>
      <c r="AI41" s="160"/>
      <c r="AJ41" s="160"/>
      <c r="AK41" s="160"/>
      <c r="AL41" s="160"/>
      <c r="AM41" s="160"/>
      <c r="AN41" s="160"/>
    </row>
    <row r="42" spans="1:40" ht="16" thickBot="1">
      <c r="B42" s="4"/>
      <c r="C42" s="13"/>
      <c r="D42" s="874" t="s">
        <v>13</v>
      </c>
      <c r="E42" s="263">
        <v>-2440</v>
      </c>
      <c r="F42" s="263">
        <v>-5160</v>
      </c>
      <c r="G42" s="263">
        <v>-8675</v>
      </c>
      <c r="H42" s="263">
        <v>-6464</v>
      </c>
      <c r="I42" s="263">
        <v>-5600</v>
      </c>
      <c r="J42" s="263">
        <v>-5497</v>
      </c>
      <c r="K42" s="263">
        <v>-2872</v>
      </c>
      <c r="L42" s="263">
        <v>-3108</v>
      </c>
      <c r="M42" s="263">
        <v>-7485</v>
      </c>
      <c r="N42" s="263">
        <v>-17102</v>
      </c>
      <c r="O42" s="263">
        <v>-158442</v>
      </c>
      <c r="P42" s="263">
        <f>-'2e. Notes to the New Fin Stat'!P87</f>
        <v>-220455.89597000001</v>
      </c>
      <c r="Q42" s="263">
        <f>-'2e. Notes to the New Fin Stat'!Q87</f>
        <v>-172211.34640000001</v>
      </c>
      <c r="R42" s="263">
        <f>-'2e. Notes to the New Fin Stat'!R87</f>
        <v>-177325.01490000001</v>
      </c>
      <c r="S42" s="263">
        <f>-'2e. Notes to the New Fin Stat'!S87</f>
        <v>-183101.7524</v>
      </c>
      <c r="T42" s="263">
        <f>-'2e. Notes to the New Fin Stat'!T87</f>
        <v>-189210.02439999999</v>
      </c>
      <c r="U42" s="263">
        <f>-'2e. Notes to the New Fin Stat'!U87</f>
        <v>-195288.1569</v>
      </c>
      <c r="V42" s="263">
        <f>-'2e. Notes to the New Fin Stat'!V87</f>
        <v>-201959.03290000002</v>
      </c>
      <c r="W42" s="263">
        <f>-'2e. Notes to the New Fin Stat'!W87</f>
        <v>-209433.62890000001</v>
      </c>
      <c r="X42" s="263">
        <f>-'2e. Notes to the New Fin Stat'!X87</f>
        <v>-217440.6894</v>
      </c>
      <c r="Y42" s="263">
        <f>-'2e. Notes to the New Fin Stat'!Y87</f>
        <v>-226030.44690000004</v>
      </c>
      <c r="Z42" s="263">
        <f>-'2e. Notes to the New Fin Stat'!Z87</f>
        <v>-235112.4829</v>
      </c>
      <c r="AA42" s="263">
        <f>-'2e. Notes to the New Fin Stat'!AA87</f>
        <v>-244833.55927237123</v>
      </c>
      <c r="AB42" s="263">
        <f>-'2e. Notes to the New Fin Stat'!AB87</f>
        <v>-255362.8505797041</v>
      </c>
      <c r="AC42" s="263">
        <f>-'2e. Notes to the New Fin Stat'!AC87</f>
        <v>-266702.57009834633</v>
      </c>
      <c r="AD42" s="875">
        <f>-'2e. Notes to the New Fin Stat'!AD87</f>
        <v>-278915.09561484744</v>
      </c>
      <c r="AE42" s="160"/>
      <c r="AF42" s="160"/>
      <c r="AG42" s="160"/>
      <c r="AH42" s="160"/>
      <c r="AI42" s="160"/>
      <c r="AJ42" s="160"/>
      <c r="AK42" s="160"/>
      <c r="AL42" s="160"/>
      <c r="AM42" s="160"/>
      <c r="AN42" s="160"/>
    </row>
    <row r="43" spans="1:40" s="20" customFormat="1" ht="16" thickBot="1">
      <c r="A43" s="4"/>
      <c r="B43" s="4"/>
      <c r="C43" s="19"/>
      <c r="D43" s="691" t="s">
        <v>14</v>
      </c>
      <c r="E43" s="262">
        <f t="shared" ref="E43" si="102">E38+E41+E42</f>
        <v>179450</v>
      </c>
      <c r="F43" s="262">
        <f t="shared" ref="F43" si="103">F38+F41+F42</f>
        <v>206934</v>
      </c>
      <c r="G43" s="262">
        <f t="shared" ref="G43" si="104">G38+G41+G42</f>
        <v>266375</v>
      </c>
      <c r="H43" s="262">
        <f t="shared" ref="H43:L43" si="105">H38+H41+H42</f>
        <v>358423</v>
      </c>
      <c r="I43" s="262">
        <f t="shared" si="105"/>
        <v>456156</v>
      </c>
      <c r="J43" s="262">
        <f t="shared" si="105"/>
        <v>479030</v>
      </c>
      <c r="K43" s="262">
        <f t="shared" si="105"/>
        <v>535643</v>
      </c>
      <c r="L43" s="262">
        <f t="shared" si="105"/>
        <v>696241</v>
      </c>
      <c r="M43" s="262">
        <f>M38+M41+M42</f>
        <v>752526</v>
      </c>
      <c r="N43" s="262">
        <f>N38+N41+N42</f>
        <v>875737</v>
      </c>
      <c r="O43" s="262">
        <f>O38+O41+O42</f>
        <v>928717</v>
      </c>
      <c r="P43" s="262">
        <f>P38+P41+P42</f>
        <v>1486956.3067957144</v>
      </c>
      <c r="Q43" s="262">
        <f>Q38+Q41+Q42</f>
        <v>1630535.2672007815</v>
      </c>
      <c r="R43" s="262">
        <f t="shared" ref="R43:AD43" si="106">R38+R41+R42</f>
        <v>1741078.8165405244</v>
      </c>
      <c r="S43" s="262">
        <f t="shared" si="106"/>
        <v>1911396.8153174329</v>
      </c>
      <c r="T43" s="262">
        <f t="shared" si="106"/>
        <v>2085989.4181617219</v>
      </c>
      <c r="U43" s="262">
        <f t="shared" si="106"/>
        <v>2258945.1362715145</v>
      </c>
      <c r="V43" s="262">
        <f t="shared" si="106"/>
        <v>2454406.5612983406</v>
      </c>
      <c r="W43" s="262">
        <f t="shared" si="106"/>
        <v>2671403.1840844308</v>
      </c>
      <c r="X43" s="262">
        <f t="shared" si="106"/>
        <v>2916953.746465039</v>
      </c>
      <c r="Y43" s="262">
        <f t="shared" si="106"/>
        <v>3174880.1404714156</v>
      </c>
      <c r="Z43" s="262">
        <f t="shared" si="106"/>
        <v>3454901.8895729552</v>
      </c>
      <c r="AA43" s="262">
        <f t="shared" si="106"/>
        <v>3760530.8422440891</v>
      </c>
      <c r="AB43" s="262">
        <f t="shared" si="106"/>
        <v>4094689.4248980703</v>
      </c>
      <c r="AC43" s="262">
        <f t="shared" si="106"/>
        <v>4460272.6983161168</v>
      </c>
      <c r="AD43" s="876">
        <f t="shared" si="106"/>
        <v>4860425.00786319</v>
      </c>
    </row>
    <row r="44" spans="1:40" s="106" customFormat="1" ht="11">
      <c r="A44" s="105"/>
      <c r="B44" s="105"/>
      <c r="C44" s="105"/>
      <c r="D44" s="702" t="s">
        <v>442</v>
      </c>
      <c r="E44" s="232"/>
      <c r="F44" s="232">
        <f>(F43/E43)-1</f>
        <v>0.15315686820841456</v>
      </c>
      <c r="G44" s="232">
        <f t="shared" ref="G44" si="107">(G43/F43)-1</f>
        <v>0.28724617510897188</v>
      </c>
      <c r="H44" s="232">
        <f t="shared" ref="H44" si="108">(H43/G43)-1</f>
        <v>0.34555795401220091</v>
      </c>
      <c r="I44" s="232">
        <f t="shared" ref="I44" si="109">(I43/H43)-1</f>
        <v>0.27267502364524598</v>
      </c>
      <c r="J44" s="232">
        <f t="shared" ref="J44" si="110">(J43/I43)-1</f>
        <v>5.0145125790299838E-2</v>
      </c>
      <c r="K44" s="232">
        <f t="shared" ref="K44" si="111">(K43/J43)-1</f>
        <v>0.11818257729161008</v>
      </c>
      <c r="L44" s="692">
        <f t="shared" ref="L44" si="112">(L43/K43)-1</f>
        <v>0.29982282975787977</v>
      </c>
      <c r="M44" s="692">
        <f t="shared" ref="M44" si="113">(M43/L43)-1</f>
        <v>8.0841260425628558E-2</v>
      </c>
      <c r="N44" s="692">
        <f t="shared" ref="N44" si="114">(N43/M43)-1</f>
        <v>0.16372989106024249</v>
      </c>
      <c r="O44" s="692">
        <f t="shared" ref="O44" si="115">(O43/N43)-1</f>
        <v>6.0497615151580808E-2</v>
      </c>
      <c r="P44" s="692">
        <f t="shared" ref="P44" si="116">(P43/O43)-1</f>
        <v>0.60108656005620054</v>
      </c>
      <c r="Q44" s="692">
        <f t="shared" ref="Q44" si="117">(Q43/P43)-1</f>
        <v>9.6558963937864117E-2</v>
      </c>
      <c r="R44" s="692">
        <f t="shared" ref="R44" si="118">(R43/Q43)-1</f>
        <v>6.7795865298588831E-2</v>
      </c>
      <c r="S44" s="692">
        <f t="shared" ref="S44" si="119">(S43/R43)-1</f>
        <v>9.7823255994421654E-2</v>
      </c>
      <c r="T44" s="692">
        <f t="shared" ref="T44" si="120">(T43/S43)-1</f>
        <v>9.1342939072174723E-2</v>
      </c>
      <c r="U44" s="692">
        <f t="shared" ref="U44" si="121">(U43/T43)-1</f>
        <v>8.2913037143884427E-2</v>
      </c>
      <c r="V44" s="692">
        <f t="shared" ref="V44" si="122">(V43/U43)-1</f>
        <v>8.6527743364960052E-2</v>
      </c>
      <c r="W44" s="692">
        <f t="shared" ref="W44" si="123">(W43/V43)-1</f>
        <v>8.841103434440889E-2</v>
      </c>
      <c r="X44" s="692">
        <f t="shared" ref="X44" si="124">(X43/W43)-1</f>
        <v>9.191819634098608E-2</v>
      </c>
      <c r="Y44" s="692">
        <f t="shared" ref="Y44" si="125">(Y43/X43)-1</f>
        <v>8.8423203254062388E-2</v>
      </c>
      <c r="Z44" s="692">
        <f t="shared" ref="Z44" si="126">(Z43/Y43)-1</f>
        <v>8.8199156097893194E-2</v>
      </c>
      <c r="AA44" s="692">
        <f t="shared" ref="AA44" si="127">(AA43/Z43)-1</f>
        <v>8.8462411506831984E-2</v>
      </c>
      <c r="AB44" s="692">
        <f t="shared" ref="AB44" si="128">(AB43/AA43)-1</f>
        <v>8.8859418170486926E-2</v>
      </c>
      <c r="AC44" s="692">
        <f t="shared" ref="AC44" si="129">(AC43/AB43)-1</f>
        <v>8.928229603815363E-2</v>
      </c>
      <c r="AD44" s="728">
        <f t="shared" ref="AD44" si="130">(AD43/AC43)-1</f>
        <v>8.9714763336811831E-2</v>
      </c>
    </row>
    <row r="45" spans="1:40" s="106" customFormat="1" ht="11">
      <c r="A45" s="105"/>
      <c r="B45" s="105"/>
      <c r="C45" s="105"/>
      <c r="D45" s="703" t="s">
        <v>461</v>
      </c>
      <c r="E45" s="232">
        <f>E43/E6</f>
        <v>6.9648396883695132E-2</v>
      </c>
      <c r="F45" s="232">
        <f t="shared" ref="F45:O45" si="131">F43/F6</f>
        <v>8.132414352512303E-2</v>
      </c>
      <c r="G45" s="232">
        <f t="shared" si="131"/>
        <v>0.1021026534615818</v>
      </c>
      <c r="H45" s="232">
        <f t="shared" si="131"/>
        <v>0.11937580849938517</v>
      </c>
      <c r="I45" s="232">
        <f t="shared" si="131"/>
        <v>0.13817516072514727</v>
      </c>
      <c r="J45" s="232">
        <f t="shared" si="131"/>
        <v>0.13993554020353358</v>
      </c>
      <c r="K45" s="232">
        <f t="shared" si="131"/>
        <v>0.14646275452559829</v>
      </c>
      <c r="L45" s="692">
        <f t="shared" si="131"/>
        <v>0.14979525386562811</v>
      </c>
      <c r="M45" s="692">
        <f t="shared" si="131"/>
        <v>0.16007022851921116</v>
      </c>
      <c r="N45" s="692">
        <f t="shared" si="131"/>
        <v>0.1737872023248439</v>
      </c>
      <c r="O45" s="692">
        <f t="shared" si="131"/>
        <v>0.15055123568253481</v>
      </c>
      <c r="P45" s="692">
        <f t="shared" ref="P45:AD45" si="132">P43/P6</f>
        <v>0.17588893324506469</v>
      </c>
      <c r="Q45" s="692">
        <f t="shared" si="132"/>
        <v>0.17644332942853674</v>
      </c>
      <c r="R45" s="692">
        <f t="shared" si="132"/>
        <v>0.17329147586096719</v>
      </c>
      <c r="S45" s="692">
        <f t="shared" si="132"/>
        <v>0.17519121821578659</v>
      </c>
      <c r="T45" s="692">
        <f t="shared" si="132"/>
        <v>0.17699147894733913</v>
      </c>
      <c r="U45" s="692">
        <f t="shared" si="132"/>
        <v>0.17802907522825151</v>
      </c>
      <c r="V45" s="692">
        <f t="shared" si="132"/>
        <v>0.17956683241375107</v>
      </c>
      <c r="W45" s="692">
        <f t="shared" si="132"/>
        <v>0.18107508965572636</v>
      </c>
      <c r="X45" s="692">
        <f t="shared" si="132"/>
        <v>0.18244764349025389</v>
      </c>
      <c r="Y45" s="692">
        <f t="shared" si="132"/>
        <v>0.18378269924102211</v>
      </c>
      <c r="Z45" s="692">
        <f t="shared" si="132"/>
        <v>0.18505885428029017</v>
      </c>
      <c r="AA45" s="692">
        <f t="shared" si="132"/>
        <v>0.18626669294414708</v>
      </c>
      <c r="AB45" s="692">
        <f t="shared" si="132"/>
        <v>0.18741014042356507</v>
      </c>
      <c r="AC45" s="692">
        <f t="shared" si="132"/>
        <v>0.18849387989622729</v>
      </c>
      <c r="AD45" s="728">
        <f t="shared" si="132"/>
        <v>0.1895202780865114</v>
      </c>
    </row>
    <row r="46" spans="1:40">
      <c r="B46" s="4"/>
      <c r="C46" s="13"/>
      <c r="D46" s="874" t="s">
        <v>15</v>
      </c>
      <c r="E46" s="263">
        <v>64541</v>
      </c>
      <c r="F46" s="263">
        <v>70088</v>
      </c>
      <c r="G46" s="263">
        <v>85869</v>
      </c>
      <c r="H46" s="263">
        <v>104153</v>
      </c>
      <c r="I46" s="263">
        <v>148223</v>
      </c>
      <c r="J46" s="263">
        <v>175515</v>
      </c>
      <c r="K46" s="263">
        <v>189426</v>
      </c>
      <c r="L46" s="263">
        <v>232315</v>
      </c>
      <c r="M46" s="263">
        <v>228135</v>
      </c>
      <c r="N46" s="263">
        <v>266818</v>
      </c>
      <c r="O46" s="263">
        <v>286515</v>
      </c>
      <c r="P46" s="263">
        <f>P43*P47</f>
        <v>520434.70737850002</v>
      </c>
      <c r="Q46" s="263">
        <f>Q43*Q47</f>
        <v>570687.34352027345</v>
      </c>
      <c r="R46" s="263">
        <f t="shared" ref="R46:AD46" si="133">R43*R47</f>
        <v>609377.5857891835</v>
      </c>
      <c r="S46" s="263">
        <f t="shared" si="133"/>
        <v>668988.88536110148</v>
      </c>
      <c r="T46" s="263">
        <f t="shared" si="133"/>
        <v>730096.29635660257</v>
      </c>
      <c r="U46" s="263">
        <f t="shared" si="133"/>
        <v>790630.79769502999</v>
      </c>
      <c r="V46" s="263">
        <f t="shared" si="133"/>
        <v>859042.29645441915</v>
      </c>
      <c r="W46" s="263">
        <f t="shared" si="133"/>
        <v>934991.11442955071</v>
      </c>
      <c r="X46" s="263">
        <f t="shared" si="133"/>
        <v>1020933.8112627636</v>
      </c>
      <c r="Y46" s="263">
        <f t="shared" ref="Y46" si="134">Y43*Y47</f>
        <v>1111208.0491649953</v>
      </c>
      <c r="Z46" s="263">
        <f t="shared" si="133"/>
        <v>1209215.6613505343</v>
      </c>
      <c r="AA46" s="263">
        <f t="shared" si="133"/>
        <v>1316185.7947854311</v>
      </c>
      <c r="AB46" s="263">
        <f t="shared" si="133"/>
        <v>1433141.2987143246</v>
      </c>
      <c r="AC46" s="263">
        <f t="shared" si="133"/>
        <v>1561095.4444106407</v>
      </c>
      <c r="AD46" s="875">
        <f t="shared" si="133"/>
        <v>1701148.7527521164</v>
      </c>
      <c r="AE46" s="160"/>
      <c r="AF46" s="160"/>
      <c r="AG46" s="160"/>
      <c r="AH46" s="160"/>
      <c r="AI46" s="160"/>
      <c r="AJ46" s="160"/>
      <c r="AK46" s="160"/>
      <c r="AL46" s="160"/>
      <c r="AM46" s="160"/>
      <c r="AN46" s="160"/>
    </row>
    <row r="47" spans="1:40" s="106" customFormat="1" ht="12" thickBot="1">
      <c r="A47" s="105"/>
      <c r="B47" s="105"/>
      <c r="C47" s="105"/>
      <c r="D47" s="703" t="s">
        <v>459</v>
      </c>
      <c r="E47" s="232">
        <f>E46/E43</f>
        <v>0.35966007244357762</v>
      </c>
      <c r="F47" s="232">
        <f t="shared" ref="F47:O47" si="135">F46/F43</f>
        <v>0.33869736244406429</v>
      </c>
      <c r="G47" s="232">
        <f t="shared" si="135"/>
        <v>0.322361332707649</v>
      </c>
      <c r="H47" s="232">
        <f t="shared" si="135"/>
        <v>0.29058682060024049</v>
      </c>
      <c r="I47" s="232">
        <f t="shared" si="135"/>
        <v>0.32493927516025217</v>
      </c>
      <c r="J47" s="232">
        <f t="shared" si="135"/>
        <v>0.36639667661733083</v>
      </c>
      <c r="K47" s="232">
        <f t="shared" si="135"/>
        <v>0.35364225799646404</v>
      </c>
      <c r="L47" s="692">
        <f t="shared" si="135"/>
        <v>0.33367038137656357</v>
      </c>
      <c r="M47" s="692">
        <f t="shared" si="135"/>
        <v>0.30315896062062969</v>
      </c>
      <c r="N47" s="692">
        <f t="shared" si="135"/>
        <v>0.30467823102141395</v>
      </c>
      <c r="O47" s="692">
        <f t="shared" si="135"/>
        <v>0.30850625109694341</v>
      </c>
      <c r="P47" s="692">
        <v>0.35</v>
      </c>
      <c r="Q47" s="692">
        <f>P47</f>
        <v>0.35</v>
      </c>
      <c r="R47" s="692">
        <f t="shared" ref="R47:T47" si="136">Q47</f>
        <v>0.35</v>
      </c>
      <c r="S47" s="692">
        <f t="shared" si="136"/>
        <v>0.35</v>
      </c>
      <c r="T47" s="692">
        <f t="shared" si="136"/>
        <v>0.35</v>
      </c>
      <c r="U47" s="692">
        <f t="shared" ref="U47" si="137">T47</f>
        <v>0.35</v>
      </c>
      <c r="V47" s="692">
        <f t="shared" ref="V47" si="138">U47</f>
        <v>0.35</v>
      </c>
      <c r="W47" s="692">
        <f t="shared" ref="W47" si="139">V47</f>
        <v>0.35</v>
      </c>
      <c r="X47" s="692">
        <f t="shared" ref="X47:Y47" si="140">W47</f>
        <v>0.35</v>
      </c>
      <c r="Y47" s="692">
        <f t="shared" si="140"/>
        <v>0.35</v>
      </c>
      <c r="Z47" s="692">
        <f t="shared" ref="Z47" si="141">Y47</f>
        <v>0.35</v>
      </c>
      <c r="AA47" s="692">
        <f t="shared" ref="AA47" si="142">Z47</f>
        <v>0.35</v>
      </c>
      <c r="AB47" s="692">
        <f t="shared" ref="AB47" si="143">AA47</f>
        <v>0.35</v>
      </c>
      <c r="AC47" s="692">
        <f t="shared" ref="AC47" si="144">AB47</f>
        <v>0.35</v>
      </c>
      <c r="AD47" s="728">
        <f t="shared" ref="AD47" si="145">AC47</f>
        <v>0.35</v>
      </c>
    </row>
    <row r="48" spans="1:40" s="20" customFormat="1" ht="16" thickBot="1">
      <c r="A48" s="4"/>
      <c r="B48" s="4"/>
      <c r="C48" s="19"/>
      <c r="D48" s="691" t="s">
        <v>16</v>
      </c>
      <c r="E48" s="262">
        <f t="shared" ref="E48:AD48" si="146">E43-E46</f>
        <v>114909</v>
      </c>
      <c r="F48" s="262">
        <f t="shared" si="146"/>
        <v>136846</v>
      </c>
      <c r="G48" s="262">
        <f t="shared" si="146"/>
        <v>180506</v>
      </c>
      <c r="H48" s="262">
        <f t="shared" si="146"/>
        <v>254270</v>
      </c>
      <c r="I48" s="262">
        <f t="shared" si="146"/>
        <v>307933</v>
      </c>
      <c r="J48" s="262">
        <f t="shared" si="146"/>
        <v>303515</v>
      </c>
      <c r="K48" s="262">
        <f t="shared" si="146"/>
        <v>346217</v>
      </c>
      <c r="L48" s="262">
        <f t="shared" si="146"/>
        <v>463926</v>
      </c>
      <c r="M48" s="262">
        <f t="shared" si="146"/>
        <v>524391</v>
      </c>
      <c r="N48" s="262">
        <f t="shared" si="146"/>
        <v>608919</v>
      </c>
      <c r="O48" s="262">
        <f t="shared" si="146"/>
        <v>642202</v>
      </c>
      <c r="P48" s="262">
        <f t="shared" si="146"/>
        <v>966521.5994172144</v>
      </c>
      <c r="Q48" s="262">
        <f t="shared" si="146"/>
        <v>1059847.923680508</v>
      </c>
      <c r="R48" s="262">
        <f t="shared" si="146"/>
        <v>1131701.2307513407</v>
      </c>
      <c r="S48" s="262">
        <f t="shared" si="146"/>
        <v>1242407.9299563314</v>
      </c>
      <c r="T48" s="262">
        <f t="shared" si="146"/>
        <v>1355893.1218051193</v>
      </c>
      <c r="U48" s="262">
        <f t="shared" si="146"/>
        <v>1468314.3385764845</v>
      </c>
      <c r="V48" s="262">
        <f t="shared" si="146"/>
        <v>1595364.2648439214</v>
      </c>
      <c r="W48" s="262">
        <f t="shared" si="146"/>
        <v>1736412.0696548801</v>
      </c>
      <c r="X48" s="262">
        <f t="shared" si="146"/>
        <v>1896019.9352022754</v>
      </c>
      <c r="Y48" s="262">
        <f t="shared" si="146"/>
        <v>2063672.0913064203</v>
      </c>
      <c r="Z48" s="262">
        <f t="shared" si="146"/>
        <v>2245686.2282224209</v>
      </c>
      <c r="AA48" s="262">
        <f t="shared" si="146"/>
        <v>2444345.047458658</v>
      </c>
      <c r="AB48" s="262">
        <f t="shared" si="146"/>
        <v>2661548.1261837455</v>
      </c>
      <c r="AC48" s="262">
        <f t="shared" si="146"/>
        <v>2899177.2539054761</v>
      </c>
      <c r="AD48" s="876">
        <f t="shared" si="146"/>
        <v>3159276.2551110736</v>
      </c>
    </row>
    <row r="49" spans="1:30" s="106" customFormat="1" ht="11">
      <c r="A49" s="105"/>
      <c r="B49" s="105"/>
      <c r="C49" s="105"/>
      <c r="D49" s="702" t="s">
        <v>442</v>
      </c>
      <c r="E49" s="232"/>
      <c r="F49" s="232">
        <f>(F48/E48)-1</f>
        <v>0.19090758774334482</v>
      </c>
      <c r="G49" s="232">
        <f t="shared" ref="G49" si="147">(G48/F48)-1</f>
        <v>0.31904476564897766</v>
      </c>
      <c r="H49" s="232">
        <f t="shared" ref="H49" si="148">(H48/G48)-1</f>
        <v>0.40865123596999542</v>
      </c>
      <c r="I49" s="232">
        <f t="shared" ref="I49" si="149">(I48/H48)-1</f>
        <v>0.21104731191253401</v>
      </c>
      <c r="J49" s="232">
        <f t="shared" ref="J49" si="150">(J48/I48)-1</f>
        <v>-1.4347276842689771E-2</v>
      </c>
      <c r="K49" s="232">
        <f t="shared" ref="K49" si="151">(K48/J48)-1</f>
        <v>0.14069156384363213</v>
      </c>
      <c r="L49" s="692">
        <f t="shared" ref="L49" si="152">(L48/K48)-1</f>
        <v>0.33998619363000659</v>
      </c>
      <c r="M49" s="692">
        <f t="shared" ref="M49" si="153">(M48/L48)-1</f>
        <v>0.13033328591197724</v>
      </c>
      <c r="N49" s="692">
        <f t="shared" ref="N49" si="154">(N48/M48)-1</f>
        <v>0.16119269781517986</v>
      </c>
      <c r="O49" s="692">
        <f t="shared" ref="O49" si="155">(O48/N48)-1</f>
        <v>5.4659158278851594E-2</v>
      </c>
      <c r="P49" s="692">
        <f t="shared" ref="P49" si="156">(P48/O48)-1</f>
        <v>0.50501181780376636</v>
      </c>
      <c r="Q49" s="692">
        <f t="shared" ref="Q49" si="157">(Q48/P48)-1</f>
        <v>9.6558963937864117E-2</v>
      </c>
      <c r="R49" s="692">
        <f t="shared" ref="R49" si="158">(R48/Q48)-1</f>
        <v>6.7795865298588831E-2</v>
      </c>
      <c r="S49" s="692">
        <f t="shared" ref="S49" si="159">(S48/R48)-1</f>
        <v>9.7823255994421876E-2</v>
      </c>
      <c r="T49" s="692">
        <f t="shared" ref="T49" si="160">(T48/S48)-1</f>
        <v>9.1342939072174723E-2</v>
      </c>
      <c r="U49" s="692">
        <f t="shared" ref="U49" si="161">(U48/T48)-1</f>
        <v>8.2913037143884427E-2</v>
      </c>
      <c r="V49" s="692">
        <f t="shared" ref="V49" si="162">(V48/U48)-1</f>
        <v>8.652774336495983E-2</v>
      </c>
      <c r="W49" s="692">
        <f t="shared" ref="W49" si="163">(W48/V48)-1</f>
        <v>8.841103434440889E-2</v>
      </c>
      <c r="X49" s="692">
        <f t="shared" ref="X49" si="164">(X48/W48)-1</f>
        <v>9.191819634098608E-2</v>
      </c>
      <c r="Y49" s="692">
        <f t="shared" ref="Y49" si="165">(Y48/X48)-1</f>
        <v>8.8423203254062388E-2</v>
      </c>
      <c r="Z49" s="692">
        <f t="shared" ref="Z49" si="166">(Z48/Y48)-1</f>
        <v>8.8199156097893194E-2</v>
      </c>
      <c r="AA49" s="692">
        <f t="shared" ref="AA49" si="167">(AA48/Z48)-1</f>
        <v>8.8462411506831984E-2</v>
      </c>
      <c r="AB49" s="692">
        <f t="shared" ref="AB49" si="168">(AB48/AA48)-1</f>
        <v>8.8859418170486926E-2</v>
      </c>
      <c r="AC49" s="692">
        <f t="shared" ref="AC49" si="169">(AC48/AB48)-1</f>
        <v>8.9282296038153852E-2</v>
      </c>
      <c r="AD49" s="728">
        <f t="shared" ref="AD49" si="170">(AD48/AC48)-1</f>
        <v>8.9714763336811831E-2</v>
      </c>
    </row>
    <row r="50" spans="1:30" s="106" customFormat="1" ht="11">
      <c r="A50" s="105"/>
      <c r="B50" s="105"/>
      <c r="C50" s="105"/>
      <c r="D50" s="703" t="s">
        <v>460</v>
      </c>
      <c r="E50" s="232">
        <f>E48/E6</f>
        <v>4.4598649414926299E-2</v>
      </c>
      <c r="F50" s="232">
        <f t="shared" ref="F50:AD50" si="171">F48/F6</f>
        <v>5.3779870610141327E-2</v>
      </c>
      <c r="G50" s="232">
        <f t="shared" si="171"/>
        <v>6.9188706018719043E-2</v>
      </c>
      <c r="H50" s="232">
        <f t="shared" si="171"/>
        <v>8.4686771850965667E-2</v>
      </c>
      <c r="I50" s="232">
        <f t="shared" si="171"/>
        <v>9.3276624153966578E-2</v>
      </c>
      <c r="J50" s="232">
        <f t="shared" si="171"/>
        <v>8.8663623332307984E-2</v>
      </c>
      <c r="K50" s="232">
        <f t="shared" si="171"/>
        <v>9.4667335302783887E-2</v>
      </c>
      <c r="L50" s="692">
        <f t="shared" si="171"/>
        <v>9.981301437988481E-2</v>
      </c>
      <c r="M50" s="692">
        <f t="shared" si="171"/>
        <v>0.11154350441502042</v>
      </c>
      <c r="N50" s="692">
        <f t="shared" si="171"/>
        <v>0.1208380249463499</v>
      </c>
      <c r="O50" s="692">
        <f t="shared" si="171"/>
        <v>0.10410523836410361</v>
      </c>
      <c r="P50" s="692">
        <f t="shared" si="171"/>
        <v>0.11432780660929205</v>
      </c>
      <c r="Q50" s="692">
        <f t="shared" si="171"/>
        <v>0.11468816412854889</v>
      </c>
      <c r="R50" s="692">
        <f t="shared" si="171"/>
        <v>0.11263945930962867</v>
      </c>
      <c r="S50" s="692">
        <f t="shared" si="171"/>
        <v>0.11387429184026129</v>
      </c>
      <c r="T50" s="692">
        <f t="shared" si="171"/>
        <v>0.11504446131577044</v>
      </c>
      <c r="U50" s="692">
        <f t="shared" si="171"/>
        <v>0.1157188988983635</v>
      </c>
      <c r="V50" s="692">
        <f t="shared" si="171"/>
        <v>0.11671844106893819</v>
      </c>
      <c r="W50" s="692">
        <f t="shared" si="171"/>
        <v>0.11769880827622214</v>
      </c>
      <c r="X50" s="692">
        <f t="shared" si="171"/>
        <v>0.11859096826866504</v>
      </c>
      <c r="Y50" s="692">
        <f t="shared" si="171"/>
        <v>0.11945875450666438</v>
      </c>
      <c r="Z50" s="692">
        <f t="shared" si="171"/>
        <v>0.12028825528218862</v>
      </c>
      <c r="AA50" s="692">
        <f t="shared" si="171"/>
        <v>0.1210733504136956</v>
      </c>
      <c r="AB50" s="692">
        <f t="shared" si="171"/>
        <v>0.12181659127531728</v>
      </c>
      <c r="AC50" s="692">
        <f t="shared" si="171"/>
        <v>0.12252102193254776</v>
      </c>
      <c r="AD50" s="728">
        <f t="shared" si="171"/>
        <v>0.1231881807562324</v>
      </c>
    </row>
    <row r="51" spans="1:30" s="232" customFormat="1" ht="14" customHeight="1">
      <c r="A51" s="111"/>
      <c r="B51" s="111"/>
      <c r="C51" s="111"/>
      <c r="D51" s="881"/>
      <c r="E51" s="750"/>
      <c r="F51" s="750"/>
      <c r="G51" s="750"/>
      <c r="H51" s="750"/>
      <c r="I51" s="750"/>
      <c r="J51" s="750"/>
      <c r="K51" s="750"/>
      <c r="L51" s="750"/>
      <c r="M51" s="750"/>
      <c r="N51" s="750"/>
      <c r="O51" s="750"/>
      <c r="P51" s="750"/>
      <c r="Q51" s="750"/>
      <c r="R51" s="750"/>
      <c r="S51" s="750"/>
      <c r="T51" s="750"/>
      <c r="U51" s="750"/>
      <c r="V51" s="750"/>
      <c r="W51" s="750"/>
      <c r="X51" s="750"/>
      <c r="Y51" s="750"/>
      <c r="Z51" s="750"/>
      <c r="AA51" s="750"/>
      <c r="AB51" s="750"/>
      <c r="AC51" s="750"/>
      <c r="AD51" s="877"/>
    </row>
    <row r="52" spans="1:30" s="288" customFormat="1">
      <c r="A52" s="107"/>
      <c r="B52" s="107"/>
      <c r="C52" s="107"/>
      <c r="D52" s="882"/>
      <c r="E52" s="883"/>
      <c r="F52" s="883"/>
      <c r="G52" s="883"/>
      <c r="H52" s="883"/>
      <c r="I52" s="883"/>
      <c r="J52" s="883"/>
      <c r="K52" s="883"/>
      <c r="L52" s="883"/>
      <c r="M52" s="883"/>
      <c r="N52" s="883"/>
      <c r="O52" s="883"/>
      <c r="P52" s="883"/>
      <c r="Q52" s="883"/>
      <c r="R52" s="883"/>
      <c r="S52" s="883"/>
      <c r="T52" s="884"/>
      <c r="U52" s="884"/>
      <c r="V52" s="884"/>
      <c r="W52" s="884"/>
      <c r="X52" s="884"/>
      <c r="Y52" s="884"/>
      <c r="Z52" s="884"/>
      <c r="AA52" s="884"/>
      <c r="AB52" s="884"/>
      <c r="AC52" s="884"/>
      <c r="AD52" s="885"/>
    </row>
    <row r="53" spans="1:30" s="50" customFormat="1">
      <c r="A53" s="9"/>
      <c r="B53" s="9"/>
      <c r="C53" s="17"/>
      <c r="D53" s="874" t="s">
        <v>449</v>
      </c>
      <c r="E53" s="263">
        <f t="shared" ref="E53:M53" si="172">E14+E17+E20+E23-E29</f>
        <v>581915</v>
      </c>
      <c r="F53" s="263">
        <f t="shared" si="172"/>
        <v>556198</v>
      </c>
      <c r="G53" s="263">
        <f t="shared" si="172"/>
        <v>598729</v>
      </c>
      <c r="H53" s="263">
        <f t="shared" si="172"/>
        <v>553246</v>
      </c>
      <c r="I53" s="263">
        <f t="shared" si="172"/>
        <v>658774</v>
      </c>
      <c r="J53" s="263">
        <f t="shared" si="172"/>
        <v>778106</v>
      </c>
      <c r="K53" s="263">
        <f t="shared" si="172"/>
        <v>844729</v>
      </c>
      <c r="L53" s="263">
        <f t="shared" si="172"/>
        <v>1061161</v>
      </c>
      <c r="M53" s="263">
        <f t="shared" si="172"/>
        <v>1124060</v>
      </c>
      <c r="N53" s="263">
        <f>N14+N17+N20</f>
        <v>1157482</v>
      </c>
      <c r="O53" s="263">
        <f>O14+O17+O20</f>
        <v>1395164</v>
      </c>
      <c r="P53" s="752"/>
      <c r="Q53" s="752"/>
      <c r="R53" s="752"/>
      <c r="S53" s="752"/>
      <c r="T53" s="752"/>
      <c r="U53" s="886"/>
      <c r="V53" s="886"/>
      <c r="W53" s="886"/>
      <c r="X53" s="886"/>
      <c r="Y53" s="886"/>
      <c r="Z53" s="886"/>
      <c r="AA53" s="886"/>
      <c r="AB53" s="886"/>
      <c r="AC53" s="886"/>
      <c r="AD53" s="887"/>
    </row>
    <row r="54" spans="1:30" s="106" customFormat="1" ht="11">
      <c r="A54" s="105"/>
      <c r="B54" s="105"/>
      <c r="C54" s="105"/>
      <c r="D54" s="702" t="s">
        <v>442</v>
      </c>
      <c r="E54" s="232"/>
      <c r="F54" s="232">
        <f>(F53/E53)-1</f>
        <v>-4.4193739635513762E-2</v>
      </c>
      <c r="G54" s="232">
        <f t="shared" ref="G54" si="173">(G53/F53)-1</f>
        <v>7.6467373129712746E-2</v>
      </c>
      <c r="H54" s="232">
        <f t="shared" ref="H54" si="174">(H53/G53)-1</f>
        <v>-7.5965921142954529E-2</v>
      </c>
      <c r="I54" s="232">
        <f t="shared" ref="I54" si="175">(I53/H53)-1</f>
        <v>0.1907433582890794</v>
      </c>
      <c r="J54" s="232">
        <f t="shared" ref="J54" si="176">(J53/I53)-1</f>
        <v>0.18114254660930751</v>
      </c>
      <c r="K54" s="232">
        <f t="shared" ref="K54" si="177">(K53/J53)-1</f>
        <v>8.5622010368767265E-2</v>
      </c>
      <c r="L54" s="692">
        <f t="shared" ref="L54" si="178">(L53/K53)-1</f>
        <v>0.25621471501511128</v>
      </c>
      <c r="M54" s="692">
        <f t="shared" ref="M54" si="179">(M53/L53)-1</f>
        <v>5.9273757705004204E-2</v>
      </c>
      <c r="N54" s="692">
        <f t="shared" ref="N54" si="180">(N53/M53)-1</f>
        <v>2.9733288258633861E-2</v>
      </c>
      <c r="O54" s="692">
        <f t="shared" ref="O54" si="181">(O53/N53)-1</f>
        <v>0.20534401398898638</v>
      </c>
      <c r="P54" s="750"/>
      <c r="Q54" s="750"/>
      <c r="R54" s="750"/>
      <c r="S54" s="750"/>
      <c r="T54" s="750"/>
      <c r="U54" s="750"/>
      <c r="V54" s="750"/>
      <c r="W54" s="750"/>
      <c r="X54" s="750"/>
      <c r="Y54" s="750"/>
      <c r="Z54" s="750"/>
      <c r="AA54" s="750"/>
      <c r="AB54" s="750"/>
      <c r="AC54" s="750"/>
      <c r="AD54" s="877"/>
    </row>
    <row r="55" spans="1:30" s="106" customFormat="1" ht="12" thickBot="1">
      <c r="A55" s="105"/>
      <c r="B55" s="105"/>
      <c r="C55" s="105"/>
      <c r="D55" s="703" t="s">
        <v>443</v>
      </c>
      <c r="E55" s="232">
        <f t="shared" ref="E55:O55" si="182">E53/E6</f>
        <v>0.22585370227124801</v>
      </c>
      <c r="F55" s="232">
        <f t="shared" si="182"/>
        <v>0.21858334531969795</v>
      </c>
      <c r="G55" s="232">
        <f t="shared" si="182"/>
        <v>0.22949533403810196</v>
      </c>
      <c r="H55" s="232">
        <f t="shared" si="182"/>
        <v>0.18426325472709856</v>
      </c>
      <c r="I55" s="232">
        <f t="shared" si="182"/>
        <v>0.19955059964474473</v>
      </c>
      <c r="J55" s="232">
        <f t="shared" si="182"/>
        <v>0.2273024308406795</v>
      </c>
      <c r="K55" s="232">
        <f t="shared" si="182"/>
        <v>0.2309772295496331</v>
      </c>
      <c r="L55" s="692">
        <f t="shared" si="182"/>
        <v>0.22830726916010949</v>
      </c>
      <c r="M55" s="692">
        <f t="shared" si="182"/>
        <v>0.23909943453024149</v>
      </c>
      <c r="N55" s="692">
        <f t="shared" si="182"/>
        <v>0.22969859503636936</v>
      </c>
      <c r="O55" s="692">
        <f t="shared" si="182"/>
        <v>0.22616541333881901</v>
      </c>
      <c r="P55" s="750"/>
      <c r="Q55" s="750"/>
      <c r="R55" s="750"/>
      <c r="S55" s="750"/>
      <c r="T55" s="750"/>
      <c r="U55" s="750"/>
      <c r="V55" s="750"/>
      <c r="W55" s="750"/>
      <c r="X55" s="750"/>
      <c r="Y55" s="750"/>
      <c r="Z55" s="750"/>
      <c r="AA55" s="750"/>
      <c r="AB55" s="750"/>
      <c r="AC55" s="750"/>
      <c r="AD55" s="877"/>
    </row>
    <row r="56" spans="1:30" s="20" customFormat="1" ht="16" thickBot="1">
      <c r="A56" s="4"/>
      <c r="B56" s="4"/>
      <c r="C56" s="19"/>
      <c r="D56" s="691" t="s">
        <v>450</v>
      </c>
      <c r="E56" s="262">
        <f>E59+E62</f>
        <v>211700</v>
      </c>
      <c r="F56" s="262">
        <f>F59+F62</f>
        <v>234758</v>
      </c>
      <c r="G56" s="262">
        <f t="shared" ref="G56:N56" si="183">G59+G62</f>
        <v>306671</v>
      </c>
      <c r="H56" s="262">
        <f t="shared" si="183"/>
        <v>396264</v>
      </c>
      <c r="I56" s="262">
        <f t="shared" si="183"/>
        <v>502230</v>
      </c>
      <c r="J56" s="262">
        <f t="shared" si="183"/>
        <v>541652</v>
      </c>
      <c r="K56" s="262">
        <f t="shared" si="183"/>
        <v>589898</v>
      </c>
      <c r="L56" s="262">
        <f>L59+L62</f>
        <v>750262</v>
      </c>
      <c r="M56" s="262">
        <f t="shared" si="183"/>
        <v>845928</v>
      </c>
      <c r="N56" s="262">
        <f t="shared" si="183"/>
        <v>993189</v>
      </c>
      <c r="O56" s="262">
        <f>O59+O62</f>
        <v>1184426</v>
      </c>
      <c r="P56" s="262">
        <f>P59+P62</f>
        <v>1864591.3164273296</v>
      </c>
      <c r="Q56" s="262">
        <f>Q59+Q62</f>
        <v>2030599.0349216142</v>
      </c>
      <c r="R56" s="262">
        <f t="shared" ref="R56:AD56" si="184">R59+R62</f>
        <v>2163285.9973571985</v>
      </c>
      <c r="S56" s="262">
        <f t="shared" si="184"/>
        <v>2356637.9312349157</v>
      </c>
      <c r="T56" s="262">
        <f t="shared" si="184"/>
        <v>2556930.4796997467</v>
      </c>
      <c r="U56" s="262">
        <f t="shared" si="184"/>
        <v>2757744.2338320194</v>
      </c>
      <c r="V56" s="262">
        <f t="shared" si="184"/>
        <v>2984301.5664062807</v>
      </c>
      <c r="W56" s="262">
        <f t="shared" si="184"/>
        <v>3236557.536847481</v>
      </c>
      <c r="X56" s="262">
        <f t="shared" si="184"/>
        <v>3521868.8466068939</v>
      </c>
      <c r="Y56" s="262">
        <f t="shared" si="184"/>
        <v>3824836.732680453</v>
      </c>
      <c r="Z56" s="262">
        <f t="shared" si="184"/>
        <v>4154705.784009885</v>
      </c>
      <c r="AA56" s="262">
        <f t="shared" si="184"/>
        <v>4516097.6899012132</v>
      </c>
      <c r="AB56" s="262">
        <f t="shared" si="184"/>
        <v>4912827.2825669013</v>
      </c>
      <c r="AC56" s="262">
        <f t="shared" si="184"/>
        <v>5348545.9376119748</v>
      </c>
      <c r="AD56" s="876">
        <f t="shared" si="184"/>
        <v>5827290.8216884546</v>
      </c>
    </row>
    <row r="57" spans="1:30" s="106" customFormat="1" ht="11">
      <c r="A57" s="105"/>
      <c r="B57" s="105"/>
      <c r="C57" s="105"/>
      <c r="D57" s="702" t="s">
        <v>442</v>
      </c>
      <c r="E57" s="232"/>
      <c r="F57" s="232">
        <f>(F56/E56)-1</f>
        <v>0.10891828058573449</v>
      </c>
      <c r="G57" s="232">
        <f t="shared" ref="G57" si="185">(G56/F56)-1</f>
        <v>0.30632821884664208</v>
      </c>
      <c r="H57" s="232">
        <f t="shared" ref="H57" si="186">(H56/G56)-1</f>
        <v>0.29214695879297348</v>
      </c>
      <c r="I57" s="232">
        <f t="shared" ref="I57" si="187">(I56/H56)-1</f>
        <v>0.26741263400157478</v>
      </c>
      <c r="J57" s="232">
        <f t="shared" ref="J57" si="188">(J56/I56)-1</f>
        <v>7.8493917129601964E-2</v>
      </c>
      <c r="K57" s="232">
        <f t="shared" ref="K57" si="189">(K56/J56)-1</f>
        <v>8.907195025588388E-2</v>
      </c>
      <c r="L57" s="692">
        <f t="shared" ref="L57" si="190">(L56/K56)-1</f>
        <v>0.27185038769414382</v>
      </c>
      <c r="M57" s="692">
        <f t="shared" ref="M57" si="191">(M56/L56)-1</f>
        <v>0.12751012313031973</v>
      </c>
      <c r="N57" s="692">
        <f t="shared" ref="N57" si="192">(N56/M56)-1</f>
        <v>0.17408219139217529</v>
      </c>
      <c r="O57" s="692">
        <f t="shared" ref="O57" si="193">(O56/N56)-1</f>
        <v>0.19254844747575728</v>
      </c>
      <c r="P57" s="692">
        <f t="shared" ref="P57" si="194">(P56/O56)-1</f>
        <v>0.57425733344871666</v>
      </c>
      <c r="Q57" s="692">
        <f t="shared" ref="Q57" si="195">(Q56/P56)-1</f>
        <v>8.9031691305076821E-2</v>
      </c>
      <c r="R57" s="692">
        <f t="shared" ref="R57" si="196">(R56/Q56)-1</f>
        <v>6.5343753322874232E-2</v>
      </c>
      <c r="S57" s="692">
        <f t="shared" ref="S57" si="197">(S56/R56)-1</f>
        <v>8.9378812655343642E-2</v>
      </c>
      <c r="T57" s="692">
        <f t="shared" ref="T57" si="198">(T56/S56)-1</f>
        <v>8.4990802282417066E-2</v>
      </c>
      <c r="U57" s="692">
        <f t="shared" ref="U57" si="199">(U56/T56)-1</f>
        <v>7.8537041083672099E-2</v>
      </c>
      <c r="V57" s="692">
        <f t="shared" ref="V57" si="200">(V56/U56)-1</f>
        <v>8.215313436063254E-2</v>
      </c>
      <c r="W57" s="692">
        <f t="shared" ref="W57" si="201">(W56/V56)-1</f>
        <v>8.4527640665004622E-2</v>
      </c>
      <c r="X57" s="692">
        <f t="shared" ref="X57" si="202">(X56/W56)-1</f>
        <v>8.8152707471196745E-2</v>
      </c>
      <c r="Y57" s="692">
        <f t="shared" ref="Y57" si="203">(Y56/X56)-1</f>
        <v>8.6024749719300297E-2</v>
      </c>
      <c r="Z57" s="692">
        <f t="shared" ref="Z57" si="204">(Z56/Y56)-1</f>
        <v>8.6243956117378895E-2</v>
      </c>
      <c r="AA57" s="692">
        <f t="shared" ref="AA57" si="205">(AA56/Z56)-1</f>
        <v>8.6983754007855074E-2</v>
      </c>
      <c r="AB57" s="692">
        <f t="shared" ref="AB57" si="206">(AB56/AA56)-1</f>
        <v>8.7847876619862486E-2</v>
      </c>
      <c r="AC57" s="692">
        <f t="shared" ref="AC57" si="207">(AC56/AB56)-1</f>
        <v>8.8690000682746462E-2</v>
      </c>
      <c r="AD57" s="728">
        <f t="shared" ref="AD57" si="208">(AD56/AC56)-1</f>
        <v>8.9509352571856216E-2</v>
      </c>
    </row>
    <row r="58" spans="1:30" s="106" customFormat="1" ht="11">
      <c r="A58" s="105"/>
      <c r="B58" s="105"/>
      <c r="C58" s="105"/>
      <c r="D58" s="703" t="s">
        <v>452</v>
      </c>
      <c r="E58" s="232">
        <f t="shared" ref="E58:T58" si="209">E56/E6</f>
        <v>8.2165314128048256E-2</v>
      </c>
      <c r="F58" s="232">
        <f t="shared" si="209"/>
        <v>9.2258852028525185E-2</v>
      </c>
      <c r="G58" s="232">
        <f t="shared" si="209"/>
        <v>0.11754827907918068</v>
      </c>
      <c r="H58" s="232">
        <f t="shared" si="209"/>
        <v>0.13197907327152655</v>
      </c>
      <c r="I58" s="232">
        <f t="shared" si="209"/>
        <v>0.15213153169308463</v>
      </c>
      <c r="J58" s="232">
        <f t="shared" si="209"/>
        <v>0.15822884834420467</v>
      </c>
      <c r="K58" s="232">
        <f t="shared" si="209"/>
        <v>0.16129789051502846</v>
      </c>
      <c r="L58" s="692">
        <f t="shared" si="209"/>
        <v>0.16141779463681954</v>
      </c>
      <c r="M58" s="692">
        <f t="shared" si="209"/>
        <v>0.17993782044846193</v>
      </c>
      <c r="N58" s="692">
        <f t="shared" si="209"/>
        <v>0.19709517548054883</v>
      </c>
      <c r="O58" s="692">
        <f t="shared" si="209"/>
        <v>0.19200337441278878</v>
      </c>
      <c r="P58" s="692">
        <f t="shared" si="209"/>
        <v>0.22055858405896711</v>
      </c>
      <c r="Q58" s="692">
        <f t="shared" si="209"/>
        <v>0.21973499234458721</v>
      </c>
      <c r="R58" s="692">
        <f t="shared" si="209"/>
        <v>0.21531421761610287</v>
      </c>
      <c r="S58" s="692">
        <f t="shared" si="209"/>
        <v>0.21600029191113329</v>
      </c>
      <c r="T58" s="692">
        <f t="shared" si="209"/>
        <v>0.21694976169457342</v>
      </c>
      <c r="U58" s="692">
        <f t="shared" ref="U58:AD58" si="210">U56/U6</f>
        <v>0.21733978739984172</v>
      </c>
      <c r="V58" s="692">
        <f t="shared" si="210"/>
        <v>0.21833447958332497</v>
      </c>
      <c r="W58" s="692">
        <f t="shared" si="210"/>
        <v>0.21938281336646481</v>
      </c>
      <c r="X58" s="692">
        <f t="shared" si="210"/>
        <v>0.22028346267878252</v>
      </c>
      <c r="Y58" s="692">
        <f t="shared" si="210"/>
        <v>0.22140641151380627</v>
      </c>
      <c r="Z58" s="692">
        <f t="shared" si="210"/>
        <v>0.22254324922540711</v>
      </c>
      <c r="AA58" s="692">
        <f t="shared" si="210"/>
        <v>0.22369144596846802</v>
      </c>
      <c r="AB58" s="692">
        <f t="shared" si="210"/>
        <v>0.22485555199964991</v>
      </c>
      <c r="AC58" s="692">
        <f t="shared" si="210"/>
        <v>0.22603285578576821</v>
      </c>
      <c r="AD58" s="728">
        <f t="shared" si="210"/>
        <v>0.22722082435809438</v>
      </c>
    </row>
    <row r="59" spans="1:30" s="50" customFormat="1">
      <c r="A59" s="9"/>
      <c r="B59" s="9"/>
      <c r="C59" s="17"/>
      <c r="D59" s="874" t="s">
        <v>328</v>
      </c>
      <c r="E59" s="263">
        <f>'Notes to the Income Statement'!E65+'Notes to the Income Statement'!E71</f>
        <v>58858</v>
      </c>
      <c r="F59" s="263">
        <f>'Notes to the Income Statement'!F65+'Notes to the Income Statement'!F71</f>
        <v>57315</v>
      </c>
      <c r="G59" s="263">
        <f>'Notes to the Income Statement'!G65+'Notes to the Income Statement'!G71</f>
        <v>67399</v>
      </c>
      <c r="H59" s="263">
        <f>'Notes to the Income Statement'!H65+'Notes to the Income Statement'!H71</f>
        <v>67255</v>
      </c>
      <c r="I59" s="263">
        <f>'Notes to the Income Statement'!I65+'Notes to the Income Statement'!I71</f>
        <v>72035</v>
      </c>
      <c r="J59" s="263">
        <f>'Notes to the Income Statement'!J65+'Notes to the Income Statement'!J71</f>
        <v>76875</v>
      </c>
      <c r="K59" s="263">
        <f>'Notes to the Income Statement'!K65+'Notes to the Income Statement'!K71</f>
        <v>77209</v>
      </c>
      <c r="L59" s="263">
        <f>'Notes to the Income Statement'!L65+'Notes to the Income Statement'!L71</f>
        <v>87192</v>
      </c>
      <c r="M59" s="263">
        <f>'Notes to the Income Statement'!M65+'Notes to the Income Statement'!M71</f>
        <v>102368</v>
      </c>
      <c r="N59" s="263">
        <f>'Notes to the Income Statement'!N65+'Notes to the Income Statement'!N71</f>
        <v>113623</v>
      </c>
      <c r="O59" s="263">
        <f>'Notes to the Income Statement'!O65+'Notes to the Income Statement'!O71</f>
        <v>177171</v>
      </c>
      <c r="P59" s="263">
        <f>-'2e. Notes to the New Fin Stat'!P11</f>
        <v>210747.21220000001</v>
      </c>
      <c r="Q59" s="263">
        <f>-'2e. Notes to the New Fin Stat'!Q11</f>
        <v>229316.58572123601</v>
      </c>
      <c r="R59" s="263">
        <f>-'2e. Notes to the New Fin Stat'!R11</f>
        <v>250199.38785362514</v>
      </c>
      <c r="S59" s="263">
        <f>-'2e. Notes to the New Fin Stat'!S11</f>
        <v>269059.31973781931</v>
      </c>
      <c r="T59" s="263">
        <f>-'2e. Notes to the New Fin Stat'!T11</f>
        <v>290121.10085511114</v>
      </c>
      <c r="U59" s="263">
        <f>-'2e. Notes to the New Fin Stat'!U11</f>
        <v>313616.23069897812</v>
      </c>
      <c r="V59" s="263">
        <f>-'2e. Notes to the New Fin Stat'!V11</f>
        <v>339830.71069093869</v>
      </c>
      <c r="W59" s="263">
        <f>-'2e. Notes to the New Fin Stat'!W11</f>
        <v>369097.82459419261</v>
      </c>
      <c r="X59" s="263">
        <f>-'2e. Notes to the New Fin Stat'!X11</f>
        <v>401815.56726887479</v>
      </c>
      <c r="Y59" s="263">
        <f>-'2e. Notes to the New Fin Stat'!Y11</f>
        <v>438356.01339719916</v>
      </c>
      <c r="Z59" s="263">
        <f>-'2e. Notes to the New Fin Stat'!Z11</f>
        <v>479167.97675697732</v>
      </c>
      <c r="AA59" s="263">
        <f>-'2e. Notes to the New Fin Stat'!AA11</f>
        <v>524760.44022184995</v>
      </c>
      <c r="AB59" s="263">
        <f>-'2e. Notes to the New Fin Stat'!AB11</f>
        <v>575705.70127679827</v>
      </c>
      <c r="AC59" s="263">
        <f>-'2e. Notes to the New Fin Stat'!AC11</f>
        <v>632645.85257207113</v>
      </c>
      <c r="AD59" s="875">
        <f>-'2e. Notes to the New Fin Stat'!AD11</f>
        <v>696301.39471087023</v>
      </c>
    </row>
    <row r="60" spans="1:30" s="106" customFormat="1" ht="11">
      <c r="A60" s="105"/>
      <c r="B60" s="105"/>
      <c r="C60" s="105"/>
      <c r="D60" s="702" t="s">
        <v>442</v>
      </c>
      <c r="E60" s="232"/>
      <c r="F60" s="232">
        <f>(F59/E59)-1</f>
        <v>-2.6215637636345157E-2</v>
      </c>
      <c r="G60" s="232">
        <f t="shared" ref="G60" si="211">(G59/F59)-1</f>
        <v>0.17593998080781637</v>
      </c>
      <c r="H60" s="232">
        <f t="shared" ref="H60" si="212">(H59/G59)-1</f>
        <v>-2.1365302155818E-3</v>
      </c>
      <c r="I60" s="232">
        <f t="shared" ref="I60" si="213">(I59/H59)-1</f>
        <v>7.1072782692736647E-2</v>
      </c>
      <c r="J60" s="232">
        <f t="shared" ref="J60" si="214">(J59/I59)-1</f>
        <v>6.7189560630249279E-2</v>
      </c>
      <c r="K60" s="232">
        <f t="shared" ref="K60" si="215">(K59/J59)-1</f>
        <v>4.3447154471545346E-3</v>
      </c>
      <c r="L60" s="692">
        <f t="shared" ref="L60" si="216">(L59/K59)-1</f>
        <v>0.12929839785517228</v>
      </c>
      <c r="M60" s="692">
        <f t="shared" ref="M60" si="217">(M59/L59)-1</f>
        <v>0.17405266538214526</v>
      </c>
      <c r="N60" s="692">
        <f t="shared" ref="N60" si="218">(N59/M59)-1</f>
        <v>0.10994646764613947</v>
      </c>
      <c r="O60" s="692">
        <f t="shared" ref="O60" si="219">(O59/N59)-1</f>
        <v>0.55928817228906125</v>
      </c>
      <c r="P60" s="692">
        <f t="shared" ref="P60" si="220">(P59/O59)-1</f>
        <v>0.18951302526937264</v>
      </c>
      <c r="Q60" s="692">
        <f t="shared" ref="Q60" si="221">(Q59/P59)-1</f>
        <v>8.8112071933903469E-2</v>
      </c>
      <c r="R60" s="692">
        <f t="shared" ref="R60" si="222">(R59/Q59)-1</f>
        <v>9.1065380494435244E-2</v>
      </c>
      <c r="S60" s="692">
        <f t="shared" ref="S60" si="223">(S59/R59)-1</f>
        <v>7.5379608423454147E-2</v>
      </c>
      <c r="T60" s="692">
        <f t="shared" ref="T60" si="224">(T59/S59)-1</f>
        <v>7.8279321964446869E-2</v>
      </c>
      <c r="U60" s="692">
        <f t="shared" ref="U60" si="225">(U59/T59)-1</f>
        <v>8.0983871130423601E-2</v>
      </c>
      <c r="V60" s="692">
        <f t="shared" ref="V60" si="226">(V59/U59)-1</f>
        <v>8.3587765638068356E-2</v>
      </c>
      <c r="W60" s="692">
        <f t="shared" ref="W60" si="227">(W59/V59)-1</f>
        <v>8.6122628068983076E-2</v>
      </c>
      <c r="X60" s="692">
        <f t="shared" ref="X60" si="228">(X59/W59)-1</f>
        <v>8.8642469542197677E-2</v>
      </c>
      <c r="Y60" s="692">
        <f t="shared" ref="Y60" si="229">(Y59/X59)-1</f>
        <v>9.093835357521951E-2</v>
      </c>
      <c r="Z60" s="692">
        <f t="shared" ref="Z60" si="230">(Z59/Y59)-1</f>
        <v>9.3102323482438409E-2</v>
      </c>
      <c r="AA60" s="692">
        <f t="shared" ref="AA60" si="231">(AA59/Z59)-1</f>
        <v>9.5149228822517973E-2</v>
      </c>
      <c r="AB60" s="692">
        <f t="shared" ref="AB60" si="232">(AB59/AA59)-1</f>
        <v>9.7082891830433171E-2</v>
      </c>
      <c r="AC60" s="692">
        <f t="shared" ref="AC60" si="233">(AC59/AB59)-1</f>
        <v>9.8904963367552501E-2</v>
      </c>
      <c r="AD60" s="728">
        <f t="shared" ref="AD60" si="234">(AD59/AC59)-1</f>
        <v>0.10061797114452342</v>
      </c>
    </row>
    <row r="61" spans="1:30" s="106" customFormat="1" ht="12" thickBot="1">
      <c r="A61" s="105"/>
      <c r="B61" s="105"/>
      <c r="C61" s="105"/>
      <c r="D61" s="703" t="s">
        <v>443</v>
      </c>
      <c r="E61" s="232">
        <f t="shared" ref="E61:O61" si="235">E59/E6</f>
        <v>2.2844053183508097E-2</v>
      </c>
      <c r="F61" s="232">
        <f t="shared" si="235"/>
        <v>2.2524540607838376E-2</v>
      </c>
      <c r="G61" s="232">
        <f t="shared" si="235"/>
        <v>2.5834319063940504E-2</v>
      </c>
      <c r="H61" s="232">
        <f t="shared" si="235"/>
        <v>2.2399845993773138E-2</v>
      </c>
      <c r="I61" s="232">
        <f t="shared" si="235"/>
        <v>2.1820271360753742E-2</v>
      </c>
      <c r="J61" s="232">
        <f t="shared" si="235"/>
        <v>2.2456933079653976E-2</v>
      </c>
      <c r="K61" s="232">
        <f t="shared" si="235"/>
        <v>2.1111529160591884E-2</v>
      </c>
      <c r="L61" s="692">
        <f t="shared" si="235"/>
        <v>1.8759233907586374E-2</v>
      </c>
      <c r="M61" s="692">
        <f t="shared" si="235"/>
        <v>2.1774754829806026E-2</v>
      </c>
      <c r="N61" s="692">
        <f t="shared" si="235"/>
        <v>2.2548120371476528E-2</v>
      </c>
      <c r="O61" s="692">
        <f t="shared" si="235"/>
        <v>2.8720603776080735E-2</v>
      </c>
      <c r="P61" s="692">
        <f t="shared" ref="P61:AD61" si="236">P59/P6</f>
        <v>2.4928844357308938E-2</v>
      </c>
      <c r="Q61" s="692">
        <f t="shared" si="236"/>
        <v>2.4814784869573128E-2</v>
      </c>
      <c r="R61" s="692">
        <f t="shared" si="236"/>
        <v>2.4902618289742478E-2</v>
      </c>
      <c r="S61" s="692">
        <f t="shared" si="236"/>
        <v>2.4660933626883336E-2</v>
      </c>
      <c r="T61" s="692">
        <f t="shared" si="236"/>
        <v>2.4616118503337149E-2</v>
      </c>
      <c r="U61" s="692">
        <f t="shared" si="236"/>
        <v>2.4716318529127049E-2</v>
      </c>
      <c r="V61" s="692">
        <f t="shared" si="236"/>
        <v>2.4862353791706746E-2</v>
      </c>
      <c r="W61" s="692">
        <f t="shared" si="236"/>
        <v>2.5018470472113752E-2</v>
      </c>
      <c r="X61" s="692">
        <f t="shared" si="236"/>
        <v>2.5132487429650938E-2</v>
      </c>
      <c r="Y61" s="692">
        <f t="shared" si="236"/>
        <v>2.5374895368084287E-2</v>
      </c>
      <c r="Z61" s="692">
        <f t="shared" si="236"/>
        <v>2.5666221392298804E-2</v>
      </c>
      <c r="AA61" s="692">
        <f t="shared" si="236"/>
        <v>2.5992445186198608E-2</v>
      </c>
      <c r="AB61" s="692">
        <f t="shared" si="236"/>
        <v>2.634951644021636E-2</v>
      </c>
      <c r="AC61" s="692">
        <f t="shared" si="236"/>
        <v>2.6736004593751993E-2</v>
      </c>
      <c r="AD61" s="728">
        <f t="shared" si="236"/>
        <v>2.7150554477054965E-2</v>
      </c>
    </row>
    <row r="62" spans="1:30" s="20" customFormat="1" ht="16" thickBot="1">
      <c r="A62" s="4"/>
      <c r="B62" s="4"/>
      <c r="C62" s="19"/>
      <c r="D62" s="691" t="s">
        <v>451</v>
      </c>
      <c r="E62" s="262">
        <f t="shared" ref="E62:N62" si="237">E38</f>
        <v>152842</v>
      </c>
      <c r="F62" s="262">
        <f t="shared" si="237"/>
        <v>177443</v>
      </c>
      <c r="G62" s="262">
        <f t="shared" si="237"/>
        <v>239272</v>
      </c>
      <c r="H62" s="262">
        <f t="shared" si="237"/>
        <v>329009</v>
      </c>
      <c r="I62" s="262">
        <f t="shared" si="237"/>
        <v>430195</v>
      </c>
      <c r="J62" s="262">
        <f t="shared" si="237"/>
        <v>464777</v>
      </c>
      <c r="K62" s="262">
        <f t="shared" si="237"/>
        <v>512689</v>
      </c>
      <c r="L62" s="262">
        <f t="shared" si="237"/>
        <v>663070</v>
      </c>
      <c r="M62" s="262">
        <f t="shared" si="237"/>
        <v>743560</v>
      </c>
      <c r="N62" s="262">
        <f t="shared" si="237"/>
        <v>879566</v>
      </c>
      <c r="O62" s="262">
        <f t="shared" ref="O62:AD62" si="238">O38-O35</f>
        <v>1007255</v>
      </c>
      <c r="P62" s="262">
        <f t="shared" si="238"/>
        <v>1653844.1042273296</v>
      </c>
      <c r="Q62" s="262">
        <f t="shared" si="238"/>
        <v>1801282.4492003783</v>
      </c>
      <c r="R62" s="262">
        <f t="shared" si="238"/>
        <v>1913086.6095035733</v>
      </c>
      <c r="S62" s="262">
        <f t="shared" si="238"/>
        <v>2087578.6114970965</v>
      </c>
      <c r="T62" s="262">
        <f t="shared" si="238"/>
        <v>2266809.3788446356</v>
      </c>
      <c r="U62" s="262">
        <f t="shared" si="238"/>
        <v>2444128.0031330413</v>
      </c>
      <c r="V62" s="262">
        <f t="shared" si="238"/>
        <v>2644470.8557153419</v>
      </c>
      <c r="W62" s="262">
        <f t="shared" si="238"/>
        <v>2867459.7122532884</v>
      </c>
      <c r="X62" s="262">
        <f t="shared" si="238"/>
        <v>3120053.279338019</v>
      </c>
      <c r="Y62" s="262">
        <f t="shared" si="238"/>
        <v>3386480.7192832539</v>
      </c>
      <c r="Z62" s="262">
        <f t="shared" si="238"/>
        <v>3675537.8072529077</v>
      </c>
      <c r="AA62" s="262">
        <f t="shared" si="238"/>
        <v>3991337.2496793629</v>
      </c>
      <c r="AB62" s="262">
        <f t="shared" si="238"/>
        <v>4337121.5812901035</v>
      </c>
      <c r="AC62" s="262">
        <f t="shared" si="238"/>
        <v>4715900.0850399034</v>
      </c>
      <c r="AD62" s="876">
        <f t="shared" si="238"/>
        <v>5130989.4269775841</v>
      </c>
    </row>
    <row r="63" spans="1:30" s="106" customFormat="1" ht="11">
      <c r="A63" s="105"/>
      <c r="B63" s="105"/>
      <c r="C63" s="105"/>
      <c r="D63" s="702" t="s">
        <v>442</v>
      </c>
      <c r="E63" s="232"/>
      <c r="F63" s="232">
        <f>(F62/E62)-1</f>
        <v>0.16095706677483945</v>
      </c>
      <c r="G63" s="232">
        <f t="shared" ref="G63" si="239">(G62/F62)-1</f>
        <v>0.34844428915200942</v>
      </c>
      <c r="H63" s="232">
        <f t="shared" ref="H63" si="240">(H62/G62)-1</f>
        <v>0.37504179344010158</v>
      </c>
      <c r="I63" s="232">
        <f t="shared" ref="I63" si="241">(I62/H62)-1</f>
        <v>0.30754781784084928</v>
      </c>
      <c r="J63" s="232">
        <f t="shared" ref="J63" si="242">(J62/I62)-1</f>
        <v>8.0386801334278557E-2</v>
      </c>
      <c r="K63" s="232">
        <f t="shared" ref="K63" si="243">(K62/J62)-1</f>
        <v>0.10308599607984048</v>
      </c>
      <c r="L63" s="692">
        <f t="shared" ref="L63" si="244">(L62/K62)-1</f>
        <v>0.293318171445067</v>
      </c>
      <c r="M63" s="692">
        <f t="shared" ref="M63" si="245">(M62/L62)-1</f>
        <v>0.12138989850242066</v>
      </c>
      <c r="N63" s="692">
        <f t="shared" ref="N63" si="246">(N62/M62)-1</f>
        <v>0.18291193716714194</v>
      </c>
      <c r="O63" s="692">
        <f t="shared" ref="O63" si="247">(O62/N62)-1</f>
        <v>0.14517273291600641</v>
      </c>
      <c r="P63" s="692">
        <f t="shared" ref="P63" si="248">(P62/O62)-1</f>
        <v>0.64193188837715343</v>
      </c>
      <c r="Q63" s="692">
        <f t="shared" ref="Q63" si="249">(Q62/P62)-1</f>
        <v>8.9148877210486255E-2</v>
      </c>
      <c r="R63" s="692">
        <f t="shared" ref="R63" si="250">(R62/Q62)-1</f>
        <v>6.2069199837497369E-2</v>
      </c>
      <c r="S63" s="692">
        <f t="shared" ref="S63" si="251">(S62/R62)-1</f>
        <v>9.120967191276419E-2</v>
      </c>
      <c r="T63" s="692">
        <f t="shared" ref="T63" si="252">(T62/S62)-1</f>
        <v>8.5855817050647376E-2</v>
      </c>
      <c r="U63" s="692">
        <f t="shared" ref="U63" si="253">(U62/T62)-1</f>
        <v>7.822387975948053E-2</v>
      </c>
      <c r="V63" s="692">
        <f t="shared" ref="V63" si="254">(V62/U62)-1</f>
        <v>8.1969050853919256E-2</v>
      </c>
      <c r="W63" s="692">
        <f t="shared" ref="W63" si="255">(W62/V62)-1</f>
        <v>8.4322675009260717E-2</v>
      </c>
      <c r="X63" s="692">
        <f t="shared" ref="X63" si="256">(X62/W62)-1</f>
        <v>8.8089665568915398E-2</v>
      </c>
      <c r="Y63" s="692">
        <f t="shared" ref="Y63" si="257">(Y62/X62)-1</f>
        <v>8.539195202517913E-2</v>
      </c>
      <c r="Z63" s="692">
        <f t="shared" ref="Z63" si="258">(Z62/Y62)-1</f>
        <v>8.5356188896546392E-2</v>
      </c>
      <c r="AA63" s="692">
        <f t="shared" ref="AA63" si="259">(AA62/Z62)-1</f>
        <v>8.5919247464490978E-2</v>
      </c>
      <c r="AB63" s="692">
        <f t="shared" ref="AB63" si="260">(AB62/AA62)-1</f>
        <v>8.6633704440414849E-2</v>
      </c>
      <c r="AC63" s="692">
        <f t="shared" ref="AC63" si="261">(AC62/AB62)-1</f>
        <v>8.7334075526914301E-2</v>
      </c>
      <c r="AD63" s="728">
        <f t="shared" ref="AD63" si="262">(AD62/AC62)-1</f>
        <v>8.8019112884612394E-2</v>
      </c>
    </row>
    <row r="64" spans="1:30" s="106" customFormat="1" ht="11">
      <c r="A64" s="105"/>
      <c r="B64" s="105"/>
      <c r="C64" s="105"/>
      <c r="D64" s="703" t="s">
        <v>453</v>
      </c>
      <c r="E64" s="232">
        <f t="shared" ref="E64:T64" si="263">E62/E6</f>
        <v>5.9321260944540162E-2</v>
      </c>
      <c r="F64" s="232">
        <f t="shared" si="263"/>
        <v>6.9734311420686812E-2</v>
      </c>
      <c r="G64" s="232">
        <f t="shared" si="263"/>
        <v>9.1713960015240181E-2</v>
      </c>
      <c r="H64" s="232">
        <f t="shared" si="263"/>
        <v>0.10957922727775343</v>
      </c>
      <c r="I64" s="232">
        <f t="shared" si="263"/>
        <v>0.1303112603323309</v>
      </c>
      <c r="J64" s="232">
        <f t="shared" si="263"/>
        <v>0.13577191526455071</v>
      </c>
      <c r="K64" s="232">
        <f t="shared" si="263"/>
        <v>0.14018636135443657</v>
      </c>
      <c r="L64" s="692">
        <f t="shared" si="263"/>
        <v>0.14265856072923316</v>
      </c>
      <c r="M64" s="692">
        <f t="shared" si="263"/>
        <v>0.1581630656186559</v>
      </c>
      <c r="N64" s="692">
        <f t="shared" si="263"/>
        <v>0.17454705510907231</v>
      </c>
      <c r="O64" s="692">
        <f t="shared" si="263"/>
        <v>0.16328277063670804</v>
      </c>
      <c r="P64" s="692">
        <f t="shared" si="263"/>
        <v>0.19562973970165817</v>
      </c>
      <c r="Q64" s="692">
        <f t="shared" si="263"/>
        <v>0.19492020747501407</v>
      </c>
      <c r="R64" s="692">
        <f t="shared" si="263"/>
        <v>0.19041159932636037</v>
      </c>
      <c r="S64" s="692">
        <f t="shared" si="263"/>
        <v>0.19133935828424994</v>
      </c>
      <c r="T64" s="692">
        <f t="shared" si="263"/>
        <v>0.19233364319123628</v>
      </c>
      <c r="U64" s="692">
        <f t="shared" ref="U64:AD64" si="264">U62/U6</f>
        <v>0.19262346887071466</v>
      </c>
      <c r="V64" s="692">
        <f t="shared" si="264"/>
        <v>0.19347212579161821</v>
      </c>
      <c r="W64" s="692">
        <f t="shared" si="264"/>
        <v>0.19436434289435106</v>
      </c>
      <c r="X64" s="692">
        <f t="shared" si="264"/>
        <v>0.19515097524913158</v>
      </c>
      <c r="Y64" s="692">
        <f t="shared" si="264"/>
        <v>0.19603151614572201</v>
      </c>
      <c r="Z64" s="692">
        <f t="shared" si="264"/>
        <v>0.19687702783310829</v>
      </c>
      <c r="AA64" s="692">
        <f t="shared" si="264"/>
        <v>0.1976990007822694</v>
      </c>
      <c r="AB64" s="692">
        <f t="shared" si="264"/>
        <v>0.19850603555943355</v>
      </c>
      <c r="AC64" s="692">
        <f t="shared" si="264"/>
        <v>0.19929685119201618</v>
      </c>
      <c r="AD64" s="728">
        <f t="shared" si="264"/>
        <v>0.2000702698810394</v>
      </c>
    </row>
    <row r="65" spans="1:40" s="50" customFormat="1">
      <c r="A65" s="9"/>
      <c r="B65" s="9"/>
      <c r="C65" s="17"/>
      <c r="D65" s="874" t="s">
        <v>454</v>
      </c>
      <c r="E65" s="263">
        <f>'Notes to the Income Statement'!E137+'Notes to the Income Statement'!E153</f>
        <v>26607</v>
      </c>
      <c r="F65" s="263">
        <f>'Notes to the Income Statement'!F137+'Notes to the Income Statement'!F153</f>
        <v>23340</v>
      </c>
      <c r="G65" s="263">
        <f>'Notes to the Income Statement'!G137+'Notes to the Income Statement'!G153</f>
        <v>11181</v>
      </c>
      <c r="H65" s="263">
        <f>'Notes to the Income Statement'!H137+'Notes to the Income Statement'!H153</f>
        <v>10311</v>
      </c>
      <c r="I65" s="263">
        <f>'Notes to the Income Statement'!I137+'Notes to the Income Statement'!I153</f>
        <v>7230</v>
      </c>
      <c r="J65" s="263">
        <f>'Notes to the Income Statement'!J137+'Notes to the Income Statement'!J153</f>
        <v>721</v>
      </c>
      <c r="K65" s="263">
        <f>'Notes to the Income Statement'!K137+'Notes to the Income Statement'!K153</f>
        <v>9813</v>
      </c>
      <c r="L65" s="263">
        <f>'Notes to the Income Statement'!L137+'Notes to the Income Statement'!L153</f>
        <v>33171</v>
      </c>
      <c r="M65" s="263">
        <f>'Notes to the Income Statement'!M137+'Notes to the Income Statement'!M153</f>
        <v>8966</v>
      </c>
      <c r="N65" s="263">
        <f>'Notes to the Income Statement'!N137+'Notes to the Income Statement'!N153</f>
        <v>-3829</v>
      </c>
      <c r="O65" s="263">
        <f>'Notes to the Income Statement'!O137+'Notes to the Income Statement'!O153</f>
        <v>-96884</v>
      </c>
      <c r="P65" s="263"/>
      <c r="Q65" s="263"/>
      <c r="R65" s="263"/>
      <c r="S65" s="263"/>
      <c r="T65" s="190"/>
      <c r="U65" s="190"/>
      <c r="V65" s="190"/>
      <c r="W65" s="190"/>
      <c r="X65" s="190"/>
      <c r="Y65" s="190"/>
      <c r="Z65" s="190"/>
      <c r="AA65" s="190"/>
      <c r="AB65" s="190"/>
      <c r="AC65" s="190"/>
      <c r="AD65" s="888"/>
    </row>
    <row r="66" spans="1:40" s="50" customFormat="1">
      <c r="A66" s="9"/>
      <c r="B66" s="9"/>
      <c r="C66" s="17"/>
      <c r="D66" s="874" t="s">
        <v>455</v>
      </c>
      <c r="E66" s="263">
        <f>'Notes to the Income Statement'!E127</f>
        <v>1</v>
      </c>
      <c r="F66" s="263">
        <f>'Notes to the Income Statement'!F127</f>
        <v>6151</v>
      </c>
      <c r="G66" s="263">
        <f>'Notes to the Income Statement'!G127</f>
        <v>15922</v>
      </c>
      <c r="H66" s="263">
        <f>'Notes to the Income Statement'!H127</f>
        <v>19103</v>
      </c>
      <c r="I66" s="263">
        <f>'Notes to the Income Statement'!I127</f>
        <v>18731</v>
      </c>
      <c r="J66" s="263">
        <f>'Notes to the Income Statement'!J127</f>
        <v>13532</v>
      </c>
      <c r="K66" s="263">
        <f>'Notes to the Income Statement'!K127</f>
        <v>13141</v>
      </c>
      <c r="L66" s="263">
        <f>'Notes to the Income Statement'!L127</f>
        <v>0</v>
      </c>
      <c r="M66" s="263">
        <f>'Notes to the Income Statement'!M127</f>
        <v>0</v>
      </c>
      <c r="N66" s="263"/>
      <c r="O66" s="263"/>
      <c r="P66" s="263"/>
      <c r="Q66" s="263"/>
      <c r="R66" s="263"/>
      <c r="S66" s="263"/>
      <c r="T66" s="190"/>
      <c r="U66" s="190"/>
      <c r="V66" s="190"/>
      <c r="W66" s="190"/>
      <c r="X66" s="190"/>
      <c r="Y66" s="190"/>
      <c r="Z66" s="190"/>
      <c r="AA66" s="190"/>
      <c r="AB66" s="190"/>
      <c r="AC66" s="190"/>
      <c r="AD66" s="888"/>
    </row>
    <row r="67" spans="1:40" s="50" customFormat="1">
      <c r="A67" s="9"/>
      <c r="B67" s="9"/>
      <c r="C67" s="17"/>
      <c r="D67" s="874" t="s">
        <v>456</v>
      </c>
      <c r="E67" s="263"/>
      <c r="F67" s="263"/>
      <c r="G67" s="263"/>
      <c r="H67" s="263"/>
      <c r="I67" s="263"/>
      <c r="J67" s="263"/>
      <c r="K67" s="263"/>
      <c r="L67" s="263"/>
      <c r="M67" s="263"/>
      <c r="N67" s="263"/>
      <c r="O67" s="263"/>
      <c r="P67" s="263"/>
      <c r="Q67" s="263"/>
      <c r="R67" s="263"/>
      <c r="S67" s="263"/>
      <c r="T67" s="190"/>
      <c r="U67" s="190"/>
      <c r="V67" s="190"/>
      <c r="W67" s="190"/>
      <c r="X67" s="190"/>
      <c r="Y67" s="190"/>
      <c r="Z67" s="190"/>
      <c r="AA67" s="190"/>
      <c r="AB67" s="190"/>
      <c r="AC67" s="190"/>
      <c r="AD67" s="888"/>
    </row>
    <row r="68" spans="1:40" s="50" customFormat="1" ht="16" thickBot="1">
      <c r="A68" s="9"/>
      <c r="B68" s="9"/>
      <c r="C68" s="17"/>
      <c r="D68" s="874" t="s">
        <v>457</v>
      </c>
      <c r="E68" s="263"/>
      <c r="F68" s="263"/>
      <c r="G68" s="263"/>
      <c r="H68" s="263"/>
      <c r="I68" s="263"/>
      <c r="J68" s="263"/>
      <c r="K68" s="263"/>
      <c r="L68" s="263"/>
      <c r="M68" s="263"/>
      <c r="N68" s="263"/>
      <c r="O68" s="263">
        <f>'Notes to the Income Statement'!O117</f>
        <v>18346</v>
      </c>
      <c r="P68" s="263"/>
      <c r="Q68" s="263"/>
      <c r="R68" s="263"/>
      <c r="S68" s="263"/>
      <c r="T68" s="190"/>
      <c r="U68" s="190"/>
      <c r="V68" s="190"/>
      <c r="W68" s="190"/>
      <c r="X68" s="190"/>
      <c r="Y68" s="190"/>
      <c r="Z68" s="190"/>
      <c r="AA68" s="190"/>
      <c r="AB68" s="190"/>
      <c r="AC68" s="190"/>
      <c r="AD68" s="888"/>
    </row>
    <row r="69" spans="1:40" s="20" customFormat="1" ht="16" thickBot="1">
      <c r="A69" s="4"/>
      <c r="B69" s="4"/>
      <c r="C69" s="19"/>
      <c r="D69" s="691" t="s">
        <v>14</v>
      </c>
      <c r="E69" s="262">
        <f t="shared" ref="E69:O69" si="265">E62+SUM(E65:E68)</f>
        <v>179450</v>
      </c>
      <c r="F69" s="262">
        <f t="shared" si="265"/>
        <v>206934</v>
      </c>
      <c r="G69" s="262">
        <f t="shared" si="265"/>
        <v>266375</v>
      </c>
      <c r="H69" s="262">
        <f t="shared" si="265"/>
        <v>358423</v>
      </c>
      <c r="I69" s="262">
        <f t="shared" si="265"/>
        <v>456156</v>
      </c>
      <c r="J69" s="262">
        <f t="shared" si="265"/>
        <v>479030</v>
      </c>
      <c r="K69" s="262">
        <f t="shared" si="265"/>
        <v>535643</v>
      </c>
      <c r="L69" s="262">
        <f t="shared" si="265"/>
        <v>696241</v>
      </c>
      <c r="M69" s="262">
        <f t="shared" si="265"/>
        <v>752526</v>
      </c>
      <c r="N69" s="262">
        <f t="shared" si="265"/>
        <v>875737</v>
      </c>
      <c r="O69" s="262">
        <f t="shared" si="265"/>
        <v>928717</v>
      </c>
      <c r="P69" s="262">
        <f>P43</f>
        <v>1486956.3067957144</v>
      </c>
      <c r="Q69" s="262">
        <f t="shared" ref="Q69:AD69" si="266">Q43</f>
        <v>1630535.2672007815</v>
      </c>
      <c r="R69" s="262">
        <f t="shared" si="266"/>
        <v>1741078.8165405244</v>
      </c>
      <c r="S69" s="262">
        <f t="shared" si="266"/>
        <v>1911396.8153174329</v>
      </c>
      <c r="T69" s="262">
        <f t="shared" si="266"/>
        <v>2085989.4181617219</v>
      </c>
      <c r="U69" s="262">
        <f t="shared" si="266"/>
        <v>2258945.1362715145</v>
      </c>
      <c r="V69" s="262">
        <f t="shared" si="266"/>
        <v>2454406.5612983406</v>
      </c>
      <c r="W69" s="262">
        <f t="shared" si="266"/>
        <v>2671403.1840844308</v>
      </c>
      <c r="X69" s="262">
        <f t="shared" si="266"/>
        <v>2916953.746465039</v>
      </c>
      <c r="Y69" s="262">
        <f t="shared" si="266"/>
        <v>3174880.1404714156</v>
      </c>
      <c r="Z69" s="262">
        <f t="shared" si="266"/>
        <v>3454901.8895729552</v>
      </c>
      <c r="AA69" s="262">
        <f t="shared" si="266"/>
        <v>3760530.8422440891</v>
      </c>
      <c r="AB69" s="262">
        <f t="shared" si="266"/>
        <v>4094689.4248980703</v>
      </c>
      <c r="AC69" s="262">
        <f t="shared" si="266"/>
        <v>4460272.6983161168</v>
      </c>
      <c r="AD69" s="876">
        <f t="shared" si="266"/>
        <v>4860425.00786319</v>
      </c>
    </row>
    <row r="70" spans="1:40" s="106" customFormat="1" ht="11">
      <c r="A70" s="105"/>
      <c r="B70" s="105"/>
      <c r="C70" s="105"/>
      <c r="D70" s="702" t="s">
        <v>442</v>
      </c>
      <c r="E70" s="232"/>
      <c r="F70" s="232">
        <f>(F69/E69)-1</f>
        <v>0.15315686820841456</v>
      </c>
      <c r="G70" s="232">
        <f t="shared" ref="G70" si="267">(G69/F69)-1</f>
        <v>0.28724617510897188</v>
      </c>
      <c r="H70" s="232">
        <f t="shared" ref="H70" si="268">(H69/G69)-1</f>
        <v>0.34555795401220091</v>
      </c>
      <c r="I70" s="232">
        <f t="shared" ref="I70" si="269">(I69/H69)-1</f>
        <v>0.27267502364524598</v>
      </c>
      <c r="J70" s="232">
        <f t="shared" ref="J70" si="270">(J69/I69)-1</f>
        <v>5.0145125790299838E-2</v>
      </c>
      <c r="K70" s="232">
        <f t="shared" ref="K70" si="271">(K69/J69)-1</f>
        <v>0.11818257729161008</v>
      </c>
      <c r="L70" s="692">
        <f t="shared" ref="L70" si="272">(L69/K69)-1</f>
        <v>0.29982282975787977</v>
      </c>
      <c r="M70" s="692">
        <f t="shared" ref="M70" si="273">(M69/L69)-1</f>
        <v>8.0841260425628558E-2</v>
      </c>
      <c r="N70" s="692">
        <f t="shared" ref="N70" si="274">(N69/M69)-1</f>
        <v>0.16372989106024249</v>
      </c>
      <c r="O70" s="692">
        <f t="shared" ref="O70" si="275">(O69/N69)-1</f>
        <v>6.0497615151580808E-2</v>
      </c>
      <c r="P70" s="692">
        <f t="shared" ref="P70" si="276">(P69/O69)-1</f>
        <v>0.60108656005620054</v>
      </c>
      <c r="Q70" s="692">
        <f t="shared" ref="Q70" si="277">(Q69/P69)-1</f>
        <v>9.6558963937864117E-2</v>
      </c>
      <c r="R70" s="692">
        <f t="shared" ref="R70" si="278">(R69/Q69)-1</f>
        <v>6.7795865298588831E-2</v>
      </c>
      <c r="S70" s="692">
        <f t="shared" ref="S70" si="279">(S69/R69)-1</f>
        <v>9.7823255994421654E-2</v>
      </c>
      <c r="T70" s="692">
        <f t="shared" ref="T70" si="280">(T69/S69)-1</f>
        <v>9.1342939072174723E-2</v>
      </c>
      <c r="U70" s="692">
        <f t="shared" ref="U70" si="281">(U69/T69)-1</f>
        <v>8.2913037143884427E-2</v>
      </c>
      <c r="V70" s="692">
        <f t="shared" ref="V70" si="282">(V69/U69)-1</f>
        <v>8.6527743364960052E-2</v>
      </c>
      <c r="W70" s="692">
        <f t="shared" ref="W70" si="283">(W69/V69)-1</f>
        <v>8.841103434440889E-2</v>
      </c>
      <c r="X70" s="692">
        <f t="shared" ref="X70" si="284">(X69/W69)-1</f>
        <v>9.191819634098608E-2</v>
      </c>
      <c r="Y70" s="692">
        <f t="shared" ref="Y70" si="285">(Y69/X69)-1</f>
        <v>8.8423203254062388E-2</v>
      </c>
      <c r="Z70" s="692">
        <f t="shared" ref="Z70" si="286">(Z69/Y69)-1</f>
        <v>8.8199156097893194E-2</v>
      </c>
      <c r="AA70" s="692">
        <f t="shared" ref="AA70" si="287">(AA69/Z69)-1</f>
        <v>8.8462411506831984E-2</v>
      </c>
      <c r="AB70" s="692">
        <f t="shared" ref="AB70" si="288">(AB69/AA69)-1</f>
        <v>8.8859418170486926E-2</v>
      </c>
      <c r="AC70" s="692">
        <f t="shared" ref="AC70" si="289">(AC69/AB69)-1</f>
        <v>8.928229603815363E-2</v>
      </c>
      <c r="AD70" s="728">
        <f t="shared" ref="AD70" si="290">(AD69/AC69)-1</f>
        <v>8.9714763336811831E-2</v>
      </c>
    </row>
    <row r="71" spans="1:40" s="106" customFormat="1" ht="11">
      <c r="A71" s="105"/>
      <c r="B71" s="105"/>
      <c r="C71" s="105"/>
      <c r="D71" s="703" t="s">
        <v>458</v>
      </c>
      <c r="E71" s="232">
        <f t="shared" ref="E71:T71" si="291">E69/E6</f>
        <v>6.9648396883695132E-2</v>
      </c>
      <c r="F71" s="232">
        <f t="shared" si="291"/>
        <v>8.132414352512303E-2</v>
      </c>
      <c r="G71" s="232">
        <f t="shared" si="291"/>
        <v>0.1021026534615818</v>
      </c>
      <c r="H71" s="232">
        <f t="shared" si="291"/>
        <v>0.11937580849938517</v>
      </c>
      <c r="I71" s="232">
        <f t="shared" si="291"/>
        <v>0.13817516072514727</v>
      </c>
      <c r="J71" s="232">
        <f t="shared" si="291"/>
        <v>0.13993554020353358</v>
      </c>
      <c r="K71" s="232">
        <f t="shared" si="291"/>
        <v>0.14646275452559829</v>
      </c>
      <c r="L71" s="692">
        <f t="shared" si="291"/>
        <v>0.14979525386562811</v>
      </c>
      <c r="M71" s="692">
        <f t="shared" si="291"/>
        <v>0.16007022851921116</v>
      </c>
      <c r="N71" s="692">
        <f t="shared" si="291"/>
        <v>0.1737872023248439</v>
      </c>
      <c r="O71" s="692">
        <f t="shared" si="291"/>
        <v>0.15055123568253481</v>
      </c>
      <c r="P71" s="692">
        <f t="shared" si="291"/>
        <v>0.17588893324506469</v>
      </c>
      <c r="Q71" s="692">
        <f t="shared" si="291"/>
        <v>0.17644332942853674</v>
      </c>
      <c r="R71" s="692">
        <f t="shared" si="291"/>
        <v>0.17329147586096719</v>
      </c>
      <c r="S71" s="692">
        <f t="shared" si="291"/>
        <v>0.17519121821578659</v>
      </c>
      <c r="T71" s="692">
        <f t="shared" si="291"/>
        <v>0.17699147894733913</v>
      </c>
      <c r="U71" s="692">
        <f t="shared" ref="U71:AD71" si="292">U69/U6</f>
        <v>0.17802907522825151</v>
      </c>
      <c r="V71" s="692">
        <f t="shared" si="292"/>
        <v>0.17956683241375107</v>
      </c>
      <c r="W71" s="692">
        <f t="shared" si="292"/>
        <v>0.18107508965572636</v>
      </c>
      <c r="X71" s="692">
        <f t="shared" si="292"/>
        <v>0.18244764349025389</v>
      </c>
      <c r="Y71" s="692">
        <f t="shared" si="292"/>
        <v>0.18378269924102211</v>
      </c>
      <c r="Z71" s="692">
        <f t="shared" si="292"/>
        <v>0.18505885428029017</v>
      </c>
      <c r="AA71" s="692">
        <f t="shared" si="292"/>
        <v>0.18626669294414708</v>
      </c>
      <c r="AB71" s="692">
        <f t="shared" si="292"/>
        <v>0.18741014042356507</v>
      </c>
      <c r="AC71" s="692">
        <f t="shared" si="292"/>
        <v>0.18849387989622729</v>
      </c>
      <c r="AD71" s="728">
        <f t="shared" si="292"/>
        <v>0.1895202780865114</v>
      </c>
    </row>
    <row r="72" spans="1:40" s="50" customFormat="1">
      <c r="A72" s="9"/>
      <c r="B72" s="9"/>
      <c r="C72" s="17"/>
      <c r="D72" s="874" t="s">
        <v>15</v>
      </c>
      <c r="E72" s="263">
        <f t="shared" ref="E72:P72" si="293">E46</f>
        <v>64541</v>
      </c>
      <c r="F72" s="263">
        <f t="shared" si="293"/>
        <v>70088</v>
      </c>
      <c r="G72" s="263">
        <f t="shared" si="293"/>
        <v>85869</v>
      </c>
      <c r="H72" s="263">
        <f t="shared" si="293"/>
        <v>104153</v>
      </c>
      <c r="I72" s="263">
        <f t="shared" si="293"/>
        <v>148223</v>
      </c>
      <c r="J72" s="263">
        <f t="shared" si="293"/>
        <v>175515</v>
      </c>
      <c r="K72" s="263">
        <f t="shared" si="293"/>
        <v>189426</v>
      </c>
      <c r="L72" s="263">
        <f t="shared" si="293"/>
        <v>232315</v>
      </c>
      <c r="M72" s="263">
        <f t="shared" si="293"/>
        <v>228135</v>
      </c>
      <c r="N72" s="263">
        <f t="shared" si="293"/>
        <v>266818</v>
      </c>
      <c r="O72" s="263">
        <f t="shared" si="293"/>
        <v>286515</v>
      </c>
      <c r="P72" s="263">
        <f t="shared" si="293"/>
        <v>520434.70737850002</v>
      </c>
      <c r="Q72" s="263">
        <f t="shared" ref="Q72:T72" si="294">Q46</f>
        <v>570687.34352027345</v>
      </c>
      <c r="R72" s="263">
        <f t="shared" si="294"/>
        <v>609377.5857891835</v>
      </c>
      <c r="S72" s="263">
        <f t="shared" si="294"/>
        <v>668988.88536110148</v>
      </c>
      <c r="T72" s="263">
        <f t="shared" si="294"/>
        <v>730096.29635660257</v>
      </c>
      <c r="U72" s="263">
        <f t="shared" ref="U72:AD72" si="295">U46</f>
        <v>790630.79769502999</v>
      </c>
      <c r="V72" s="263">
        <f t="shared" si="295"/>
        <v>859042.29645441915</v>
      </c>
      <c r="W72" s="263">
        <f t="shared" si="295"/>
        <v>934991.11442955071</v>
      </c>
      <c r="X72" s="263">
        <f t="shared" si="295"/>
        <v>1020933.8112627636</v>
      </c>
      <c r="Y72" s="263">
        <f t="shared" si="295"/>
        <v>1111208.0491649953</v>
      </c>
      <c r="Z72" s="263">
        <f t="shared" si="295"/>
        <v>1209215.6613505343</v>
      </c>
      <c r="AA72" s="263">
        <f t="shared" si="295"/>
        <v>1316185.7947854311</v>
      </c>
      <c r="AB72" s="263">
        <f t="shared" si="295"/>
        <v>1433141.2987143246</v>
      </c>
      <c r="AC72" s="263">
        <f t="shared" si="295"/>
        <v>1561095.4444106407</v>
      </c>
      <c r="AD72" s="875">
        <f t="shared" si="295"/>
        <v>1701148.7527521164</v>
      </c>
    </row>
    <row r="73" spans="1:40" s="106" customFormat="1" ht="12" thickBot="1">
      <c r="A73" s="105"/>
      <c r="B73" s="105"/>
      <c r="C73" s="105"/>
      <c r="D73" s="703" t="s">
        <v>459</v>
      </c>
      <c r="E73" s="232">
        <f t="shared" ref="E73:T73" si="296">E72/E69</f>
        <v>0.35966007244357762</v>
      </c>
      <c r="F73" s="232">
        <f t="shared" si="296"/>
        <v>0.33869736244406429</v>
      </c>
      <c r="G73" s="232">
        <f t="shared" si="296"/>
        <v>0.322361332707649</v>
      </c>
      <c r="H73" s="232">
        <f t="shared" si="296"/>
        <v>0.29058682060024049</v>
      </c>
      <c r="I73" s="232">
        <f t="shared" si="296"/>
        <v>0.32493927516025217</v>
      </c>
      <c r="J73" s="232">
        <f t="shared" si="296"/>
        <v>0.36639667661733083</v>
      </c>
      <c r="K73" s="232">
        <f t="shared" si="296"/>
        <v>0.35364225799646404</v>
      </c>
      <c r="L73" s="692">
        <f t="shared" si="296"/>
        <v>0.33367038137656357</v>
      </c>
      <c r="M73" s="692">
        <f t="shared" si="296"/>
        <v>0.30315896062062969</v>
      </c>
      <c r="N73" s="692">
        <f t="shared" si="296"/>
        <v>0.30467823102141395</v>
      </c>
      <c r="O73" s="692">
        <f t="shared" si="296"/>
        <v>0.30850625109694341</v>
      </c>
      <c r="P73" s="692">
        <f t="shared" si="296"/>
        <v>0.35</v>
      </c>
      <c r="Q73" s="692">
        <f t="shared" si="296"/>
        <v>0.35</v>
      </c>
      <c r="R73" s="692">
        <f t="shared" si="296"/>
        <v>0.35</v>
      </c>
      <c r="S73" s="692">
        <f t="shared" si="296"/>
        <v>0.35</v>
      </c>
      <c r="T73" s="692">
        <f t="shared" si="296"/>
        <v>0.35</v>
      </c>
      <c r="U73" s="692">
        <f t="shared" ref="U73:AD73" si="297">U72/U69</f>
        <v>0.35</v>
      </c>
      <c r="V73" s="692">
        <f t="shared" si="297"/>
        <v>0.35</v>
      </c>
      <c r="W73" s="692">
        <f t="shared" si="297"/>
        <v>0.35</v>
      </c>
      <c r="X73" s="692">
        <f t="shared" si="297"/>
        <v>0.35</v>
      </c>
      <c r="Y73" s="692">
        <f t="shared" si="297"/>
        <v>0.35</v>
      </c>
      <c r="Z73" s="692">
        <f t="shared" si="297"/>
        <v>0.35</v>
      </c>
      <c r="AA73" s="692">
        <f t="shared" si="297"/>
        <v>0.35</v>
      </c>
      <c r="AB73" s="692">
        <f t="shared" si="297"/>
        <v>0.35</v>
      </c>
      <c r="AC73" s="692">
        <f t="shared" si="297"/>
        <v>0.35</v>
      </c>
      <c r="AD73" s="728">
        <f t="shared" si="297"/>
        <v>0.35</v>
      </c>
    </row>
    <row r="74" spans="1:40" s="20" customFormat="1" ht="16" thickBot="1">
      <c r="A74" s="4"/>
      <c r="B74" s="4"/>
      <c r="C74" s="19"/>
      <c r="D74" s="691" t="s">
        <v>16</v>
      </c>
      <c r="E74" s="262">
        <f t="shared" ref="E74:O74" si="298">E69-E72</f>
        <v>114909</v>
      </c>
      <c r="F74" s="262">
        <f t="shared" si="298"/>
        <v>136846</v>
      </c>
      <c r="G74" s="262">
        <f t="shared" si="298"/>
        <v>180506</v>
      </c>
      <c r="H74" s="262">
        <f t="shared" si="298"/>
        <v>254270</v>
      </c>
      <c r="I74" s="262">
        <f t="shared" si="298"/>
        <v>307933</v>
      </c>
      <c r="J74" s="262">
        <f t="shared" si="298"/>
        <v>303515</v>
      </c>
      <c r="K74" s="262">
        <f t="shared" si="298"/>
        <v>346217</v>
      </c>
      <c r="L74" s="262">
        <f t="shared" si="298"/>
        <v>463926</v>
      </c>
      <c r="M74" s="262">
        <f t="shared" si="298"/>
        <v>524391</v>
      </c>
      <c r="N74" s="262">
        <f t="shared" si="298"/>
        <v>608919</v>
      </c>
      <c r="O74" s="262">
        <f t="shared" si="298"/>
        <v>642202</v>
      </c>
      <c r="P74" s="262">
        <f>P48</f>
        <v>966521.5994172144</v>
      </c>
      <c r="Q74" s="262">
        <f t="shared" ref="Q74:AD74" si="299">Q48</f>
        <v>1059847.923680508</v>
      </c>
      <c r="R74" s="262">
        <f t="shared" si="299"/>
        <v>1131701.2307513407</v>
      </c>
      <c r="S74" s="262">
        <f t="shared" si="299"/>
        <v>1242407.9299563314</v>
      </c>
      <c r="T74" s="262">
        <f t="shared" si="299"/>
        <v>1355893.1218051193</v>
      </c>
      <c r="U74" s="262">
        <f t="shared" si="299"/>
        <v>1468314.3385764845</v>
      </c>
      <c r="V74" s="262">
        <f t="shared" si="299"/>
        <v>1595364.2648439214</v>
      </c>
      <c r="W74" s="262">
        <f t="shared" si="299"/>
        <v>1736412.0696548801</v>
      </c>
      <c r="X74" s="262">
        <f t="shared" si="299"/>
        <v>1896019.9352022754</v>
      </c>
      <c r="Y74" s="262">
        <f t="shared" si="299"/>
        <v>2063672.0913064203</v>
      </c>
      <c r="Z74" s="262">
        <f t="shared" si="299"/>
        <v>2245686.2282224209</v>
      </c>
      <c r="AA74" s="262">
        <f t="shared" si="299"/>
        <v>2444345.047458658</v>
      </c>
      <c r="AB74" s="262">
        <f t="shared" si="299"/>
        <v>2661548.1261837455</v>
      </c>
      <c r="AC74" s="262">
        <f t="shared" si="299"/>
        <v>2899177.2539054761</v>
      </c>
      <c r="AD74" s="876">
        <f t="shared" si="299"/>
        <v>3159276.2551110736</v>
      </c>
    </row>
    <row r="75" spans="1:40" s="113" customFormat="1" ht="11">
      <c r="A75" s="112"/>
      <c r="B75" s="112"/>
      <c r="C75" s="112"/>
      <c r="D75" s="837" t="s">
        <v>391</v>
      </c>
      <c r="E75" s="264">
        <f t="shared" ref="E75:O75" si="300">E74-E48</f>
        <v>0</v>
      </c>
      <c r="F75" s="264">
        <f t="shared" si="300"/>
        <v>0</v>
      </c>
      <c r="G75" s="264">
        <f t="shared" si="300"/>
        <v>0</v>
      </c>
      <c r="H75" s="264">
        <f t="shared" si="300"/>
        <v>0</v>
      </c>
      <c r="I75" s="264">
        <f t="shared" si="300"/>
        <v>0</v>
      </c>
      <c r="J75" s="264">
        <f t="shared" si="300"/>
        <v>0</v>
      </c>
      <c r="K75" s="264">
        <f t="shared" si="300"/>
        <v>0</v>
      </c>
      <c r="L75" s="264">
        <f t="shared" si="300"/>
        <v>0</v>
      </c>
      <c r="M75" s="264">
        <f t="shared" si="300"/>
        <v>0</v>
      </c>
      <c r="N75" s="264">
        <f t="shared" si="300"/>
        <v>0</v>
      </c>
      <c r="O75" s="264">
        <f t="shared" si="300"/>
        <v>0</v>
      </c>
      <c r="P75" s="264"/>
      <c r="Q75" s="264"/>
      <c r="R75" s="264"/>
      <c r="S75" s="264"/>
      <c r="AD75" s="170"/>
    </row>
    <row r="76" spans="1:40" s="109" customFormat="1">
      <c r="A76" s="46"/>
      <c r="B76" s="46"/>
      <c r="C76" s="108"/>
      <c r="D76" s="688"/>
      <c r="E76" s="265"/>
      <c r="F76" s="265"/>
      <c r="G76" s="265"/>
      <c r="H76" s="265"/>
      <c r="I76" s="265"/>
      <c r="J76" s="265"/>
      <c r="K76" s="265"/>
      <c r="L76" s="265"/>
      <c r="M76" s="265"/>
      <c r="N76" s="265"/>
      <c r="O76" s="265"/>
      <c r="P76" s="265"/>
      <c r="Q76" s="265"/>
      <c r="R76" s="265"/>
      <c r="S76" s="265"/>
      <c r="AD76" s="367"/>
    </row>
    <row r="77" spans="1:40" s="109" customFormat="1">
      <c r="A77" s="46"/>
      <c r="B77" s="46"/>
      <c r="C77" s="108"/>
      <c r="D77" s="688"/>
      <c r="E77" s="265"/>
      <c r="F77" s="265"/>
      <c r="G77" s="265"/>
      <c r="H77" s="265"/>
      <c r="I77" s="265"/>
      <c r="J77" s="265"/>
      <c r="K77" s="265"/>
      <c r="L77" s="265"/>
      <c r="M77" s="265"/>
      <c r="N77" s="265"/>
      <c r="O77" s="265"/>
      <c r="P77" s="265"/>
      <c r="Q77" s="265"/>
      <c r="R77" s="265"/>
      <c r="S77" s="265"/>
      <c r="AD77" s="367"/>
    </row>
    <row r="78" spans="1:40" s="109" customFormat="1">
      <c r="A78" s="46"/>
      <c r="B78" s="46"/>
      <c r="C78" s="108"/>
      <c r="D78" s="688"/>
      <c r="E78" s="265"/>
      <c r="F78" s="265"/>
      <c r="G78" s="265"/>
      <c r="H78" s="265"/>
      <c r="I78" s="265"/>
      <c r="J78" s="265"/>
      <c r="K78" s="265"/>
      <c r="L78" s="265"/>
      <c r="M78" s="265"/>
      <c r="N78" s="265"/>
      <c r="O78" s="265"/>
      <c r="P78" s="265"/>
      <c r="Q78" s="265"/>
      <c r="R78" s="265"/>
      <c r="S78" s="265"/>
      <c r="AD78" s="367"/>
    </row>
    <row r="79" spans="1:40" s="109" customFormat="1">
      <c r="A79" s="46"/>
      <c r="B79" s="46"/>
      <c r="C79" s="108"/>
      <c r="D79" s="688"/>
      <c r="E79" s="265"/>
      <c r="F79" s="265"/>
      <c r="G79" s="265"/>
      <c r="H79" s="265"/>
      <c r="I79" s="265"/>
      <c r="J79" s="265"/>
      <c r="K79" s="265"/>
      <c r="L79" s="265"/>
      <c r="M79" s="265"/>
      <c r="N79" s="265"/>
      <c r="O79" s="265"/>
      <c r="P79" s="265"/>
      <c r="Q79" s="265"/>
      <c r="R79" s="265"/>
      <c r="S79" s="265"/>
      <c r="AD79" s="367"/>
    </row>
    <row r="80" spans="1:40">
      <c r="C80" s="13"/>
      <c r="D80" s="688" t="s">
        <v>29</v>
      </c>
      <c r="E80" s="263"/>
      <c r="F80" s="263"/>
      <c r="G80" s="263"/>
      <c r="H80" s="263"/>
      <c r="I80" s="263"/>
      <c r="J80" s="263"/>
      <c r="K80" s="263"/>
      <c r="L80" s="263"/>
      <c r="M80" s="263"/>
      <c r="N80" s="263"/>
      <c r="O80" s="263"/>
      <c r="P80" s="263"/>
      <c r="Q80" s="263"/>
      <c r="R80" s="263"/>
      <c r="S80" s="263"/>
      <c r="T80" s="169"/>
      <c r="U80" s="169"/>
      <c r="V80" s="169"/>
      <c r="W80" s="169"/>
      <c r="X80" s="169"/>
      <c r="Y80" s="169"/>
      <c r="Z80" s="169"/>
      <c r="AA80" s="169"/>
      <c r="AB80" s="169"/>
      <c r="AC80" s="169"/>
      <c r="AD80" s="368"/>
      <c r="AE80" s="160"/>
      <c r="AF80" s="160"/>
      <c r="AG80" s="160"/>
      <c r="AH80" s="160"/>
      <c r="AI80" s="160"/>
      <c r="AJ80" s="160"/>
      <c r="AK80" s="160"/>
      <c r="AL80" s="160"/>
      <c r="AM80" s="160"/>
      <c r="AN80" s="160"/>
    </row>
    <row r="81" spans="1:30">
      <c r="B81" s="4"/>
      <c r="C81" s="13"/>
      <c r="D81" s="874" t="s">
        <v>30</v>
      </c>
      <c r="E81" s="263"/>
      <c r="F81" s="263"/>
      <c r="G81" s="263"/>
      <c r="H81" s="263"/>
      <c r="I81" s="263"/>
      <c r="J81" s="263"/>
      <c r="K81" s="263"/>
      <c r="L81" s="263"/>
      <c r="M81" s="263"/>
      <c r="N81" s="263"/>
      <c r="O81" s="263"/>
      <c r="P81" s="263"/>
      <c r="Q81" s="263"/>
      <c r="R81" s="263"/>
      <c r="S81" s="263"/>
      <c r="T81" s="137"/>
      <c r="U81" s="137"/>
      <c r="V81" s="137"/>
      <c r="W81" s="137"/>
      <c r="X81" s="137"/>
      <c r="Y81" s="137"/>
      <c r="Z81" s="137"/>
      <c r="AA81" s="137"/>
      <c r="AB81" s="137"/>
      <c r="AC81" s="137"/>
      <c r="AD81" s="369"/>
    </row>
    <row r="82" spans="1:30">
      <c r="B82" s="4"/>
      <c r="C82" s="14"/>
      <c r="D82" s="874" t="s">
        <v>31</v>
      </c>
      <c r="E82" s="263"/>
      <c r="F82" s="263"/>
      <c r="G82" s="263"/>
      <c r="H82" s="263"/>
      <c r="I82" s="263">
        <v>-24894</v>
      </c>
      <c r="J82" s="263">
        <v>-3541</v>
      </c>
      <c r="K82" s="263">
        <v>3512</v>
      </c>
      <c r="L82" s="263">
        <v>1826</v>
      </c>
      <c r="M82" s="263">
        <v>6223</v>
      </c>
      <c r="N82" s="263">
        <v>6205</v>
      </c>
      <c r="O82" s="263">
        <v>432332</v>
      </c>
      <c r="P82" s="263">
        <v>0</v>
      </c>
      <c r="Q82" s="263">
        <v>0</v>
      </c>
      <c r="R82" s="263">
        <v>0</v>
      </c>
      <c r="S82" s="263">
        <v>0</v>
      </c>
      <c r="T82" s="263">
        <v>0</v>
      </c>
      <c r="U82" s="263">
        <v>0</v>
      </c>
      <c r="V82" s="263">
        <v>0</v>
      </c>
      <c r="W82" s="263">
        <v>0</v>
      </c>
      <c r="X82" s="263">
        <v>0</v>
      </c>
      <c r="Y82" s="263">
        <v>0</v>
      </c>
      <c r="Z82" s="263">
        <v>0</v>
      </c>
      <c r="AA82" s="263">
        <v>0</v>
      </c>
      <c r="AB82" s="263">
        <v>0</v>
      </c>
      <c r="AC82" s="263">
        <v>0</v>
      </c>
      <c r="AD82" s="875">
        <v>0</v>
      </c>
    </row>
    <row r="83" spans="1:30">
      <c r="B83" s="4"/>
      <c r="C83" s="14"/>
      <c r="D83" s="874" t="s">
        <v>32</v>
      </c>
      <c r="E83" s="263"/>
      <c r="F83" s="263"/>
      <c r="G83" s="263"/>
      <c r="H83" s="263"/>
      <c r="I83" s="263">
        <v>-7856</v>
      </c>
      <c r="J83" s="263">
        <v>-75</v>
      </c>
      <c r="K83" s="263">
        <v>9853</v>
      </c>
      <c r="L83" s="263">
        <v>-1522</v>
      </c>
      <c r="M83" s="263">
        <v>8787</v>
      </c>
      <c r="N83" s="263">
        <v>-7346</v>
      </c>
      <c r="O83" s="263">
        <v>23511</v>
      </c>
      <c r="P83" s="263">
        <v>0</v>
      </c>
      <c r="Q83" s="263">
        <v>0</v>
      </c>
      <c r="R83" s="263">
        <v>0</v>
      </c>
      <c r="S83" s="263">
        <v>0</v>
      </c>
      <c r="T83" s="263">
        <v>0</v>
      </c>
      <c r="U83" s="263">
        <v>0</v>
      </c>
      <c r="V83" s="263">
        <v>0</v>
      </c>
      <c r="W83" s="263">
        <v>0</v>
      </c>
      <c r="X83" s="263">
        <v>0</v>
      </c>
      <c r="Y83" s="263">
        <v>0</v>
      </c>
      <c r="Z83" s="263">
        <v>0</v>
      </c>
      <c r="AA83" s="263">
        <v>0</v>
      </c>
      <c r="AB83" s="263">
        <v>0</v>
      </c>
      <c r="AC83" s="263">
        <v>0</v>
      </c>
      <c r="AD83" s="875">
        <v>0</v>
      </c>
    </row>
    <row r="84" spans="1:30">
      <c r="B84" s="4"/>
      <c r="C84" s="14"/>
      <c r="D84" s="874" t="s">
        <v>33</v>
      </c>
      <c r="E84" s="263"/>
      <c r="F84" s="263"/>
      <c r="G84" s="263"/>
      <c r="H84" s="263"/>
      <c r="I84" s="263"/>
      <c r="J84" s="263"/>
      <c r="K84" s="263"/>
      <c r="L84" s="263"/>
      <c r="M84" s="263"/>
      <c r="N84" s="263"/>
      <c r="O84" s="263">
        <v>-1757</v>
      </c>
      <c r="P84" s="263">
        <v>0</v>
      </c>
      <c r="Q84" s="263">
        <v>0</v>
      </c>
      <c r="R84" s="263">
        <v>0</v>
      </c>
      <c r="S84" s="263">
        <v>0</v>
      </c>
      <c r="T84" s="263">
        <v>0</v>
      </c>
      <c r="U84" s="263">
        <v>0</v>
      </c>
      <c r="V84" s="263">
        <v>0</v>
      </c>
      <c r="W84" s="263">
        <v>0</v>
      </c>
      <c r="X84" s="263">
        <v>0</v>
      </c>
      <c r="Y84" s="263">
        <v>0</v>
      </c>
      <c r="Z84" s="263">
        <v>0</v>
      </c>
      <c r="AA84" s="263">
        <v>0</v>
      </c>
      <c r="AB84" s="263">
        <v>0</v>
      </c>
      <c r="AC84" s="263">
        <v>0</v>
      </c>
      <c r="AD84" s="875">
        <v>0</v>
      </c>
    </row>
    <row r="85" spans="1:30" ht="16" thickBot="1">
      <c r="B85" s="4"/>
      <c r="C85" s="14"/>
      <c r="D85" s="874" t="s">
        <v>34</v>
      </c>
      <c r="E85" s="263">
        <f t="shared" ref="E85" si="301">SUM(E82:E84)</f>
        <v>0</v>
      </c>
      <c r="F85" s="263">
        <f t="shared" ref="F85" si="302">SUM(F82:F84)</f>
        <v>0</v>
      </c>
      <c r="G85" s="263">
        <f t="shared" ref="G85" si="303">SUM(G82:G84)</f>
        <v>0</v>
      </c>
      <c r="H85" s="263">
        <f t="shared" ref="H85:M85" si="304">SUM(H82:H84)</f>
        <v>0</v>
      </c>
      <c r="I85" s="263">
        <f t="shared" si="304"/>
        <v>-32750</v>
      </c>
      <c r="J85" s="263">
        <f t="shared" si="304"/>
        <v>-3616</v>
      </c>
      <c r="K85" s="263">
        <f t="shared" si="304"/>
        <v>13365</v>
      </c>
      <c r="L85" s="263">
        <f t="shared" si="304"/>
        <v>304</v>
      </c>
      <c r="M85" s="263">
        <f t="shared" si="304"/>
        <v>15010</v>
      </c>
      <c r="N85" s="263">
        <f>SUM(N82:N84)</f>
        <v>-1141</v>
      </c>
      <c r="O85" s="263">
        <f t="shared" ref="O85" si="305">SUM(O82:O84)</f>
        <v>454086</v>
      </c>
      <c r="P85" s="263">
        <v>0</v>
      </c>
      <c r="Q85" s="263">
        <v>0</v>
      </c>
      <c r="R85" s="263">
        <v>0</v>
      </c>
      <c r="S85" s="263">
        <v>0</v>
      </c>
      <c r="T85" s="263">
        <v>0</v>
      </c>
      <c r="U85" s="263">
        <v>0</v>
      </c>
      <c r="V85" s="263">
        <v>0</v>
      </c>
      <c r="W85" s="263">
        <v>0</v>
      </c>
      <c r="X85" s="263">
        <v>0</v>
      </c>
      <c r="Y85" s="263">
        <v>0</v>
      </c>
      <c r="Z85" s="263">
        <v>0</v>
      </c>
      <c r="AA85" s="263">
        <v>0</v>
      </c>
      <c r="AB85" s="263">
        <v>0</v>
      </c>
      <c r="AC85" s="263">
        <v>0</v>
      </c>
      <c r="AD85" s="875">
        <v>0</v>
      </c>
    </row>
    <row r="86" spans="1:30" s="20" customFormat="1" ht="16" thickBot="1">
      <c r="A86" s="4"/>
      <c r="B86" s="4"/>
      <c r="C86" s="19"/>
      <c r="D86" s="691" t="s">
        <v>35</v>
      </c>
      <c r="E86" s="262">
        <f t="shared" ref="E86:AD86" si="306">E48+E85</f>
        <v>114909</v>
      </c>
      <c r="F86" s="262">
        <f t="shared" si="306"/>
        <v>136846</v>
      </c>
      <c r="G86" s="262">
        <f t="shared" si="306"/>
        <v>180506</v>
      </c>
      <c r="H86" s="262">
        <f t="shared" si="306"/>
        <v>254270</v>
      </c>
      <c r="I86" s="262">
        <f t="shared" si="306"/>
        <v>275183</v>
      </c>
      <c r="J86" s="262">
        <f t="shared" si="306"/>
        <v>299899</v>
      </c>
      <c r="K86" s="262">
        <f t="shared" si="306"/>
        <v>359582</v>
      </c>
      <c r="L86" s="262">
        <f t="shared" si="306"/>
        <v>464230</v>
      </c>
      <c r="M86" s="262">
        <f t="shared" si="306"/>
        <v>539401</v>
      </c>
      <c r="N86" s="262">
        <f t="shared" si="306"/>
        <v>607778</v>
      </c>
      <c r="O86" s="262">
        <f t="shared" si="306"/>
        <v>1096288</v>
      </c>
      <c r="P86" s="262">
        <f t="shared" si="306"/>
        <v>966521.5994172144</v>
      </c>
      <c r="Q86" s="262">
        <f t="shared" si="306"/>
        <v>1059847.923680508</v>
      </c>
      <c r="R86" s="262">
        <f t="shared" si="306"/>
        <v>1131701.2307513407</v>
      </c>
      <c r="S86" s="262">
        <f t="shared" si="306"/>
        <v>1242407.9299563314</v>
      </c>
      <c r="T86" s="262">
        <f t="shared" si="306"/>
        <v>1355893.1218051193</v>
      </c>
      <c r="U86" s="262">
        <f t="shared" si="306"/>
        <v>1468314.3385764845</v>
      </c>
      <c r="V86" s="262">
        <f t="shared" si="306"/>
        <v>1595364.2648439214</v>
      </c>
      <c r="W86" s="262">
        <f t="shared" si="306"/>
        <v>1736412.0696548801</v>
      </c>
      <c r="X86" s="262">
        <f t="shared" si="306"/>
        <v>1896019.9352022754</v>
      </c>
      <c r="Y86" s="262">
        <f t="shared" si="306"/>
        <v>2063672.0913064203</v>
      </c>
      <c r="Z86" s="262">
        <f t="shared" si="306"/>
        <v>2245686.2282224209</v>
      </c>
      <c r="AA86" s="262">
        <f t="shared" si="306"/>
        <v>2444345.047458658</v>
      </c>
      <c r="AB86" s="262">
        <f t="shared" si="306"/>
        <v>2661548.1261837455</v>
      </c>
      <c r="AC86" s="262">
        <f t="shared" si="306"/>
        <v>2899177.2539054761</v>
      </c>
      <c r="AD86" s="876">
        <f t="shared" si="306"/>
        <v>3159276.2551110736</v>
      </c>
    </row>
    <row r="87" spans="1:30">
      <c r="B87" s="4"/>
      <c r="C87" s="13"/>
      <c r="D87" s="874"/>
      <c r="E87" s="263"/>
      <c r="F87" s="263"/>
      <c r="G87" s="263"/>
      <c r="H87" s="263"/>
      <c r="I87" s="263"/>
      <c r="J87" s="263"/>
      <c r="K87" s="263"/>
      <c r="L87" s="263"/>
      <c r="M87" s="263"/>
      <c r="N87" s="263"/>
      <c r="O87" s="263"/>
      <c r="P87" s="263"/>
      <c r="Q87" s="263"/>
      <c r="R87" s="263"/>
      <c r="S87" s="263"/>
      <c r="T87" s="137"/>
      <c r="U87" s="137"/>
      <c r="V87" s="137"/>
      <c r="W87" s="137"/>
      <c r="X87" s="137"/>
      <c r="Y87" s="137"/>
      <c r="Z87" s="137"/>
      <c r="AA87" s="137"/>
      <c r="AB87" s="137"/>
      <c r="AC87" s="137"/>
      <c r="AD87" s="369"/>
    </row>
    <row r="88" spans="1:30">
      <c r="B88" s="4"/>
      <c r="C88" s="13"/>
      <c r="D88" s="874"/>
      <c r="E88" s="263"/>
      <c r="F88" s="263"/>
      <c r="G88" s="263"/>
      <c r="H88" s="263"/>
      <c r="I88" s="263"/>
      <c r="J88" s="263"/>
      <c r="K88" s="263"/>
      <c r="L88" s="263"/>
      <c r="M88" s="263"/>
      <c r="N88" s="263"/>
      <c r="O88" s="263"/>
      <c r="P88" s="263"/>
      <c r="Q88" s="263"/>
      <c r="R88" s="263"/>
      <c r="S88" s="263"/>
      <c r="T88" s="137"/>
      <c r="U88" s="137"/>
      <c r="V88" s="137"/>
      <c r="W88" s="137"/>
      <c r="X88" s="137"/>
      <c r="Y88" s="137"/>
      <c r="Z88" s="137"/>
      <c r="AA88" s="137"/>
      <c r="AB88" s="137"/>
      <c r="AC88" s="137"/>
      <c r="AD88" s="369"/>
    </row>
    <row r="89" spans="1:30" s="20" customFormat="1">
      <c r="A89" s="4"/>
      <c r="B89" s="4"/>
      <c r="C89" s="14"/>
      <c r="D89" s="688" t="s">
        <v>36</v>
      </c>
      <c r="E89" s="265"/>
      <c r="F89" s="265"/>
      <c r="G89" s="265"/>
      <c r="H89" s="265"/>
      <c r="I89" s="265"/>
      <c r="J89" s="265"/>
      <c r="K89" s="265"/>
      <c r="L89" s="265"/>
      <c r="M89" s="265"/>
      <c r="N89" s="265"/>
      <c r="O89" s="265"/>
      <c r="P89" s="265"/>
      <c r="Q89" s="265"/>
      <c r="R89" s="265"/>
      <c r="S89" s="265"/>
      <c r="T89" s="109"/>
      <c r="U89" s="109"/>
      <c r="V89" s="109"/>
      <c r="W89" s="109"/>
      <c r="X89" s="109"/>
      <c r="Y89" s="109"/>
      <c r="Z89" s="109"/>
      <c r="AA89" s="109"/>
      <c r="AB89" s="109"/>
      <c r="AC89" s="109"/>
      <c r="AD89" s="367"/>
    </row>
    <row r="90" spans="1:30">
      <c r="B90" s="4"/>
      <c r="C90" s="13"/>
      <c r="D90" s="874" t="s">
        <v>37</v>
      </c>
      <c r="E90" s="263">
        <v>107491</v>
      </c>
      <c r="F90" s="263">
        <v>129791</v>
      </c>
      <c r="G90" s="263">
        <v>168805</v>
      </c>
      <c r="H90" s="263">
        <v>246073</v>
      </c>
      <c r="I90" s="263">
        <v>292199</v>
      </c>
      <c r="J90" s="263">
        <v>294424</v>
      </c>
      <c r="K90" s="263">
        <v>333170</v>
      </c>
      <c r="L90" s="263">
        <v>443790</v>
      </c>
      <c r="M90" s="263">
        <v>491016</v>
      </c>
      <c r="N90" s="263">
        <v>573931</v>
      </c>
      <c r="O90" s="263">
        <v>611224</v>
      </c>
      <c r="P90" s="263">
        <f>P86-P91</f>
        <v>917536.43831957015</v>
      </c>
      <c r="Q90" s="263">
        <f>Q86-Q91</f>
        <v>1006132.8061789459</v>
      </c>
      <c r="R90" s="263">
        <f t="shared" ref="R90:AD90" si="307">R86-R91</f>
        <v>1074344.4503791449</v>
      </c>
      <c r="S90" s="263">
        <f t="shared" si="307"/>
        <v>1179440.3225747703</v>
      </c>
      <c r="T90" s="263">
        <f t="shared" si="307"/>
        <v>1287173.8680989838</v>
      </c>
      <c r="U90" s="263">
        <f t="shared" si="307"/>
        <v>1393897.362835312</v>
      </c>
      <c r="V90" s="263">
        <f t="shared" si="307"/>
        <v>1514508.1561238205</v>
      </c>
      <c r="W90" s="263">
        <f t="shared" si="307"/>
        <v>1648407.3887297709</v>
      </c>
      <c r="X90" s="263">
        <f t="shared" si="307"/>
        <v>1799926.0227369664</v>
      </c>
      <c r="Y90" s="263">
        <f t="shared" si="307"/>
        <v>1959081.247287713</v>
      </c>
      <c r="Z90" s="263">
        <f t="shared" si="307"/>
        <v>2131870.5600256976</v>
      </c>
      <c r="AA90" s="263">
        <f t="shared" si="307"/>
        <v>2320460.9707859908</v>
      </c>
      <c r="AB90" s="263">
        <f t="shared" si="307"/>
        <v>2526655.782537357</v>
      </c>
      <c r="AC90" s="263">
        <f t="shared" si="307"/>
        <v>2752241.4121003705</v>
      </c>
      <c r="AD90" s="875">
        <f t="shared" si="307"/>
        <v>2999158.099032728</v>
      </c>
    </row>
    <row r="91" spans="1:30">
      <c r="B91" s="4"/>
      <c r="C91" s="13"/>
      <c r="D91" s="874" t="s">
        <v>38</v>
      </c>
      <c r="E91" s="263">
        <v>7418</v>
      </c>
      <c r="F91" s="263">
        <v>7055</v>
      </c>
      <c r="G91" s="263">
        <v>11701</v>
      </c>
      <c r="H91" s="263">
        <v>8197</v>
      </c>
      <c r="I91" s="263">
        <v>15734</v>
      </c>
      <c r="J91" s="263">
        <v>9091</v>
      </c>
      <c r="K91" s="263">
        <v>13047</v>
      </c>
      <c r="L91" s="263">
        <v>20136</v>
      </c>
      <c r="M91" s="263">
        <v>33374</v>
      </c>
      <c r="N91" s="263">
        <v>34988</v>
      </c>
      <c r="O91" s="263">
        <v>30978</v>
      </c>
      <c r="P91" s="263">
        <f>P92*P86</f>
        <v>48985.161097644188</v>
      </c>
      <c r="Q91" s="263">
        <f>Q92*Q86</f>
        <v>53715.117501562076</v>
      </c>
      <c r="R91" s="263">
        <f t="shared" ref="R91:AD91" si="308">R92*R86</f>
        <v>57356.780372195848</v>
      </c>
      <c r="S91" s="263">
        <f t="shared" si="308"/>
        <v>62967.607381560993</v>
      </c>
      <c r="T91" s="263">
        <f t="shared" si="308"/>
        <v>68719.25370613554</v>
      </c>
      <c r="U91" s="263">
        <f t="shared" si="308"/>
        <v>74416.975741172369</v>
      </c>
      <c r="V91" s="263">
        <f t="shared" si="308"/>
        <v>80856.10872010098</v>
      </c>
      <c r="W91" s="263">
        <f t="shared" si="308"/>
        <v>88004.680925109089</v>
      </c>
      <c r="X91" s="263">
        <f t="shared" si="308"/>
        <v>96093.912465309098</v>
      </c>
      <c r="Y91" s="263">
        <f t="shared" si="308"/>
        <v>104590.8440187072</v>
      </c>
      <c r="Z91" s="263">
        <f t="shared" si="308"/>
        <v>113815.66819672355</v>
      </c>
      <c r="AA91" s="263">
        <f t="shared" si="308"/>
        <v>123884.07667266716</v>
      </c>
      <c r="AB91" s="263">
        <f t="shared" si="308"/>
        <v>134892.34364638836</v>
      </c>
      <c r="AC91" s="263">
        <f t="shared" si="308"/>
        <v>146935.84180510556</v>
      </c>
      <c r="AD91" s="875">
        <f t="shared" si="308"/>
        <v>160118.15607834581</v>
      </c>
    </row>
    <row r="92" spans="1:30" s="106" customFormat="1" ht="12" thickBot="1">
      <c r="A92" s="105"/>
      <c r="B92" s="104"/>
      <c r="C92" s="105"/>
      <c r="D92" s="703" t="s">
        <v>929</v>
      </c>
      <c r="E92" s="232">
        <f>E91/E90</f>
        <v>6.9010428780083913E-2</v>
      </c>
      <c r="F92" s="232">
        <f t="shared" ref="F92:O92" si="309">F91/F90</f>
        <v>5.4356619488254196E-2</v>
      </c>
      <c r="G92" s="232">
        <f t="shared" si="309"/>
        <v>6.9316667160332926E-2</v>
      </c>
      <c r="H92" s="232">
        <f t="shared" si="309"/>
        <v>3.3311253164711285E-2</v>
      </c>
      <c r="I92" s="232">
        <f t="shared" si="309"/>
        <v>5.3846864636771519E-2</v>
      </c>
      <c r="J92" s="232">
        <f t="shared" si="309"/>
        <v>3.0877238268619406E-2</v>
      </c>
      <c r="K92" s="232">
        <f t="shared" si="309"/>
        <v>3.9160188492361254E-2</v>
      </c>
      <c r="L92" s="692">
        <f t="shared" si="309"/>
        <v>4.5372811464882042E-2</v>
      </c>
      <c r="M92" s="692">
        <f t="shared" si="309"/>
        <v>6.7969271877087512E-2</v>
      </c>
      <c r="N92" s="692">
        <f t="shared" si="309"/>
        <v>6.0962032021270852E-2</v>
      </c>
      <c r="O92" s="692">
        <f t="shared" si="309"/>
        <v>5.0681910396188634E-2</v>
      </c>
      <c r="P92" s="692">
        <f>O92</f>
        <v>5.0681910396188634E-2</v>
      </c>
      <c r="Q92" s="692">
        <f>P92</f>
        <v>5.0681910396188634E-2</v>
      </c>
      <c r="R92" s="692">
        <f t="shared" ref="R92:AD92" si="310">Q92</f>
        <v>5.0681910396188634E-2</v>
      </c>
      <c r="S92" s="692">
        <f t="shared" si="310"/>
        <v>5.0681910396188634E-2</v>
      </c>
      <c r="T92" s="692">
        <f t="shared" si="310"/>
        <v>5.0681910396188634E-2</v>
      </c>
      <c r="U92" s="692">
        <f t="shared" si="310"/>
        <v>5.0681910396188634E-2</v>
      </c>
      <c r="V92" s="692">
        <f t="shared" si="310"/>
        <v>5.0681910396188634E-2</v>
      </c>
      <c r="W92" s="692">
        <f t="shared" si="310"/>
        <v>5.0681910396188634E-2</v>
      </c>
      <c r="X92" s="692">
        <f t="shared" si="310"/>
        <v>5.0681910396188634E-2</v>
      </c>
      <c r="Y92" s="692">
        <f t="shared" ref="Y92" si="311">X92</f>
        <v>5.0681910396188634E-2</v>
      </c>
      <c r="Z92" s="692">
        <f t="shared" si="310"/>
        <v>5.0681910396188634E-2</v>
      </c>
      <c r="AA92" s="692">
        <f t="shared" si="310"/>
        <v>5.0681910396188634E-2</v>
      </c>
      <c r="AB92" s="692">
        <f t="shared" si="310"/>
        <v>5.0681910396188634E-2</v>
      </c>
      <c r="AC92" s="692">
        <f t="shared" si="310"/>
        <v>5.0681910396188634E-2</v>
      </c>
      <c r="AD92" s="728">
        <f t="shared" si="310"/>
        <v>5.0681910396188634E-2</v>
      </c>
    </row>
    <row r="93" spans="1:30" s="20" customFormat="1" ht="16" thickBot="1">
      <c r="A93" s="4"/>
      <c r="B93" s="4"/>
      <c r="C93" s="19"/>
      <c r="D93" s="691" t="s">
        <v>466</v>
      </c>
      <c r="E93" s="262">
        <f t="shared" ref="E93" si="312">SUM(E90:E91)</f>
        <v>114909</v>
      </c>
      <c r="F93" s="262">
        <f t="shared" ref="F93" si="313">SUM(F90:F91)</f>
        <v>136846</v>
      </c>
      <c r="G93" s="262">
        <f t="shared" ref="G93" si="314">SUM(G90:G91)</f>
        <v>180506</v>
      </c>
      <c r="H93" s="262">
        <f t="shared" ref="H93:L93" si="315">SUM(H90:H91)</f>
        <v>254270</v>
      </c>
      <c r="I93" s="262">
        <f t="shared" si="315"/>
        <v>307933</v>
      </c>
      <c r="J93" s="262">
        <f t="shared" si="315"/>
        <v>303515</v>
      </c>
      <c r="K93" s="262">
        <f t="shared" si="315"/>
        <v>346217</v>
      </c>
      <c r="L93" s="262">
        <f t="shared" si="315"/>
        <v>463926</v>
      </c>
      <c r="M93" s="262">
        <f>SUM(M90:M91)</f>
        <v>524390</v>
      </c>
      <c r="N93" s="262">
        <f t="shared" ref="N93:AD93" si="316">SUM(N90:N91)</f>
        <v>608919</v>
      </c>
      <c r="O93" s="262">
        <f>SUM(O90:O91)</f>
        <v>642202</v>
      </c>
      <c r="P93" s="262">
        <f t="shared" si="316"/>
        <v>966521.59941721428</v>
      </c>
      <c r="Q93" s="262">
        <f t="shared" si="316"/>
        <v>1059847.923680508</v>
      </c>
      <c r="R93" s="262">
        <f t="shared" si="316"/>
        <v>1131701.2307513407</v>
      </c>
      <c r="S93" s="262">
        <f t="shared" si="316"/>
        <v>1242407.9299563314</v>
      </c>
      <c r="T93" s="262">
        <f t="shared" si="316"/>
        <v>1355893.1218051193</v>
      </c>
      <c r="U93" s="262">
        <f t="shared" si="316"/>
        <v>1468314.3385764845</v>
      </c>
      <c r="V93" s="262">
        <f t="shared" si="316"/>
        <v>1595364.2648439214</v>
      </c>
      <c r="W93" s="262">
        <f t="shared" si="316"/>
        <v>1736412.0696548801</v>
      </c>
      <c r="X93" s="262">
        <f t="shared" si="316"/>
        <v>1896019.9352022754</v>
      </c>
      <c r="Y93" s="262">
        <f t="shared" si="316"/>
        <v>2063672.0913064203</v>
      </c>
      <c r="Z93" s="262">
        <f t="shared" si="316"/>
        <v>2245686.2282224209</v>
      </c>
      <c r="AA93" s="262">
        <f t="shared" si="316"/>
        <v>2444345.047458658</v>
      </c>
      <c r="AB93" s="262">
        <f t="shared" si="316"/>
        <v>2661548.1261837455</v>
      </c>
      <c r="AC93" s="262">
        <f t="shared" si="316"/>
        <v>2899177.2539054761</v>
      </c>
      <c r="AD93" s="876">
        <f t="shared" si="316"/>
        <v>3159276.2551110736</v>
      </c>
    </row>
    <row r="94" spans="1:30" s="20" customFormat="1">
      <c r="A94" s="4"/>
      <c r="B94" s="4"/>
      <c r="C94" s="19"/>
      <c r="D94" s="688"/>
      <c r="E94" s="889"/>
      <c r="F94" s="889"/>
      <c r="G94" s="889"/>
      <c r="H94" s="889"/>
      <c r="I94" s="889"/>
      <c r="J94" s="889"/>
      <c r="K94" s="889"/>
      <c r="L94" s="889"/>
      <c r="M94" s="889"/>
      <c r="N94" s="889"/>
      <c r="O94" s="889"/>
      <c r="P94" s="889"/>
      <c r="Q94" s="889"/>
      <c r="R94" s="889"/>
      <c r="S94" s="889"/>
      <c r="T94" s="109"/>
      <c r="U94" s="109"/>
      <c r="V94" s="109"/>
      <c r="W94" s="109"/>
      <c r="X94" s="109"/>
      <c r="Y94" s="109"/>
      <c r="Z94" s="109"/>
      <c r="AA94" s="109"/>
      <c r="AB94" s="109"/>
      <c r="AC94" s="109"/>
      <c r="AD94" s="367"/>
    </row>
    <row r="95" spans="1:30">
      <c r="B95" s="4"/>
      <c r="C95" s="13"/>
      <c r="D95" s="874"/>
      <c r="E95" s="263"/>
      <c r="F95" s="263"/>
      <c r="G95" s="263"/>
      <c r="H95" s="263"/>
      <c r="I95" s="263"/>
      <c r="J95" s="263"/>
      <c r="K95" s="263"/>
      <c r="L95" s="263"/>
      <c r="M95" s="263"/>
      <c r="N95" s="263"/>
      <c r="O95" s="263"/>
      <c r="P95" s="263"/>
      <c r="Q95" s="263"/>
      <c r="R95" s="263"/>
      <c r="S95" s="263"/>
      <c r="T95" s="137"/>
      <c r="U95" s="137"/>
      <c r="V95" s="137"/>
      <c r="W95" s="137"/>
      <c r="X95" s="137"/>
      <c r="Y95" s="137"/>
      <c r="Z95" s="137"/>
      <c r="AA95" s="137"/>
      <c r="AB95" s="137"/>
      <c r="AC95" s="137"/>
      <c r="AD95" s="369"/>
    </row>
    <row r="96" spans="1:30" s="20" customFormat="1">
      <c r="A96" s="4"/>
      <c r="B96" s="4"/>
      <c r="C96" s="14"/>
      <c r="D96" s="688" t="s">
        <v>39</v>
      </c>
      <c r="E96" s="265"/>
      <c r="F96" s="265"/>
      <c r="G96" s="265"/>
      <c r="H96" s="265"/>
      <c r="I96" s="265"/>
      <c r="J96" s="265"/>
      <c r="K96" s="265"/>
      <c r="L96" s="265"/>
      <c r="M96" s="265"/>
      <c r="N96" s="265"/>
      <c r="O96" s="265"/>
      <c r="P96" s="265"/>
      <c r="Q96" s="265"/>
      <c r="R96" s="265"/>
      <c r="S96" s="265"/>
      <c r="T96" s="109"/>
      <c r="U96" s="109"/>
      <c r="V96" s="109"/>
      <c r="W96" s="109"/>
      <c r="X96" s="109"/>
      <c r="Y96" s="109"/>
      <c r="Z96" s="109"/>
      <c r="AA96" s="109"/>
      <c r="AB96" s="109"/>
      <c r="AC96" s="109"/>
      <c r="AD96" s="367"/>
    </row>
    <row r="97" spans="1:30">
      <c r="B97" s="4"/>
      <c r="C97" s="13"/>
      <c r="D97" s="874" t="s">
        <v>37</v>
      </c>
      <c r="E97" s="263"/>
      <c r="F97" s="263"/>
      <c r="G97" s="263"/>
      <c r="H97" s="263"/>
      <c r="I97" s="263">
        <v>292199</v>
      </c>
      <c r="J97" s="263">
        <v>290808</v>
      </c>
      <c r="K97" s="263">
        <v>346535</v>
      </c>
      <c r="L97" s="263">
        <v>444094</v>
      </c>
      <c r="M97" s="263">
        <v>506026</v>
      </c>
      <c r="N97" s="263">
        <v>572790</v>
      </c>
      <c r="O97" s="263">
        <v>1065310</v>
      </c>
      <c r="P97" s="263">
        <f>P90</f>
        <v>917536.43831957015</v>
      </c>
      <c r="Q97" s="263">
        <f>Q90</f>
        <v>1006132.8061789459</v>
      </c>
      <c r="R97" s="263">
        <f t="shared" ref="R97:AD97" si="317">R90</f>
        <v>1074344.4503791449</v>
      </c>
      <c r="S97" s="263">
        <f t="shared" si="317"/>
        <v>1179440.3225747703</v>
      </c>
      <c r="T97" s="263">
        <f t="shared" si="317"/>
        <v>1287173.8680989838</v>
      </c>
      <c r="U97" s="263">
        <f t="shared" si="317"/>
        <v>1393897.362835312</v>
      </c>
      <c r="V97" s="263">
        <f t="shared" si="317"/>
        <v>1514508.1561238205</v>
      </c>
      <c r="W97" s="263">
        <f t="shared" si="317"/>
        <v>1648407.3887297709</v>
      </c>
      <c r="X97" s="263">
        <f t="shared" si="317"/>
        <v>1799926.0227369664</v>
      </c>
      <c r="Y97" s="263">
        <f t="shared" ref="Y97" si="318">Y90</f>
        <v>1959081.247287713</v>
      </c>
      <c r="Z97" s="263">
        <f t="shared" si="317"/>
        <v>2131870.5600256976</v>
      </c>
      <c r="AA97" s="263">
        <f t="shared" si="317"/>
        <v>2320460.9707859908</v>
      </c>
      <c r="AB97" s="263">
        <f t="shared" si="317"/>
        <v>2526655.782537357</v>
      </c>
      <c r="AC97" s="263">
        <f t="shared" si="317"/>
        <v>2752241.4121003705</v>
      </c>
      <c r="AD97" s="875">
        <f t="shared" si="317"/>
        <v>2999158.099032728</v>
      </c>
    </row>
    <row r="98" spans="1:30" ht="16" thickBot="1">
      <c r="B98" s="4"/>
      <c r="C98" s="13"/>
      <c r="D98" s="874" t="s">
        <v>38</v>
      </c>
      <c r="E98" s="263"/>
      <c r="F98" s="263"/>
      <c r="G98" s="263"/>
      <c r="H98" s="263"/>
      <c r="I98" s="263">
        <v>15734</v>
      </c>
      <c r="J98" s="263">
        <v>9091</v>
      </c>
      <c r="K98" s="263">
        <v>13047</v>
      </c>
      <c r="L98" s="263">
        <v>20136</v>
      </c>
      <c r="M98" s="263">
        <v>33374</v>
      </c>
      <c r="N98" s="263">
        <v>34988</v>
      </c>
      <c r="O98" s="263">
        <v>30978</v>
      </c>
      <c r="P98" s="263">
        <f>P91</f>
        <v>48985.161097644188</v>
      </c>
      <c r="Q98" s="263">
        <f>Q91</f>
        <v>53715.117501562076</v>
      </c>
      <c r="R98" s="263">
        <f t="shared" ref="R98:AD98" si="319">R91</f>
        <v>57356.780372195848</v>
      </c>
      <c r="S98" s="263">
        <f t="shared" si="319"/>
        <v>62967.607381560993</v>
      </c>
      <c r="T98" s="263">
        <f t="shared" si="319"/>
        <v>68719.25370613554</v>
      </c>
      <c r="U98" s="263">
        <f t="shared" si="319"/>
        <v>74416.975741172369</v>
      </c>
      <c r="V98" s="263">
        <f t="shared" si="319"/>
        <v>80856.10872010098</v>
      </c>
      <c r="W98" s="263">
        <f t="shared" si="319"/>
        <v>88004.680925109089</v>
      </c>
      <c r="X98" s="263">
        <f t="shared" si="319"/>
        <v>96093.912465309098</v>
      </c>
      <c r="Y98" s="263">
        <f t="shared" ref="Y98" si="320">Y91</f>
        <v>104590.8440187072</v>
      </c>
      <c r="Z98" s="263">
        <f t="shared" si="319"/>
        <v>113815.66819672355</v>
      </c>
      <c r="AA98" s="263">
        <f t="shared" si="319"/>
        <v>123884.07667266716</v>
      </c>
      <c r="AB98" s="263">
        <f t="shared" si="319"/>
        <v>134892.34364638836</v>
      </c>
      <c r="AC98" s="263">
        <f t="shared" si="319"/>
        <v>146935.84180510556</v>
      </c>
      <c r="AD98" s="875">
        <f t="shared" si="319"/>
        <v>160118.15607834581</v>
      </c>
    </row>
    <row r="99" spans="1:30" s="20" customFormat="1" ht="16" thickBot="1">
      <c r="A99" s="4"/>
      <c r="B99" s="4"/>
      <c r="C99" s="19"/>
      <c r="D99" s="691" t="s">
        <v>467</v>
      </c>
      <c r="E99" s="262">
        <f t="shared" ref="E99" si="321">SUM(E97:E98)</f>
        <v>0</v>
      </c>
      <c r="F99" s="262">
        <f t="shared" ref="F99" si="322">SUM(F97:F98)</f>
        <v>0</v>
      </c>
      <c r="G99" s="262">
        <f t="shared" ref="G99" si="323">SUM(G97:G98)</f>
        <v>0</v>
      </c>
      <c r="H99" s="262">
        <f t="shared" ref="H99:L99" si="324">SUM(H97:H98)</f>
        <v>0</v>
      </c>
      <c r="I99" s="262">
        <f>SUM(I97:I98)</f>
        <v>307933</v>
      </c>
      <c r="J99" s="262">
        <f t="shared" si="324"/>
        <v>299899</v>
      </c>
      <c r="K99" s="262">
        <f t="shared" si="324"/>
        <v>359582</v>
      </c>
      <c r="L99" s="262">
        <f t="shared" si="324"/>
        <v>464230</v>
      </c>
      <c r="M99" s="262">
        <f>SUM(M97:M98)</f>
        <v>539400</v>
      </c>
      <c r="N99" s="262">
        <f>SUM(N97:N98)</f>
        <v>607778</v>
      </c>
      <c r="O99" s="262">
        <f>SUM(O97:O98)</f>
        <v>1096288</v>
      </c>
      <c r="P99" s="262">
        <f t="shared" ref="P99:Q99" si="325">SUM(P97:P98)</f>
        <v>966521.59941721428</v>
      </c>
      <c r="Q99" s="262">
        <f t="shared" si="325"/>
        <v>1059847.923680508</v>
      </c>
      <c r="R99" s="262">
        <f t="shared" ref="R99:AD99" si="326">SUM(R97:R98)</f>
        <v>1131701.2307513407</v>
      </c>
      <c r="S99" s="262">
        <f t="shared" si="326"/>
        <v>1242407.9299563314</v>
      </c>
      <c r="T99" s="262">
        <f t="shared" si="326"/>
        <v>1355893.1218051193</v>
      </c>
      <c r="U99" s="262">
        <f t="shared" si="326"/>
        <v>1468314.3385764845</v>
      </c>
      <c r="V99" s="262">
        <f t="shared" si="326"/>
        <v>1595364.2648439214</v>
      </c>
      <c r="W99" s="262">
        <f t="shared" si="326"/>
        <v>1736412.0696548801</v>
      </c>
      <c r="X99" s="262">
        <f t="shared" si="326"/>
        <v>1896019.9352022754</v>
      </c>
      <c r="Y99" s="262">
        <f t="shared" si="326"/>
        <v>2063672.0913064203</v>
      </c>
      <c r="Z99" s="262">
        <f t="shared" si="326"/>
        <v>2245686.2282224209</v>
      </c>
      <c r="AA99" s="262">
        <f t="shared" si="326"/>
        <v>2444345.047458658</v>
      </c>
      <c r="AB99" s="262">
        <f t="shared" si="326"/>
        <v>2661548.1261837455</v>
      </c>
      <c r="AC99" s="262">
        <f t="shared" si="326"/>
        <v>2899177.2539054761</v>
      </c>
      <c r="AD99" s="876">
        <f t="shared" si="326"/>
        <v>3159276.2551110736</v>
      </c>
    </row>
    <row r="100" spans="1:30" s="20" customFormat="1">
      <c r="A100" s="4"/>
      <c r="B100" s="4"/>
      <c r="C100" s="19"/>
      <c r="D100" s="688"/>
      <c r="E100" s="889"/>
      <c r="F100" s="889"/>
      <c r="G100" s="889"/>
      <c r="H100" s="889"/>
      <c r="I100" s="889"/>
      <c r="J100" s="889"/>
      <c r="K100" s="889"/>
      <c r="L100" s="889"/>
      <c r="M100" s="889"/>
      <c r="N100" s="889"/>
      <c r="O100" s="889"/>
      <c r="P100" s="889"/>
      <c r="Q100" s="889"/>
      <c r="R100" s="889"/>
      <c r="S100" s="889"/>
      <c r="T100" s="109"/>
      <c r="U100" s="109"/>
      <c r="V100" s="109"/>
      <c r="W100" s="109"/>
      <c r="X100" s="109"/>
      <c r="Y100" s="109"/>
      <c r="Z100" s="109"/>
      <c r="AA100" s="109"/>
      <c r="AB100" s="109"/>
      <c r="AC100" s="109"/>
      <c r="AD100" s="367"/>
    </row>
    <row r="101" spans="1:30" s="20" customFormat="1">
      <c r="A101" s="4"/>
      <c r="B101" s="4"/>
      <c r="C101" s="19"/>
      <c r="D101" s="688"/>
      <c r="E101" s="265"/>
      <c r="F101" s="265"/>
      <c r="G101" s="265"/>
      <c r="H101" s="265"/>
      <c r="I101" s="265"/>
      <c r="J101" s="265"/>
      <c r="K101" s="265"/>
      <c r="L101" s="265"/>
      <c r="M101" s="265"/>
      <c r="N101" s="265"/>
      <c r="O101" s="265"/>
      <c r="P101" s="265"/>
      <c r="Q101" s="265"/>
      <c r="R101" s="265"/>
      <c r="S101" s="265"/>
      <c r="T101" s="109"/>
      <c r="U101" s="109"/>
      <c r="V101" s="109"/>
      <c r="W101" s="109"/>
      <c r="X101" s="109"/>
      <c r="Y101" s="109"/>
      <c r="Z101" s="109"/>
      <c r="AA101" s="109"/>
      <c r="AB101" s="109"/>
      <c r="AC101" s="109"/>
      <c r="AD101" s="367"/>
    </row>
    <row r="102" spans="1:30" s="20" customFormat="1">
      <c r="A102" s="4"/>
      <c r="B102" s="4"/>
      <c r="C102" s="19"/>
      <c r="D102" s="688" t="s">
        <v>462</v>
      </c>
      <c r="E102" s="265"/>
      <c r="F102" s="265"/>
      <c r="G102" s="265"/>
      <c r="H102" s="265"/>
      <c r="I102" s="265"/>
      <c r="J102" s="265"/>
      <c r="K102" s="265"/>
      <c r="L102" s="265"/>
      <c r="M102" s="265"/>
      <c r="N102" s="265"/>
      <c r="O102" s="265"/>
      <c r="P102" s="265"/>
      <c r="Q102" s="265"/>
      <c r="R102" s="265"/>
      <c r="S102" s="265"/>
      <c r="T102" s="109"/>
      <c r="U102" s="109"/>
      <c r="V102" s="109"/>
      <c r="W102" s="109"/>
      <c r="X102" s="109"/>
      <c r="Y102" s="109"/>
      <c r="Z102" s="109"/>
      <c r="AA102" s="109"/>
      <c r="AB102" s="109"/>
      <c r="AC102" s="109"/>
      <c r="AD102" s="367"/>
    </row>
    <row r="103" spans="1:30" s="124" customFormat="1">
      <c r="A103" s="6"/>
      <c r="B103" s="6"/>
      <c r="C103" s="102"/>
      <c r="D103" s="688" t="s">
        <v>463</v>
      </c>
      <c r="E103" s="265">
        <f>E90</f>
        <v>107491</v>
      </c>
      <c r="F103" s="265">
        <f t="shared" ref="F103:J103" si="327">F90</f>
        <v>129791</v>
      </c>
      <c r="G103" s="265">
        <f t="shared" si="327"/>
        <v>168805</v>
      </c>
      <c r="H103" s="265">
        <f t="shared" si="327"/>
        <v>246073</v>
      </c>
      <c r="I103" s="265">
        <f t="shared" si="327"/>
        <v>292199</v>
      </c>
      <c r="J103" s="265">
        <f t="shared" si="327"/>
        <v>294424</v>
      </c>
      <c r="K103" s="265">
        <f t="shared" ref="K103:O103" si="328">K90</f>
        <v>333170</v>
      </c>
      <c r="L103" s="265">
        <f t="shared" si="328"/>
        <v>443790</v>
      </c>
      <c r="M103" s="265">
        <f t="shared" si="328"/>
        <v>491016</v>
      </c>
      <c r="N103" s="265">
        <f t="shared" si="328"/>
        <v>573931</v>
      </c>
      <c r="O103" s="265">
        <f t="shared" si="328"/>
        <v>611224</v>
      </c>
      <c r="P103" s="265">
        <f>P90</f>
        <v>917536.43831957015</v>
      </c>
      <c r="Q103" s="265">
        <f>Q90</f>
        <v>1006132.8061789459</v>
      </c>
      <c r="R103" s="265">
        <f t="shared" ref="R103:AD103" si="329">R90</f>
        <v>1074344.4503791449</v>
      </c>
      <c r="S103" s="265">
        <f t="shared" si="329"/>
        <v>1179440.3225747703</v>
      </c>
      <c r="T103" s="265">
        <f t="shared" si="329"/>
        <v>1287173.8680989838</v>
      </c>
      <c r="U103" s="265">
        <f t="shared" si="329"/>
        <v>1393897.362835312</v>
      </c>
      <c r="V103" s="265">
        <f t="shared" si="329"/>
        <v>1514508.1561238205</v>
      </c>
      <c r="W103" s="265">
        <f t="shared" si="329"/>
        <v>1648407.3887297709</v>
      </c>
      <c r="X103" s="265">
        <f t="shared" si="329"/>
        <v>1799926.0227369664</v>
      </c>
      <c r="Y103" s="265">
        <f t="shared" si="329"/>
        <v>1959081.247287713</v>
      </c>
      <c r="Z103" s="265">
        <f t="shared" si="329"/>
        <v>2131870.5600256976</v>
      </c>
      <c r="AA103" s="265">
        <f t="shared" si="329"/>
        <v>2320460.9707859908</v>
      </c>
      <c r="AB103" s="265">
        <f t="shared" si="329"/>
        <v>2526655.782537357</v>
      </c>
      <c r="AC103" s="265">
        <f t="shared" si="329"/>
        <v>2752241.4121003705</v>
      </c>
      <c r="AD103" s="890">
        <f t="shared" si="329"/>
        <v>2999158.099032728</v>
      </c>
    </row>
    <row r="104" spans="1:30" s="50" customFormat="1">
      <c r="A104" s="9"/>
      <c r="B104" s="9"/>
      <c r="C104" s="17"/>
      <c r="D104" s="874" t="s">
        <v>108</v>
      </c>
      <c r="E104" s="263">
        <f>SUM('Notes to the Income Statement'!E227:E248)</f>
        <v>118408</v>
      </c>
      <c r="F104" s="263">
        <f>SUM('Notes to the Income Statement'!F234:F248)</f>
        <v>-2210</v>
      </c>
      <c r="G104" s="263">
        <f>SUM('Notes to the Income Statement'!G234:G248)</f>
        <v>-4969</v>
      </c>
      <c r="H104" s="263">
        <f>SUM('Notes to the Income Statement'!H234:H248)</f>
        <v>-9847</v>
      </c>
      <c r="I104" s="263">
        <f>SUM('Notes to the Income Statement'!I234:I248)</f>
        <v>-5953</v>
      </c>
      <c r="J104" s="263">
        <f>SUM('Notes to the Income Statement'!J234:J248)</f>
        <v>205</v>
      </c>
      <c r="K104" s="263">
        <f>SUM('Notes to the Income Statement'!K234:K248)</f>
        <v>40</v>
      </c>
      <c r="L104" s="263">
        <f>SUM('Notes to the Income Statement'!L234:L248)</f>
        <v>12368</v>
      </c>
      <c r="M104" s="263">
        <f>SUM('Notes to the Income Statement'!M234:M248)</f>
        <v>-1691</v>
      </c>
      <c r="N104" s="263">
        <f>SUM('Notes to the Income Statement'!N234:N248)</f>
        <v>-139</v>
      </c>
      <c r="O104" s="263">
        <f>O106-O103</f>
        <v>554</v>
      </c>
      <c r="P104" s="263">
        <v>0</v>
      </c>
      <c r="Q104" s="263">
        <f>P104</f>
        <v>0</v>
      </c>
      <c r="R104" s="263">
        <f t="shared" ref="R104:AD104" si="330">Q104</f>
        <v>0</v>
      </c>
      <c r="S104" s="263">
        <f t="shared" si="330"/>
        <v>0</v>
      </c>
      <c r="T104" s="263">
        <f t="shared" si="330"/>
        <v>0</v>
      </c>
      <c r="U104" s="263">
        <f t="shared" si="330"/>
        <v>0</v>
      </c>
      <c r="V104" s="263">
        <f t="shared" si="330"/>
        <v>0</v>
      </c>
      <c r="W104" s="263">
        <f t="shared" si="330"/>
        <v>0</v>
      </c>
      <c r="X104" s="263">
        <f t="shared" si="330"/>
        <v>0</v>
      </c>
      <c r="Y104" s="263">
        <f t="shared" si="330"/>
        <v>0</v>
      </c>
      <c r="Z104" s="263">
        <f t="shared" si="330"/>
        <v>0</v>
      </c>
      <c r="AA104" s="263">
        <f t="shared" si="330"/>
        <v>0</v>
      </c>
      <c r="AB104" s="263">
        <f t="shared" si="330"/>
        <v>0</v>
      </c>
      <c r="AC104" s="263">
        <f t="shared" si="330"/>
        <v>0</v>
      </c>
      <c r="AD104" s="875">
        <f t="shared" si="330"/>
        <v>0</v>
      </c>
    </row>
    <row r="105" spans="1:30" s="50" customFormat="1" ht="16" thickBot="1">
      <c r="A105" s="9"/>
      <c r="B105" s="9"/>
      <c r="C105" s="13"/>
      <c r="D105" s="874" t="s">
        <v>464</v>
      </c>
      <c r="E105" s="263"/>
      <c r="F105" s="263"/>
      <c r="G105" s="263"/>
      <c r="H105" s="263"/>
      <c r="I105" s="263"/>
      <c r="J105" s="263"/>
      <c r="K105" s="263"/>
      <c r="L105" s="263"/>
      <c r="M105" s="263"/>
      <c r="N105" s="263"/>
      <c r="O105" s="263"/>
      <c r="P105" s="263"/>
      <c r="Q105" s="263"/>
      <c r="R105" s="263"/>
      <c r="S105" s="263"/>
      <c r="T105" s="263"/>
      <c r="U105" s="263"/>
      <c r="V105" s="263"/>
      <c r="W105" s="263"/>
      <c r="X105" s="263"/>
      <c r="Y105" s="263"/>
      <c r="Z105" s="263"/>
      <c r="AA105" s="263"/>
      <c r="AB105" s="263"/>
      <c r="AC105" s="263"/>
      <c r="AD105" s="875"/>
    </row>
    <row r="106" spans="1:30" s="20" customFormat="1" ht="16" thickBot="1">
      <c r="A106" s="4"/>
      <c r="B106" s="4"/>
      <c r="C106" s="19"/>
      <c r="D106" s="691" t="s">
        <v>465</v>
      </c>
      <c r="E106" s="262">
        <f>'Notes to the Income Statement'!E249</f>
        <v>118408</v>
      </c>
      <c r="F106" s="262">
        <f>'Notes to the Income Statement'!F249</f>
        <v>127581</v>
      </c>
      <c r="G106" s="262">
        <f>'Notes to the Income Statement'!G249</f>
        <v>163836</v>
      </c>
      <c r="H106" s="262">
        <f>'Notes to the Income Statement'!H249</f>
        <v>234636</v>
      </c>
      <c r="I106" s="262">
        <f>'Notes to the Income Statement'!I249</f>
        <v>276764</v>
      </c>
      <c r="J106" s="262">
        <f>'Notes to the Income Statement'!J249</f>
        <v>313908</v>
      </c>
      <c r="K106" s="262">
        <f>'Notes to the Income Statement'!K249</f>
        <v>333210</v>
      </c>
      <c r="L106" s="262">
        <f>'Notes to the Income Statement'!L249</f>
        <v>456158</v>
      </c>
      <c r="M106" s="262">
        <f>'Notes to the Income Statement'!M249</f>
        <v>489325</v>
      </c>
      <c r="N106" s="262">
        <f>'Notes to the Income Statement'!N249</f>
        <v>567238</v>
      </c>
      <c r="O106" s="262">
        <f>'Notes to the Income Statement'!O249</f>
        <v>611778</v>
      </c>
      <c r="P106" s="262">
        <f>SUM(P103:P105)</f>
        <v>917536.43831957015</v>
      </c>
      <c r="Q106" s="262">
        <f>SUM(Q103:Q105)</f>
        <v>1006132.8061789459</v>
      </c>
      <c r="R106" s="262">
        <f t="shared" ref="R106:AD106" si="331">SUM(R103:R105)</f>
        <v>1074344.4503791449</v>
      </c>
      <c r="S106" s="262">
        <f t="shared" si="331"/>
        <v>1179440.3225747703</v>
      </c>
      <c r="T106" s="262">
        <f t="shared" si="331"/>
        <v>1287173.8680989838</v>
      </c>
      <c r="U106" s="262">
        <f t="shared" si="331"/>
        <v>1393897.362835312</v>
      </c>
      <c r="V106" s="262">
        <f t="shared" si="331"/>
        <v>1514508.1561238205</v>
      </c>
      <c r="W106" s="262">
        <f t="shared" si="331"/>
        <v>1648407.3887297709</v>
      </c>
      <c r="X106" s="262">
        <f t="shared" si="331"/>
        <v>1799926.0227369664</v>
      </c>
      <c r="Y106" s="262">
        <f t="shared" si="331"/>
        <v>1959081.247287713</v>
      </c>
      <c r="Z106" s="262">
        <f t="shared" si="331"/>
        <v>2131870.5600256976</v>
      </c>
      <c r="AA106" s="262">
        <f t="shared" si="331"/>
        <v>2320460.9707859908</v>
      </c>
      <c r="AB106" s="262">
        <f t="shared" si="331"/>
        <v>2526655.782537357</v>
      </c>
      <c r="AC106" s="262">
        <f t="shared" si="331"/>
        <v>2752241.4121003705</v>
      </c>
      <c r="AD106" s="876">
        <f t="shared" si="331"/>
        <v>2999158.099032728</v>
      </c>
    </row>
    <row r="107" spans="1:30" s="248" customFormat="1" ht="12" thickBot="1">
      <c r="A107" s="114"/>
      <c r="B107" s="114"/>
      <c r="C107" s="114"/>
      <c r="D107" s="891" t="s">
        <v>468</v>
      </c>
      <c r="E107" s="696"/>
      <c r="F107" s="696">
        <f>(F106/E106)-1</f>
        <v>7.7469427741368779E-2</v>
      </c>
      <c r="G107" s="696"/>
      <c r="H107" s="696"/>
      <c r="I107" s="696"/>
      <c r="J107" s="696"/>
      <c r="K107" s="696"/>
      <c r="L107" s="696">
        <f t="shared" ref="L107:N107" si="332">(L106/K106)-1</f>
        <v>0.36898052279343352</v>
      </c>
      <c r="M107" s="696">
        <f t="shared" si="332"/>
        <v>7.2709455934128142E-2</v>
      </c>
      <c r="N107" s="696">
        <f t="shared" si="332"/>
        <v>0.15922546364890411</v>
      </c>
      <c r="O107" s="696">
        <f>(O106/N106)-1</f>
        <v>7.852083252532438E-2</v>
      </c>
      <c r="P107" s="696">
        <f>(P106/O106)-1</f>
        <v>0.49978658650616747</v>
      </c>
      <c r="Q107" s="696">
        <f>(Q106/P106)-1</f>
        <v>9.6558963937864339E-2</v>
      </c>
      <c r="R107" s="696">
        <f t="shared" ref="R107:AD107" si="333">(R106/Q106)-1</f>
        <v>6.7795865298588831E-2</v>
      </c>
      <c r="S107" s="696">
        <f t="shared" si="333"/>
        <v>9.7823255994421876E-2</v>
      </c>
      <c r="T107" s="696">
        <f t="shared" si="333"/>
        <v>9.1342939072174723E-2</v>
      </c>
      <c r="U107" s="696">
        <f t="shared" si="333"/>
        <v>8.2913037143884205E-2</v>
      </c>
      <c r="V107" s="696">
        <f t="shared" si="333"/>
        <v>8.6527743364960052E-2</v>
      </c>
      <c r="W107" s="696">
        <f t="shared" si="333"/>
        <v>8.841103434440889E-2</v>
      </c>
      <c r="X107" s="696">
        <f t="shared" si="333"/>
        <v>9.1918196340986302E-2</v>
      </c>
      <c r="Y107" s="696">
        <f t="shared" si="333"/>
        <v>8.8423203254062166E-2</v>
      </c>
      <c r="Z107" s="696">
        <f t="shared" si="333"/>
        <v>8.8199156097893416E-2</v>
      </c>
      <c r="AA107" s="696">
        <f t="shared" si="333"/>
        <v>8.8462411506831762E-2</v>
      </c>
      <c r="AB107" s="696">
        <f t="shared" si="333"/>
        <v>8.8859418170486704E-2</v>
      </c>
      <c r="AC107" s="696">
        <f t="shared" si="333"/>
        <v>8.9282296038153852E-2</v>
      </c>
      <c r="AD107" s="892">
        <f t="shared" si="333"/>
        <v>8.9714763336811831E-2</v>
      </c>
    </row>
    <row r="108" spans="1:30" s="248" customFormat="1" ht="11">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row>
    <row r="109" spans="1:30" s="248" customFormat="1" ht="14" customHeight="1">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row>
    <row r="110" spans="1:30" s="248" customFormat="1" ht="11">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row>
    <row r="111" spans="1:30" s="248" customFormat="1" ht="11">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row>
    <row r="112" spans="1:30" s="287" customFormat="1" ht="16" thickBot="1">
      <c r="A112" s="182"/>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row>
    <row r="113" spans="1:30" s="287" customFormat="1">
      <c r="A113" s="266"/>
      <c r="B113" s="267"/>
      <c r="C113" s="267"/>
      <c r="D113" s="868" t="s">
        <v>1054</v>
      </c>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c r="AA113" s="267"/>
      <c r="AB113" s="267"/>
      <c r="AC113" s="267"/>
      <c r="AD113" s="893"/>
    </row>
    <row r="114" spans="1:30" s="270" customFormat="1" ht="14">
      <c r="A114" s="861"/>
      <c r="D114" s="270" t="s">
        <v>1055</v>
      </c>
      <c r="E114" s="270">
        <f>'Notes to the Income Statement'!E218/1000000</f>
        <v>111.52481400000001</v>
      </c>
      <c r="F114" s="270">
        <f>'Notes to the Income Statement'!F218/1000000</f>
        <v>113.09939900000001</v>
      </c>
      <c r="G114" s="270">
        <f>'Notes to the Income Statement'!G218/1000000</f>
        <v>100.865725</v>
      </c>
      <c r="H114" s="270">
        <f>'Notes to the Income Statement'!H218/1000000</f>
        <v>98.721288999999999</v>
      </c>
      <c r="I114" s="270">
        <f>'Notes to the Income Statement'!I218/1000000</f>
        <v>99.041056999999995</v>
      </c>
      <c r="J114" s="270">
        <f>'Notes to the Income Statement'!J218/1000000</f>
        <v>99.579722000000004</v>
      </c>
      <c r="K114" s="270">
        <f>'Notes to the Income Statement'!K218/1000000</f>
        <v>99.868118999999993</v>
      </c>
      <c r="L114" s="859">
        <f>100099709/1000000</f>
        <v>100.099709</v>
      </c>
      <c r="M114" s="859">
        <f>100301972/1000000</f>
        <v>100.30197200000001</v>
      </c>
      <c r="N114" s="859">
        <f>100400440/1000000</f>
        <v>100.40044</v>
      </c>
      <c r="O114" s="859">
        <f>104005195/1000000</f>
        <v>104.005195</v>
      </c>
      <c r="P114" s="859">
        <f>O114</f>
        <v>104.005195</v>
      </c>
      <c r="Q114" s="859">
        <f>P114</f>
        <v>104.005195</v>
      </c>
      <c r="R114" s="859">
        <f t="shared" ref="R114:AD114" si="334">Q114</f>
        <v>104.005195</v>
      </c>
      <c r="S114" s="859">
        <f t="shared" si="334"/>
        <v>104.005195</v>
      </c>
      <c r="T114" s="859">
        <f t="shared" si="334"/>
        <v>104.005195</v>
      </c>
      <c r="U114" s="859">
        <f t="shared" si="334"/>
        <v>104.005195</v>
      </c>
      <c r="V114" s="859">
        <f t="shared" si="334"/>
        <v>104.005195</v>
      </c>
      <c r="W114" s="859">
        <f t="shared" si="334"/>
        <v>104.005195</v>
      </c>
      <c r="X114" s="859">
        <f t="shared" si="334"/>
        <v>104.005195</v>
      </c>
      <c r="Y114" s="859">
        <f t="shared" si="334"/>
        <v>104.005195</v>
      </c>
      <c r="Z114" s="859">
        <f t="shared" si="334"/>
        <v>104.005195</v>
      </c>
      <c r="AA114" s="859">
        <f t="shared" si="334"/>
        <v>104.005195</v>
      </c>
      <c r="AB114" s="859">
        <f t="shared" si="334"/>
        <v>104.005195</v>
      </c>
      <c r="AC114" s="859">
        <f t="shared" si="334"/>
        <v>104.005195</v>
      </c>
      <c r="AD114" s="894">
        <f t="shared" si="334"/>
        <v>104.005195</v>
      </c>
    </row>
    <row r="115" spans="1:30" s="270" customFormat="1" ht="14">
      <c r="A115" s="861"/>
      <c r="D115" s="270" t="s">
        <v>1056</v>
      </c>
      <c r="E115" s="270">
        <f>'Notes to the Income Statement'!E220/1000000</f>
        <v>112.245919</v>
      </c>
      <c r="F115" s="270">
        <f>'Notes to the Income Statement'!F220/1000000</f>
        <v>113.42603800000001</v>
      </c>
      <c r="G115" s="270">
        <f>'Notes to the Income Statement'!G220/1000000</f>
        <v>101.016687</v>
      </c>
      <c r="H115" s="270">
        <f>'Notes to the Income Statement'!H220/1000000</f>
        <v>100.144203</v>
      </c>
      <c r="I115" s="270">
        <f>'Notes to the Income Statement'!I220/1000000</f>
        <v>101.950475</v>
      </c>
      <c r="J115" s="270">
        <f>'Notes to the Income Statement'!J220/1000000</f>
        <v>104.92268199999999</v>
      </c>
      <c r="K115" s="270">
        <f>'Notes to the Income Statement'!K220/1000000</f>
        <v>106.544381</v>
      </c>
      <c r="L115" s="859">
        <f>108659206/1000000</f>
        <v>108.659206</v>
      </c>
      <c r="M115" s="859">
        <f>110402039/1000000</f>
        <v>110.402039</v>
      </c>
      <c r="N115" s="859">
        <f>111009449/1000000</f>
        <v>111.009449</v>
      </c>
      <c r="O115" s="859">
        <f>114959416/1000000</f>
        <v>114.959416</v>
      </c>
      <c r="P115" s="859">
        <f>O116+11</f>
        <v>127.6</v>
      </c>
      <c r="Q115" s="859">
        <f>P115</f>
        <v>127.6</v>
      </c>
      <c r="R115" s="859">
        <f t="shared" ref="R115:AD116" si="335">Q115</f>
        <v>127.6</v>
      </c>
      <c r="S115" s="859">
        <f t="shared" si="335"/>
        <v>127.6</v>
      </c>
      <c r="T115" s="859">
        <f t="shared" si="335"/>
        <v>127.6</v>
      </c>
      <c r="U115" s="859">
        <f t="shared" si="335"/>
        <v>127.6</v>
      </c>
      <c r="V115" s="859">
        <f t="shared" si="335"/>
        <v>127.6</v>
      </c>
      <c r="W115" s="859">
        <f t="shared" si="335"/>
        <v>127.6</v>
      </c>
      <c r="X115" s="859">
        <f t="shared" si="335"/>
        <v>127.6</v>
      </c>
      <c r="Y115" s="859">
        <f t="shared" si="335"/>
        <v>127.6</v>
      </c>
      <c r="Z115" s="859">
        <f t="shared" si="335"/>
        <v>127.6</v>
      </c>
      <c r="AA115" s="859">
        <f t="shared" si="335"/>
        <v>127.6</v>
      </c>
      <c r="AB115" s="859">
        <f t="shared" si="335"/>
        <v>127.6</v>
      </c>
      <c r="AC115" s="859">
        <f t="shared" si="335"/>
        <v>127.6</v>
      </c>
      <c r="AD115" s="894">
        <f t="shared" si="335"/>
        <v>127.6</v>
      </c>
    </row>
    <row r="116" spans="1:30" s="270" customFormat="1" ht="14">
      <c r="A116" s="861"/>
      <c r="D116" s="270" t="s">
        <v>1580</v>
      </c>
      <c r="E116" s="270">
        <f t="shared" ref="E116:J116" si="336">F116</f>
        <v>103.3</v>
      </c>
      <c r="F116" s="270">
        <f t="shared" si="336"/>
        <v>103.3</v>
      </c>
      <c r="G116" s="270">
        <f t="shared" si="336"/>
        <v>103.3</v>
      </c>
      <c r="H116" s="270">
        <f t="shared" si="336"/>
        <v>103.3</v>
      </c>
      <c r="I116" s="270">
        <f t="shared" si="336"/>
        <v>103.3</v>
      </c>
      <c r="J116" s="270">
        <f t="shared" si="336"/>
        <v>103.3</v>
      </c>
      <c r="K116" s="270">
        <f>L116</f>
        <v>103.3</v>
      </c>
      <c r="L116" s="860">
        <v>103.3</v>
      </c>
      <c r="M116" s="860">
        <v>103.5</v>
      </c>
      <c r="N116" s="860">
        <v>103.6</v>
      </c>
      <c r="O116" s="860">
        <v>116.6</v>
      </c>
      <c r="P116" s="860">
        <v>135.53</v>
      </c>
      <c r="Q116" s="859">
        <f>P116</f>
        <v>135.53</v>
      </c>
      <c r="R116" s="859">
        <f t="shared" si="335"/>
        <v>135.53</v>
      </c>
      <c r="S116" s="859">
        <f t="shared" si="335"/>
        <v>135.53</v>
      </c>
      <c r="T116" s="859">
        <f t="shared" si="335"/>
        <v>135.53</v>
      </c>
      <c r="U116" s="859">
        <f t="shared" si="335"/>
        <v>135.53</v>
      </c>
      <c r="V116" s="859">
        <f t="shared" si="335"/>
        <v>135.53</v>
      </c>
      <c r="W116" s="859">
        <f t="shared" si="335"/>
        <v>135.53</v>
      </c>
      <c r="X116" s="859">
        <f t="shared" si="335"/>
        <v>135.53</v>
      </c>
      <c r="Y116" s="859">
        <f t="shared" si="335"/>
        <v>135.53</v>
      </c>
      <c r="Z116" s="859">
        <f t="shared" si="335"/>
        <v>135.53</v>
      </c>
      <c r="AA116" s="859">
        <f t="shared" si="335"/>
        <v>135.53</v>
      </c>
      <c r="AB116" s="859">
        <f t="shared" si="335"/>
        <v>135.53</v>
      </c>
      <c r="AC116" s="859">
        <f t="shared" si="335"/>
        <v>135.53</v>
      </c>
      <c r="AD116" s="894">
        <f t="shared" si="335"/>
        <v>135.53</v>
      </c>
    </row>
    <row r="117" spans="1:30" s="269" customFormat="1">
      <c r="A117" s="268"/>
      <c r="E117" s="270"/>
      <c r="F117" s="270"/>
      <c r="G117" s="270"/>
      <c r="H117" s="270"/>
      <c r="I117" s="270"/>
      <c r="J117" s="270"/>
      <c r="K117" s="270"/>
      <c r="L117" s="270"/>
      <c r="M117" s="270"/>
      <c r="N117" s="270"/>
      <c r="O117" s="270"/>
      <c r="AD117" s="895"/>
    </row>
    <row r="118" spans="1:30" s="272" customFormat="1">
      <c r="A118" s="271"/>
      <c r="D118" s="869" t="s">
        <v>1582</v>
      </c>
      <c r="AD118" s="896"/>
    </row>
    <row r="119" spans="1:30" s="270" customFormat="1" ht="14">
      <c r="A119" s="861"/>
      <c r="D119" s="867" t="s">
        <v>1583</v>
      </c>
      <c r="E119" s="273">
        <f t="shared" ref="E119:K119" si="337">((E103/1000)/E114)</f>
        <v>0.96383034541532608</v>
      </c>
      <c r="F119" s="273">
        <f t="shared" si="337"/>
        <v>1.147583463286131</v>
      </c>
      <c r="G119" s="273">
        <f t="shared" si="337"/>
        <v>1.6735615591916879</v>
      </c>
      <c r="H119" s="273">
        <f t="shared" si="337"/>
        <v>2.4926031911921247</v>
      </c>
      <c r="I119" s="273">
        <f t="shared" si="337"/>
        <v>2.9502815180980959</v>
      </c>
      <c r="J119" s="273">
        <f t="shared" si="337"/>
        <v>2.9566662176461986</v>
      </c>
      <c r="K119" s="273">
        <f t="shared" si="337"/>
        <v>3.336099681621119</v>
      </c>
      <c r="L119" s="273">
        <f t="shared" ref="L119:N119" si="338">((L103/1000)/L114)</f>
        <v>4.4334794220031153</v>
      </c>
      <c r="M119" s="273">
        <f t="shared" si="338"/>
        <v>4.8953773311655331</v>
      </c>
      <c r="N119" s="273">
        <f t="shared" si="338"/>
        <v>5.7164191710713617</v>
      </c>
      <c r="O119" s="273">
        <f>((O103/1000)/O114)</f>
        <v>5.8768602856809222</v>
      </c>
      <c r="P119" s="273">
        <f t="shared" ref="P119:AD119" si="339">((P103/1000)/P114)</f>
        <v>8.8220250759548122</v>
      </c>
      <c r="Q119" s="273">
        <f t="shared" si="339"/>
        <v>9.6738706771228671</v>
      </c>
      <c r="R119" s="273">
        <f t="shared" si="339"/>
        <v>10.329719110465058</v>
      </c>
      <c r="S119" s="273">
        <f t="shared" si="339"/>
        <v>11.340205867358552</v>
      </c>
      <c r="T119" s="273">
        <f t="shared" si="339"/>
        <v>12.376053600966603</v>
      </c>
      <c r="U119" s="273">
        <f t="shared" si="339"/>
        <v>13.402189792878248</v>
      </c>
      <c r="V119" s="273">
        <f t="shared" si="339"/>
        <v>14.561851031804906</v>
      </c>
      <c r="W119" s="273">
        <f t="shared" si="339"/>
        <v>15.849279343495976</v>
      </c>
      <c r="X119" s="273">
        <f t="shared" si="339"/>
        <v>17.306116514054576</v>
      </c>
      <c r="Y119" s="273">
        <f t="shared" si="339"/>
        <v>18.836378772115307</v>
      </c>
      <c r="Z119" s="273">
        <f t="shared" si="339"/>
        <v>20.497731483756148</v>
      </c>
      <c r="AA119" s="273">
        <f t="shared" si="339"/>
        <v>22.311010241228729</v>
      </c>
      <c r="AB119" s="273">
        <f t="shared" si="339"/>
        <v>24.293553630060085</v>
      </c>
      <c r="AC119" s="273">
        <f t="shared" si="339"/>
        <v>26.462537877077875</v>
      </c>
      <c r="AD119" s="897">
        <f t="shared" si="339"/>
        <v>28.836618200011337</v>
      </c>
    </row>
    <row r="120" spans="1:30" s="241" customFormat="1" ht="11">
      <c r="A120" s="286"/>
      <c r="D120" s="241" t="s">
        <v>1581</v>
      </c>
      <c r="F120" s="241">
        <f t="shared" ref="F120" si="340">F119/E119-1</f>
        <v>0.19064881983107052</v>
      </c>
      <c r="G120" s="241">
        <f t="shared" ref="G120" si="341">G119/F119-1</f>
        <v>0.45833537405585023</v>
      </c>
      <c r="H120" s="241">
        <f t="shared" ref="H120" si="342">H119/G119-1</f>
        <v>0.48940036146386223</v>
      </c>
      <c r="I120" s="241">
        <f t="shared" ref="I120" si="343">I119/H119-1</f>
        <v>0.18361459558554105</v>
      </c>
      <c r="J120" s="241">
        <f t="shared" ref="J120" si="344">J119/I119-1</f>
        <v>2.164098411943538E-3</v>
      </c>
      <c r="K120" s="241">
        <f t="shared" ref="K120" si="345">K119/J119-1</f>
        <v>0.12833151801524201</v>
      </c>
      <c r="L120" s="241">
        <f t="shared" ref="L120" si="346">L119/K119-1</f>
        <v>0.32894093255892876</v>
      </c>
      <c r="M120" s="241">
        <f t="shared" ref="M120" si="347">M119/L119-1</f>
        <v>0.10418406519945567</v>
      </c>
      <c r="N120" s="241">
        <f t="shared" ref="N120" si="348">N119/M119-1</f>
        <v>0.16771778442466823</v>
      </c>
      <c r="O120" s="241">
        <f>O119/N119-1</f>
        <v>2.8066716209597109E-2</v>
      </c>
      <c r="P120" s="241">
        <f t="shared" ref="P120:AD120" si="349">P119/O119-1</f>
        <v>0.50114596010557499</v>
      </c>
      <c r="Q120" s="241">
        <f t="shared" si="349"/>
        <v>9.6558963937864339E-2</v>
      </c>
      <c r="R120" s="241">
        <f t="shared" si="349"/>
        <v>6.7795865298588831E-2</v>
      </c>
      <c r="S120" s="241">
        <f t="shared" si="349"/>
        <v>9.7823255994421654E-2</v>
      </c>
      <c r="T120" s="241">
        <f t="shared" si="349"/>
        <v>9.1342939072174723E-2</v>
      </c>
      <c r="U120" s="241">
        <f t="shared" si="349"/>
        <v>8.2913037143884205E-2</v>
      </c>
      <c r="V120" s="241">
        <f t="shared" si="349"/>
        <v>8.6527743364960275E-2</v>
      </c>
      <c r="W120" s="241">
        <f t="shared" si="349"/>
        <v>8.841103434440889E-2</v>
      </c>
      <c r="X120" s="241">
        <f t="shared" si="349"/>
        <v>9.1918196340986302E-2</v>
      </c>
      <c r="Y120" s="241">
        <f t="shared" si="349"/>
        <v>8.8423203254062166E-2</v>
      </c>
      <c r="Z120" s="241">
        <f t="shared" si="349"/>
        <v>8.8199156097893194E-2</v>
      </c>
      <c r="AA120" s="241">
        <f t="shared" si="349"/>
        <v>8.8462411506831984E-2</v>
      </c>
      <c r="AB120" s="241">
        <f t="shared" si="349"/>
        <v>8.8859418170486704E-2</v>
      </c>
      <c r="AC120" s="241">
        <f t="shared" si="349"/>
        <v>8.9282296038153852E-2</v>
      </c>
      <c r="AD120" s="898">
        <f t="shared" si="349"/>
        <v>8.9714763336811831E-2</v>
      </c>
    </row>
    <row r="121" spans="1:30" s="270" customFormat="1" ht="14">
      <c r="A121" s="861"/>
      <c r="D121" s="270" t="s">
        <v>1584</v>
      </c>
      <c r="E121" s="273">
        <f t="shared" ref="E121:K121" si="350">((E103/1000)/E115)</f>
        <v>0.95763837970804089</v>
      </c>
      <c r="F121" s="273">
        <f t="shared" si="350"/>
        <v>1.1442787060939217</v>
      </c>
      <c r="G121" s="273">
        <f t="shared" si="350"/>
        <v>1.6710605446801081</v>
      </c>
      <c r="H121" s="273">
        <f t="shared" si="350"/>
        <v>2.4571866631161865</v>
      </c>
      <c r="I121" s="273">
        <f t="shared" si="350"/>
        <v>2.8660876763938572</v>
      </c>
      <c r="J121" s="273">
        <f t="shared" si="350"/>
        <v>2.8061044036217067</v>
      </c>
      <c r="K121" s="273">
        <f t="shared" si="350"/>
        <v>3.1270536923012395</v>
      </c>
      <c r="L121" s="273">
        <f t="shared" ref="L121:N121" si="351">((L103/1000)/L115)</f>
        <v>4.0842374644261623</v>
      </c>
      <c r="M121" s="273">
        <f t="shared" si="351"/>
        <v>4.4475265533818629</v>
      </c>
      <c r="N121" s="273">
        <f t="shared" si="351"/>
        <v>5.1701094381614308</v>
      </c>
      <c r="O121" s="273">
        <f>((O103/1000)/O115)</f>
        <v>5.3168676500583478</v>
      </c>
      <c r="P121" s="273">
        <f t="shared" ref="P121:AD121" si="352">((P103/1000)/P115)</f>
        <v>7.1907244382411459</v>
      </c>
      <c r="Q121" s="273">
        <f t="shared" si="352"/>
        <v>7.8850533399603915</v>
      </c>
      <c r="R121" s="273">
        <f t="shared" si="352"/>
        <v>8.4196273540685347</v>
      </c>
      <c r="S121" s="273">
        <f t="shared" si="352"/>
        <v>9.2432627161032155</v>
      </c>
      <c r="T121" s="273">
        <f t="shared" si="352"/>
        <v>10.087569499208337</v>
      </c>
      <c r="U121" s="273">
        <f t="shared" si="352"/>
        <v>10.923960523787711</v>
      </c>
      <c r="V121" s="273">
        <f t="shared" si="352"/>
        <v>11.869186176518971</v>
      </c>
      <c r="W121" s="273">
        <f t="shared" si="352"/>
        <v>12.918553203211371</v>
      </c>
      <c r="X121" s="273">
        <f t="shared" si="352"/>
        <v>14.106003312985631</v>
      </c>
      <c r="Y121" s="273">
        <f t="shared" si="352"/>
        <v>15.353301311032235</v>
      </c>
      <c r="Z121" s="273">
        <f t="shared" si="352"/>
        <v>16.707449529981957</v>
      </c>
      <c r="AA121" s="273">
        <f t="shared" si="352"/>
        <v>18.185430805532846</v>
      </c>
      <c r="AB121" s="273">
        <f t="shared" si="352"/>
        <v>19.801377606092142</v>
      </c>
      <c r="AC121" s="273">
        <f t="shared" si="352"/>
        <v>21.569290063482526</v>
      </c>
      <c r="AD121" s="897">
        <f t="shared" si="352"/>
        <v>23.50437381687091</v>
      </c>
    </row>
    <row r="122" spans="1:30" s="241" customFormat="1" ht="11">
      <c r="A122" s="286"/>
      <c r="D122" s="241" t="s">
        <v>1581</v>
      </c>
      <c r="F122" s="241">
        <f t="shared" ref="F122" si="353">F121/E121-1</f>
        <v>0.19489645605346628</v>
      </c>
      <c r="G122" s="241">
        <f t="shared" ref="G122" si="354">G121/F121-1</f>
        <v>0.46036147992685672</v>
      </c>
      <c r="H122" s="241">
        <f t="shared" ref="H122" si="355">H121/G121-1</f>
        <v>0.4704354494747327</v>
      </c>
      <c r="I122" s="241">
        <f t="shared" ref="I122" si="356">I121/H121-1</f>
        <v>0.16641023631436513</v>
      </c>
      <c r="J122" s="241">
        <f t="shared" ref="J122" si="357">J121/I121-1</f>
        <v>-2.0928624503079418E-2</v>
      </c>
      <c r="K122" s="241">
        <f t="shared" ref="K122" si="358">K121/J121-1</f>
        <v>0.11437539111705841</v>
      </c>
      <c r="L122" s="241">
        <f t="shared" ref="L122" si="359">L121/K121-1</f>
        <v>0.30609764535911088</v>
      </c>
      <c r="M122" s="241">
        <f t="shared" ref="M122" si="360">M121/L121-1</f>
        <v>8.8949061390274142E-2</v>
      </c>
      <c r="N122" s="241">
        <f t="shared" ref="N122" si="361">N121/M121-1</f>
        <v>0.16246848132477631</v>
      </c>
      <c r="O122" s="241">
        <f>O121/N121-1</f>
        <v>2.838590046347389E-2</v>
      </c>
      <c r="P122" s="241">
        <f t="shared" ref="P122:AD122" si="362">P121/O121-1</f>
        <v>0.35243622965906152</v>
      </c>
      <c r="Q122" s="241">
        <f t="shared" si="362"/>
        <v>9.6558963937864117E-2</v>
      </c>
      <c r="R122" s="241">
        <f t="shared" si="362"/>
        <v>6.7795865298588831E-2</v>
      </c>
      <c r="S122" s="241">
        <f t="shared" si="362"/>
        <v>9.7823255994421654E-2</v>
      </c>
      <c r="T122" s="241">
        <f t="shared" si="362"/>
        <v>9.1342939072174945E-2</v>
      </c>
      <c r="U122" s="241">
        <f t="shared" si="362"/>
        <v>8.2913037143884205E-2</v>
      </c>
      <c r="V122" s="241">
        <f t="shared" si="362"/>
        <v>8.6527743364960275E-2</v>
      </c>
      <c r="W122" s="241">
        <f t="shared" si="362"/>
        <v>8.8411034344408668E-2</v>
      </c>
      <c r="X122" s="241">
        <f t="shared" si="362"/>
        <v>9.1918196340986302E-2</v>
      </c>
      <c r="Y122" s="241">
        <f t="shared" si="362"/>
        <v>8.8423203254062166E-2</v>
      </c>
      <c r="Z122" s="241">
        <f t="shared" si="362"/>
        <v>8.8199156097893416E-2</v>
      </c>
      <c r="AA122" s="241">
        <f t="shared" si="362"/>
        <v>8.8462411506831762E-2</v>
      </c>
      <c r="AB122" s="241">
        <f t="shared" si="362"/>
        <v>8.8859418170486926E-2</v>
      </c>
      <c r="AC122" s="241">
        <f t="shared" si="362"/>
        <v>8.928229603815363E-2</v>
      </c>
      <c r="AD122" s="898">
        <f t="shared" si="362"/>
        <v>8.9714763336811831E-2</v>
      </c>
    </row>
    <row r="123" spans="1:30" s="270" customFormat="1" ht="14">
      <c r="A123" s="861"/>
      <c r="D123" s="270" t="s">
        <v>1052</v>
      </c>
      <c r="E123" s="273">
        <f t="shared" ref="E123:K123" si="363">((E106/1000)/E114)</f>
        <v>1.0617188745098467</v>
      </c>
      <c r="F123" s="273">
        <f t="shared" si="363"/>
        <v>1.1280431295660553</v>
      </c>
      <c r="G123" s="273">
        <f t="shared" si="363"/>
        <v>1.6242980457434875</v>
      </c>
      <c r="H123" s="273">
        <f t="shared" si="363"/>
        <v>2.376751786537147</v>
      </c>
      <c r="I123" s="273">
        <f t="shared" si="363"/>
        <v>2.7944370585624911</v>
      </c>
      <c r="J123" s="273">
        <f t="shared" si="363"/>
        <v>3.1523285433554435</v>
      </c>
      <c r="K123" s="273">
        <f t="shared" si="363"/>
        <v>3.3365002098417413</v>
      </c>
      <c r="L123" s="273">
        <f t="shared" ref="L123:N123" si="364">((L106/1000)/L114)</f>
        <v>4.5570362247506635</v>
      </c>
      <c r="M123" s="273">
        <f t="shared" si="364"/>
        <v>4.8785182408975967</v>
      </c>
      <c r="N123" s="273">
        <f t="shared" si="364"/>
        <v>5.6497561166066603</v>
      </c>
      <c r="O123" s="273">
        <f>((O106/1000)/O114)</f>
        <v>5.8821869426810842</v>
      </c>
      <c r="P123" s="273">
        <f t="shared" ref="P123:AD123" si="365">((P106/1000)/P114)</f>
        <v>8.8220250759548122</v>
      </c>
      <c r="Q123" s="273">
        <f t="shared" si="365"/>
        <v>9.6738706771228671</v>
      </c>
      <c r="R123" s="273">
        <f t="shared" si="365"/>
        <v>10.329719110465058</v>
      </c>
      <c r="S123" s="273">
        <f t="shared" si="365"/>
        <v>11.340205867358552</v>
      </c>
      <c r="T123" s="273">
        <f t="shared" si="365"/>
        <v>12.376053600966603</v>
      </c>
      <c r="U123" s="273">
        <f t="shared" si="365"/>
        <v>13.402189792878248</v>
      </c>
      <c r="V123" s="273">
        <f t="shared" si="365"/>
        <v>14.561851031804906</v>
      </c>
      <c r="W123" s="273">
        <f t="shared" si="365"/>
        <v>15.849279343495976</v>
      </c>
      <c r="X123" s="273">
        <f t="shared" si="365"/>
        <v>17.306116514054576</v>
      </c>
      <c r="Y123" s="273">
        <f t="shared" si="365"/>
        <v>18.836378772115307</v>
      </c>
      <c r="Z123" s="273">
        <f t="shared" si="365"/>
        <v>20.497731483756148</v>
      </c>
      <c r="AA123" s="273">
        <f t="shared" si="365"/>
        <v>22.311010241228729</v>
      </c>
      <c r="AB123" s="273">
        <f t="shared" si="365"/>
        <v>24.293553630060085</v>
      </c>
      <c r="AC123" s="273">
        <f t="shared" si="365"/>
        <v>26.462537877077875</v>
      </c>
      <c r="AD123" s="897">
        <f t="shared" si="365"/>
        <v>28.836618200011337</v>
      </c>
    </row>
    <row r="124" spans="1:30" s="241" customFormat="1" ht="12" thickBot="1">
      <c r="A124" s="286"/>
      <c r="D124" s="241" t="s">
        <v>1581</v>
      </c>
      <c r="F124" s="241">
        <f t="shared" ref="F124" si="366">F123/E123-1</f>
        <v>6.2468753875010385E-2</v>
      </c>
      <c r="G124" s="241">
        <f t="shared" ref="G124" si="367">G123/F123-1</f>
        <v>0.43992548083541405</v>
      </c>
      <c r="H124" s="241">
        <f t="shared" ref="H124" si="368">H123/G123-1</f>
        <v>0.46324856621325305</v>
      </c>
      <c r="I124" s="241">
        <f t="shared" ref="I124" si="369">I123/H123-1</f>
        <v>0.17573785970890055</v>
      </c>
      <c r="J124" s="241">
        <f t="shared" ref="J124" si="370">J123/I123-1</f>
        <v>0.12807283803237923</v>
      </c>
      <c r="K124" s="241">
        <f t="shared" ref="K124" si="371">K123/J123-1</f>
        <v>5.8424007508512954E-2</v>
      </c>
      <c r="L124" s="241">
        <f t="shared" ref="L124:N124" si="372">L123/K123-1</f>
        <v>0.36581325884790372</v>
      </c>
      <c r="M124" s="241">
        <f t="shared" si="372"/>
        <v>7.0546293751378553E-2</v>
      </c>
      <c r="N124" s="241">
        <f t="shared" si="372"/>
        <v>0.15808855017567058</v>
      </c>
      <c r="O124" s="241">
        <f>O123/N123-1</f>
        <v>4.1139975120559003E-2</v>
      </c>
      <c r="P124" s="241">
        <f t="shared" ref="P124:AD124" si="373">P123/O123-1</f>
        <v>0.49978658650616747</v>
      </c>
      <c r="Q124" s="241">
        <f t="shared" si="373"/>
        <v>9.6558963937864339E-2</v>
      </c>
      <c r="R124" s="241">
        <f t="shared" si="373"/>
        <v>6.7795865298588831E-2</v>
      </c>
      <c r="S124" s="241">
        <f t="shared" si="373"/>
        <v>9.7823255994421654E-2</v>
      </c>
      <c r="T124" s="241">
        <f t="shared" si="373"/>
        <v>9.1342939072174723E-2</v>
      </c>
      <c r="U124" s="241">
        <f t="shared" si="373"/>
        <v>8.2913037143884205E-2</v>
      </c>
      <c r="V124" s="241">
        <f t="shared" si="373"/>
        <v>8.6527743364960275E-2</v>
      </c>
      <c r="W124" s="241">
        <f t="shared" si="373"/>
        <v>8.841103434440889E-2</v>
      </c>
      <c r="X124" s="241">
        <f t="shared" si="373"/>
        <v>9.1918196340986302E-2</v>
      </c>
      <c r="Y124" s="241">
        <f t="shared" si="373"/>
        <v>8.8423203254062166E-2</v>
      </c>
      <c r="Z124" s="241">
        <f t="shared" si="373"/>
        <v>8.8199156097893194E-2</v>
      </c>
      <c r="AA124" s="241">
        <f t="shared" si="373"/>
        <v>8.8462411506831984E-2</v>
      </c>
      <c r="AB124" s="241">
        <f t="shared" si="373"/>
        <v>8.8859418170486704E-2</v>
      </c>
      <c r="AC124" s="241">
        <f t="shared" si="373"/>
        <v>8.9282296038153852E-2</v>
      </c>
      <c r="AD124" s="898">
        <f t="shared" si="373"/>
        <v>8.9714763336811831E-2</v>
      </c>
    </row>
    <row r="125" spans="1:30" s="244" customFormat="1" thickBot="1">
      <c r="A125" s="862"/>
      <c r="D125" s="376" t="s">
        <v>1053</v>
      </c>
      <c r="E125" s="865">
        <f t="shared" ref="E125:K125" si="374">((E106/1000)/E115)</f>
        <v>1.0548980404356616</v>
      </c>
      <c r="F125" s="865">
        <f t="shared" si="374"/>
        <v>1.1247946437131129</v>
      </c>
      <c r="G125" s="865">
        <f t="shared" si="374"/>
        <v>1.6218706519250627</v>
      </c>
      <c r="H125" s="865">
        <f t="shared" si="374"/>
        <v>2.3429813506029897</v>
      </c>
      <c r="I125" s="865">
        <f t="shared" si="374"/>
        <v>2.714690637782708</v>
      </c>
      <c r="J125" s="865">
        <f t="shared" si="374"/>
        <v>2.9918030497924177</v>
      </c>
      <c r="K125" s="865">
        <f t="shared" si="374"/>
        <v>3.1274291227052129</v>
      </c>
      <c r="L125" s="865">
        <f t="shared" ref="L125:N125" si="375">((L106/1000)/L115)</f>
        <v>4.19806123008114</v>
      </c>
      <c r="M125" s="865">
        <f t="shared" si="375"/>
        <v>4.4322098072844467</v>
      </c>
      <c r="N125" s="865">
        <f t="shared" si="375"/>
        <v>5.1098172733025642</v>
      </c>
      <c r="O125" s="865">
        <f>((O106/1000)/O115)</f>
        <v>5.3216867420412086</v>
      </c>
      <c r="P125" s="865">
        <f t="shared" ref="P125:AD125" si="376">((P106/1000)/P115)</f>
        <v>7.1907244382411459</v>
      </c>
      <c r="Q125" s="865">
        <f t="shared" si="376"/>
        <v>7.8850533399603915</v>
      </c>
      <c r="R125" s="865">
        <f t="shared" si="376"/>
        <v>8.4196273540685347</v>
      </c>
      <c r="S125" s="865">
        <f t="shared" si="376"/>
        <v>9.2432627161032155</v>
      </c>
      <c r="T125" s="865">
        <f t="shared" si="376"/>
        <v>10.087569499208337</v>
      </c>
      <c r="U125" s="865">
        <f t="shared" si="376"/>
        <v>10.923960523787711</v>
      </c>
      <c r="V125" s="865">
        <f t="shared" si="376"/>
        <v>11.869186176518971</v>
      </c>
      <c r="W125" s="865">
        <f t="shared" si="376"/>
        <v>12.918553203211371</v>
      </c>
      <c r="X125" s="865">
        <f t="shared" si="376"/>
        <v>14.106003312985631</v>
      </c>
      <c r="Y125" s="865">
        <f t="shared" si="376"/>
        <v>15.353301311032235</v>
      </c>
      <c r="Z125" s="865">
        <f t="shared" si="376"/>
        <v>16.707449529981957</v>
      </c>
      <c r="AA125" s="865">
        <f t="shared" si="376"/>
        <v>18.185430805532846</v>
      </c>
      <c r="AB125" s="865">
        <f t="shared" si="376"/>
        <v>19.801377606092142</v>
      </c>
      <c r="AC125" s="865">
        <f t="shared" si="376"/>
        <v>21.569290063482526</v>
      </c>
      <c r="AD125" s="899">
        <f t="shared" si="376"/>
        <v>23.50437381687091</v>
      </c>
    </row>
    <row r="126" spans="1:30" s="241" customFormat="1" ht="11">
      <c r="A126" s="286"/>
      <c r="D126" s="241" t="s">
        <v>1581</v>
      </c>
      <c r="F126" s="241">
        <f t="shared" ref="F126" si="377">F125/E125-1</f>
        <v>6.6259108082696638E-2</v>
      </c>
      <c r="G126" s="241">
        <f t="shared" ref="G126" si="378">G125/F125-1</f>
        <v>0.44192600933004855</v>
      </c>
      <c r="H126" s="241">
        <f t="shared" ref="H126" si="379">H125/G125-1</f>
        <v>0.4446166516559209</v>
      </c>
      <c r="I126" s="241">
        <f t="shared" ref="I126" si="380">I125/H125-1</f>
        <v>0.15864799226167769</v>
      </c>
      <c r="J126" s="241">
        <f t="shared" ref="J126" si="381">J125/I125-1</f>
        <v>0.10207881817283182</v>
      </c>
      <c r="K126" s="241">
        <f t="shared" ref="K126" si="382">K125/J125-1</f>
        <v>4.5332553866540559E-2</v>
      </c>
      <c r="L126" s="241">
        <f t="shared" ref="L126:N126" si="383">L125/K125-1</f>
        <v>0.34233616986012927</v>
      </c>
      <c r="M126" s="241">
        <f t="shared" si="383"/>
        <v>5.5775407830052304E-2</v>
      </c>
      <c r="N126" s="241">
        <f t="shared" si="383"/>
        <v>0.15288253387834949</v>
      </c>
      <c r="O126" s="241">
        <f>O125/N125-1</f>
        <v>4.1463218233968258E-2</v>
      </c>
      <c r="P126" s="241">
        <f t="shared" ref="P126:AD126" si="384">P125/O125-1</f>
        <v>0.35121152123340527</v>
      </c>
      <c r="Q126" s="241">
        <f t="shared" si="384"/>
        <v>9.6558963937864117E-2</v>
      </c>
      <c r="R126" s="241">
        <f t="shared" si="384"/>
        <v>6.7795865298588831E-2</v>
      </c>
      <c r="S126" s="241">
        <f t="shared" si="384"/>
        <v>9.7823255994421654E-2</v>
      </c>
      <c r="T126" s="241">
        <f t="shared" si="384"/>
        <v>9.1342939072174945E-2</v>
      </c>
      <c r="U126" s="241">
        <f t="shared" si="384"/>
        <v>8.2913037143884205E-2</v>
      </c>
      <c r="V126" s="241">
        <f t="shared" si="384"/>
        <v>8.6527743364960275E-2</v>
      </c>
      <c r="W126" s="241">
        <f t="shared" si="384"/>
        <v>8.8411034344408668E-2</v>
      </c>
      <c r="X126" s="241">
        <f t="shared" si="384"/>
        <v>9.1918196340986302E-2</v>
      </c>
      <c r="Y126" s="241">
        <f t="shared" si="384"/>
        <v>8.8423203254062166E-2</v>
      </c>
      <c r="Z126" s="241">
        <f t="shared" si="384"/>
        <v>8.8199156097893416E-2</v>
      </c>
      <c r="AA126" s="241">
        <f t="shared" si="384"/>
        <v>8.8462411506831762E-2</v>
      </c>
      <c r="AB126" s="241">
        <f t="shared" si="384"/>
        <v>8.8859418170486926E-2</v>
      </c>
      <c r="AC126" s="241">
        <f t="shared" si="384"/>
        <v>8.928229603815363E-2</v>
      </c>
      <c r="AD126" s="898">
        <f t="shared" si="384"/>
        <v>8.9714763336811831E-2</v>
      </c>
    </row>
    <row r="127" spans="1:30" s="109" customFormat="1">
      <c r="A127" s="274"/>
      <c r="C127" s="275"/>
      <c r="E127" s="276"/>
      <c r="F127" s="276"/>
      <c r="G127" s="276"/>
      <c r="H127" s="276"/>
      <c r="I127" s="276"/>
      <c r="J127" s="276"/>
      <c r="K127" s="276"/>
      <c r="L127" s="276"/>
      <c r="M127" s="276"/>
      <c r="N127" s="276"/>
      <c r="O127" s="276"/>
      <c r="P127" s="265"/>
      <c r="Q127" s="265"/>
      <c r="R127" s="265"/>
      <c r="S127" s="265"/>
      <c r="AD127" s="900"/>
    </row>
    <row r="128" spans="1:30">
      <c r="A128" s="277"/>
      <c r="B128" s="39"/>
      <c r="C128" s="39"/>
      <c r="D128" s="109" t="s">
        <v>1586</v>
      </c>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901"/>
    </row>
    <row r="129" spans="1:30" s="160" customFormat="1" ht="14">
      <c r="A129" s="863"/>
      <c r="C129" s="439"/>
      <c r="D129" s="169" t="s">
        <v>1587</v>
      </c>
      <c r="E129" s="263">
        <v>15</v>
      </c>
      <c r="F129" s="263">
        <v>15</v>
      </c>
      <c r="G129" s="263">
        <v>19</v>
      </c>
      <c r="H129" s="263">
        <v>26</v>
      </c>
      <c r="I129" s="263">
        <v>31</v>
      </c>
      <c r="J129" s="263">
        <v>33</v>
      </c>
      <c r="K129" s="263">
        <v>37</v>
      </c>
      <c r="L129" s="263">
        <v>45069</v>
      </c>
      <c r="M129" s="263">
        <v>100237</v>
      </c>
      <c r="N129" s="263">
        <v>106530</v>
      </c>
      <c r="O129" s="748">
        <v>106543</v>
      </c>
      <c r="P129" s="748">
        <f>P133*P136</f>
        <v>1.1361931027631831</v>
      </c>
      <c r="Q129" s="748">
        <f>Q133*Q136</f>
        <v>1.3289629137059664</v>
      </c>
      <c r="R129" s="748">
        <f t="shared" ref="R129:AD129" si="385">R133*R136</f>
        <v>1.5077524234147957</v>
      </c>
      <c r="S129" s="748">
        <f t="shared" si="385"/>
        <v>1.6552456747067117</v>
      </c>
      <c r="T129" s="748">
        <f t="shared" si="385"/>
        <v>1.8064406795209269</v>
      </c>
      <c r="U129" s="748">
        <f t="shared" si="385"/>
        <v>1.9562181626802695</v>
      </c>
      <c r="V129" s="748">
        <f t="shared" si="385"/>
        <v>2.1254853058265413</v>
      </c>
      <c r="W129" s="748">
        <f t="shared" si="385"/>
        <v>2.3134016601985081</v>
      </c>
      <c r="X129" s="748">
        <f t="shared" si="385"/>
        <v>2.5260453682161979</v>
      </c>
      <c r="Y129" s="748">
        <f t="shared" si="385"/>
        <v>2.7494063912389617</v>
      </c>
      <c r="Z129" s="748">
        <f t="shared" si="385"/>
        <v>2.9919017147163918</v>
      </c>
      <c r="AA129" s="748">
        <f t="shared" si="385"/>
        <v>3.2565725553916289</v>
      </c>
      <c r="AB129" s="748">
        <f t="shared" si="385"/>
        <v>3.5459496978937057</v>
      </c>
      <c r="AC129" s="748">
        <f t="shared" si="385"/>
        <v>3.862540228557453</v>
      </c>
      <c r="AD129" s="902">
        <f t="shared" si="385"/>
        <v>4.2090671110413993</v>
      </c>
    </row>
    <row r="130" spans="1:30" s="164" customFormat="1" ht="11">
      <c r="A130" s="281"/>
      <c r="D130" s="241" t="s">
        <v>1589</v>
      </c>
      <c r="E130" s="241"/>
      <c r="F130" s="241"/>
      <c r="G130" s="241"/>
      <c r="H130" s="241"/>
      <c r="I130" s="241"/>
      <c r="J130" s="241"/>
      <c r="K130" s="241"/>
      <c r="L130" s="241">
        <f t="shared" ref="L130:M130" si="386">L129/L132</f>
        <v>0.19750819499710764</v>
      </c>
      <c r="M130" s="241">
        <f t="shared" si="386"/>
        <v>0.28079950696136929</v>
      </c>
      <c r="N130" s="241">
        <f>N129/N132</f>
        <v>0.32332668651606616</v>
      </c>
      <c r="O130" s="241">
        <f>O129/O132</f>
        <v>0.28116654175419337</v>
      </c>
      <c r="P130" s="241"/>
      <c r="Q130" s="241"/>
      <c r="R130" s="241"/>
      <c r="S130" s="241"/>
      <c r="T130" s="241"/>
      <c r="U130" s="241"/>
      <c r="V130" s="241"/>
      <c r="W130" s="241"/>
      <c r="X130" s="241"/>
      <c r="Y130" s="241"/>
      <c r="Z130" s="241"/>
      <c r="AA130" s="241"/>
      <c r="AB130" s="241"/>
      <c r="AC130" s="241"/>
      <c r="AD130" s="898"/>
    </row>
    <row r="131" spans="1:30" s="160" customFormat="1" ht="14">
      <c r="A131" s="863"/>
      <c r="C131" s="439"/>
      <c r="D131" s="169" t="s">
        <v>1588</v>
      </c>
      <c r="E131" s="263"/>
      <c r="F131" s="263"/>
      <c r="G131" s="263"/>
      <c r="H131" s="263"/>
      <c r="I131" s="263"/>
      <c r="J131" s="263"/>
      <c r="K131" s="263"/>
      <c r="L131" s="263">
        <v>183119</v>
      </c>
      <c r="M131" s="263">
        <v>256643</v>
      </c>
      <c r="N131" s="263">
        <v>222951</v>
      </c>
      <c r="O131" s="748">
        <v>272389</v>
      </c>
      <c r="P131" s="748"/>
      <c r="Q131" s="748"/>
      <c r="R131" s="748"/>
      <c r="S131" s="748"/>
      <c r="T131" s="748"/>
      <c r="U131" s="748"/>
      <c r="V131" s="748"/>
      <c r="W131" s="748"/>
      <c r="X131" s="748"/>
      <c r="Y131" s="748"/>
      <c r="Z131" s="748"/>
      <c r="AA131" s="748"/>
      <c r="AB131" s="748"/>
      <c r="AC131" s="748"/>
      <c r="AD131" s="902"/>
    </row>
    <row r="132" spans="1:30" s="160" customFormat="1" ht="14">
      <c r="A132" s="863"/>
      <c r="C132" s="439"/>
      <c r="D132" s="169" t="s">
        <v>1590</v>
      </c>
      <c r="E132" s="263"/>
      <c r="F132" s="263"/>
      <c r="G132" s="263"/>
      <c r="H132" s="263"/>
      <c r="I132" s="263"/>
      <c r="J132" s="263"/>
      <c r="K132" s="263"/>
      <c r="L132" s="263">
        <v>228188</v>
      </c>
      <c r="M132" s="263">
        <v>356970</v>
      </c>
      <c r="N132" s="263">
        <v>329481</v>
      </c>
      <c r="O132" s="748">
        <v>378932</v>
      </c>
      <c r="P132" s="748"/>
      <c r="Q132" s="748"/>
      <c r="R132" s="748"/>
      <c r="S132" s="748"/>
      <c r="T132" s="748"/>
      <c r="U132" s="748"/>
      <c r="V132" s="748"/>
      <c r="W132" s="748"/>
      <c r="X132" s="748"/>
      <c r="Y132" s="748"/>
      <c r="Z132" s="748"/>
      <c r="AA132" s="748"/>
      <c r="AB132" s="748"/>
      <c r="AC132" s="748"/>
      <c r="AD132" s="902"/>
    </row>
    <row r="133" spans="1:30" s="160" customFormat="1" ht="14" hidden="1">
      <c r="A133" s="863"/>
      <c r="C133" s="439"/>
      <c r="D133" s="169" t="s">
        <v>1006</v>
      </c>
      <c r="E133" s="216">
        <f t="shared" ref="E133:O133" si="387">E129/E136</f>
        <v>0.20270270270270271</v>
      </c>
      <c r="F133" s="216">
        <f t="shared" si="387"/>
        <v>0.20270270270270271</v>
      </c>
      <c r="G133" s="216">
        <f t="shared" si="387"/>
        <v>0.17924528301886791</v>
      </c>
      <c r="H133" s="216">
        <f t="shared" si="387"/>
        <v>0.16666666666666666</v>
      </c>
      <c r="I133" s="216">
        <f t="shared" si="387"/>
        <v>0.16847826086956522</v>
      </c>
      <c r="J133" s="216">
        <f t="shared" si="387"/>
        <v>0.15865384615384615</v>
      </c>
      <c r="K133" s="216">
        <f t="shared" si="387"/>
        <v>0.16818181818181818</v>
      </c>
      <c r="L133" s="216">
        <f t="shared" si="387"/>
        <v>22373.728091535329</v>
      </c>
      <c r="M133" s="216">
        <f t="shared" si="387"/>
        <v>31108.731658861099</v>
      </c>
      <c r="N133" s="216">
        <f t="shared" si="387"/>
        <v>28226.768447082362</v>
      </c>
      <c r="O133" s="216">
        <f t="shared" si="387"/>
        <v>29242.781002620522</v>
      </c>
      <c r="P133" s="217">
        <v>0.2</v>
      </c>
      <c r="Q133" s="217">
        <f>P133</f>
        <v>0.2</v>
      </c>
      <c r="R133" s="217">
        <f t="shared" ref="R133:AD133" si="388">Q133</f>
        <v>0.2</v>
      </c>
      <c r="S133" s="217">
        <f t="shared" si="388"/>
        <v>0.2</v>
      </c>
      <c r="T133" s="217">
        <f t="shared" si="388"/>
        <v>0.2</v>
      </c>
      <c r="U133" s="217">
        <f t="shared" si="388"/>
        <v>0.2</v>
      </c>
      <c r="V133" s="217">
        <f t="shared" si="388"/>
        <v>0.2</v>
      </c>
      <c r="W133" s="217">
        <f t="shared" si="388"/>
        <v>0.2</v>
      </c>
      <c r="X133" s="217">
        <f t="shared" si="388"/>
        <v>0.2</v>
      </c>
      <c r="Y133" s="217">
        <f t="shared" si="388"/>
        <v>0.2</v>
      </c>
      <c r="Z133" s="217">
        <f t="shared" si="388"/>
        <v>0.2</v>
      </c>
      <c r="AA133" s="217">
        <f t="shared" si="388"/>
        <v>0.2</v>
      </c>
      <c r="AB133" s="217">
        <f t="shared" si="388"/>
        <v>0.2</v>
      </c>
      <c r="AC133" s="217">
        <f t="shared" si="388"/>
        <v>0.2</v>
      </c>
      <c r="AD133" s="903">
        <f t="shared" si="388"/>
        <v>0.2</v>
      </c>
    </row>
    <row r="134" spans="1:30" s="160" customFormat="1" ht="14" hidden="1">
      <c r="A134" s="863"/>
      <c r="C134" s="439"/>
      <c r="D134" s="169" t="s">
        <v>40</v>
      </c>
      <c r="E134" s="263">
        <v>59</v>
      </c>
      <c r="F134" s="263">
        <v>59</v>
      </c>
      <c r="G134" s="263">
        <v>87</v>
      </c>
      <c r="H134" s="263">
        <v>130</v>
      </c>
      <c r="I134" s="263">
        <v>153</v>
      </c>
      <c r="J134" s="263">
        <v>175</v>
      </c>
      <c r="K134" s="263">
        <v>183</v>
      </c>
      <c r="L134" s="263">
        <v>256</v>
      </c>
      <c r="M134" s="263">
        <v>222</v>
      </c>
      <c r="N134" s="263">
        <v>271</v>
      </c>
      <c r="O134" s="263">
        <f>O136-O129</f>
        <v>-106539.3566050715</v>
      </c>
      <c r="P134" s="263">
        <f>P136-P129</f>
        <v>4.5447724110527323</v>
      </c>
      <c r="Q134" s="263">
        <f>Q136-Q129</f>
        <v>5.3158516548238648</v>
      </c>
      <c r="R134" s="263">
        <f t="shared" ref="R134:AD134" si="389">R136-R129</f>
        <v>6.0310096936591826</v>
      </c>
      <c r="S134" s="263">
        <f t="shared" si="389"/>
        <v>6.6209826988268459</v>
      </c>
      <c r="T134" s="263">
        <f t="shared" si="389"/>
        <v>7.2257627180837076</v>
      </c>
      <c r="U134" s="263">
        <f t="shared" si="389"/>
        <v>7.824872650721078</v>
      </c>
      <c r="V134" s="263">
        <f t="shared" si="389"/>
        <v>8.5019412233061651</v>
      </c>
      <c r="W134" s="263">
        <f t="shared" si="389"/>
        <v>9.2536066407940325</v>
      </c>
      <c r="X134" s="263">
        <f t="shared" si="389"/>
        <v>10.104181472864791</v>
      </c>
      <c r="Y134" s="263">
        <f t="shared" si="389"/>
        <v>10.997625564955845</v>
      </c>
      <c r="Z134" s="263">
        <f t="shared" si="389"/>
        <v>11.967606858865567</v>
      </c>
      <c r="AA134" s="263">
        <f t="shared" si="389"/>
        <v>13.026290221566516</v>
      </c>
      <c r="AB134" s="263">
        <f t="shared" si="389"/>
        <v>14.183798791574821</v>
      </c>
      <c r="AC134" s="263">
        <f t="shared" si="389"/>
        <v>15.450160914229812</v>
      </c>
      <c r="AD134" s="904">
        <f t="shared" si="389"/>
        <v>16.836268444165597</v>
      </c>
    </row>
    <row r="135" spans="1:30" s="160" customFormat="1" thickBot="1">
      <c r="A135" s="863"/>
      <c r="C135" s="439"/>
      <c r="D135" s="169" t="s">
        <v>1591</v>
      </c>
      <c r="E135" s="263"/>
      <c r="F135" s="263"/>
      <c r="G135" s="263"/>
      <c r="H135" s="263"/>
      <c r="I135" s="263"/>
      <c r="J135" s="263"/>
      <c r="K135" s="263"/>
      <c r="L135" s="263">
        <v>156569</v>
      </c>
      <c r="M135" s="263">
        <v>222951</v>
      </c>
      <c r="N135" s="263">
        <v>272389</v>
      </c>
      <c r="O135" s="263">
        <v>301964</v>
      </c>
      <c r="P135" s="263"/>
      <c r="Q135" s="263"/>
      <c r="R135" s="263"/>
      <c r="S135" s="263"/>
      <c r="T135" s="263"/>
      <c r="U135" s="263"/>
      <c r="V135" s="263"/>
      <c r="W135" s="263"/>
      <c r="X135" s="263"/>
      <c r="Y135" s="263"/>
      <c r="Z135" s="263"/>
      <c r="AA135" s="263"/>
      <c r="AB135" s="263"/>
      <c r="AC135" s="263"/>
      <c r="AD135" s="904"/>
    </row>
    <row r="136" spans="1:30" s="124" customFormat="1" thickBot="1">
      <c r="A136" s="864"/>
      <c r="C136" s="838" t="s">
        <v>167</v>
      </c>
      <c r="D136" s="338" t="s">
        <v>1585</v>
      </c>
      <c r="E136" s="265">
        <f t="shared" ref="E136:K136" si="390">SUM(E129,E134)</f>
        <v>74</v>
      </c>
      <c r="F136" s="265">
        <f t="shared" si="390"/>
        <v>74</v>
      </c>
      <c r="G136" s="265">
        <f t="shared" si="390"/>
        <v>106</v>
      </c>
      <c r="H136" s="265">
        <f t="shared" si="390"/>
        <v>156</v>
      </c>
      <c r="I136" s="265">
        <f t="shared" si="390"/>
        <v>184</v>
      </c>
      <c r="J136" s="265">
        <f t="shared" si="390"/>
        <v>208</v>
      </c>
      <c r="K136" s="265">
        <f t="shared" si="390"/>
        <v>220</v>
      </c>
      <c r="L136" s="866">
        <f>((L135+L129)/1000)/L114</f>
        <v>2.0143714903307059</v>
      </c>
      <c r="M136" s="866">
        <f>((M135+M129)/1000)/M114</f>
        <v>3.2221500091742961</v>
      </c>
      <c r="N136" s="866">
        <f>((N135+N129)/1000)/N114</f>
        <v>3.7740770857179506</v>
      </c>
      <c r="O136" s="866">
        <f>(O132/1000)/O114</f>
        <v>3.6433949284937164</v>
      </c>
      <c r="P136" s="866">
        <f>(P74*P140)/P115/1000</f>
        <v>5.6809655138159156</v>
      </c>
      <c r="Q136" s="866">
        <f t="shared" ref="Q136:AD136" si="391">(Q74*Q140)/Q115/1000</f>
        <v>6.6448145685298314</v>
      </c>
      <c r="R136" s="866">
        <f t="shared" si="391"/>
        <v>7.5387621170739783</v>
      </c>
      <c r="S136" s="866">
        <f t="shared" si="391"/>
        <v>8.2762283735335576</v>
      </c>
      <c r="T136" s="866">
        <f t="shared" si="391"/>
        <v>9.0322033976046345</v>
      </c>
      <c r="U136" s="866">
        <f t="shared" si="391"/>
        <v>9.781090813401347</v>
      </c>
      <c r="V136" s="866">
        <f t="shared" si="391"/>
        <v>10.627426529132705</v>
      </c>
      <c r="W136" s="866">
        <f t="shared" si="391"/>
        <v>11.567008300992541</v>
      </c>
      <c r="X136" s="866">
        <f t="shared" si="391"/>
        <v>12.630226841080988</v>
      </c>
      <c r="Y136" s="866">
        <f t="shared" si="391"/>
        <v>13.747031956194807</v>
      </c>
      <c r="Z136" s="866">
        <f t="shared" si="391"/>
        <v>14.959508573581958</v>
      </c>
      <c r="AA136" s="866">
        <f t="shared" si="391"/>
        <v>16.282862776958144</v>
      </c>
      <c r="AB136" s="866">
        <f t="shared" si="391"/>
        <v>17.729748489468527</v>
      </c>
      <c r="AC136" s="866">
        <f t="shared" si="391"/>
        <v>19.312701142787265</v>
      </c>
      <c r="AD136" s="866">
        <f t="shared" si="391"/>
        <v>21.045335555206997</v>
      </c>
    </row>
    <row r="137" spans="1:30" s="106" customFormat="1" ht="11">
      <c r="A137" s="159"/>
      <c r="D137" s="232" t="s">
        <v>1057</v>
      </c>
      <c r="E137" s="232"/>
      <c r="F137" s="232">
        <f>(F136/E136)-1</f>
        <v>0</v>
      </c>
      <c r="G137" s="232">
        <f t="shared" ref="G137:O137" si="392">(G136/F136)-1</f>
        <v>0.43243243243243246</v>
      </c>
      <c r="H137" s="232">
        <f t="shared" si="392"/>
        <v>0.47169811320754707</v>
      </c>
      <c r="I137" s="232">
        <f t="shared" si="392"/>
        <v>0.17948717948717952</v>
      </c>
      <c r="J137" s="232">
        <f t="shared" si="392"/>
        <v>0.13043478260869557</v>
      </c>
      <c r="K137" s="232">
        <f t="shared" si="392"/>
        <v>5.7692307692307709E-2</v>
      </c>
      <c r="L137" s="232"/>
      <c r="M137" s="232">
        <f t="shared" si="392"/>
        <v>0.59958082441154148</v>
      </c>
      <c r="N137" s="232">
        <f t="shared" si="392"/>
        <v>0.17129155221581094</v>
      </c>
      <c r="O137" s="232">
        <f t="shared" si="392"/>
        <v>-3.4626255441037035E-2</v>
      </c>
      <c r="P137" s="232">
        <f t="shared" ref="P137" si="393">(P136/O136)-1</f>
        <v>0.55925054113323625</v>
      </c>
      <c r="Q137" s="232">
        <f t="shared" ref="Q137" si="394">(Q136/P136)-1</f>
        <v>0.1696628948670551</v>
      </c>
      <c r="R137" s="232">
        <f t="shared" ref="R137" si="395">(R136/Q136)-1</f>
        <v>0.1345331068797504</v>
      </c>
      <c r="S137" s="232">
        <f t="shared" ref="S137" si="396">(S136/R136)-1</f>
        <v>9.7823255994422098E-2</v>
      </c>
      <c r="T137" s="232">
        <f t="shared" ref="T137" si="397">(T136/S136)-1</f>
        <v>9.13429390721745E-2</v>
      </c>
      <c r="U137" s="232">
        <f t="shared" ref="U137" si="398">(U136/T136)-1</f>
        <v>8.2913037143884427E-2</v>
      </c>
      <c r="V137" s="232">
        <f t="shared" ref="V137" si="399">(V136/U136)-1</f>
        <v>8.652774336495983E-2</v>
      </c>
      <c r="W137" s="232">
        <f t="shared" ref="W137" si="400">(W136/V136)-1</f>
        <v>8.8411034344409112E-2</v>
      </c>
      <c r="X137" s="232">
        <f t="shared" ref="X137" si="401">(X136/W136)-1</f>
        <v>9.191819634098608E-2</v>
      </c>
      <c r="Y137" s="232">
        <f t="shared" ref="Y137" si="402">(Y136/X136)-1</f>
        <v>8.8423203254062388E-2</v>
      </c>
      <c r="Z137" s="232">
        <f t="shared" ref="Z137" si="403">(Z136/Y136)-1</f>
        <v>8.8199156097893194E-2</v>
      </c>
      <c r="AA137" s="232">
        <f t="shared" ref="AA137" si="404">(AA136/Z136)-1</f>
        <v>8.8462411506831762E-2</v>
      </c>
      <c r="AB137" s="232">
        <f t="shared" ref="AB137" si="405">(AB136/AA136)-1</f>
        <v>8.8859418170487148E-2</v>
      </c>
      <c r="AC137" s="232">
        <f t="shared" ref="AC137" si="406">(AC136/AB136)-1</f>
        <v>8.9282296038153852E-2</v>
      </c>
      <c r="AD137" s="905">
        <f t="shared" ref="AD137" si="407">(AD136/AC136)-1</f>
        <v>8.9714763336811609E-2</v>
      </c>
    </row>
    <row r="138" spans="1:30" s="106" customFormat="1" ht="11">
      <c r="A138" s="159"/>
      <c r="D138" s="232" t="s">
        <v>471</v>
      </c>
      <c r="E138" s="232">
        <f t="shared" ref="E138:N138" si="408">E136/E142</f>
        <v>4.8684210526315788E-2</v>
      </c>
      <c r="F138" s="232">
        <f t="shared" si="408"/>
        <v>4.6835443037974683E-2</v>
      </c>
      <c r="G138" s="232">
        <f t="shared" si="408"/>
        <v>4.6902654867256637E-2</v>
      </c>
      <c r="H138" s="232">
        <f t="shared" si="408"/>
        <v>7.4109263657957239E-2</v>
      </c>
      <c r="I138" s="232">
        <f t="shared" si="408"/>
        <v>7.0095238095238099E-2</v>
      </c>
      <c r="J138" s="232">
        <f t="shared" si="408"/>
        <v>6.5000000000000002E-2</v>
      </c>
      <c r="K138" s="232">
        <f t="shared" si="408"/>
        <v>5.8744993324432573E-2</v>
      </c>
      <c r="L138" s="232">
        <f t="shared" si="408"/>
        <v>4.4696864925216587E-2</v>
      </c>
      <c r="M138" s="232">
        <f t="shared" si="408"/>
        <v>4.3603494736893122E-2</v>
      </c>
      <c r="N138" s="232">
        <f t="shared" si="408"/>
        <v>5.5825413589497087E-2</v>
      </c>
      <c r="O138" s="232">
        <f>O136/O142</f>
        <v>3.8705908714670917E-2</v>
      </c>
      <c r="P138" s="232">
        <f t="shared" ref="P138:AD138" si="409">P136/P142</f>
        <v>4.7160596993324887E-2</v>
      </c>
      <c r="Q138" s="232">
        <f t="shared" si="409"/>
        <v>5.5162000402870927E-2</v>
      </c>
      <c r="R138" s="232">
        <f t="shared" si="409"/>
        <v>6.2583115698771202E-2</v>
      </c>
      <c r="S138" s="232">
        <f t="shared" si="409"/>
        <v>6.8705199846700635E-2</v>
      </c>
      <c r="T138" s="232">
        <f t="shared" si="409"/>
        <v>7.4980934730239368E-2</v>
      </c>
      <c r="U138" s="232">
        <f t="shared" si="409"/>
        <v>8.1197831756610883E-2</v>
      </c>
      <c r="V138" s="232">
        <f t="shared" si="409"/>
        <v>8.8223696904638105E-2</v>
      </c>
      <c r="W138" s="232">
        <f t="shared" si="409"/>
        <v>9.6023645201664801E-2</v>
      </c>
      <c r="X138" s="232">
        <f t="shared" si="409"/>
        <v>0.1048499654746886</v>
      </c>
      <c r="Y138" s="232">
        <f t="shared" si="409"/>
        <v>0.11412113528303841</v>
      </c>
      <c r="Z138" s="232">
        <f t="shared" si="409"/>
        <v>0.1241865231079359</v>
      </c>
      <c r="AA138" s="232">
        <f t="shared" si="409"/>
        <v>0.1351723624187128</v>
      </c>
      <c r="AB138" s="232">
        <f t="shared" si="409"/>
        <v>0.14718369989596986</v>
      </c>
      <c r="AC138" s="232">
        <f t="shared" si="409"/>
        <v>0.1603245985620726</v>
      </c>
      <c r="AD138" s="905">
        <f t="shared" si="409"/>
        <v>0.17470808197913829</v>
      </c>
    </row>
    <row r="139" spans="1:30" s="278" customFormat="1" ht="11">
      <c r="A139" s="279"/>
      <c r="D139" s="113" t="s">
        <v>472</v>
      </c>
      <c r="E139" s="280">
        <f t="shared" ref="E139:K139" si="410">E123/E136</f>
        <v>1.4347552358241172E-2</v>
      </c>
      <c r="F139" s="280">
        <f t="shared" si="410"/>
        <v>1.5243826075216965E-2</v>
      </c>
      <c r="G139" s="280">
        <f t="shared" si="410"/>
        <v>1.5323566469278184E-2</v>
      </c>
      <c r="H139" s="280">
        <f t="shared" si="410"/>
        <v>1.5235588375238121E-2</v>
      </c>
      <c r="I139" s="280">
        <f t="shared" si="410"/>
        <v>1.5187157926970061E-2</v>
      </c>
      <c r="J139" s="280">
        <f t="shared" si="410"/>
        <v>1.5155425689208864E-2</v>
      </c>
      <c r="K139" s="280">
        <f t="shared" si="410"/>
        <v>1.5165910044735187E-2</v>
      </c>
      <c r="L139" s="280">
        <f t="shared" ref="L139:N139" si="411">L123/L136</f>
        <v>2.2622620736170767</v>
      </c>
      <c r="M139" s="280">
        <f t="shared" si="411"/>
        <v>1.514056833793334</v>
      </c>
      <c r="N139" s="280">
        <f t="shared" si="411"/>
        <v>1.4969901218994035</v>
      </c>
      <c r="O139" s="280">
        <f>O123/O136</f>
        <v>1.6144796427855128</v>
      </c>
      <c r="P139" s="280">
        <v>1.65</v>
      </c>
      <c r="Q139" s="280">
        <v>1.63</v>
      </c>
      <c r="R139" s="280">
        <f>Q139</f>
        <v>1.63</v>
      </c>
      <c r="S139" s="280">
        <f>R139</f>
        <v>1.63</v>
      </c>
      <c r="T139" s="113">
        <v>1.5</v>
      </c>
      <c r="U139" s="113">
        <f>T139</f>
        <v>1.5</v>
      </c>
      <c r="V139" s="113">
        <v>1.5</v>
      </c>
      <c r="W139" s="113">
        <f>V139</f>
        <v>1.5</v>
      </c>
      <c r="X139" s="113">
        <f t="shared" ref="X139:AD140" si="412">W139</f>
        <v>1.5</v>
      </c>
      <c r="Y139" s="113">
        <f t="shared" si="412"/>
        <v>1.5</v>
      </c>
      <c r="Z139" s="113">
        <f t="shared" si="412"/>
        <v>1.5</v>
      </c>
      <c r="AA139" s="113">
        <f t="shared" si="412"/>
        <v>1.5</v>
      </c>
      <c r="AB139" s="113">
        <f t="shared" si="412"/>
        <v>1.5</v>
      </c>
      <c r="AC139" s="113">
        <f t="shared" si="412"/>
        <v>1.5</v>
      </c>
      <c r="AD139" s="906">
        <f t="shared" si="412"/>
        <v>1.5</v>
      </c>
    </row>
    <row r="140" spans="1:30" s="164" customFormat="1" ht="11">
      <c r="A140" s="281"/>
      <c r="D140" s="241" t="s">
        <v>1592</v>
      </c>
      <c r="E140" s="241"/>
      <c r="F140" s="241"/>
      <c r="G140" s="241"/>
      <c r="H140" s="241"/>
      <c r="I140" s="241"/>
      <c r="J140" s="241"/>
      <c r="K140" s="241"/>
      <c r="L140" s="241">
        <f t="shared" ref="L140:N140" si="413">L136/L125</f>
        <v>0.47983375656761734</v>
      </c>
      <c r="M140" s="241">
        <f>M136/M125</f>
        <v>0.72698499152242579</v>
      </c>
      <c r="N140" s="241">
        <f t="shared" si="413"/>
        <v>0.73859335546820815</v>
      </c>
      <c r="O140" s="241">
        <f>O136/O125</f>
        <v>0.68463160368139975</v>
      </c>
      <c r="P140" s="241">
        <v>0.75</v>
      </c>
      <c r="Q140" s="241">
        <v>0.8</v>
      </c>
      <c r="R140" s="241">
        <v>0.85</v>
      </c>
      <c r="S140" s="241">
        <v>0.85</v>
      </c>
      <c r="T140" s="241">
        <v>0.85</v>
      </c>
      <c r="U140" s="241">
        <v>0.85</v>
      </c>
      <c r="V140" s="241">
        <f t="shared" ref="V140:W140" si="414">U140</f>
        <v>0.85</v>
      </c>
      <c r="W140" s="241">
        <f t="shared" si="414"/>
        <v>0.85</v>
      </c>
      <c r="X140" s="241">
        <f t="shared" si="412"/>
        <v>0.85</v>
      </c>
      <c r="Y140" s="241">
        <f t="shared" si="412"/>
        <v>0.85</v>
      </c>
      <c r="Z140" s="241">
        <f t="shared" si="412"/>
        <v>0.85</v>
      </c>
      <c r="AA140" s="241">
        <f t="shared" si="412"/>
        <v>0.85</v>
      </c>
      <c r="AB140" s="241">
        <f t="shared" si="412"/>
        <v>0.85</v>
      </c>
      <c r="AC140" s="241">
        <f t="shared" si="412"/>
        <v>0.85</v>
      </c>
      <c r="AD140" s="898">
        <f t="shared" si="412"/>
        <v>0.85</v>
      </c>
    </row>
    <row r="141" spans="1:30" s="137" customFormat="1">
      <c r="A141" s="285"/>
      <c r="AD141" s="901"/>
    </row>
    <row r="142" spans="1:30" ht="16" thickBot="1">
      <c r="A142" s="282"/>
      <c r="B142" s="283"/>
      <c r="C142" s="283"/>
      <c r="D142" s="621" t="s">
        <v>470</v>
      </c>
      <c r="E142" s="284">
        <v>1520</v>
      </c>
      <c r="F142" s="284">
        <v>1580</v>
      </c>
      <c r="G142" s="284">
        <v>2260</v>
      </c>
      <c r="H142" s="284">
        <v>2105</v>
      </c>
      <c r="I142" s="284">
        <v>2625</v>
      </c>
      <c r="J142" s="284">
        <v>3200</v>
      </c>
      <c r="K142" s="284">
        <v>3745</v>
      </c>
      <c r="L142" s="870">
        <f>'4g. Oceana Stock'!B905/100</f>
        <v>45.067399999999999</v>
      </c>
      <c r="M142" s="870">
        <f>'4g. Oceana Stock'!B655/100</f>
        <v>73.896599999999992</v>
      </c>
      <c r="N142" s="870">
        <f>'4g. Oceana Stock'!B406/100</f>
        <v>67.605000000000004</v>
      </c>
      <c r="O142" s="870">
        <f>'4g. Oceana Stock'!B156/100</f>
        <v>94.130200000000002</v>
      </c>
      <c r="P142" s="284">
        <f>'Bloomberg Fin Data'!P14</f>
        <v>120.46</v>
      </c>
      <c r="Q142" s="284">
        <f t="shared" ref="Q142:AD142" si="415">P142</f>
        <v>120.46</v>
      </c>
      <c r="R142" s="284">
        <f t="shared" si="415"/>
        <v>120.46</v>
      </c>
      <c r="S142" s="284">
        <f t="shared" si="415"/>
        <v>120.46</v>
      </c>
      <c r="T142" s="284">
        <f t="shared" si="415"/>
        <v>120.46</v>
      </c>
      <c r="U142" s="284">
        <f t="shared" si="415"/>
        <v>120.46</v>
      </c>
      <c r="V142" s="284">
        <f t="shared" si="415"/>
        <v>120.46</v>
      </c>
      <c r="W142" s="284">
        <f t="shared" si="415"/>
        <v>120.46</v>
      </c>
      <c r="X142" s="284">
        <f t="shared" si="415"/>
        <v>120.46</v>
      </c>
      <c r="Y142" s="284">
        <f t="shared" si="415"/>
        <v>120.46</v>
      </c>
      <c r="Z142" s="284">
        <f t="shared" si="415"/>
        <v>120.46</v>
      </c>
      <c r="AA142" s="284">
        <f t="shared" si="415"/>
        <v>120.46</v>
      </c>
      <c r="AB142" s="284">
        <f t="shared" si="415"/>
        <v>120.46</v>
      </c>
      <c r="AC142" s="284">
        <f t="shared" si="415"/>
        <v>120.46</v>
      </c>
      <c r="AD142" s="907">
        <f t="shared" si="415"/>
        <v>120.46</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2:AE61"/>
  <sheetViews>
    <sheetView showGridLines="0" topLeftCell="C10" zoomScale="75" zoomScaleNormal="75" zoomScalePageLayoutView="75" workbookViewId="0">
      <pane xSplit="2" topLeftCell="E1" activePane="topRight" state="frozen"/>
      <selection activeCell="Q37" sqref="Q37"/>
      <selection pane="topRight" activeCell="O44" sqref="O44"/>
    </sheetView>
  </sheetViews>
  <sheetFormatPr baseColWidth="10" defaultRowHeight="15" x14ac:dyDescent="0"/>
  <cols>
    <col min="3" max="3" width="18.33203125" hidden="1" customWidth="1"/>
    <col min="4" max="4" width="59.5" bestFit="1" customWidth="1"/>
    <col min="5" max="5" width="13.6640625" hidden="1" customWidth="1"/>
    <col min="6" max="6" width="12.5" hidden="1" customWidth="1"/>
    <col min="7" max="7" width="10.33203125" hidden="1" customWidth="1"/>
    <col min="8" max="8" width="14" hidden="1" customWidth="1"/>
    <col min="9" max="11" width="20.33203125" hidden="1" customWidth="1"/>
    <col min="12" max="12" width="21.33203125" customWidth="1"/>
    <col min="13" max="13" width="14.33203125" customWidth="1"/>
    <col min="14" max="14" width="10" customWidth="1"/>
    <col min="15" max="16" width="15.33203125" bestFit="1" customWidth="1"/>
    <col min="17" max="20" width="16.33203125" bestFit="1" customWidth="1"/>
    <col min="21" max="21" width="13.6640625" customWidth="1"/>
    <col min="22" max="26" width="14.33203125" customWidth="1"/>
    <col min="27" max="30" width="13.6640625" customWidth="1"/>
    <col min="31" max="16384" width="10.83203125" style="39"/>
  </cols>
  <sheetData>
    <row r="2" spans="1:30">
      <c r="E2" s="12"/>
      <c r="F2" s="12"/>
      <c r="G2" s="12"/>
      <c r="H2" s="12"/>
      <c r="I2" s="12"/>
      <c r="J2" s="12"/>
      <c r="K2" s="12"/>
      <c r="L2" s="12"/>
      <c r="M2" s="12"/>
      <c r="N2" s="12"/>
      <c r="O2" s="12"/>
    </row>
    <row r="3" spans="1:30" ht="16" thickBot="1"/>
    <row r="4" spans="1:30" s="412" customFormat="1" ht="16" thickBot="1">
      <c r="A4" s="405"/>
      <c r="B4" s="405"/>
      <c r="C4" s="402"/>
      <c r="D4" s="683" t="s">
        <v>1594</v>
      </c>
      <c r="E4" s="403" t="s">
        <v>216</v>
      </c>
      <c r="F4" s="403" t="s">
        <v>217</v>
      </c>
      <c r="G4" s="403" t="s">
        <v>218</v>
      </c>
      <c r="H4" s="403" t="s">
        <v>28</v>
      </c>
      <c r="I4" s="403" t="s">
        <v>17</v>
      </c>
      <c r="J4" s="403" t="s">
        <v>18</v>
      </c>
      <c r="K4" s="403" t="s">
        <v>19</v>
      </c>
      <c r="L4" s="403" t="s">
        <v>20</v>
      </c>
      <c r="M4" s="403" t="s">
        <v>21</v>
      </c>
      <c r="N4" s="403" t="s">
        <v>22</v>
      </c>
      <c r="O4" s="403" t="s">
        <v>23</v>
      </c>
      <c r="P4" s="404" t="s">
        <v>24</v>
      </c>
      <c r="Q4" s="404" t="s">
        <v>25</v>
      </c>
      <c r="R4" s="404" t="s">
        <v>26</v>
      </c>
      <c r="S4" s="404" t="s">
        <v>27</v>
      </c>
      <c r="T4" s="404" t="s">
        <v>712</v>
      </c>
      <c r="U4" s="404" t="s">
        <v>713</v>
      </c>
      <c r="V4" s="404" t="s">
        <v>714</v>
      </c>
      <c r="W4" s="404" t="s">
        <v>715</v>
      </c>
      <c r="X4" s="404" t="s">
        <v>716</v>
      </c>
      <c r="Y4" s="404" t="s">
        <v>717</v>
      </c>
      <c r="Z4" s="404" t="s">
        <v>718</v>
      </c>
      <c r="AA4" s="404" t="s">
        <v>719</v>
      </c>
      <c r="AB4" s="404" t="s">
        <v>720</v>
      </c>
      <c r="AC4" s="404" t="s">
        <v>721</v>
      </c>
      <c r="AD4" s="776" t="s">
        <v>722</v>
      </c>
    </row>
    <row r="5" spans="1:30" s="20" customFormat="1">
      <c r="A5" s="4"/>
      <c r="B5" s="4"/>
      <c r="C5" s="14"/>
      <c r="D5" s="726" t="s">
        <v>41</v>
      </c>
      <c r="E5" s="235"/>
      <c r="F5" s="235"/>
      <c r="G5" s="235"/>
      <c r="H5" s="618"/>
      <c r="I5" s="618"/>
      <c r="J5" s="618"/>
      <c r="K5" s="618"/>
      <c r="L5" s="618"/>
      <c r="M5" s="618"/>
      <c r="N5" s="618"/>
      <c r="O5" s="618"/>
      <c r="P5" s="908"/>
      <c r="Q5" s="908"/>
      <c r="R5" s="908"/>
      <c r="S5" s="908"/>
      <c r="T5" s="908"/>
      <c r="U5" s="908"/>
      <c r="V5" s="908"/>
      <c r="W5" s="908"/>
      <c r="X5" s="908"/>
      <c r="Y5" s="235"/>
      <c r="Z5" s="109"/>
      <c r="AA5" s="109"/>
      <c r="AB5" s="109"/>
      <c r="AC5" s="109"/>
      <c r="AD5" s="367"/>
    </row>
    <row r="6" spans="1:30" s="20" customFormat="1">
      <c r="A6" s="4"/>
      <c r="B6" s="4"/>
      <c r="C6" s="14"/>
      <c r="D6" s="726" t="s">
        <v>42</v>
      </c>
      <c r="E6" s="618">
        <f t="shared" ref="E6:L6" si="0">SUM(E7,E11,E12,E13)</f>
        <v>396072</v>
      </c>
      <c r="F6" s="618">
        <f t="shared" si="0"/>
        <v>511305</v>
      </c>
      <c r="G6" s="618">
        <f t="shared" si="0"/>
        <v>460724</v>
      </c>
      <c r="H6" s="618">
        <f t="shared" si="0"/>
        <v>516084</v>
      </c>
      <c r="I6" s="618">
        <f t="shared" si="0"/>
        <v>534276</v>
      </c>
      <c r="J6" s="618">
        <f t="shared" ref="J6" si="1">SUM(J7,J11,J12,J13)</f>
        <v>541146</v>
      </c>
      <c r="K6" s="618">
        <f t="shared" ref="K6" si="2">SUM(K7,K11,K12,K13)</f>
        <v>600373</v>
      </c>
      <c r="L6" s="816">
        <f t="shared" si="0"/>
        <v>690615</v>
      </c>
      <c r="M6" s="816">
        <f t="shared" ref="M6:AD6" si="3">SUM(M7:M16)</f>
        <v>814277</v>
      </c>
      <c r="N6" s="816">
        <f t="shared" si="3"/>
        <v>859640</v>
      </c>
      <c r="O6" s="816">
        <f t="shared" si="3"/>
        <v>6502886</v>
      </c>
      <c r="P6" s="913">
        <f>SUM(P7:P16)</f>
        <v>6477506.2478</v>
      </c>
      <c r="Q6" s="913">
        <f t="shared" si="3"/>
        <v>6455993.5981662869</v>
      </c>
      <c r="R6" s="913">
        <f t="shared" si="3"/>
        <v>6438341.8535854854</v>
      </c>
      <c r="S6" s="913">
        <f t="shared" si="3"/>
        <v>6429419.5253537921</v>
      </c>
      <c r="T6" s="913">
        <f t="shared" si="3"/>
        <v>6429805.7502544299</v>
      </c>
      <c r="U6" s="913">
        <f t="shared" si="3"/>
        <v>6440260.2760225832</v>
      </c>
      <c r="V6" s="913">
        <f t="shared" si="3"/>
        <v>6462008.599703514</v>
      </c>
      <c r="W6" s="913">
        <f t="shared" si="3"/>
        <v>6496595.1048093755</v>
      </c>
      <c r="X6" s="913">
        <f t="shared" si="3"/>
        <v>6546058.7468464617</v>
      </c>
      <c r="Y6" s="913">
        <f t="shared" si="3"/>
        <v>6611708.8869433915</v>
      </c>
      <c r="Z6" s="913">
        <f t="shared" si="3"/>
        <v>6695464.5427350793</v>
      </c>
      <c r="AA6" s="913">
        <f t="shared" si="3"/>
        <v>6799565.6675459556</v>
      </c>
      <c r="AB6" s="913">
        <f t="shared" si="3"/>
        <v>6926553.2221994773</v>
      </c>
      <c r="AC6" s="913">
        <f t="shared" si="3"/>
        <v>7079288.7668035841</v>
      </c>
      <c r="AD6" s="914">
        <f t="shared" si="3"/>
        <v>7260994.8498692522</v>
      </c>
    </row>
    <row r="7" spans="1:30">
      <c r="C7" s="13" t="s">
        <v>579</v>
      </c>
      <c r="D7" s="181" t="s">
        <v>43</v>
      </c>
      <c r="E7" s="169">
        <v>285052</v>
      </c>
      <c r="F7" s="169">
        <v>316457</v>
      </c>
      <c r="G7" s="169">
        <v>273413</v>
      </c>
      <c r="H7" s="429">
        <v>334147</v>
      </c>
      <c r="I7" s="429">
        <v>352170</v>
      </c>
      <c r="J7" s="429">
        <v>364538</v>
      </c>
      <c r="K7" s="429">
        <v>415623</v>
      </c>
      <c r="L7" s="807">
        <v>435850</v>
      </c>
      <c r="M7" s="807">
        <v>458200</v>
      </c>
      <c r="N7" s="807">
        <v>512342</v>
      </c>
      <c r="O7" s="807">
        <v>1537293</v>
      </c>
      <c r="P7" s="915">
        <f>'2e. Notes to the New Fin Stat'!P14</f>
        <v>1511913.2478</v>
      </c>
      <c r="Q7" s="915">
        <f>'2e. Notes to the New Fin Stat'!Q14</f>
        <v>1490400.5981662867</v>
      </c>
      <c r="R7" s="915">
        <f>'2e. Notes to the New Fin Stat'!R14</f>
        <v>1472748.8535854851</v>
      </c>
      <c r="S7" s="915">
        <f>'2e. Notes to the New Fin Stat'!S14</f>
        <v>1463826.5253537921</v>
      </c>
      <c r="T7" s="915">
        <f>'2e. Notes to the New Fin Stat'!T14</f>
        <v>1464212.7502544303</v>
      </c>
      <c r="U7" s="915">
        <f>'2e. Notes to the New Fin Stat'!U14</f>
        <v>1474667.2760225832</v>
      </c>
      <c r="V7" s="915">
        <f>'2e. Notes to the New Fin Stat'!V14</f>
        <v>1496415.599703514</v>
      </c>
      <c r="W7" s="915">
        <f>'2e. Notes to the New Fin Stat'!W14</f>
        <v>1531002.1048093759</v>
      </c>
      <c r="X7" s="915">
        <f>'2e. Notes to the New Fin Stat'!X14</f>
        <v>1580465.7468464617</v>
      </c>
      <c r="Y7" s="915">
        <f>'2e. Notes to the New Fin Stat'!Y14</f>
        <v>1646115.8869433915</v>
      </c>
      <c r="Z7" s="915">
        <f>'2e. Notes to the New Fin Stat'!Z14</f>
        <v>1729871.5427350793</v>
      </c>
      <c r="AA7" s="915">
        <f>'2e. Notes to the New Fin Stat'!AA14</f>
        <v>1833972.6675459556</v>
      </c>
      <c r="AB7" s="915">
        <f>'2e. Notes to the New Fin Stat'!AB14</f>
        <v>1960960.2221994773</v>
      </c>
      <c r="AC7" s="915">
        <f>'2e. Notes to the New Fin Stat'!AC14</f>
        <v>2113695.7668035841</v>
      </c>
      <c r="AD7" s="916">
        <f>'2e. Notes to the New Fin Stat'!AD14</f>
        <v>2295401.8498692522</v>
      </c>
    </row>
    <row r="8" spans="1:30">
      <c r="C8" s="13"/>
      <c r="D8" s="181" t="s">
        <v>266</v>
      </c>
      <c r="E8" s="169">
        <v>16908</v>
      </c>
      <c r="F8" s="169">
        <v>20241</v>
      </c>
      <c r="G8" s="169">
        <v>21090</v>
      </c>
      <c r="H8" s="429">
        <v>21749</v>
      </c>
      <c r="I8" s="429">
        <v>17343</v>
      </c>
      <c r="J8" s="429">
        <v>16183</v>
      </c>
      <c r="K8" s="429">
        <v>18101</v>
      </c>
      <c r="L8" s="807"/>
      <c r="M8" s="807"/>
      <c r="N8" s="807"/>
      <c r="O8" s="807"/>
      <c r="P8" s="915"/>
      <c r="Q8" s="915"/>
      <c r="R8" s="915"/>
      <c r="S8" s="915"/>
      <c r="T8" s="915"/>
      <c r="U8" s="915"/>
      <c r="V8" s="915"/>
      <c r="W8" s="915"/>
      <c r="X8" s="915"/>
      <c r="Y8" s="807"/>
      <c r="Z8" s="844"/>
      <c r="AA8" s="844"/>
      <c r="AB8" s="844"/>
      <c r="AC8" s="844"/>
      <c r="AD8" s="856"/>
    </row>
    <row r="9" spans="1:30">
      <c r="C9" s="13"/>
      <c r="D9" s="181" t="s">
        <v>215</v>
      </c>
      <c r="E9" s="169">
        <v>18302</v>
      </c>
      <c r="F9" s="169">
        <v>21911</v>
      </c>
      <c r="G9" s="169">
        <v>22830</v>
      </c>
      <c r="H9" s="429">
        <v>23544</v>
      </c>
      <c r="I9" s="429">
        <v>18774</v>
      </c>
      <c r="J9" s="429"/>
      <c r="K9" s="429"/>
      <c r="L9" s="807">
        <v>16229</v>
      </c>
      <c r="M9" s="807"/>
      <c r="N9" s="807"/>
      <c r="O9" s="807"/>
      <c r="P9" s="915"/>
      <c r="Q9" s="915"/>
      <c r="R9" s="915"/>
      <c r="S9" s="915"/>
      <c r="T9" s="915"/>
      <c r="U9" s="915"/>
      <c r="V9" s="915"/>
      <c r="W9" s="915"/>
      <c r="X9" s="915"/>
      <c r="Y9" s="807"/>
      <c r="Z9" s="844"/>
      <c r="AA9" s="844"/>
      <c r="AB9" s="844"/>
      <c r="AC9" s="844"/>
      <c r="AD9" s="856"/>
    </row>
    <row r="10" spans="1:30">
      <c r="C10" s="13"/>
      <c r="D10" s="181" t="s">
        <v>92</v>
      </c>
      <c r="E10" s="169">
        <v>17629</v>
      </c>
      <c r="F10" s="169">
        <v>19868</v>
      </c>
      <c r="G10" s="169">
        <v>11592</v>
      </c>
      <c r="H10" s="429"/>
      <c r="I10" s="429"/>
      <c r="J10" s="429"/>
      <c r="K10" s="429"/>
      <c r="L10" s="807">
        <v>72409</v>
      </c>
      <c r="M10" s="807"/>
      <c r="N10" s="807"/>
      <c r="O10" s="807"/>
      <c r="P10" s="915"/>
      <c r="Q10" s="915"/>
      <c r="R10" s="915"/>
      <c r="S10" s="915"/>
      <c r="T10" s="915"/>
      <c r="U10" s="915"/>
      <c r="V10" s="915"/>
      <c r="W10" s="915"/>
      <c r="X10" s="915"/>
      <c r="Y10" s="807"/>
      <c r="Z10" s="844"/>
      <c r="AA10" s="844"/>
      <c r="AB10" s="844"/>
      <c r="AC10" s="844"/>
      <c r="AD10" s="856"/>
    </row>
    <row r="11" spans="1:30">
      <c r="C11" s="13" t="s">
        <v>580</v>
      </c>
      <c r="D11" s="181" t="s">
        <v>44</v>
      </c>
      <c r="E11" s="169">
        <f t="shared" ref="E11:H11" si="4">SUM(E8:E10)</f>
        <v>52839</v>
      </c>
      <c r="F11" s="169">
        <f t="shared" si="4"/>
        <v>62020</v>
      </c>
      <c r="G11" s="169">
        <f t="shared" si="4"/>
        <v>55512</v>
      </c>
      <c r="H11" s="169">
        <f t="shared" si="4"/>
        <v>45293</v>
      </c>
      <c r="I11" s="429">
        <f>SUM(I8:I10)</f>
        <v>36117</v>
      </c>
      <c r="J11" s="169">
        <f t="shared" ref="J11" si="5">SUM(J8:J10)</f>
        <v>16183</v>
      </c>
      <c r="K11" s="169">
        <f t="shared" ref="K11" si="6">SUM(K8:K10)</f>
        <v>18101</v>
      </c>
      <c r="L11" s="807">
        <f t="shared" ref="L11" si="7">SUM(L8:L10)</f>
        <v>88638</v>
      </c>
      <c r="M11" s="807">
        <v>102802</v>
      </c>
      <c r="N11" s="807">
        <v>97625</v>
      </c>
      <c r="O11" s="807">
        <v>4469232</v>
      </c>
      <c r="P11" s="915">
        <f t="shared" ref="P11:Q14" si="8">O11</f>
        <v>4469232</v>
      </c>
      <c r="Q11" s="915">
        <f t="shared" si="8"/>
        <v>4469232</v>
      </c>
      <c r="R11" s="915">
        <f t="shared" ref="R11:AD11" si="9">Q11</f>
        <v>4469232</v>
      </c>
      <c r="S11" s="915">
        <f t="shared" si="9"/>
        <v>4469232</v>
      </c>
      <c r="T11" s="915">
        <f t="shared" si="9"/>
        <v>4469232</v>
      </c>
      <c r="U11" s="915">
        <f t="shared" si="9"/>
        <v>4469232</v>
      </c>
      <c r="V11" s="915">
        <f t="shared" si="9"/>
        <v>4469232</v>
      </c>
      <c r="W11" s="915">
        <f t="shared" si="9"/>
        <v>4469232</v>
      </c>
      <c r="X11" s="915">
        <f t="shared" si="9"/>
        <v>4469232</v>
      </c>
      <c r="Y11" s="915">
        <f t="shared" si="9"/>
        <v>4469232</v>
      </c>
      <c r="Z11" s="915">
        <f t="shared" si="9"/>
        <v>4469232</v>
      </c>
      <c r="AA11" s="915">
        <f t="shared" si="9"/>
        <v>4469232</v>
      </c>
      <c r="AB11" s="915">
        <f t="shared" si="9"/>
        <v>4469232</v>
      </c>
      <c r="AC11" s="915">
        <f t="shared" si="9"/>
        <v>4469232</v>
      </c>
      <c r="AD11" s="916">
        <f t="shared" si="9"/>
        <v>4469232</v>
      </c>
    </row>
    <row r="12" spans="1:30">
      <c r="C12" s="13" t="s">
        <v>588</v>
      </c>
      <c r="D12" s="181" t="s">
        <v>1181</v>
      </c>
      <c r="E12" s="169">
        <v>15256</v>
      </c>
      <c r="F12" s="169">
        <v>12850</v>
      </c>
      <c r="G12" s="169">
        <v>10438</v>
      </c>
      <c r="H12" s="429">
        <v>5386</v>
      </c>
      <c r="I12" s="429">
        <v>5878</v>
      </c>
      <c r="J12" s="429">
        <v>8528</v>
      </c>
      <c r="K12" s="429">
        <v>13204</v>
      </c>
      <c r="L12" s="807">
        <v>23187</v>
      </c>
      <c r="M12" s="807">
        <v>28502</v>
      </c>
      <c r="N12" s="807">
        <v>24119</v>
      </c>
      <c r="O12" s="807">
        <v>25583</v>
      </c>
      <c r="P12" s="915">
        <f t="shared" si="8"/>
        <v>25583</v>
      </c>
      <c r="Q12" s="915">
        <f t="shared" si="8"/>
        <v>25583</v>
      </c>
      <c r="R12" s="915">
        <f t="shared" ref="R12:AD12" si="10">Q12</f>
        <v>25583</v>
      </c>
      <c r="S12" s="915">
        <f t="shared" si="10"/>
        <v>25583</v>
      </c>
      <c r="T12" s="915">
        <f t="shared" si="10"/>
        <v>25583</v>
      </c>
      <c r="U12" s="915">
        <f t="shared" si="10"/>
        <v>25583</v>
      </c>
      <c r="V12" s="915">
        <f t="shared" si="10"/>
        <v>25583</v>
      </c>
      <c r="W12" s="915">
        <f t="shared" si="10"/>
        <v>25583</v>
      </c>
      <c r="X12" s="915">
        <f t="shared" si="10"/>
        <v>25583</v>
      </c>
      <c r="Y12" s="915">
        <f t="shared" si="10"/>
        <v>25583</v>
      </c>
      <c r="Z12" s="915">
        <f t="shared" si="10"/>
        <v>25583</v>
      </c>
      <c r="AA12" s="915">
        <f t="shared" si="10"/>
        <v>25583</v>
      </c>
      <c r="AB12" s="915">
        <f t="shared" si="10"/>
        <v>25583</v>
      </c>
      <c r="AC12" s="915">
        <f t="shared" si="10"/>
        <v>25583</v>
      </c>
      <c r="AD12" s="916">
        <f t="shared" si="10"/>
        <v>25583</v>
      </c>
    </row>
    <row r="13" spans="1:30">
      <c r="C13" s="13" t="s">
        <v>582</v>
      </c>
      <c r="D13" s="181" t="s">
        <v>45</v>
      </c>
      <c r="E13" s="169">
        <v>42925</v>
      </c>
      <c r="F13" s="169">
        <v>119978</v>
      </c>
      <c r="G13" s="169">
        <v>121361</v>
      </c>
      <c r="H13" s="429">
        <v>131258</v>
      </c>
      <c r="I13" s="429">
        <v>140111</v>
      </c>
      <c r="J13" s="429">
        <v>151897</v>
      </c>
      <c r="K13" s="429">
        <v>153445</v>
      </c>
      <c r="L13" s="807">
        <v>142940</v>
      </c>
      <c r="M13" s="807">
        <v>120325</v>
      </c>
      <c r="N13" s="807">
        <v>113965</v>
      </c>
      <c r="O13" s="807">
        <v>111270</v>
      </c>
      <c r="P13" s="915">
        <f t="shared" si="8"/>
        <v>111270</v>
      </c>
      <c r="Q13" s="915">
        <f t="shared" si="8"/>
        <v>111270</v>
      </c>
      <c r="R13" s="915">
        <f t="shared" ref="R13:AD13" si="11">Q13</f>
        <v>111270</v>
      </c>
      <c r="S13" s="915">
        <f t="shared" si="11"/>
        <v>111270</v>
      </c>
      <c r="T13" s="915">
        <f>S13</f>
        <v>111270</v>
      </c>
      <c r="U13" s="915">
        <f t="shared" si="11"/>
        <v>111270</v>
      </c>
      <c r="V13" s="915">
        <f t="shared" si="11"/>
        <v>111270</v>
      </c>
      <c r="W13" s="915">
        <f t="shared" si="11"/>
        <v>111270</v>
      </c>
      <c r="X13" s="915">
        <f t="shared" si="11"/>
        <v>111270</v>
      </c>
      <c r="Y13" s="915">
        <f t="shared" si="11"/>
        <v>111270</v>
      </c>
      <c r="Z13" s="915">
        <f t="shared" si="11"/>
        <v>111270</v>
      </c>
      <c r="AA13" s="915">
        <f t="shared" si="11"/>
        <v>111270</v>
      </c>
      <c r="AB13" s="915">
        <f t="shared" si="11"/>
        <v>111270</v>
      </c>
      <c r="AC13" s="915">
        <f t="shared" si="11"/>
        <v>111270</v>
      </c>
      <c r="AD13" s="916">
        <f t="shared" si="11"/>
        <v>111270</v>
      </c>
    </row>
    <row r="14" spans="1:30">
      <c r="C14" s="13"/>
      <c r="D14" s="181" t="s">
        <v>46</v>
      </c>
      <c r="E14" s="169"/>
      <c r="F14" s="169"/>
      <c r="G14" s="169"/>
      <c r="H14" s="429"/>
      <c r="I14" s="429"/>
      <c r="J14" s="429"/>
      <c r="K14" s="429"/>
      <c r="L14" s="807"/>
      <c r="M14" s="807">
        <v>104448</v>
      </c>
      <c r="N14" s="807">
        <v>111589</v>
      </c>
      <c r="O14" s="807">
        <v>359508</v>
      </c>
      <c r="P14" s="915">
        <f>O14</f>
        <v>359508</v>
      </c>
      <c r="Q14" s="915">
        <f t="shared" si="8"/>
        <v>359508</v>
      </c>
      <c r="R14" s="915">
        <f t="shared" ref="R14:AD14" si="12">Q14</f>
        <v>359508</v>
      </c>
      <c r="S14" s="915">
        <f t="shared" si="12"/>
        <v>359508</v>
      </c>
      <c r="T14" s="915">
        <f t="shared" si="12"/>
        <v>359508</v>
      </c>
      <c r="U14" s="915">
        <f t="shared" si="12"/>
        <v>359508</v>
      </c>
      <c r="V14" s="915">
        <f t="shared" si="12"/>
        <v>359508</v>
      </c>
      <c r="W14" s="915">
        <f t="shared" si="12"/>
        <v>359508</v>
      </c>
      <c r="X14" s="915">
        <f t="shared" si="12"/>
        <v>359508</v>
      </c>
      <c r="Y14" s="915">
        <f t="shared" si="12"/>
        <v>359508</v>
      </c>
      <c r="Z14" s="915">
        <f t="shared" si="12"/>
        <v>359508</v>
      </c>
      <c r="AA14" s="915">
        <f t="shared" si="12"/>
        <v>359508</v>
      </c>
      <c r="AB14" s="915">
        <f t="shared" si="12"/>
        <v>359508</v>
      </c>
      <c r="AC14" s="915">
        <f t="shared" si="12"/>
        <v>359508</v>
      </c>
      <c r="AD14" s="916">
        <f t="shared" si="12"/>
        <v>359508</v>
      </c>
    </row>
    <row r="15" spans="1:30">
      <c r="C15" s="13"/>
      <c r="D15" s="181" t="s">
        <v>47</v>
      </c>
      <c r="E15" s="169"/>
      <c r="F15" s="169"/>
      <c r="G15" s="169"/>
      <c r="H15" s="429"/>
      <c r="I15" s="429"/>
      <c r="J15" s="429"/>
      <c r="K15" s="429"/>
      <c r="L15" s="807"/>
      <c r="M15" s="807"/>
      <c r="N15" s="807"/>
      <c r="O15" s="807"/>
      <c r="P15" s="915"/>
      <c r="Q15" s="915"/>
      <c r="R15" s="915"/>
      <c r="S15" s="915"/>
      <c r="T15" s="915"/>
      <c r="U15" s="915"/>
      <c r="V15" s="915"/>
      <c r="W15" s="915"/>
      <c r="X15" s="915"/>
      <c r="Y15" s="807"/>
      <c r="Z15" s="844"/>
      <c r="AA15" s="844"/>
      <c r="AB15" s="844"/>
      <c r="AC15" s="844"/>
      <c r="AD15" s="856"/>
    </row>
    <row r="16" spans="1:30">
      <c r="C16" s="13"/>
      <c r="D16" s="181" t="s">
        <v>48</v>
      </c>
      <c r="E16" s="169"/>
      <c r="F16" s="169"/>
      <c r="G16" s="169"/>
      <c r="H16" s="429"/>
      <c r="I16" s="429"/>
      <c r="J16" s="429"/>
      <c r="K16" s="429"/>
      <c r="L16" s="807"/>
      <c r="M16" s="807"/>
      <c r="N16" s="807"/>
      <c r="O16" s="807"/>
      <c r="P16" s="915"/>
      <c r="Q16" s="915"/>
      <c r="R16" s="915"/>
      <c r="S16" s="915"/>
      <c r="T16" s="915"/>
      <c r="U16" s="915"/>
      <c r="V16" s="915"/>
      <c r="W16" s="915"/>
      <c r="X16" s="915"/>
      <c r="Y16" s="807"/>
      <c r="Z16" s="844"/>
      <c r="AA16" s="844"/>
      <c r="AB16" s="844"/>
      <c r="AC16" s="844"/>
      <c r="AD16" s="856"/>
    </row>
    <row r="17" spans="1:30">
      <c r="C17" s="13"/>
      <c r="D17" s="181"/>
      <c r="E17" s="169"/>
      <c r="F17" s="169"/>
      <c r="G17" s="169"/>
      <c r="H17" s="429"/>
      <c r="I17" s="429"/>
      <c r="J17" s="429"/>
      <c r="K17" s="429"/>
      <c r="L17" s="807"/>
      <c r="M17" s="807"/>
      <c r="N17" s="807"/>
      <c r="O17" s="807"/>
      <c r="P17" s="915"/>
      <c r="Q17" s="915"/>
      <c r="R17" s="915"/>
      <c r="S17" s="915"/>
      <c r="T17" s="915"/>
      <c r="U17" s="915"/>
      <c r="V17" s="915"/>
      <c r="W17" s="915"/>
      <c r="X17" s="915"/>
      <c r="Y17" s="807"/>
      <c r="Z17" s="844"/>
      <c r="AA17" s="844"/>
      <c r="AB17" s="844"/>
      <c r="AC17" s="844"/>
      <c r="AD17" s="856"/>
    </row>
    <row r="18" spans="1:30" s="20" customFormat="1">
      <c r="A18" s="4"/>
      <c r="B18" s="4"/>
      <c r="C18" s="14"/>
      <c r="D18" s="726" t="s">
        <v>49</v>
      </c>
      <c r="E18" s="618">
        <v>1080990</v>
      </c>
      <c r="F18" s="618">
        <f t="shared" ref="F18:AD18" si="13">SUM(F19:F23)</f>
        <v>821377</v>
      </c>
      <c r="G18" s="618">
        <f t="shared" si="13"/>
        <v>1041053</v>
      </c>
      <c r="H18" s="618">
        <f t="shared" si="13"/>
        <v>1039398</v>
      </c>
      <c r="I18" s="618">
        <f t="shared" si="13"/>
        <v>1188010</v>
      </c>
      <c r="J18" s="618">
        <f t="shared" si="13"/>
        <v>1302083</v>
      </c>
      <c r="K18" s="618">
        <f t="shared" si="13"/>
        <v>1422623</v>
      </c>
      <c r="L18" s="816">
        <f t="shared" si="13"/>
        <v>1878113</v>
      </c>
      <c r="M18" s="816">
        <f t="shared" si="13"/>
        <v>2019292</v>
      </c>
      <c r="N18" s="816">
        <f t="shared" si="13"/>
        <v>2115657</v>
      </c>
      <c r="O18" s="816">
        <f t="shared" si="13"/>
        <v>3970700</v>
      </c>
      <c r="P18" s="913">
        <f t="shared" si="13"/>
        <v>3855035.0379540715</v>
      </c>
      <c r="Q18" s="913">
        <f t="shared" si="13"/>
        <v>4295951.3211991312</v>
      </c>
      <c r="R18" s="913">
        <f t="shared" si="13"/>
        <v>4695748.3748484803</v>
      </c>
      <c r="S18" s="913">
        <f t="shared" si="13"/>
        <v>5118508.3103851536</v>
      </c>
      <c r="T18" s="913">
        <f t="shared" si="13"/>
        <v>5552207.3729053168</v>
      </c>
      <c r="U18" s="913">
        <f t="shared" si="13"/>
        <v>5999905.7964165444</v>
      </c>
      <c r="V18" s="913">
        <f t="shared" si="13"/>
        <v>6475669.8922515353</v>
      </c>
      <c r="W18" s="913">
        <f t="shared" si="13"/>
        <v>6987336.1665652888</v>
      </c>
      <c r="X18" s="913">
        <f t="shared" si="13"/>
        <v>7547687.1153929038</v>
      </c>
      <c r="Y18" s="913">
        <f t="shared" si="13"/>
        <v>8130809.8808735199</v>
      </c>
      <c r="Z18" s="913">
        <f t="shared" si="13"/>
        <v>8751254.583548028</v>
      </c>
      <c r="AA18" s="913">
        <f t="shared" si="13"/>
        <v>9414285.358688511</v>
      </c>
      <c r="AB18" s="913">
        <f t="shared" si="13"/>
        <v>10123928.933217328</v>
      </c>
      <c r="AC18" s="913">
        <f t="shared" si="13"/>
        <v>10884056.532731315</v>
      </c>
      <c r="AD18" s="914">
        <f t="shared" si="13"/>
        <v>11698859.251493501</v>
      </c>
    </row>
    <row r="19" spans="1:30">
      <c r="C19" s="13" t="s">
        <v>581</v>
      </c>
      <c r="D19" s="181" t="s">
        <v>50</v>
      </c>
      <c r="E19" s="169">
        <v>242413</v>
      </c>
      <c r="F19" s="169">
        <v>219224</v>
      </c>
      <c r="G19" s="169">
        <v>312470</v>
      </c>
      <c r="H19" s="429">
        <v>344458</v>
      </c>
      <c r="I19" s="429">
        <v>589814</v>
      </c>
      <c r="J19" s="429">
        <v>574838</v>
      </c>
      <c r="K19" s="429">
        <v>489850</v>
      </c>
      <c r="L19" s="807">
        <v>777979</v>
      </c>
      <c r="M19" s="807">
        <v>1213169</v>
      </c>
      <c r="N19" s="807">
        <v>838615</v>
      </c>
      <c r="O19" s="807">
        <v>1316266</v>
      </c>
      <c r="P19" s="915">
        <f>'2e. Notes to the New Fin Stat'!P50</f>
        <v>1803866.0494019613</v>
      </c>
      <c r="Q19" s="915">
        <f>'2e. Notes to the New Fin Stat'!Q50</f>
        <v>1971830.3412624502</v>
      </c>
      <c r="R19" s="915">
        <f>'2e. Notes to the New Fin Stat'!R50</f>
        <v>2143807.6856078939</v>
      </c>
      <c r="S19" s="915">
        <f>'2e. Notes to the New Fin Stat'!S50</f>
        <v>2328000.761141282</v>
      </c>
      <c r="T19" s="915">
        <f>'2e. Notes to the New Fin Stat'!T50</f>
        <v>2514805.1161274826</v>
      </c>
      <c r="U19" s="915">
        <f>'2e. Notes to the New Fin Stat'!U50</f>
        <v>2707443.1096971785</v>
      </c>
      <c r="V19" s="915">
        <f>'2e. Notes to the New Fin Stat'!V50</f>
        <v>2916520.1012535067</v>
      </c>
      <c r="W19" s="915">
        <f>'2e. Notes to the New Fin Stat'!W50</f>
        <v>3147931.8583092219</v>
      </c>
      <c r="X19" s="915">
        <f>'2e. Notes to the New Fin Stat'!X50</f>
        <v>3411425.3848141809</v>
      </c>
      <c r="Y19" s="915">
        <f>'2e. Notes to the New Fin Stat'!Y50</f>
        <v>3686101.5951820905</v>
      </c>
      <c r="Z19" s="915">
        <f>'2e. Notes to the New Fin Stat'!Z50</f>
        <v>3983551.5572910155</v>
      </c>
      <c r="AA19" s="915">
        <f>'2e. Notes to the New Fin Stat'!AA50</f>
        <v>4307829.8710962562</v>
      </c>
      <c r="AB19" s="915">
        <f>'2e. Notes to the New Fin Stat'!AB50</f>
        <v>4662002.1905387519</v>
      </c>
      <c r="AC19" s="915">
        <f>'2e. Notes to the New Fin Stat'!AC50</f>
        <v>5049039.2938403403</v>
      </c>
      <c r="AD19" s="916">
        <f>'2e. Notes to the New Fin Stat'!AD50</f>
        <v>5472215.0254066903</v>
      </c>
    </row>
    <row r="20" spans="1:30">
      <c r="C20" s="13" t="s">
        <v>581</v>
      </c>
      <c r="D20" s="181" t="s">
        <v>51</v>
      </c>
      <c r="E20" s="169">
        <v>457996</v>
      </c>
      <c r="F20" s="169">
        <v>403486</v>
      </c>
      <c r="G20" s="169">
        <v>412073</v>
      </c>
      <c r="H20" s="429">
        <v>424405</v>
      </c>
      <c r="I20" s="429">
        <v>408793</v>
      </c>
      <c r="J20" s="429">
        <v>545515</v>
      </c>
      <c r="K20" s="429">
        <v>536913</v>
      </c>
      <c r="L20" s="807">
        <v>819164</v>
      </c>
      <c r="M20" s="807">
        <v>681872</v>
      </c>
      <c r="N20" s="807">
        <v>900818</v>
      </c>
      <c r="O20" s="807">
        <v>1445221</v>
      </c>
      <c r="P20" s="915">
        <f>'2e. Notes to the New Fin Stat'!P53</f>
        <v>2018881.527900168</v>
      </c>
      <c r="Q20" s="915">
        <f>'2e. Notes to the New Fin Stat'!Q53</f>
        <v>2206866.6647657333</v>
      </c>
      <c r="R20" s="915">
        <f>'2e. Notes to the New Fin Stat'!R53</f>
        <v>2399343.1980601265</v>
      </c>
      <c r="S20" s="915">
        <f>'2e. Notes to the New Fin Stat'!S53</f>
        <v>2605491.5414389279</v>
      </c>
      <c r="T20" s="915">
        <f>'2e. Notes to the New Fin Stat'!T53</f>
        <v>2814562.4210300036</v>
      </c>
      <c r="U20" s="915">
        <f>'2e. Notes to the New Fin Stat'!U53</f>
        <v>3030162.2916071713</v>
      </c>
      <c r="V20" s="915">
        <f>'2e. Notes to the New Fin Stat'!V53</f>
        <v>3264160.6399335065</v>
      </c>
      <c r="W20" s="915">
        <f>'2e. Notes to the New Fin Stat'!W53</f>
        <v>3523155.9915083051</v>
      </c>
      <c r="X20" s="915">
        <f>'2e. Notes to the New Fin Stat'!X53</f>
        <v>3818057.1642192705</v>
      </c>
      <c r="Y20" s="915">
        <f>'2e. Notes to the New Fin Stat'!Y53</f>
        <v>4125473.9635150051</v>
      </c>
      <c r="Z20" s="915">
        <f>'2e. Notes to the New Fin Stat'!Z53</f>
        <v>4458379.078157749</v>
      </c>
      <c r="AA20" s="915">
        <f>'2e. Notes to the New Fin Stat'!AA53</f>
        <v>4821310.4043818116</v>
      </c>
      <c r="AB20" s="915">
        <f>'2e. Notes to the New Fin Stat'!AB53</f>
        <v>5217699.0129778143</v>
      </c>
      <c r="AC20" s="915">
        <f>'2e. Notes to the New Fin Stat'!AC53</f>
        <v>5650869.7901131893</v>
      </c>
      <c r="AD20" s="916">
        <f>'2e. Notes to the New Fin Stat'!AD53</f>
        <v>6124486.8127286909</v>
      </c>
    </row>
    <row r="21" spans="1:30">
      <c r="C21" s="13" t="s">
        <v>583</v>
      </c>
      <c r="D21" s="181" t="s">
        <v>15</v>
      </c>
      <c r="E21" s="169"/>
      <c r="F21" s="169"/>
      <c r="G21" s="169"/>
      <c r="H21" s="429"/>
      <c r="I21" s="429"/>
      <c r="J21" s="429"/>
      <c r="K21" s="429"/>
      <c r="L21" s="807">
        <v>4792</v>
      </c>
      <c r="M21" s="807">
        <v>13048</v>
      </c>
      <c r="N21" s="807">
        <v>32221</v>
      </c>
      <c r="O21" s="807">
        <v>27940</v>
      </c>
      <c r="P21" s="915">
        <v>0</v>
      </c>
      <c r="Q21" s="915">
        <f>P21</f>
        <v>0</v>
      </c>
      <c r="R21" s="915">
        <f t="shared" ref="R21:AD21" si="14">Q21</f>
        <v>0</v>
      </c>
      <c r="S21" s="915">
        <f t="shared" si="14"/>
        <v>0</v>
      </c>
      <c r="T21" s="915">
        <f t="shared" si="14"/>
        <v>0</v>
      </c>
      <c r="U21" s="915">
        <f t="shared" si="14"/>
        <v>0</v>
      </c>
      <c r="V21" s="915">
        <f t="shared" si="14"/>
        <v>0</v>
      </c>
      <c r="W21" s="915">
        <f t="shared" si="14"/>
        <v>0</v>
      </c>
      <c r="X21" s="915">
        <f t="shared" si="14"/>
        <v>0</v>
      </c>
      <c r="Y21" s="915">
        <f t="shared" si="14"/>
        <v>0</v>
      </c>
      <c r="Z21" s="915">
        <f t="shared" si="14"/>
        <v>0</v>
      </c>
      <c r="AA21" s="915">
        <f t="shared" si="14"/>
        <v>0</v>
      </c>
      <c r="AB21" s="915">
        <f t="shared" si="14"/>
        <v>0</v>
      </c>
      <c r="AC21" s="915">
        <f t="shared" si="14"/>
        <v>0</v>
      </c>
      <c r="AD21" s="916">
        <f t="shared" si="14"/>
        <v>0</v>
      </c>
    </row>
    <row r="22" spans="1:30">
      <c r="C22" s="13"/>
      <c r="D22" s="181" t="s">
        <v>52</v>
      </c>
      <c r="E22" s="169"/>
      <c r="F22" s="169"/>
      <c r="G22" s="169"/>
      <c r="H22" s="429"/>
      <c r="I22" s="429"/>
      <c r="J22" s="429"/>
      <c r="K22" s="429"/>
      <c r="L22" s="807"/>
      <c r="M22" s="807"/>
      <c r="N22" s="807"/>
      <c r="O22" s="807"/>
      <c r="P22" s="915"/>
      <c r="Q22" s="915"/>
      <c r="R22" s="915"/>
      <c r="S22" s="915"/>
      <c r="T22" s="915"/>
      <c r="U22" s="915"/>
      <c r="V22" s="915"/>
      <c r="W22" s="915"/>
      <c r="X22" s="915"/>
      <c r="Y22" s="807"/>
      <c r="Z22" s="844"/>
      <c r="AA22" s="844"/>
      <c r="AB22" s="844"/>
      <c r="AC22" s="844"/>
      <c r="AD22" s="856"/>
    </row>
    <row r="23" spans="1:30">
      <c r="C23" s="13" t="s">
        <v>584</v>
      </c>
      <c r="D23" s="181" t="s">
        <v>53</v>
      </c>
      <c r="E23" s="169">
        <v>380581</v>
      </c>
      <c r="F23" s="169">
        <v>198667</v>
      </c>
      <c r="G23" s="169">
        <v>316510</v>
      </c>
      <c r="H23" s="429">
        <v>270535</v>
      </c>
      <c r="I23" s="429">
        <v>189403</v>
      </c>
      <c r="J23" s="429">
        <v>181730</v>
      </c>
      <c r="K23" s="429">
        <v>395860</v>
      </c>
      <c r="L23" s="807">
        <v>276178</v>
      </c>
      <c r="M23" s="807">
        <v>111203</v>
      </c>
      <c r="N23" s="807">
        <v>344003</v>
      </c>
      <c r="O23" s="807">
        <v>1181273</v>
      </c>
      <c r="P23" s="915">
        <f>'2c. Cash Flow Statement'!P67</f>
        <v>32287.460651942762</v>
      </c>
      <c r="Q23" s="915">
        <f>'2c. Cash Flow Statement'!Q67</f>
        <v>117254.31517094703</v>
      </c>
      <c r="R23" s="915">
        <f>'2c. Cash Flow Statement'!R67</f>
        <v>152597.49118046032</v>
      </c>
      <c r="S23" s="915">
        <f>'2c. Cash Flow Statement'!S67</f>
        <v>185016.0078049443</v>
      </c>
      <c r="T23" s="915">
        <f>'2c. Cash Flow Statement'!T67</f>
        <v>222839.83574783057</v>
      </c>
      <c r="U23" s="915">
        <f>'2c. Cash Flow Statement'!U67</f>
        <v>262300.39511219464</v>
      </c>
      <c r="V23" s="915">
        <f>'2c. Cash Flow Statement'!V67</f>
        <v>294989.15106452134</v>
      </c>
      <c r="W23" s="915">
        <f>'2c. Cash Flow Statement'!W67</f>
        <v>316248.31674776116</v>
      </c>
      <c r="X23" s="915">
        <f>'2c. Cash Flow Statement'!X67</f>
        <v>318204.56635945162</v>
      </c>
      <c r="Y23" s="915">
        <f>'2c. Cash Flow Statement'!Y67</f>
        <v>319234.32217642444</v>
      </c>
      <c r="Z23" s="915">
        <f>'2c. Cash Flow Statement'!Z67</f>
        <v>309323.94809926348</v>
      </c>
      <c r="AA23" s="915">
        <f>'2c. Cash Flow Statement'!AA67</f>
        <v>285145.08321044152</v>
      </c>
      <c r="AB23" s="915">
        <f>'2c. Cash Flow Statement'!AB67</f>
        <v>244227.72970076208</v>
      </c>
      <c r="AC23" s="915">
        <f>'2c. Cash Flow Statement'!AC67</f>
        <v>184147.44877778576</v>
      </c>
      <c r="AD23" s="916">
        <f>'2c. Cash Flow Statement'!AD67</f>
        <v>102157.41335812071</v>
      </c>
    </row>
    <row r="24" spans="1:30">
      <c r="C24" s="13"/>
      <c r="D24" s="181"/>
      <c r="E24" s="169"/>
      <c r="F24" s="169"/>
      <c r="G24" s="169"/>
      <c r="H24" s="429"/>
      <c r="I24" s="429"/>
      <c r="J24" s="429"/>
      <c r="K24" s="429"/>
      <c r="L24" s="807"/>
      <c r="M24" s="807"/>
      <c r="N24" s="807"/>
      <c r="O24" s="807"/>
      <c r="P24" s="915"/>
      <c r="Q24" s="915"/>
      <c r="R24" s="915"/>
      <c r="S24" s="915"/>
      <c r="T24" s="915"/>
      <c r="U24" s="915"/>
      <c r="V24" s="915"/>
      <c r="W24" s="915"/>
      <c r="X24" s="915"/>
      <c r="Y24" s="807"/>
      <c r="Z24" s="844"/>
      <c r="AA24" s="844"/>
      <c r="AB24" s="844"/>
      <c r="AC24" s="844"/>
      <c r="AD24" s="856"/>
    </row>
    <row r="25" spans="1:30" s="20" customFormat="1">
      <c r="A25" s="4"/>
      <c r="B25" s="4"/>
      <c r="C25" s="13" t="s">
        <v>584</v>
      </c>
      <c r="D25" s="726" t="s">
        <v>54</v>
      </c>
      <c r="E25" s="235"/>
      <c r="F25" s="235">
        <v>4950</v>
      </c>
      <c r="G25" s="235">
        <v>602</v>
      </c>
      <c r="H25" s="618"/>
      <c r="I25" s="618"/>
      <c r="J25" s="618"/>
      <c r="K25" s="618"/>
      <c r="L25" s="816"/>
      <c r="M25" s="816"/>
      <c r="N25" s="816"/>
      <c r="O25" s="816">
        <v>39478</v>
      </c>
      <c r="P25" s="913">
        <f>O25</f>
        <v>39478</v>
      </c>
      <c r="Q25" s="913">
        <f>P25</f>
        <v>39478</v>
      </c>
      <c r="R25" s="913">
        <f t="shared" ref="R25:AD25" si="15">Q25</f>
        <v>39478</v>
      </c>
      <c r="S25" s="913">
        <f t="shared" si="15"/>
        <v>39478</v>
      </c>
      <c r="T25" s="913">
        <f t="shared" si="15"/>
        <v>39478</v>
      </c>
      <c r="U25" s="913">
        <f t="shared" si="15"/>
        <v>39478</v>
      </c>
      <c r="V25" s="913">
        <f t="shared" si="15"/>
        <v>39478</v>
      </c>
      <c r="W25" s="913">
        <f t="shared" si="15"/>
        <v>39478</v>
      </c>
      <c r="X25" s="913">
        <f t="shared" si="15"/>
        <v>39478</v>
      </c>
      <c r="Y25" s="913">
        <f t="shared" si="15"/>
        <v>39478</v>
      </c>
      <c r="Z25" s="913">
        <f t="shared" si="15"/>
        <v>39478</v>
      </c>
      <c r="AA25" s="913">
        <f t="shared" si="15"/>
        <v>39478</v>
      </c>
      <c r="AB25" s="913">
        <f t="shared" si="15"/>
        <v>39478</v>
      </c>
      <c r="AC25" s="913">
        <f t="shared" si="15"/>
        <v>39478</v>
      </c>
      <c r="AD25" s="914">
        <f t="shared" si="15"/>
        <v>39478</v>
      </c>
    </row>
    <row r="26" spans="1:30" ht="16" thickBot="1">
      <c r="C26" s="13"/>
      <c r="D26" s="181"/>
      <c r="E26" s="169"/>
      <c r="F26" s="169"/>
      <c r="G26" s="169"/>
      <c r="H26" s="429"/>
      <c r="I26" s="429"/>
      <c r="J26" s="429"/>
      <c r="K26" s="429"/>
      <c r="L26" s="807"/>
      <c r="M26" s="807"/>
      <c r="N26" s="807"/>
      <c r="O26" s="807"/>
      <c r="P26" s="915"/>
      <c r="Q26" s="915"/>
      <c r="R26" s="915"/>
      <c r="S26" s="915"/>
      <c r="T26" s="915"/>
      <c r="U26" s="915"/>
      <c r="V26" s="915"/>
      <c r="W26" s="915"/>
      <c r="X26" s="915"/>
      <c r="Y26" s="807"/>
      <c r="Z26" s="844"/>
      <c r="AA26" s="844"/>
      <c r="AB26" s="844"/>
      <c r="AC26" s="844"/>
      <c r="AD26" s="856"/>
    </row>
    <row r="27" spans="1:30" s="20" customFormat="1" ht="16" thickBot="1">
      <c r="A27" s="4"/>
      <c r="B27" s="4"/>
      <c r="C27" s="14"/>
      <c r="D27" s="172" t="s">
        <v>55</v>
      </c>
      <c r="E27" s="293">
        <f t="shared" ref="E27:AD27" si="16">E6+E18+E25</f>
        <v>1477062</v>
      </c>
      <c r="F27" s="293">
        <f t="shared" si="16"/>
        <v>1337632</v>
      </c>
      <c r="G27" s="293">
        <f t="shared" si="16"/>
        <v>1502379</v>
      </c>
      <c r="H27" s="293">
        <f t="shared" si="16"/>
        <v>1555482</v>
      </c>
      <c r="I27" s="293">
        <f t="shared" si="16"/>
        <v>1722286</v>
      </c>
      <c r="J27" s="293">
        <f t="shared" si="16"/>
        <v>1843229</v>
      </c>
      <c r="K27" s="293">
        <f t="shared" si="16"/>
        <v>2022996</v>
      </c>
      <c r="L27" s="815">
        <f t="shared" si="16"/>
        <v>2568728</v>
      </c>
      <c r="M27" s="815">
        <f t="shared" si="16"/>
        <v>2833569</v>
      </c>
      <c r="N27" s="815">
        <f t="shared" si="16"/>
        <v>2975297</v>
      </c>
      <c r="O27" s="815">
        <f t="shared" si="16"/>
        <v>10513064</v>
      </c>
      <c r="P27" s="917">
        <f t="shared" si="16"/>
        <v>10372019.285754072</v>
      </c>
      <c r="Q27" s="917">
        <f t="shared" si="16"/>
        <v>10791422.919365417</v>
      </c>
      <c r="R27" s="917">
        <f t="shared" si="16"/>
        <v>11173568.228433967</v>
      </c>
      <c r="S27" s="917">
        <f t="shared" si="16"/>
        <v>11587405.835738946</v>
      </c>
      <c r="T27" s="917">
        <f t="shared" si="16"/>
        <v>12021491.123159748</v>
      </c>
      <c r="U27" s="917">
        <f t="shared" si="16"/>
        <v>12479644.072439127</v>
      </c>
      <c r="V27" s="917">
        <f t="shared" si="16"/>
        <v>12977156.491955049</v>
      </c>
      <c r="W27" s="917">
        <f t="shared" si="16"/>
        <v>13523409.271374665</v>
      </c>
      <c r="X27" s="917">
        <f t="shared" si="16"/>
        <v>14133223.862239365</v>
      </c>
      <c r="Y27" s="917">
        <f t="shared" si="16"/>
        <v>14781996.767816912</v>
      </c>
      <c r="Z27" s="917">
        <f t="shared" si="16"/>
        <v>15486197.126283107</v>
      </c>
      <c r="AA27" s="917">
        <f t="shared" si="16"/>
        <v>16253329.026234467</v>
      </c>
      <c r="AB27" s="917">
        <f t="shared" si="16"/>
        <v>17089960.155416805</v>
      </c>
      <c r="AC27" s="917">
        <f t="shared" si="16"/>
        <v>18002823.299534898</v>
      </c>
      <c r="AD27" s="918">
        <f t="shared" si="16"/>
        <v>18999332.101362754</v>
      </c>
    </row>
    <row r="28" spans="1:30">
      <c r="C28" s="13"/>
      <c r="D28" s="181"/>
      <c r="E28" s="169"/>
      <c r="F28" s="169"/>
      <c r="G28" s="169"/>
      <c r="H28" s="429"/>
      <c r="I28" s="429"/>
      <c r="J28" s="429"/>
      <c r="K28" s="429"/>
      <c r="L28" s="807"/>
      <c r="M28" s="807"/>
      <c r="N28" s="807"/>
      <c r="O28" s="807"/>
      <c r="P28" s="915"/>
      <c r="Q28" s="915"/>
      <c r="R28" s="915"/>
      <c r="S28" s="915"/>
      <c r="T28" s="915"/>
      <c r="U28" s="915"/>
      <c r="V28" s="915"/>
      <c r="W28" s="915"/>
      <c r="X28" s="915"/>
      <c r="Y28" s="807"/>
      <c r="Z28" s="844"/>
      <c r="AA28" s="844"/>
      <c r="AB28" s="844"/>
      <c r="AC28" s="844"/>
      <c r="AD28" s="856"/>
    </row>
    <row r="29" spans="1:30">
      <c r="C29" s="13"/>
      <c r="D29" s="181"/>
      <c r="E29" s="169"/>
      <c r="F29" s="169"/>
      <c r="G29" s="169"/>
      <c r="H29" s="429"/>
      <c r="I29" s="429"/>
      <c r="J29" s="429"/>
      <c r="K29" s="429"/>
      <c r="L29" s="807"/>
      <c r="M29" s="807"/>
      <c r="N29" s="807"/>
      <c r="O29" s="807"/>
      <c r="P29" s="915"/>
      <c r="Q29" s="915"/>
      <c r="R29" s="915"/>
      <c r="S29" s="915"/>
      <c r="T29" s="915"/>
      <c r="U29" s="915"/>
      <c r="V29" s="915"/>
      <c r="W29" s="915"/>
      <c r="X29" s="915"/>
      <c r="Y29" s="807"/>
      <c r="Z29" s="844"/>
      <c r="AA29" s="844"/>
      <c r="AB29" s="844"/>
      <c r="AC29" s="844"/>
      <c r="AD29" s="856"/>
    </row>
    <row r="30" spans="1:30" s="20" customFormat="1">
      <c r="A30" s="4"/>
      <c r="B30" s="4"/>
      <c r="C30" s="14"/>
      <c r="D30" s="726" t="s">
        <v>56</v>
      </c>
      <c r="E30" s="235"/>
      <c r="F30" s="235"/>
      <c r="G30" s="235"/>
      <c r="H30" s="618"/>
      <c r="I30" s="618"/>
      <c r="J30" s="618"/>
      <c r="K30" s="618"/>
      <c r="L30" s="816"/>
      <c r="M30" s="816"/>
      <c r="N30" s="816"/>
      <c r="O30" s="816"/>
      <c r="P30" s="913"/>
      <c r="Q30" s="913"/>
      <c r="R30" s="913"/>
      <c r="S30" s="913"/>
      <c r="T30" s="913"/>
      <c r="U30" s="913"/>
      <c r="V30" s="913"/>
      <c r="W30" s="913"/>
      <c r="X30" s="913"/>
      <c r="Y30" s="816"/>
      <c r="Z30" s="919"/>
      <c r="AA30" s="919"/>
      <c r="AB30" s="919"/>
      <c r="AC30" s="919"/>
      <c r="AD30" s="920"/>
    </row>
    <row r="31" spans="1:30" s="20" customFormat="1">
      <c r="A31" s="4"/>
      <c r="B31" s="4"/>
      <c r="C31" s="14"/>
      <c r="D31" s="726" t="s">
        <v>57</v>
      </c>
      <c r="E31" s="618">
        <f t="shared" ref="E31:G31" si="17">E39+E40</f>
        <v>916344</v>
      </c>
      <c r="F31" s="618">
        <f t="shared" si="17"/>
        <v>818830</v>
      </c>
      <c r="G31" s="618">
        <f t="shared" si="17"/>
        <v>905522</v>
      </c>
      <c r="H31" s="618">
        <f>H39+H40</f>
        <v>999558</v>
      </c>
      <c r="I31" s="618">
        <f t="shared" ref="I31:O31" si="18">I39+I40</f>
        <v>1125696</v>
      </c>
      <c r="J31" s="618">
        <f t="shared" si="18"/>
        <v>1246470</v>
      </c>
      <c r="K31" s="618">
        <f t="shared" si="18"/>
        <v>1399351</v>
      </c>
      <c r="L31" s="816">
        <f t="shared" si="18"/>
        <v>1633242</v>
      </c>
      <c r="M31" s="816">
        <f t="shared" si="18"/>
        <v>1789371</v>
      </c>
      <c r="N31" s="816">
        <f t="shared" si="18"/>
        <v>1746906</v>
      </c>
      <c r="O31" s="816">
        <f t="shared" si="18"/>
        <v>3564286</v>
      </c>
      <c r="P31" s="913">
        <f>'2d. Changes in Equity'!P20</f>
        <v>3805916.3998543033</v>
      </c>
      <c r="Q31" s="913">
        <f>'2d. Changes in Equity'!Q20</f>
        <v>4017885.9845904047</v>
      </c>
      <c r="R31" s="913">
        <f>'2d. Changes in Equity'!R20</f>
        <v>4187641.1692031054</v>
      </c>
      <c r="S31" s="913">
        <f>'2d. Changes in Equity'!S20</f>
        <v>4374002.3586965548</v>
      </c>
      <c r="T31" s="913">
        <f>'2d. Changes in Equity'!T20</f>
        <v>4577386.3269673232</v>
      </c>
      <c r="U31" s="913">
        <f>'2d. Changes in Equity'!U20</f>
        <v>4797633.4777537957</v>
      </c>
      <c r="V31" s="913">
        <f>'2d. Changes in Equity'!V20</f>
        <v>5036938.1174803842</v>
      </c>
      <c r="W31" s="913">
        <f>'2d. Changes in Equity'!W20</f>
        <v>5297399.9279286163</v>
      </c>
      <c r="X31" s="913">
        <f>'2d. Changes in Equity'!X20</f>
        <v>5581802.9182089576</v>
      </c>
      <c r="Y31" s="913">
        <f>'2d. Changes in Equity'!Y20</f>
        <v>5891353.7319049202</v>
      </c>
      <c r="Z31" s="913">
        <f>'2d. Changes in Equity'!Z20</f>
        <v>6228206.666138283</v>
      </c>
      <c r="AA31" s="913">
        <f>'2d. Changes in Equity'!AA20</f>
        <v>6594858.4232570808</v>
      </c>
      <c r="AB31" s="913">
        <f>'2d. Changes in Equity'!AB20</f>
        <v>6994090.6421846431</v>
      </c>
      <c r="AC31" s="913">
        <f>'2d. Changes in Equity'!AC20</f>
        <v>7428967.2302704658</v>
      </c>
      <c r="AD31" s="914">
        <f>'2d. Changes in Equity'!AD20</f>
        <v>7902858.6685371269</v>
      </c>
    </row>
    <row r="32" spans="1:30">
      <c r="C32" s="13" t="s">
        <v>585</v>
      </c>
      <c r="D32" s="181" t="s">
        <v>267</v>
      </c>
      <c r="E32" s="169">
        <v>55480</v>
      </c>
      <c r="F32" s="169">
        <v>101</v>
      </c>
      <c r="G32" s="169">
        <v>4267</v>
      </c>
      <c r="H32" s="429">
        <v>2370</v>
      </c>
      <c r="I32" s="429">
        <v>16536</v>
      </c>
      <c r="J32" s="429">
        <v>23129</v>
      </c>
      <c r="K32" s="429">
        <v>26293</v>
      </c>
      <c r="L32" s="807">
        <v>30692</v>
      </c>
      <c r="M32" s="807">
        <v>33770</v>
      </c>
      <c r="N32" s="807">
        <v>35245</v>
      </c>
      <c r="O32" s="807">
        <v>1187399</v>
      </c>
      <c r="P32" s="915"/>
      <c r="Q32" s="915"/>
      <c r="R32" s="915"/>
      <c r="S32" s="915"/>
      <c r="T32" s="915"/>
      <c r="U32" s="915"/>
      <c r="V32" s="915"/>
      <c r="W32" s="915"/>
      <c r="X32" s="915"/>
      <c r="Y32" s="807"/>
      <c r="Z32" s="844"/>
      <c r="AA32" s="844"/>
      <c r="AB32" s="844"/>
      <c r="AC32" s="844"/>
      <c r="AD32" s="856"/>
    </row>
    <row r="33" spans="1:31">
      <c r="C33" s="13"/>
      <c r="D33" s="181" t="s">
        <v>58</v>
      </c>
      <c r="E33" s="169">
        <v>3878</v>
      </c>
      <c r="F33" s="169">
        <v>23018</v>
      </c>
      <c r="G33" s="169">
        <v>25350</v>
      </c>
      <c r="H33" s="429">
        <v>22376</v>
      </c>
      <c r="I33" s="429">
        <v>-2518</v>
      </c>
      <c r="J33" s="429">
        <v>-6059</v>
      </c>
      <c r="K33" s="429">
        <v>-2547</v>
      </c>
      <c r="L33" s="807">
        <v>-720</v>
      </c>
      <c r="M33" s="807">
        <v>5503</v>
      </c>
      <c r="N33" s="807">
        <v>11708</v>
      </c>
      <c r="O33" s="807">
        <v>444040</v>
      </c>
      <c r="P33" s="915"/>
      <c r="Q33" s="915"/>
      <c r="R33" s="915"/>
      <c r="S33" s="915"/>
      <c r="T33" s="915"/>
      <c r="U33" s="915"/>
      <c r="V33" s="915"/>
      <c r="W33" s="915"/>
      <c r="X33" s="915"/>
      <c r="Y33" s="807"/>
      <c r="Z33" s="844"/>
      <c r="AA33" s="844"/>
      <c r="AB33" s="844"/>
      <c r="AC33" s="844"/>
      <c r="AD33" s="856"/>
    </row>
    <row r="34" spans="1:31">
      <c r="C34" s="13"/>
      <c r="D34" s="181" t="s">
        <v>59</v>
      </c>
      <c r="E34" s="169">
        <v>90</v>
      </c>
      <c r="F34" s="169">
        <v>90</v>
      </c>
      <c r="G34" s="169">
        <v>130</v>
      </c>
      <c r="H34" s="429">
        <v>130</v>
      </c>
      <c r="I34" s="429">
        <v>130</v>
      </c>
      <c r="J34" s="429">
        <v>130</v>
      </c>
      <c r="K34" s="429">
        <v>130</v>
      </c>
      <c r="L34" s="807">
        <v>130</v>
      </c>
      <c r="M34" s="807">
        <v>130</v>
      </c>
      <c r="N34" s="807">
        <v>130</v>
      </c>
      <c r="O34" s="807">
        <v>130</v>
      </c>
      <c r="P34" s="915"/>
      <c r="Q34" s="915"/>
      <c r="R34" s="915"/>
      <c r="S34" s="915"/>
      <c r="T34" s="915"/>
      <c r="U34" s="915"/>
      <c r="V34" s="915"/>
      <c r="W34" s="915"/>
      <c r="X34" s="915"/>
      <c r="Y34" s="807"/>
      <c r="Z34" s="844"/>
      <c r="AA34" s="844"/>
      <c r="AB34" s="844"/>
      <c r="AC34" s="844"/>
      <c r="AD34" s="856"/>
    </row>
    <row r="35" spans="1:31">
      <c r="C35" s="13" t="s">
        <v>586</v>
      </c>
      <c r="D35" s="181" t="s">
        <v>60</v>
      </c>
      <c r="E35" s="169"/>
      <c r="F35" s="169"/>
      <c r="G35" s="169"/>
      <c r="H35" s="429"/>
      <c r="I35" s="429">
        <v>-7856</v>
      </c>
      <c r="J35" s="429">
        <v>-7931</v>
      </c>
      <c r="K35" s="429">
        <v>1922</v>
      </c>
      <c r="L35" s="807">
        <v>401</v>
      </c>
      <c r="M35" s="807">
        <v>9188</v>
      </c>
      <c r="N35" s="807">
        <v>1842</v>
      </c>
      <c r="O35" s="807">
        <v>25353</v>
      </c>
      <c r="P35" s="915"/>
      <c r="Q35" s="915"/>
      <c r="R35" s="915"/>
      <c r="S35" s="915"/>
      <c r="T35" s="915"/>
      <c r="U35" s="915"/>
      <c r="V35" s="915"/>
      <c r="W35" s="915"/>
      <c r="X35" s="915"/>
      <c r="Y35" s="807"/>
      <c r="Z35" s="844"/>
      <c r="AA35" s="844"/>
      <c r="AB35" s="844"/>
      <c r="AC35" s="844"/>
      <c r="AD35" s="856"/>
    </row>
    <row r="36" spans="1:31">
      <c r="C36" s="13" t="s">
        <v>586</v>
      </c>
      <c r="D36" s="181" t="s">
        <v>61</v>
      </c>
      <c r="E36" s="169"/>
      <c r="F36" s="169"/>
      <c r="G36" s="169"/>
      <c r="H36" s="429"/>
      <c r="I36" s="429"/>
      <c r="J36" s="429"/>
      <c r="K36" s="429"/>
      <c r="L36" s="807"/>
      <c r="M36" s="807"/>
      <c r="N36" s="807"/>
      <c r="O36" s="807">
        <v>-1757</v>
      </c>
      <c r="P36" s="915"/>
      <c r="Q36" s="915"/>
      <c r="R36" s="915"/>
      <c r="S36" s="915"/>
      <c r="T36" s="915"/>
      <c r="U36" s="915"/>
      <c r="V36" s="915"/>
      <c r="W36" s="915"/>
      <c r="X36" s="915"/>
      <c r="Y36" s="807"/>
      <c r="Z36" s="844"/>
      <c r="AA36" s="844"/>
      <c r="AB36" s="844"/>
      <c r="AC36" s="844"/>
      <c r="AD36" s="856"/>
    </row>
    <row r="37" spans="1:31">
      <c r="C37" s="13"/>
      <c r="D37" s="181" t="s">
        <v>62</v>
      </c>
      <c r="E37" s="169">
        <v>8619</v>
      </c>
      <c r="F37" s="169">
        <v>11232</v>
      </c>
      <c r="G37" s="169">
        <v>16818</v>
      </c>
      <c r="H37" s="429">
        <v>24616</v>
      </c>
      <c r="I37" s="429">
        <v>32015</v>
      </c>
      <c r="J37" s="429">
        <v>40058</v>
      </c>
      <c r="K37" s="429">
        <v>49599</v>
      </c>
      <c r="L37" s="807">
        <v>57144</v>
      </c>
      <c r="M37" s="807">
        <v>59337</v>
      </c>
      <c r="N37" s="807">
        <v>65202</v>
      </c>
      <c r="O37" s="807">
        <v>73111</v>
      </c>
      <c r="P37" s="915"/>
      <c r="Q37" s="915"/>
      <c r="R37" s="915"/>
      <c r="S37" s="915"/>
      <c r="T37" s="915"/>
      <c r="U37" s="915"/>
      <c r="V37" s="915"/>
      <c r="W37" s="915"/>
      <c r="X37" s="915"/>
      <c r="Y37" s="807"/>
      <c r="Z37" s="844"/>
      <c r="AA37" s="844"/>
      <c r="AB37" s="844"/>
      <c r="AC37" s="844"/>
      <c r="AD37" s="856"/>
      <c r="AE37" s="59"/>
    </row>
    <row r="38" spans="1:31">
      <c r="C38" s="13"/>
      <c r="D38" s="181" t="s">
        <v>63</v>
      </c>
      <c r="E38" s="169">
        <v>827318</v>
      </c>
      <c r="F38" s="169">
        <v>760569</v>
      </c>
      <c r="G38" s="169">
        <v>824938</v>
      </c>
      <c r="H38" s="429">
        <v>920434</v>
      </c>
      <c r="I38" s="429">
        <v>1053395</v>
      </c>
      <c r="J38" s="429">
        <v>1162803</v>
      </c>
      <c r="K38" s="429">
        <v>1283031</v>
      </c>
      <c r="L38" s="807">
        <v>1496893</v>
      </c>
      <c r="M38" s="807">
        <v>1620682</v>
      </c>
      <c r="N38" s="807">
        <v>1563243</v>
      </c>
      <c r="O38" s="807">
        <v>1755638</v>
      </c>
      <c r="P38" s="915"/>
      <c r="Q38" s="915"/>
      <c r="R38" s="915"/>
      <c r="S38" s="915"/>
      <c r="T38" s="915"/>
      <c r="U38" s="915"/>
      <c r="V38" s="915"/>
      <c r="W38" s="915"/>
      <c r="X38" s="915"/>
      <c r="Y38" s="807"/>
      <c r="Z38" s="844"/>
      <c r="AA38" s="844"/>
      <c r="AB38" s="844"/>
      <c r="AC38" s="844"/>
      <c r="AD38" s="856"/>
    </row>
    <row r="39" spans="1:31">
      <c r="C39" s="13"/>
      <c r="D39" s="181" t="s">
        <v>64</v>
      </c>
      <c r="E39" s="429">
        <f>SUM(E32:E38)</f>
        <v>895385</v>
      </c>
      <c r="F39" s="429">
        <f t="shared" ref="F39:G39" si="19">SUM(F32:F38)</f>
        <v>795010</v>
      </c>
      <c r="G39" s="429">
        <f t="shared" si="19"/>
        <v>871503</v>
      </c>
      <c r="H39" s="429">
        <f>SUM(H32:H38)</f>
        <v>969926</v>
      </c>
      <c r="I39" s="429">
        <f t="shared" ref="I39:O39" si="20">SUM(I32:I38)</f>
        <v>1091702</v>
      </c>
      <c r="J39" s="429">
        <f t="shared" si="20"/>
        <v>1212130</v>
      </c>
      <c r="K39" s="429">
        <f t="shared" si="20"/>
        <v>1358428</v>
      </c>
      <c r="L39" s="807">
        <f t="shared" si="20"/>
        <v>1584540</v>
      </c>
      <c r="M39" s="807">
        <f t="shared" si="20"/>
        <v>1728610</v>
      </c>
      <c r="N39" s="807">
        <f t="shared" si="20"/>
        <v>1677370</v>
      </c>
      <c r="O39" s="807">
        <f t="shared" si="20"/>
        <v>3483914</v>
      </c>
      <c r="P39" s="1827">
        <f>(P31/O31)*O39</f>
        <v>3720095.8139391746</v>
      </c>
      <c r="Q39" s="915">
        <f>(Q31/P31)*P39</f>
        <v>3927285.6420944603</v>
      </c>
      <c r="R39" s="915">
        <f t="shared" ref="R39:AD39" si="21">(R31/Q31)*Q39</f>
        <v>4093212.9734715647</v>
      </c>
      <c r="S39" s="915">
        <f t="shared" si="21"/>
        <v>4275371.856662442</v>
      </c>
      <c r="T39" s="915">
        <f t="shared" si="21"/>
        <v>4474169.667622081</v>
      </c>
      <c r="U39" s="915">
        <f t="shared" si="21"/>
        <v>4689450.408865938</v>
      </c>
      <c r="V39" s="915">
        <f t="shared" si="21"/>
        <v>4923358.9068395626</v>
      </c>
      <c r="W39" s="915">
        <f t="shared" si="21"/>
        <v>5177947.4970609816</v>
      </c>
      <c r="X39" s="915">
        <f t="shared" si="21"/>
        <v>5455937.4113045484</v>
      </c>
      <c r="Y39" s="915">
        <f t="shared" si="21"/>
        <v>5758508.0842378531</v>
      </c>
      <c r="Z39" s="915">
        <f t="shared" si="21"/>
        <v>6087765.2351838462</v>
      </c>
      <c r="AA39" s="915">
        <f t="shared" si="21"/>
        <v>6446149.2677083919</v>
      </c>
      <c r="AB39" s="915">
        <f t="shared" si="21"/>
        <v>6836379.096844662</v>
      </c>
      <c r="AC39" s="915">
        <f t="shared" si="21"/>
        <v>7261449.5411087954</v>
      </c>
      <c r="AD39" s="916">
        <f t="shared" si="21"/>
        <v>7724655.0796815576</v>
      </c>
    </row>
    <row r="40" spans="1:31">
      <c r="C40" s="13"/>
      <c r="D40" s="181" t="s">
        <v>65</v>
      </c>
      <c r="E40" s="169">
        <v>20959</v>
      </c>
      <c r="F40" s="169">
        <v>23820</v>
      </c>
      <c r="G40" s="169">
        <v>34019</v>
      </c>
      <c r="H40" s="429">
        <v>29632</v>
      </c>
      <c r="I40" s="429">
        <v>33994</v>
      </c>
      <c r="J40" s="429">
        <v>34340</v>
      </c>
      <c r="K40" s="429">
        <v>40923</v>
      </c>
      <c r="L40" s="807">
        <v>48702</v>
      </c>
      <c r="M40" s="807">
        <v>60761</v>
      </c>
      <c r="N40" s="807">
        <v>69536</v>
      </c>
      <c r="O40" s="807">
        <v>80372</v>
      </c>
      <c r="P40" s="915">
        <f>P31-P39</f>
        <v>85820.5859151287</v>
      </c>
      <c r="Q40" s="915">
        <f>Q31-Q39</f>
        <v>90600.342495944351</v>
      </c>
      <c r="R40" s="915">
        <f t="shared" ref="R40:AD40" si="22">R31-R39</f>
        <v>94428.195731540676</v>
      </c>
      <c r="S40" s="915">
        <f t="shared" si="22"/>
        <v>98630.502034112811</v>
      </c>
      <c r="T40" s="915">
        <f t="shared" si="22"/>
        <v>103216.65934524219</v>
      </c>
      <c r="U40" s="915">
        <f t="shared" si="22"/>
        <v>108183.06888785772</v>
      </c>
      <c r="V40" s="915">
        <f t="shared" si="22"/>
        <v>113579.21064082161</v>
      </c>
      <c r="W40" s="915">
        <f t="shared" si="22"/>
        <v>119452.43086763471</v>
      </c>
      <c r="X40" s="915">
        <f t="shared" si="22"/>
        <v>125865.50690440927</v>
      </c>
      <c r="Y40" s="915">
        <f t="shared" si="22"/>
        <v>132845.64766706713</v>
      </c>
      <c r="Z40" s="915">
        <f t="shared" si="22"/>
        <v>140441.43095443677</v>
      </c>
      <c r="AA40" s="915">
        <f t="shared" si="22"/>
        <v>148709.15554868896</v>
      </c>
      <c r="AB40" s="915">
        <f t="shared" si="22"/>
        <v>157711.54533998109</v>
      </c>
      <c r="AC40" s="915">
        <f t="shared" si="22"/>
        <v>167517.68916167039</v>
      </c>
      <c r="AD40" s="916">
        <f t="shared" si="22"/>
        <v>178203.58885556925</v>
      </c>
    </row>
    <row r="41" spans="1:31">
      <c r="C41" s="13"/>
      <c r="D41" s="181"/>
      <c r="E41" s="169"/>
      <c r="F41" s="169"/>
      <c r="G41" s="169"/>
      <c r="H41" s="429"/>
      <c r="I41" s="429"/>
      <c r="J41" s="429"/>
      <c r="K41" s="429"/>
      <c r="L41" s="807"/>
      <c r="M41" s="807"/>
      <c r="N41" s="807"/>
      <c r="O41" s="807"/>
      <c r="P41" s="915"/>
      <c r="Q41" s="915"/>
      <c r="R41" s="915"/>
      <c r="S41" s="915"/>
      <c r="T41" s="915"/>
      <c r="U41" s="915"/>
      <c r="V41" s="915"/>
      <c r="W41" s="915"/>
      <c r="X41" s="915"/>
      <c r="Y41" s="807"/>
      <c r="Z41" s="844"/>
      <c r="AA41" s="844"/>
      <c r="AB41" s="844"/>
      <c r="AC41" s="844"/>
      <c r="AD41" s="856"/>
    </row>
    <row r="42" spans="1:31" s="20" customFormat="1">
      <c r="A42" s="4"/>
      <c r="B42" s="4"/>
      <c r="C42" s="14"/>
      <c r="D42" s="726" t="s">
        <v>66</v>
      </c>
      <c r="E42" s="618">
        <f t="shared" ref="E42:G42" si="23">SUM(E43:E46)</f>
        <v>25502</v>
      </c>
      <c r="F42" s="618">
        <f t="shared" si="23"/>
        <v>30961</v>
      </c>
      <c r="G42" s="618">
        <f t="shared" si="23"/>
        <v>39584</v>
      </c>
      <c r="H42" s="618">
        <f>SUM(H43:H46)</f>
        <v>59690</v>
      </c>
      <c r="I42" s="618">
        <f>SUM(I43:I46)</f>
        <v>76291</v>
      </c>
      <c r="J42" s="618">
        <f t="shared" ref="J42:AD42" si="24">SUM(J43:J46)</f>
        <v>89841</v>
      </c>
      <c r="K42" s="618">
        <f>SUM(K43:K46)</f>
        <v>95363</v>
      </c>
      <c r="L42" s="816">
        <f t="shared" si="24"/>
        <v>139270</v>
      </c>
      <c r="M42" s="816">
        <f t="shared" si="24"/>
        <v>180577</v>
      </c>
      <c r="N42" s="816">
        <f t="shared" si="24"/>
        <v>439403</v>
      </c>
      <c r="O42" s="816">
        <f t="shared" si="24"/>
        <v>5000698</v>
      </c>
      <c r="P42" s="913">
        <f t="shared" si="24"/>
        <v>4015842.2</v>
      </c>
      <c r="Q42" s="913">
        <f t="shared" si="24"/>
        <v>4015842.2</v>
      </c>
      <c r="R42" s="913">
        <f t="shared" si="24"/>
        <v>4015842.2</v>
      </c>
      <c r="S42" s="913">
        <f t="shared" si="24"/>
        <v>4015842.2</v>
      </c>
      <c r="T42" s="913">
        <f t="shared" si="24"/>
        <v>4015842.2</v>
      </c>
      <c r="U42" s="913">
        <f t="shared" si="24"/>
        <v>4015842.2</v>
      </c>
      <c r="V42" s="913">
        <f t="shared" si="24"/>
        <v>4015842.2</v>
      </c>
      <c r="W42" s="913">
        <f t="shared" si="24"/>
        <v>4015842.2</v>
      </c>
      <c r="X42" s="913">
        <f t="shared" si="24"/>
        <v>4015842.2</v>
      </c>
      <c r="Y42" s="913">
        <f t="shared" si="24"/>
        <v>4015842.2</v>
      </c>
      <c r="Z42" s="913">
        <f t="shared" si="24"/>
        <v>4015842.2</v>
      </c>
      <c r="AA42" s="913">
        <f t="shared" si="24"/>
        <v>4015842.2</v>
      </c>
      <c r="AB42" s="913">
        <f t="shared" si="24"/>
        <v>4015842.2</v>
      </c>
      <c r="AC42" s="913">
        <f t="shared" si="24"/>
        <v>4015842.2</v>
      </c>
      <c r="AD42" s="914">
        <f t="shared" si="24"/>
        <v>4015842.2</v>
      </c>
    </row>
    <row r="43" spans="1:31">
      <c r="C43" s="13" t="s">
        <v>592</v>
      </c>
      <c r="D43" s="181" t="s">
        <v>67</v>
      </c>
      <c r="E43" s="169"/>
      <c r="F43" s="169">
        <v>1087</v>
      </c>
      <c r="G43" s="169">
        <v>6999</v>
      </c>
      <c r="H43" s="429">
        <v>14957</v>
      </c>
      <c r="I43" s="429">
        <v>26462</v>
      </c>
      <c r="J43" s="429">
        <v>42941</v>
      </c>
      <c r="K43" s="429">
        <v>53694</v>
      </c>
      <c r="L43" s="807">
        <v>97427</v>
      </c>
      <c r="M43" s="807">
        <v>143891</v>
      </c>
      <c r="N43" s="807">
        <v>81188</v>
      </c>
      <c r="O43" s="807">
        <v>86147</v>
      </c>
      <c r="P43" s="915">
        <f t="shared" ref="P43:Q46" si="25">O43</f>
        <v>86147</v>
      </c>
      <c r="Q43" s="915">
        <f t="shared" si="25"/>
        <v>86147</v>
      </c>
      <c r="R43" s="915">
        <f t="shared" ref="R43:AD43" si="26">Q43</f>
        <v>86147</v>
      </c>
      <c r="S43" s="915">
        <f t="shared" si="26"/>
        <v>86147</v>
      </c>
      <c r="T43" s="915">
        <f t="shared" si="26"/>
        <v>86147</v>
      </c>
      <c r="U43" s="915">
        <f t="shared" si="26"/>
        <v>86147</v>
      </c>
      <c r="V43" s="915">
        <f t="shared" si="26"/>
        <v>86147</v>
      </c>
      <c r="W43" s="915">
        <f t="shared" si="26"/>
        <v>86147</v>
      </c>
      <c r="X43" s="915">
        <f t="shared" si="26"/>
        <v>86147</v>
      </c>
      <c r="Y43" s="915">
        <f t="shared" si="26"/>
        <v>86147</v>
      </c>
      <c r="Z43" s="915">
        <f t="shared" si="26"/>
        <v>86147</v>
      </c>
      <c r="AA43" s="915">
        <f t="shared" si="26"/>
        <v>86147</v>
      </c>
      <c r="AB43" s="915">
        <f t="shared" si="26"/>
        <v>86147</v>
      </c>
      <c r="AC43" s="915">
        <f t="shared" si="26"/>
        <v>86147</v>
      </c>
      <c r="AD43" s="916">
        <f t="shared" si="26"/>
        <v>86147</v>
      </c>
    </row>
    <row r="44" spans="1:31">
      <c r="C44" s="13" t="s">
        <v>591</v>
      </c>
      <c r="D44" s="181" t="s">
        <v>68</v>
      </c>
      <c r="E44" s="169"/>
      <c r="F44" s="169"/>
      <c r="G44" s="169"/>
      <c r="H44" s="429"/>
      <c r="I44" s="169"/>
      <c r="J44" s="429"/>
      <c r="K44" s="137"/>
      <c r="L44" s="807"/>
      <c r="M44" s="807"/>
      <c r="N44" s="807">
        <v>300000</v>
      </c>
      <c r="O44" s="807">
        <v>4374483</v>
      </c>
      <c r="P44" s="915">
        <f>'2e. Notes to the New Fin Stat'!P78</f>
        <v>3389627.2</v>
      </c>
      <c r="Q44" s="915">
        <f>'2e. Notes to the New Fin Stat'!Q78</f>
        <v>3389627.2</v>
      </c>
      <c r="R44" s="915">
        <f>'2e. Notes to the New Fin Stat'!R78</f>
        <v>3389627.2</v>
      </c>
      <c r="S44" s="915">
        <f>'2e. Notes to the New Fin Stat'!S78</f>
        <v>3389627.2</v>
      </c>
      <c r="T44" s="915">
        <f>'2e. Notes to the New Fin Stat'!T78</f>
        <v>3389627.2</v>
      </c>
      <c r="U44" s="915">
        <f>'2e. Notes to the New Fin Stat'!U78</f>
        <v>3389627.2</v>
      </c>
      <c r="V44" s="915">
        <f>'2e. Notes to the New Fin Stat'!V78</f>
        <v>3389627.2</v>
      </c>
      <c r="W44" s="915">
        <f>'2e. Notes to the New Fin Stat'!W78</f>
        <v>3389627.2</v>
      </c>
      <c r="X44" s="915">
        <f>'2e. Notes to the New Fin Stat'!X78</f>
        <v>3389627.2</v>
      </c>
      <c r="Y44" s="915">
        <f>'2e. Notes to the New Fin Stat'!Y78</f>
        <v>3389627.2</v>
      </c>
      <c r="Z44" s="915">
        <f>'2e. Notes to the New Fin Stat'!Z78</f>
        <v>3389627.2</v>
      </c>
      <c r="AA44" s="915">
        <f>'2e. Notes to the New Fin Stat'!AA78</f>
        <v>3389627.2</v>
      </c>
      <c r="AB44" s="915">
        <f>'2e. Notes to the New Fin Stat'!AB78</f>
        <v>3389627.2</v>
      </c>
      <c r="AC44" s="915">
        <f>'2e. Notes to the New Fin Stat'!AC78</f>
        <v>3389627.2</v>
      </c>
      <c r="AD44" s="916">
        <f>'2e. Notes to the New Fin Stat'!AD78</f>
        <v>3389627.2</v>
      </c>
    </row>
    <row r="45" spans="1:31">
      <c r="C45" s="13" t="s">
        <v>582</v>
      </c>
      <c r="D45" s="181" t="s">
        <v>69</v>
      </c>
      <c r="E45" s="169"/>
      <c r="F45" s="169"/>
      <c r="G45" s="169"/>
      <c r="H45" s="429"/>
      <c r="I45" s="429"/>
      <c r="J45" s="429"/>
      <c r="K45" s="429"/>
      <c r="L45" s="807"/>
      <c r="M45" s="807"/>
      <c r="N45" s="807"/>
      <c r="O45" s="807">
        <v>209963</v>
      </c>
      <c r="P45" s="915">
        <f t="shared" si="25"/>
        <v>209963</v>
      </c>
      <c r="Q45" s="915">
        <f t="shared" si="25"/>
        <v>209963</v>
      </c>
      <c r="R45" s="915">
        <f t="shared" ref="R45:AD45" si="27">Q45</f>
        <v>209963</v>
      </c>
      <c r="S45" s="915">
        <f t="shared" si="27"/>
        <v>209963</v>
      </c>
      <c r="T45" s="915">
        <f t="shared" si="27"/>
        <v>209963</v>
      </c>
      <c r="U45" s="915">
        <f t="shared" si="27"/>
        <v>209963</v>
      </c>
      <c r="V45" s="915">
        <f t="shared" si="27"/>
        <v>209963</v>
      </c>
      <c r="W45" s="915">
        <f t="shared" si="27"/>
        <v>209963</v>
      </c>
      <c r="X45" s="915">
        <f t="shared" si="27"/>
        <v>209963</v>
      </c>
      <c r="Y45" s="915">
        <f t="shared" si="27"/>
        <v>209963</v>
      </c>
      <c r="Z45" s="915">
        <f t="shared" si="27"/>
        <v>209963</v>
      </c>
      <c r="AA45" s="915">
        <f t="shared" si="27"/>
        <v>209963</v>
      </c>
      <c r="AB45" s="915">
        <f t="shared" si="27"/>
        <v>209963</v>
      </c>
      <c r="AC45" s="915">
        <f t="shared" si="27"/>
        <v>209963</v>
      </c>
      <c r="AD45" s="916">
        <f t="shared" si="27"/>
        <v>209963</v>
      </c>
    </row>
    <row r="46" spans="1:31">
      <c r="C46" s="13" t="s">
        <v>589</v>
      </c>
      <c r="D46" s="181" t="s">
        <v>70</v>
      </c>
      <c r="E46" s="169">
        <v>25502</v>
      </c>
      <c r="F46" s="169">
        <v>29874</v>
      </c>
      <c r="G46" s="169">
        <v>32585</v>
      </c>
      <c r="H46" s="429">
        <v>44733</v>
      </c>
      <c r="I46" s="429">
        <v>49829</v>
      </c>
      <c r="J46" s="429">
        <v>46900</v>
      </c>
      <c r="K46" s="429">
        <v>41669</v>
      </c>
      <c r="L46" s="807">
        <v>41843</v>
      </c>
      <c r="M46" s="807">
        <v>36686</v>
      </c>
      <c r="N46" s="807">
        <v>58215</v>
      </c>
      <c r="O46" s="807">
        <v>330105</v>
      </c>
      <c r="P46" s="915">
        <f t="shared" si="25"/>
        <v>330105</v>
      </c>
      <c r="Q46" s="915">
        <f t="shared" si="25"/>
        <v>330105</v>
      </c>
      <c r="R46" s="915">
        <f t="shared" ref="R46:AD46" si="28">Q46</f>
        <v>330105</v>
      </c>
      <c r="S46" s="915">
        <f t="shared" si="28"/>
        <v>330105</v>
      </c>
      <c r="T46" s="915">
        <f t="shared" si="28"/>
        <v>330105</v>
      </c>
      <c r="U46" s="915">
        <f t="shared" si="28"/>
        <v>330105</v>
      </c>
      <c r="V46" s="915">
        <f t="shared" si="28"/>
        <v>330105</v>
      </c>
      <c r="W46" s="915">
        <f t="shared" si="28"/>
        <v>330105</v>
      </c>
      <c r="X46" s="915">
        <f t="shared" si="28"/>
        <v>330105</v>
      </c>
      <c r="Y46" s="915">
        <f t="shared" si="28"/>
        <v>330105</v>
      </c>
      <c r="Z46" s="915">
        <f t="shared" si="28"/>
        <v>330105</v>
      </c>
      <c r="AA46" s="915">
        <f t="shared" si="28"/>
        <v>330105</v>
      </c>
      <c r="AB46" s="915">
        <f t="shared" si="28"/>
        <v>330105</v>
      </c>
      <c r="AC46" s="915">
        <f t="shared" si="28"/>
        <v>330105</v>
      </c>
      <c r="AD46" s="916">
        <f t="shared" si="28"/>
        <v>330105</v>
      </c>
    </row>
    <row r="47" spans="1:31">
      <c r="C47" s="13"/>
      <c r="D47" s="181"/>
      <c r="E47" s="169"/>
      <c r="F47" s="169"/>
      <c r="G47" s="169"/>
      <c r="H47" s="429"/>
      <c r="I47" s="429"/>
      <c r="J47" s="429"/>
      <c r="K47" s="429"/>
      <c r="L47" s="807"/>
      <c r="M47" s="807"/>
      <c r="N47" s="807"/>
      <c r="O47" s="807"/>
      <c r="P47" s="915"/>
      <c r="Q47" s="915"/>
      <c r="R47" s="915"/>
      <c r="S47" s="915"/>
      <c r="T47" s="915"/>
      <c r="U47" s="915"/>
      <c r="V47" s="915"/>
      <c r="W47" s="915"/>
      <c r="X47" s="915"/>
      <c r="Y47" s="807"/>
      <c r="Z47" s="844"/>
      <c r="AA47" s="844"/>
      <c r="AB47" s="844"/>
      <c r="AC47" s="844"/>
      <c r="AD47" s="856"/>
    </row>
    <row r="48" spans="1:31" s="20" customFormat="1">
      <c r="A48" s="4"/>
      <c r="B48" s="4"/>
      <c r="C48" s="14"/>
      <c r="D48" s="726" t="s">
        <v>71</v>
      </c>
      <c r="E48" s="618">
        <v>535216</v>
      </c>
      <c r="F48" s="618">
        <f t="shared" ref="F48:G48" si="29">SUM(F49:F53)</f>
        <v>487841</v>
      </c>
      <c r="G48" s="618">
        <f t="shared" si="29"/>
        <v>557273</v>
      </c>
      <c r="H48" s="618">
        <f>SUM(H49:H53)</f>
        <v>496234</v>
      </c>
      <c r="I48" s="618">
        <f t="shared" ref="I48:Q48" si="30">SUM(I49:I53)</f>
        <v>520299</v>
      </c>
      <c r="J48" s="618">
        <f t="shared" si="30"/>
        <v>506918</v>
      </c>
      <c r="K48" s="618">
        <f t="shared" si="30"/>
        <v>528282</v>
      </c>
      <c r="L48" s="816">
        <f t="shared" si="30"/>
        <v>796216</v>
      </c>
      <c r="M48" s="816">
        <f t="shared" si="30"/>
        <v>863621</v>
      </c>
      <c r="N48" s="816">
        <f t="shared" si="30"/>
        <v>788988</v>
      </c>
      <c r="O48" s="816">
        <f t="shared" si="30"/>
        <v>1948080</v>
      </c>
      <c r="P48" s="913">
        <f t="shared" si="30"/>
        <v>2550260.685899768</v>
      </c>
      <c r="Q48" s="913">
        <f t="shared" si="30"/>
        <v>2757694.7347750124</v>
      </c>
      <c r="R48" s="913">
        <f t="shared" ref="R48:AD48" si="31">SUM(R49:R53)</f>
        <v>2970084.8592308597</v>
      </c>
      <c r="S48" s="913">
        <f t="shared" si="31"/>
        <v>3197561.2770423903</v>
      </c>
      <c r="T48" s="913">
        <f t="shared" si="31"/>
        <v>3428262.5961924237</v>
      </c>
      <c r="U48" s="913">
        <f t="shared" si="31"/>
        <v>3666168.3946853308</v>
      </c>
      <c r="V48" s="913">
        <f t="shared" si="31"/>
        <v>3924376.1744746645</v>
      </c>
      <c r="W48" s="913">
        <f t="shared" si="31"/>
        <v>4210167.1434460478</v>
      </c>
      <c r="X48" s="913">
        <f t="shared" si="31"/>
        <v>4535578.7440304067</v>
      </c>
      <c r="Y48" s="913">
        <f t="shared" si="31"/>
        <v>4874800.8359119901</v>
      </c>
      <c r="Z48" s="913">
        <f t="shared" si="31"/>
        <v>5242148.2601448232</v>
      </c>
      <c r="AA48" s="913">
        <f t="shared" si="31"/>
        <v>5642628.4029773818</v>
      </c>
      <c r="AB48" s="913">
        <f t="shared" si="31"/>
        <v>6080027.3132321592</v>
      </c>
      <c r="AC48" s="913">
        <f t="shared" si="31"/>
        <v>6558013.8692644322</v>
      </c>
      <c r="AD48" s="914">
        <f t="shared" si="31"/>
        <v>7080631.2328256257</v>
      </c>
    </row>
    <row r="49" spans="1:30">
      <c r="C49" s="13" t="s">
        <v>581</v>
      </c>
      <c r="D49" s="181" t="s">
        <v>567</v>
      </c>
      <c r="E49" s="169">
        <v>394389</v>
      </c>
      <c r="F49" s="169">
        <v>361609</v>
      </c>
      <c r="G49" s="169">
        <v>398506</v>
      </c>
      <c r="H49" s="429">
        <v>366817</v>
      </c>
      <c r="I49" s="429">
        <v>426094</v>
      </c>
      <c r="J49" s="429">
        <v>387949</v>
      </c>
      <c r="K49" s="429">
        <f>413944+11918+91104</f>
        <v>516966</v>
      </c>
      <c r="L49" s="807">
        <v>751642</v>
      </c>
      <c r="M49" s="807">
        <v>576131</v>
      </c>
      <c r="N49" s="807">
        <f>762604</f>
        <v>762604</v>
      </c>
      <c r="O49" s="807">
        <f>1418454</f>
        <v>1418454</v>
      </c>
      <c r="P49" s="915">
        <f>'2e. Notes to the New Fin Stat'!P56</f>
        <v>2227754.685899768</v>
      </c>
      <c r="Q49" s="915">
        <f>'2e. Notes to the New Fin Stat'!Q56</f>
        <v>2435188.7347750124</v>
      </c>
      <c r="R49" s="915">
        <f>'2e. Notes to the New Fin Stat'!R56</f>
        <v>2647578.8592308597</v>
      </c>
      <c r="S49" s="915">
        <f>'2e. Notes to the New Fin Stat'!S56</f>
        <v>2875055.2770423903</v>
      </c>
      <c r="T49" s="915">
        <f>'2e. Notes to the New Fin Stat'!T56</f>
        <v>3105756.5961924237</v>
      </c>
      <c r="U49" s="915">
        <f>'2e. Notes to the New Fin Stat'!U56</f>
        <v>3343662.3946853308</v>
      </c>
      <c r="V49" s="915">
        <f>'2e. Notes to the New Fin Stat'!V56</f>
        <v>3601870.1744746645</v>
      </c>
      <c r="W49" s="915">
        <f>'2e. Notes to the New Fin Stat'!W56</f>
        <v>3887661.1434460478</v>
      </c>
      <c r="X49" s="915">
        <f>'2e. Notes to the New Fin Stat'!X56</f>
        <v>4213072.7440304067</v>
      </c>
      <c r="Y49" s="915">
        <f>'2e. Notes to the New Fin Stat'!Y56</f>
        <v>4552294.8359119901</v>
      </c>
      <c r="Z49" s="915">
        <f>'2e. Notes to the New Fin Stat'!Z56</f>
        <v>4919642.2601448232</v>
      </c>
      <c r="AA49" s="915">
        <f>'2e. Notes to the New Fin Stat'!AA56</f>
        <v>5320122.4029773818</v>
      </c>
      <c r="AB49" s="915">
        <f>'2e. Notes to the New Fin Stat'!AB56</f>
        <v>5757521.3132321592</v>
      </c>
      <c r="AC49" s="915">
        <f>'2e. Notes to the New Fin Stat'!AC56</f>
        <v>6235507.8692644322</v>
      </c>
      <c r="AD49" s="916">
        <f>'2e. Notes to the New Fin Stat'!AD56</f>
        <v>6758125.2328256257</v>
      </c>
    </row>
    <row r="50" spans="1:30">
      <c r="C50" s="13"/>
      <c r="D50" s="181" t="s">
        <v>46</v>
      </c>
      <c r="E50" s="169"/>
      <c r="F50" s="169"/>
      <c r="G50" s="169"/>
      <c r="H50" s="429"/>
      <c r="I50" s="429"/>
      <c r="J50" s="429"/>
      <c r="K50" s="429"/>
      <c r="L50" s="807"/>
      <c r="M50" s="807"/>
      <c r="N50" s="807"/>
      <c r="O50" s="807"/>
      <c r="P50" s="915"/>
      <c r="Q50" s="915"/>
      <c r="R50" s="915"/>
      <c r="S50" s="915"/>
      <c r="T50" s="915"/>
      <c r="U50" s="915"/>
      <c r="V50" s="915"/>
      <c r="W50" s="915"/>
      <c r="X50" s="915"/>
      <c r="Y50" s="807"/>
      <c r="Z50" s="844"/>
      <c r="AA50" s="844"/>
      <c r="AB50" s="844"/>
      <c r="AC50" s="844"/>
      <c r="AD50" s="856"/>
    </row>
    <row r="51" spans="1:30">
      <c r="C51" s="13" t="s">
        <v>587</v>
      </c>
      <c r="D51" s="181" t="s">
        <v>73</v>
      </c>
      <c r="E51" s="169">
        <v>17542</v>
      </c>
      <c r="F51" s="169">
        <v>24822</v>
      </c>
      <c r="G51" s="169">
        <v>26175</v>
      </c>
      <c r="H51" s="429">
        <v>37214</v>
      </c>
      <c r="I51" s="429">
        <v>23945</v>
      </c>
      <c r="J51" s="429">
        <v>24698</v>
      </c>
      <c r="K51" s="429"/>
      <c r="L51" s="807"/>
      <c r="M51" s="807">
        <v>9265</v>
      </c>
      <c r="N51" s="807">
        <v>9168</v>
      </c>
      <c r="O51" s="807">
        <v>207120</v>
      </c>
      <c r="P51" s="915">
        <v>0</v>
      </c>
      <c r="Q51" s="915">
        <f>P51</f>
        <v>0</v>
      </c>
      <c r="R51" s="915">
        <f t="shared" ref="R51" si="32">Q51</f>
        <v>0</v>
      </c>
      <c r="S51" s="915">
        <f t="shared" ref="S51:S52" si="33">R51</f>
        <v>0</v>
      </c>
      <c r="T51" s="915">
        <f t="shared" ref="T51:T52" si="34">S51</f>
        <v>0</v>
      </c>
      <c r="U51" s="915">
        <f t="shared" ref="U51:U52" si="35">T51</f>
        <v>0</v>
      </c>
      <c r="V51" s="915">
        <f t="shared" ref="V51:V52" si="36">U51</f>
        <v>0</v>
      </c>
      <c r="W51" s="915">
        <f t="shared" ref="W51:W52" si="37">V51</f>
        <v>0</v>
      </c>
      <c r="X51" s="915">
        <f t="shared" ref="X51:X52" si="38">W51</f>
        <v>0</v>
      </c>
      <c r="Y51" s="915">
        <f t="shared" ref="Y51:Y52" si="39">X51</f>
        <v>0</v>
      </c>
      <c r="Z51" s="915">
        <f t="shared" ref="Z51:Z52" si="40">Y51</f>
        <v>0</v>
      </c>
      <c r="AA51" s="915">
        <f t="shared" ref="AA51:AA52" si="41">Z51</f>
        <v>0</v>
      </c>
      <c r="AB51" s="915">
        <f t="shared" ref="AB51:AB52" si="42">AA51</f>
        <v>0</v>
      </c>
      <c r="AC51" s="915">
        <f t="shared" ref="AC51:AC52" si="43">AB51</f>
        <v>0</v>
      </c>
      <c r="AD51" s="916">
        <f t="shared" ref="AD51:AD52" si="44">AC51</f>
        <v>0</v>
      </c>
    </row>
    <row r="52" spans="1:30">
      <c r="C52" s="13" t="s">
        <v>581</v>
      </c>
      <c r="D52" s="181" t="s">
        <v>15</v>
      </c>
      <c r="E52" s="169">
        <v>25899</v>
      </c>
      <c r="F52" s="169">
        <v>29464</v>
      </c>
      <c r="G52" s="169">
        <v>34451</v>
      </c>
      <c r="H52" s="429">
        <v>39801</v>
      </c>
      <c r="I52" s="429">
        <v>49827</v>
      </c>
      <c r="J52" s="429">
        <v>57657</v>
      </c>
      <c r="K52" s="429"/>
      <c r="L52" s="807"/>
      <c r="M52" s="807">
        <v>21225</v>
      </c>
      <c r="N52" s="807">
        <v>17216</v>
      </c>
      <c r="O52" s="807">
        <v>322506</v>
      </c>
      <c r="P52" s="915">
        <f>O52</f>
        <v>322506</v>
      </c>
      <c r="Q52" s="915">
        <f>P52</f>
        <v>322506</v>
      </c>
      <c r="R52" s="915">
        <f t="shared" ref="R52" si="45">Q52</f>
        <v>322506</v>
      </c>
      <c r="S52" s="915">
        <f t="shared" si="33"/>
        <v>322506</v>
      </c>
      <c r="T52" s="915">
        <f t="shared" si="34"/>
        <v>322506</v>
      </c>
      <c r="U52" s="915">
        <f t="shared" si="35"/>
        <v>322506</v>
      </c>
      <c r="V52" s="915">
        <f t="shared" si="36"/>
        <v>322506</v>
      </c>
      <c r="W52" s="915">
        <f t="shared" si="37"/>
        <v>322506</v>
      </c>
      <c r="X52" s="915">
        <f t="shared" si="38"/>
        <v>322506</v>
      </c>
      <c r="Y52" s="915">
        <f t="shared" si="39"/>
        <v>322506</v>
      </c>
      <c r="Z52" s="915">
        <f t="shared" si="40"/>
        <v>322506</v>
      </c>
      <c r="AA52" s="915">
        <f t="shared" si="41"/>
        <v>322506</v>
      </c>
      <c r="AB52" s="915">
        <f t="shared" si="42"/>
        <v>322506</v>
      </c>
      <c r="AC52" s="915">
        <f t="shared" si="43"/>
        <v>322506</v>
      </c>
      <c r="AD52" s="916">
        <f t="shared" si="44"/>
        <v>322506</v>
      </c>
    </row>
    <row r="53" spans="1:30" ht="16" thickBot="1">
      <c r="C53" s="13" t="s">
        <v>590</v>
      </c>
      <c r="D53" s="181" t="s">
        <v>168</v>
      </c>
      <c r="E53" s="169">
        <v>97386</v>
      </c>
      <c r="F53" s="169">
        <v>71946</v>
      </c>
      <c r="G53" s="169">
        <v>98141</v>
      </c>
      <c r="H53" s="429">
        <v>52402</v>
      </c>
      <c r="I53" s="429">
        <v>20433</v>
      </c>
      <c r="J53" s="429">
        <v>36614</v>
      </c>
      <c r="K53" s="429">
        <v>11316</v>
      </c>
      <c r="L53" s="807">
        <v>44574</v>
      </c>
      <c r="M53" s="807">
        <v>257000</v>
      </c>
      <c r="N53" s="807"/>
      <c r="O53" s="807"/>
      <c r="P53" s="915"/>
      <c r="Q53" s="915"/>
      <c r="R53" s="915"/>
      <c r="S53" s="915"/>
      <c r="T53" s="915"/>
      <c r="U53" s="915"/>
      <c r="V53" s="915"/>
      <c r="W53" s="915"/>
      <c r="X53" s="915"/>
      <c r="Y53" s="807"/>
      <c r="Z53" s="844"/>
      <c r="AA53" s="844"/>
      <c r="AB53" s="844"/>
      <c r="AC53" s="844"/>
      <c r="AD53" s="856"/>
    </row>
    <row r="54" spans="1:30" s="20" customFormat="1" ht="16" thickBot="1">
      <c r="A54" s="4"/>
      <c r="B54" s="4"/>
      <c r="C54" s="14"/>
      <c r="D54" s="172" t="s">
        <v>74</v>
      </c>
      <c r="E54" s="293">
        <f t="shared" ref="E54:G54" si="46">E48+E42+E31</f>
        <v>1477062</v>
      </c>
      <c r="F54" s="293">
        <f t="shared" si="46"/>
        <v>1337632</v>
      </c>
      <c r="G54" s="293">
        <f t="shared" si="46"/>
        <v>1502379</v>
      </c>
      <c r="H54" s="293">
        <f>H48+H42+H31</f>
        <v>1555482</v>
      </c>
      <c r="I54" s="293">
        <f t="shared" ref="I54:AD54" si="47">I48+I42+I31</f>
        <v>1722286</v>
      </c>
      <c r="J54" s="293">
        <f t="shared" si="47"/>
        <v>1843229</v>
      </c>
      <c r="K54" s="293">
        <f t="shared" si="47"/>
        <v>2022996</v>
      </c>
      <c r="L54" s="815">
        <f t="shared" si="47"/>
        <v>2568728</v>
      </c>
      <c r="M54" s="815">
        <f t="shared" si="47"/>
        <v>2833569</v>
      </c>
      <c r="N54" s="815">
        <f t="shared" si="47"/>
        <v>2975297</v>
      </c>
      <c r="O54" s="815">
        <f t="shared" si="47"/>
        <v>10513064</v>
      </c>
      <c r="P54" s="917">
        <f t="shared" si="47"/>
        <v>10372019.285754072</v>
      </c>
      <c r="Q54" s="917">
        <f>Q48+Q42+Q31</f>
        <v>10791422.919365417</v>
      </c>
      <c r="R54" s="917">
        <f t="shared" si="47"/>
        <v>11173568.228433967</v>
      </c>
      <c r="S54" s="917">
        <f t="shared" si="47"/>
        <v>11587405.835738946</v>
      </c>
      <c r="T54" s="917">
        <f t="shared" si="47"/>
        <v>12021491.123159748</v>
      </c>
      <c r="U54" s="917">
        <f t="shared" si="47"/>
        <v>12479644.072439127</v>
      </c>
      <c r="V54" s="917">
        <f t="shared" si="47"/>
        <v>12977156.491955049</v>
      </c>
      <c r="W54" s="917">
        <f t="shared" si="47"/>
        <v>13523409.271374665</v>
      </c>
      <c r="X54" s="917">
        <f t="shared" si="47"/>
        <v>14133223.862239365</v>
      </c>
      <c r="Y54" s="917">
        <f t="shared" si="47"/>
        <v>14781996.767816911</v>
      </c>
      <c r="Z54" s="917">
        <f t="shared" si="47"/>
        <v>15486197.126283105</v>
      </c>
      <c r="AA54" s="917">
        <f t="shared" si="47"/>
        <v>16253329.026234463</v>
      </c>
      <c r="AB54" s="917">
        <f t="shared" si="47"/>
        <v>17089960.155416802</v>
      </c>
      <c r="AC54" s="917">
        <f t="shared" si="47"/>
        <v>18002823.299534898</v>
      </c>
      <c r="AD54" s="918">
        <f t="shared" si="47"/>
        <v>18999332.10136275</v>
      </c>
    </row>
    <row r="55" spans="1:30" s="413" customFormat="1" ht="16" thickBot="1">
      <c r="A55" s="26"/>
      <c r="B55" s="26"/>
      <c r="C55" s="25"/>
      <c r="D55" s="909" t="s">
        <v>169</v>
      </c>
      <c r="E55" s="910">
        <f t="shared" ref="E55:AD55" si="48">E27-E54</f>
        <v>0</v>
      </c>
      <c r="F55" s="910">
        <f t="shared" si="48"/>
        <v>0</v>
      </c>
      <c r="G55" s="910">
        <f t="shared" si="48"/>
        <v>0</v>
      </c>
      <c r="H55" s="910">
        <f t="shared" si="48"/>
        <v>0</v>
      </c>
      <c r="I55" s="910">
        <f t="shared" si="48"/>
        <v>0</v>
      </c>
      <c r="J55" s="910">
        <f t="shared" si="48"/>
        <v>0</v>
      </c>
      <c r="K55" s="910">
        <f t="shared" si="48"/>
        <v>0</v>
      </c>
      <c r="L55" s="910">
        <f t="shared" si="48"/>
        <v>0</v>
      </c>
      <c r="M55" s="911">
        <f t="shared" si="48"/>
        <v>0</v>
      </c>
      <c r="N55" s="911">
        <f t="shared" si="48"/>
        <v>0</v>
      </c>
      <c r="O55" s="911">
        <f t="shared" si="48"/>
        <v>0</v>
      </c>
      <c r="P55" s="911">
        <f t="shared" si="48"/>
        <v>0</v>
      </c>
      <c r="Q55" s="911">
        <f t="shared" si="48"/>
        <v>0</v>
      </c>
      <c r="R55" s="911">
        <f t="shared" si="48"/>
        <v>0</v>
      </c>
      <c r="S55" s="911">
        <f t="shared" si="48"/>
        <v>0</v>
      </c>
      <c r="T55" s="911">
        <f t="shared" si="48"/>
        <v>0</v>
      </c>
      <c r="U55" s="911">
        <f t="shared" si="48"/>
        <v>0</v>
      </c>
      <c r="V55" s="911">
        <f t="shared" si="48"/>
        <v>0</v>
      </c>
      <c r="W55" s="911">
        <f t="shared" si="48"/>
        <v>0</v>
      </c>
      <c r="X55" s="911">
        <f t="shared" si="48"/>
        <v>0</v>
      </c>
      <c r="Y55" s="911">
        <f t="shared" si="48"/>
        <v>0</v>
      </c>
      <c r="Z55" s="911">
        <f t="shared" si="48"/>
        <v>0</v>
      </c>
      <c r="AA55" s="911">
        <f t="shared" si="48"/>
        <v>0</v>
      </c>
      <c r="AB55" s="911">
        <f t="shared" si="48"/>
        <v>0</v>
      </c>
      <c r="AC55" s="911">
        <f t="shared" si="48"/>
        <v>0</v>
      </c>
      <c r="AD55" s="912">
        <f t="shared" si="48"/>
        <v>0</v>
      </c>
    </row>
    <row r="56" spans="1:30">
      <c r="M56" s="18"/>
      <c r="N56" s="18"/>
      <c r="O56" s="18"/>
      <c r="P56" s="18"/>
      <c r="Q56" s="18"/>
      <c r="R56" s="18"/>
      <c r="S56" s="18"/>
      <c r="T56" s="18"/>
      <c r="U56" s="18"/>
      <c r="V56" s="18"/>
      <c r="W56" s="18"/>
      <c r="X56" s="18"/>
      <c r="Y56" s="18"/>
      <c r="Z56" s="18"/>
      <c r="AA56" s="18"/>
      <c r="AB56" s="18"/>
      <c r="AC56" s="18"/>
      <c r="AD56" s="18"/>
    </row>
    <row r="57" spans="1:30" ht="16" thickBot="1">
      <c r="M57" s="401"/>
      <c r="N57" s="401"/>
      <c r="O57" s="401"/>
      <c r="P57" s="18"/>
      <c r="Q57" s="18"/>
      <c r="R57" s="18"/>
      <c r="S57" s="18"/>
      <c r="T57" s="18"/>
      <c r="U57" s="18"/>
      <c r="V57" s="18"/>
      <c r="W57" s="18"/>
      <c r="X57" s="18"/>
      <c r="Y57" s="18"/>
      <c r="Z57" s="18"/>
      <c r="AA57" s="18"/>
      <c r="AB57" s="18"/>
      <c r="AC57" s="18"/>
      <c r="AD57" s="18"/>
    </row>
    <row r="58" spans="1:30">
      <c r="D58" s="747" t="s">
        <v>1147</v>
      </c>
      <c r="E58" s="1113"/>
      <c r="F58" s="1113"/>
      <c r="G58" s="1113"/>
      <c r="H58" s="1113"/>
      <c r="I58" s="1113"/>
      <c r="J58" s="1113"/>
      <c r="K58" s="1113"/>
      <c r="L58" s="1113"/>
      <c r="M58" s="1646">
        <f t="shared" ref="M58:AD58" si="49">-(M23-M44)</f>
        <v>-111203</v>
      </c>
      <c r="N58" s="1646">
        <f t="shared" si="49"/>
        <v>-44003</v>
      </c>
      <c r="O58" s="1646">
        <f t="shared" si="49"/>
        <v>3193210</v>
      </c>
      <c r="P58" s="1646">
        <f t="shared" si="49"/>
        <v>3357339.7393480577</v>
      </c>
      <c r="Q58" s="1646">
        <f>-(Q23-Q44)</f>
        <v>3272372.8848290532</v>
      </c>
      <c r="R58" s="1647">
        <f t="shared" si="49"/>
        <v>3237029.7088195398</v>
      </c>
      <c r="S58" s="1647">
        <f t="shared" si="49"/>
        <v>3204611.192195056</v>
      </c>
      <c r="T58" s="1647">
        <f t="shared" si="49"/>
        <v>3166787.3642521696</v>
      </c>
      <c r="U58" s="1647">
        <f t="shared" si="49"/>
        <v>3127326.8048878056</v>
      </c>
      <c r="V58" s="1647">
        <f t="shared" si="49"/>
        <v>3094638.048935479</v>
      </c>
      <c r="W58" s="1647">
        <f t="shared" si="49"/>
        <v>3073378.8832522389</v>
      </c>
      <c r="X58" s="1647">
        <f t="shared" si="49"/>
        <v>3071422.6336405487</v>
      </c>
      <c r="Y58" s="1647">
        <f t="shared" si="49"/>
        <v>3070392.8778235759</v>
      </c>
      <c r="Z58" s="1647">
        <f t="shared" si="49"/>
        <v>3080303.2519007367</v>
      </c>
      <c r="AA58" s="1647">
        <f t="shared" si="49"/>
        <v>3104482.1167895589</v>
      </c>
      <c r="AB58" s="1647">
        <f t="shared" si="49"/>
        <v>3145399.4702992383</v>
      </c>
      <c r="AC58" s="1647">
        <f t="shared" si="49"/>
        <v>3205479.7512222147</v>
      </c>
      <c r="AD58" s="1647">
        <f t="shared" si="49"/>
        <v>3287469.7866418795</v>
      </c>
    </row>
    <row r="59" spans="1:30">
      <c r="D59" s="726" t="s">
        <v>1134</v>
      </c>
      <c r="E59" s="39"/>
      <c r="F59" s="39"/>
      <c r="G59" s="39"/>
      <c r="H59" s="39"/>
      <c r="I59" s="39"/>
      <c r="J59" s="39"/>
      <c r="K59" s="39"/>
      <c r="L59" s="39"/>
      <c r="M59" s="1648">
        <f t="shared" ref="M59:N59" si="50">M58/M31</f>
        <v>-6.214641904892837E-2</v>
      </c>
      <c r="N59" s="1648">
        <f t="shared" si="50"/>
        <v>-2.5189105767568491E-2</v>
      </c>
      <c r="O59" s="1648">
        <f>O58/O39</f>
        <v>0.91655821584574126</v>
      </c>
      <c r="P59" s="1648">
        <f t="shared" ref="P59:AD59" si="51">P58/P39</f>
        <v>0.90248743776118012</v>
      </c>
      <c r="Q59" s="1648">
        <f t="shared" si="51"/>
        <v>0.83324035556625931</v>
      </c>
      <c r="R59" s="1648">
        <f t="shared" si="51"/>
        <v>0.79082855688159492</v>
      </c>
      <c r="S59" s="1648">
        <f t="shared" si="51"/>
        <v>0.74955145415040636</v>
      </c>
      <c r="T59" s="1648">
        <f t="shared" si="51"/>
        <v>0.70779331127494871</v>
      </c>
      <c r="U59" s="1648">
        <f>U58/U39</f>
        <v>0.66688556914371877</v>
      </c>
      <c r="V59" s="1648">
        <f t="shared" si="51"/>
        <v>0.62856235092598822</v>
      </c>
      <c r="W59" s="1648">
        <f t="shared" si="51"/>
        <v>0.59355157328201913</v>
      </c>
      <c r="X59" s="1648">
        <f t="shared" si="51"/>
        <v>0.56295048899876443</v>
      </c>
      <c r="Y59" s="1648">
        <f t="shared" si="51"/>
        <v>0.53319242291728874</v>
      </c>
      <c r="Z59" s="1648">
        <f t="shared" si="51"/>
        <v>0.5059825950741863</v>
      </c>
      <c r="AA59" s="1648">
        <f t="shared" si="51"/>
        <v>0.4816025797511827</v>
      </c>
      <c r="AB59" s="1648">
        <f t="shared" si="51"/>
        <v>0.46009728625947627</v>
      </c>
      <c r="AC59" s="1648">
        <f t="shared" si="51"/>
        <v>0.44143799844304232</v>
      </c>
      <c r="AD59" s="1648">
        <f t="shared" si="51"/>
        <v>0.42558143408746252</v>
      </c>
    </row>
    <row r="60" spans="1:30">
      <c r="D60" s="726" t="s">
        <v>1148</v>
      </c>
      <c r="E60" s="39"/>
      <c r="F60" s="39"/>
      <c r="G60" s="39"/>
      <c r="H60" s="39"/>
      <c r="I60" s="39"/>
      <c r="J60" s="39"/>
      <c r="K60" s="39"/>
      <c r="L60" s="39"/>
      <c r="M60" s="137"/>
      <c r="N60" s="219">
        <f t="shared" ref="N60:AD60" si="52">N44/N27</f>
        <v>0.10083027005371228</v>
      </c>
      <c r="O60" s="219">
        <f t="shared" si="52"/>
        <v>0.41609972126109002</v>
      </c>
      <c r="P60" s="219">
        <f t="shared" si="52"/>
        <v>0.32680494575011443</v>
      </c>
      <c r="Q60" s="219">
        <f t="shared" si="52"/>
        <v>0.31410382350201926</v>
      </c>
      <c r="R60" s="219">
        <f t="shared" si="52"/>
        <v>0.3033612119872538</v>
      </c>
      <c r="S60" s="219">
        <f t="shared" si="52"/>
        <v>0.29252683888445502</v>
      </c>
      <c r="T60" s="219">
        <f t="shared" si="52"/>
        <v>0.28196395649037131</v>
      </c>
      <c r="U60" s="219">
        <f t="shared" si="52"/>
        <v>0.27161248993357734</v>
      </c>
      <c r="V60" s="219">
        <f t="shared" si="52"/>
        <v>0.26119953181587491</v>
      </c>
      <c r="W60" s="219">
        <f t="shared" si="52"/>
        <v>0.25064886612393722</v>
      </c>
      <c r="X60" s="219">
        <f t="shared" si="52"/>
        <v>0.23983397086465766</v>
      </c>
      <c r="Y60" s="219">
        <f t="shared" si="52"/>
        <v>0.2293078028118524</v>
      </c>
      <c r="Z60" s="219">
        <f t="shared" si="52"/>
        <v>0.21888054067496915</v>
      </c>
      <c r="AA60" s="219">
        <f t="shared" si="52"/>
        <v>0.20854971892396995</v>
      </c>
      <c r="AB60" s="219">
        <f t="shared" si="52"/>
        <v>0.19834026347484665</v>
      </c>
      <c r="AC60" s="219">
        <f t="shared" si="52"/>
        <v>0.18828309002441695</v>
      </c>
      <c r="AD60" s="1649">
        <f t="shared" si="52"/>
        <v>0.17840770306640802</v>
      </c>
    </row>
    <row r="61" spans="1:30" ht="16" thickBot="1">
      <c r="D61" s="746" t="s">
        <v>1149</v>
      </c>
      <c r="E61" s="817"/>
      <c r="F61" s="817"/>
      <c r="G61" s="817"/>
      <c r="H61" s="817"/>
      <c r="I61" s="817"/>
      <c r="J61" s="817"/>
      <c r="K61" s="817"/>
      <c r="L61" s="817"/>
      <c r="M61" s="817"/>
      <c r="N61" s="817"/>
      <c r="O61" s="1650">
        <f>O58/'2a. Income Statement'!O56</f>
        <v>2.6959978926501105</v>
      </c>
      <c r="P61" s="1650">
        <f>P58/'2a. Income Statement'!P56</f>
        <v>1.8005767321607637</v>
      </c>
      <c r="Q61" s="1650">
        <f>Q58/'2a. Income Statement'!Q56</f>
        <v>1.6115307988193615</v>
      </c>
      <c r="R61" s="1650">
        <f>R58/'2a. Income Statement'!R56</f>
        <v>1.4963484776280582</v>
      </c>
      <c r="S61" s="1650">
        <f>S58/'2a. Income Statement'!S56</f>
        <v>1.3598233100303994</v>
      </c>
      <c r="T61" s="1650">
        <f>T58/'2a. Income Statement'!T56</f>
        <v>1.2385113280921258</v>
      </c>
      <c r="U61" s="1650">
        <f>U58/'2a. Income Statement'!U56</f>
        <v>1.1340162610157045</v>
      </c>
      <c r="V61" s="1650">
        <f>V58/'2a. Income Statement'!V56</f>
        <v>1.0369722965571695</v>
      </c>
      <c r="W61" s="1650">
        <f>W58/'2a. Income Statement'!W56</f>
        <v>0.94958265016534082</v>
      </c>
      <c r="X61" s="1650">
        <f>X58/'2a. Income Statement'!X56</f>
        <v>0.87210023070554632</v>
      </c>
      <c r="Y61" s="1650">
        <f>Y58/'2a. Income Statement'!Y56</f>
        <v>0.80275135709435597</v>
      </c>
      <c r="Z61" s="1650">
        <f>Z58/'2a. Income Statement'!Z56</f>
        <v>0.74140105510138044</v>
      </c>
      <c r="AA61" s="1650">
        <f>AA58/'2a. Income Statement'!AA56</f>
        <v>0.68742581094552624</v>
      </c>
      <c r="AB61" s="1650">
        <f>AB58/'2a. Income Statement'!AB56</f>
        <v>0.64024222497311156</v>
      </c>
      <c r="AC61" s="1650">
        <f>AC58/'2a. Income Statement'!AC56</f>
        <v>0.59931798073952813</v>
      </c>
      <c r="AD61" s="1651">
        <f>AD58/'2a. Income Statement'!AD56</f>
        <v>0.56415062972424923</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C3:AD70"/>
  <sheetViews>
    <sheetView showGridLines="0" zoomScale="75" zoomScaleNormal="75" zoomScalePageLayoutView="75" workbookViewId="0">
      <pane xSplit="4" topLeftCell="E1" activePane="topRight" state="frozen"/>
      <selection activeCell="Q37" sqref="Q37"/>
      <selection pane="topRight" activeCell="P67" sqref="P67"/>
    </sheetView>
  </sheetViews>
  <sheetFormatPr baseColWidth="10" defaultRowHeight="15" x14ac:dyDescent="0"/>
  <cols>
    <col min="1" max="3" width="0" style="39" hidden="1" customWidth="1"/>
    <col min="4" max="4" width="53.33203125" bestFit="1" customWidth="1"/>
    <col min="5" max="5" width="11.6640625" hidden="1" customWidth="1"/>
    <col min="6" max="6" width="11.1640625" hidden="1" customWidth="1"/>
    <col min="7" max="7" width="11.33203125" hidden="1" customWidth="1"/>
    <col min="8" max="11" width="10.83203125" hidden="1" customWidth="1"/>
    <col min="12" max="14" width="10.83203125" customWidth="1"/>
    <col min="15" max="15" width="13.5" bestFit="1" customWidth="1"/>
    <col min="16" max="16" width="12" bestFit="1" customWidth="1"/>
    <col min="17" max="20" width="14.33203125" bestFit="1" customWidth="1"/>
    <col min="21" max="30" width="14.33203125" customWidth="1"/>
    <col min="31" max="16384" width="10.83203125" style="39"/>
  </cols>
  <sheetData>
    <row r="3" spans="3:30" ht="16" thickBot="1"/>
    <row r="4" spans="3:30" ht="16" thickBot="1">
      <c r="C4" s="410"/>
      <c r="D4" s="683" t="s">
        <v>1595</v>
      </c>
      <c r="E4" s="403" t="s">
        <v>216</v>
      </c>
      <c r="F4" s="403" t="s">
        <v>217</v>
      </c>
      <c r="G4" s="403" t="s">
        <v>218</v>
      </c>
      <c r="H4" s="403" t="s">
        <v>28</v>
      </c>
      <c r="I4" s="403" t="s">
        <v>17</v>
      </c>
      <c r="J4" s="403" t="s">
        <v>18</v>
      </c>
      <c r="K4" s="403" t="s">
        <v>19</v>
      </c>
      <c r="L4" s="403" t="s">
        <v>20</v>
      </c>
      <c r="M4" s="403" t="s">
        <v>21</v>
      </c>
      <c r="N4" s="403" t="s">
        <v>22</v>
      </c>
      <c r="O4" s="403" t="s">
        <v>23</v>
      </c>
      <c r="P4" s="404" t="s">
        <v>24</v>
      </c>
      <c r="Q4" s="404" t="s">
        <v>25</v>
      </c>
      <c r="R4" s="404" t="s">
        <v>26</v>
      </c>
      <c r="S4" s="404" t="s">
        <v>27</v>
      </c>
      <c r="T4" s="404" t="s">
        <v>712</v>
      </c>
      <c r="U4" s="404" t="s">
        <v>713</v>
      </c>
      <c r="V4" s="404" t="s">
        <v>714</v>
      </c>
      <c r="W4" s="404" t="s">
        <v>715</v>
      </c>
      <c r="X4" s="404" t="s">
        <v>716</v>
      </c>
      <c r="Y4" s="404" t="s">
        <v>717</v>
      </c>
      <c r="Z4" s="404" t="s">
        <v>718</v>
      </c>
      <c r="AA4" s="404" t="s">
        <v>719</v>
      </c>
      <c r="AB4" s="404" t="s">
        <v>720</v>
      </c>
      <c r="AC4" s="404" t="s">
        <v>721</v>
      </c>
      <c r="AD4" s="776" t="s">
        <v>722</v>
      </c>
    </row>
    <row r="5" spans="3:30" s="922" customFormat="1" ht="14">
      <c r="C5" s="921"/>
      <c r="D5" s="928" t="s">
        <v>1007</v>
      </c>
      <c r="E5" s="816">
        <f>'2a. Income Statement'!E26</f>
        <v>180672</v>
      </c>
      <c r="F5" s="816">
        <f>'2a. Income Statement'!F26</f>
        <v>183325</v>
      </c>
      <c r="G5" s="816">
        <f>'2a. Income Statement'!G26</f>
        <v>236723</v>
      </c>
      <c r="H5" s="816">
        <f>'2a. Income Statement'!H26</f>
        <v>317284</v>
      </c>
      <c r="I5" s="816">
        <f>'2a. Income Statement'!I26</f>
        <v>410866</v>
      </c>
      <c r="J5" s="816">
        <f>'2a. Income Statement'!J26</f>
        <v>484474</v>
      </c>
      <c r="K5" s="816">
        <f>'2a. Income Statement'!K26</f>
        <v>512689</v>
      </c>
      <c r="L5" s="816">
        <f>'2a. Income Statement'!L26</f>
        <v>711025</v>
      </c>
      <c r="M5" s="816">
        <f>'2a. Income Statement'!M26</f>
        <v>713514</v>
      </c>
      <c r="N5" s="816">
        <f>'2a. Income Statement'!N26</f>
        <v>856242</v>
      </c>
      <c r="O5" s="816">
        <f>'2a. Income Statement'!O26</f>
        <v>981158</v>
      </c>
      <c r="P5" s="816">
        <f>'2a. Income Statement'!P32</f>
        <v>1653844.1042273296</v>
      </c>
      <c r="Q5" s="816">
        <f>'2a. Income Statement'!Q32</f>
        <v>1801282.4492003783</v>
      </c>
      <c r="R5" s="816">
        <f>'2a. Income Statement'!R32</f>
        <v>1913086.6095035733</v>
      </c>
      <c r="S5" s="816">
        <f>'2a. Income Statement'!S32</f>
        <v>2087578.6114970965</v>
      </c>
      <c r="T5" s="816">
        <f>'2a. Income Statement'!T32</f>
        <v>2266809.3788446356</v>
      </c>
      <c r="U5" s="816">
        <f>'2a. Income Statement'!U32</f>
        <v>2444128.0031330413</v>
      </c>
      <c r="V5" s="816">
        <f>'2a. Income Statement'!V32</f>
        <v>2644470.8557153419</v>
      </c>
      <c r="W5" s="816">
        <f>'2a. Income Statement'!W32</f>
        <v>2867459.7122532884</v>
      </c>
      <c r="X5" s="816">
        <f>'2a. Income Statement'!X32</f>
        <v>3120053.279338019</v>
      </c>
      <c r="Y5" s="816">
        <f>'2a. Income Statement'!Y32</f>
        <v>3386480.7192832539</v>
      </c>
      <c r="Z5" s="816">
        <f>'2a. Income Statement'!Z32</f>
        <v>3675537.8072529077</v>
      </c>
      <c r="AA5" s="816">
        <f>'2a. Income Statement'!AA32</f>
        <v>3991337.2496793629</v>
      </c>
      <c r="AB5" s="816">
        <f>'2a. Income Statement'!AB32</f>
        <v>4337121.5812901035</v>
      </c>
      <c r="AC5" s="816">
        <f>'2a. Income Statement'!AC32</f>
        <v>4715900.0850399034</v>
      </c>
      <c r="AD5" s="929">
        <f>'2a. Income Statement'!AD32</f>
        <v>5130989.4269775841</v>
      </c>
    </row>
    <row r="6" spans="3:30" s="922" customFormat="1" ht="14">
      <c r="C6" s="921"/>
      <c r="D6" s="928" t="s">
        <v>173</v>
      </c>
      <c r="E6" s="816">
        <f>SUM(E7:E18)</f>
        <v>63898</v>
      </c>
      <c r="F6" s="816">
        <f t="shared" ref="F6:AD6" si="0">SUM(F7:F18)</f>
        <v>60777</v>
      </c>
      <c r="G6" s="816">
        <f t="shared" si="0"/>
        <v>78423</v>
      </c>
      <c r="H6" s="816">
        <f t="shared" si="0"/>
        <v>83045</v>
      </c>
      <c r="I6" s="816">
        <f t="shared" si="0"/>
        <v>89659</v>
      </c>
      <c r="J6" s="816">
        <f t="shared" si="0"/>
        <v>101092</v>
      </c>
      <c r="K6" s="816">
        <f t="shared" si="0"/>
        <v>97647</v>
      </c>
      <c r="L6" s="816">
        <f t="shared" si="0"/>
        <v>102832</v>
      </c>
      <c r="M6" s="816">
        <f t="shared" si="0"/>
        <v>148692</v>
      </c>
      <c r="N6" s="816">
        <f t="shared" si="0"/>
        <v>56335</v>
      </c>
      <c r="O6" s="816">
        <f>SUM(O7:O18)</f>
        <v>206716</v>
      </c>
      <c r="P6" s="816">
        <f t="shared" si="0"/>
        <v>210747.21220000001</v>
      </c>
      <c r="Q6" s="816">
        <f t="shared" si="0"/>
        <v>229316.58572123601</v>
      </c>
      <c r="R6" s="816">
        <f t="shared" si="0"/>
        <v>250199.38785362514</v>
      </c>
      <c r="S6" s="816">
        <f t="shared" si="0"/>
        <v>269059.31973781931</v>
      </c>
      <c r="T6" s="816">
        <f t="shared" si="0"/>
        <v>290121.10085511114</v>
      </c>
      <c r="U6" s="816">
        <f t="shared" si="0"/>
        <v>313616.23069897812</v>
      </c>
      <c r="V6" s="816">
        <f t="shared" si="0"/>
        <v>339830.71069093869</v>
      </c>
      <c r="W6" s="816">
        <f t="shared" si="0"/>
        <v>369097.82459419261</v>
      </c>
      <c r="X6" s="816">
        <f t="shared" si="0"/>
        <v>401815.56726887479</v>
      </c>
      <c r="Y6" s="816">
        <f t="shared" si="0"/>
        <v>438356.01339719916</v>
      </c>
      <c r="Z6" s="816">
        <f t="shared" si="0"/>
        <v>479167.97675697732</v>
      </c>
      <c r="AA6" s="816">
        <f t="shared" si="0"/>
        <v>524760.44022184995</v>
      </c>
      <c r="AB6" s="816">
        <f t="shared" si="0"/>
        <v>575705.70127679827</v>
      </c>
      <c r="AC6" s="816">
        <f t="shared" si="0"/>
        <v>632645.85257207113</v>
      </c>
      <c r="AD6" s="929">
        <f t="shared" si="0"/>
        <v>696301.39471087023</v>
      </c>
    </row>
    <row r="7" spans="3:30" s="811" customFormat="1" ht="14">
      <c r="C7" s="923"/>
      <c r="D7" s="930" t="s">
        <v>174</v>
      </c>
      <c r="E7" s="807">
        <f>'Notes to the Income Statement'!E65+'Notes to the Income Statement'!E71-'Notes to the Income Statement'!E97</f>
        <v>58858</v>
      </c>
      <c r="F7" s="807">
        <f>'Notes to the Income Statement'!F65+'Notes to the Income Statement'!F71-'Notes to the Income Statement'!F97</f>
        <v>57315</v>
      </c>
      <c r="G7" s="807">
        <f>'Notes to the Income Statement'!G65+'Notes to the Income Statement'!G71-'Notes to the Income Statement'!G97</f>
        <v>67399</v>
      </c>
      <c r="H7" s="807">
        <f>'Notes to the Income Statement'!H65+'Notes to the Income Statement'!H71-'Notes to the Income Statement'!H97</f>
        <v>67255</v>
      </c>
      <c r="I7" s="807">
        <f>'Notes to the Income Statement'!I65+'Notes to the Income Statement'!I71</f>
        <v>72035</v>
      </c>
      <c r="J7" s="807">
        <v>76953</v>
      </c>
      <c r="K7" s="807">
        <f>'Notes to the Income Statement'!K65+'Notes to the Income Statement'!K71-'Notes to the Income Statement'!K97</f>
        <v>77209</v>
      </c>
      <c r="L7" s="807">
        <v>87428</v>
      </c>
      <c r="M7" s="807">
        <f>'Notes to the Income Statement'!M65+'Notes to the Income Statement'!M71-'Notes to the Income Statement'!M97</f>
        <v>102368</v>
      </c>
      <c r="N7" s="807">
        <f>'Notes to the Income Statement'!N65+'Notes to the Income Statement'!N71-'Notes to the Income Statement'!N97</f>
        <v>113623</v>
      </c>
      <c r="O7" s="807">
        <f>'Notes to the Income Statement'!O65+'Notes to the Income Statement'!O71-'Notes to the Income Statement'!O97</f>
        <v>177281</v>
      </c>
      <c r="P7" s="807">
        <f>'2a. Income Statement'!P59</f>
        <v>210747.21220000001</v>
      </c>
      <c r="Q7" s="807">
        <f>'2a. Income Statement'!Q59</f>
        <v>229316.58572123601</v>
      </c>
      <c r="R7" s="807">
        <f>'2a. Income Statement'!R59</f>
        <v>250199.38785362514</v>
      </c>
      <c r="S7" s="807">
        <f>'2a. Income Statement'!S59</f>
        <v>269059.31973781931</v>
      </c>
      <c r="T7" s="807">
        <f>'2a. Income Statement'!T59</f>
        <v>290121.10085511114</v>
      </c>
      <c r="U7" s="807">
        <f>'2a. Income Statement'!U59</f>
        <v>313616.23069897812</v>
      </c>
      <c r="V7" s="807">
        <f>'2a. Income Statement'!V59</f>
        <v>339830.71069093869</v>
      </c>
      <c r="W7" s="807">
        <f>'2a. Income Statement'!W59</f>
        <v>369097.82459419261</v>
      </c>
      <c r="X7" s="807">
        <f>'2a. Income Statement'!X59</f>
        <v>401815.56726887479</v>
      </c>
      <c r="Y7" s="807">
        <f>'2a. Income Statement'!Y59</f>
        <v>438356.01339719916</v>
      </c>
      <c r="Z7" s="807">
        <f>'2a. Income Statement'!Z59</f>
        <v>479167.97675697732</v>
      </c>
      <c r="AA7" s="807">
        <f>'2a. Income Statement'!AA59</f>
        <v>524760.44022184995</v>
      </c>
      <c r="AB7" s="807">
        <f>'2a. Income Statement'!AB59</f>
        <v>575705.70127679827</v>
      </c>
      <c r="AC7" s="807">
        <f>'2a. Income Statement'!AC59</f>
        <v>632645.85257207113</v>
      </c>
      <c r="AD7" s="808">
        <f>'2a. Income Statement'!AD59</f>
        <v>696301.39471087023</v>
      </c>
    </row>
    <row r="8" spans="3:30" s="811" customFormat="1" ht="14">
      <c r="C8" s="923"/>
      <c r="D8" s="930" t="s">
        <v>175</v>
      </c>
      <c r="E8" s="807">
        <f>'Notes to the Income Statement'!E86</f>
        <v>3709</v>
      </c>
      <c r="F8" s="807">
        <f>'Notes to the Income Statement'!F85+'Notes to the Income Statement'!F86+'Notes to the Income Statement'!F87</f>
        <v>3700</v>
      </c>
      <c r="G8" s="807">
        <f>'Notes to the Income Statement'!G85+'Notes to the Income Statement'!G86+'Notes to the Income Statement'!G87</f>
        <v>11546</v>
      </c>
      <c r="H8" s="807">
        <f>'Notes to the Income Statement'!H85+'Notes to the Income Statement'!H86+'Notes to the Income Statement'!H87</f>
        <v>15823</v>
      </c>
      <c r="I8" s="807">
        <f>'Notes to the Income Statement'!I85+'Notes to the Income Statement'!I86+'Notes to the Income Statement'!I87</f>
        <v>23169</v>
      </c>
      <c r="J8" s="807">
        <v>36470</v>
      </c>
      <c r="K8" s="807">
        <f>'Notes to the Income Statement'!K85+'Notes to the Income Statement'!K86+'Notes to the Income Statement'!K87</f>
        <v>44647</v>
      </c>
      <c r="L8" s="807">
        <f>'Notes to the Income Statement'!L85+'Notes to the Income Statement'!L86+'Notes to the Income Statement'!L87</f>
        <v>83197</v>
      </c>
      <c r="M8" s="807">
        <f>'Notes to the Income Statement'!M85+'Notes to the Income Statement'!M86+'Notes to the Income Statement'!M87</f>
        <v>154734</v>
      </c>
      <c r="N8" s="807">
        <f>'Notes to the Income Statement'!N85+'Notes to the Income Statement'!N86+'Notes to the Income Statement'!N87</f>
        <v>25100</v>
      </c>
      <c r="O8" s="807">
        <f>('Notes to the Income Statement'!O85+'Notes to the Income Statement'!O86+'Notes to the Income Statement'!O87)</f>
        <v>94155</v>
      </c>
      <c r="P8" s="807"/>
      <c r="Q8" s="807"/>
      <c r="R8" s="807"/>
      <c r="S8" s="807"/>
      <c r="T8" s="807"/>
      <c r="U8" s="807"/>
      <c r="V8" s="807"/>
      <c r="W8" s="807"/>
      <c r="X8" s="807"/>
      <c r="Y8" s="807"/>
      <c r="Z8" s="807"/>
      <c r="AA8" s="807"/>
      <c r="AB8" s="807"/>
      <c r="AC8" s="807"/>
      <c r="AD8" s="808"/>
    </row>
    <row r="9" spans="3:30" s="811" customFormat="1" ht="14">
      <c r="C9" s="923"/>
      <c r="D9" s="930" t="s">
        <v>176</v>
      </c>
      <c r="E9" s="807"/>
      <c r="F9" s="807"/>
      <c r="G9" s="807"/>
      <c r="H9" s="807"/>
      <c r="I9" s="807">
        <v>-4065</v>
      </c>
      <c r="J9" s="807">
        <v>-11848</v>
      </c>
      <c r="K9" s="807">
        <v>-24266</v>
      </c>
      <c r="L9" s="807">
        <v>-31850</v>
      </c>
      <c r="M9" s="807">
        <v>-106059</v>
      </c>
      <c r="N9" s="807">
        <v>-81928</v>
      </c>
      <c r="O9" s="807">
        <v>-83301</v>
      </c>
      <c r="P9" s="807"/>
      <c r="Q9" s="807"/>
      <c r="R9" s="807"/>
      <c r="S9" s="807"/>
      <c r="T9" s="807"/>
      <c r="U9" s="807"/>
      <c r="V9" s="807"/>
      <c r="W9" s="807"/>
      <c r="X9" s="807"/>
      <c r="Y9" s="807"/>
      <c r="Z9" s="807"/>
      <c r="AA9" s="807"/>
      <c r="AB9" s="807"/>
      <c r="AC9" s="807"/>
      <c r="AD9" s="808"/>
    </row>
    <row r="10" spans="3:30" s="811" customFormat="1" ht="14">
      <c r="C10" s="923"/>
      <c r="D10" s="930" t="s">
        <v>211</v>
      </c>
      <c r="E10" s="807">
        <f>-'Notes to the Income Statement'!E47</f>
        <v>508</v>
      </c>
      <c r="F10" s="807">
        <f>-'Notes to the Income Statement'!F47</f>
        <v>-235</v>
      </c>
      <c r="G10" s="807">
        <f>-'Notes to the Income Statement'!G47</f>
        <v>-522</v>
      </c>
      <c r="H10" s="807">
        <f>-'Notes to the Income Statement'!H47</f>
        <v>-33</v>
      </c>
      <c r="I10" s="807">
        <f>-'Notes to the Income Statement'!I47</f>
        <v>-1480</v>
      </c>
      <c r="J10" s="807">
        <f>-'Notes to the Income Statement'!J47</f>
        <v>-483</v>
      </c>
      <c r="K10" s="807">
        <f>-(-'Notes to the Income Statement'!K47)</f>
        <v>57</v>
      </c>
      <c r="L10" s="807">
        <f>-'Notes to the Income Statement'!L47</f>
        <v>-1193</v>
      </c>
      <c r="M10" s="807">
        <v>67</v>
      </c>
      <c r="N10" s="807">
        <v>-200</v>
      </c>
      <c r="O10" s="807">
        <f>-'Notes to the Income Statement'!O47</f>
        <v>-1293</v>
      </c>
      <c r="P10" s="807"/>
      <c r="Q10" s="807"/>
      <c r="R10" s="807"/>
      <c r="S10" s="807"/>
      <c r="T10" s="807"/>
      <c r="U10" s="807"/>
      <c r="V10" s="807"/>
      <c r="W10" s="807"/>
      <c r="X10" s="807"/>
      <c r="Y10" s="807"/>
      <c r="Z10" s="807"/>
      <c r="AA10" s="807"/>
      <c r="AB10" s="807"/>
      <c r="AC10" s="807"/>
      <c r="AD10" s="808"/>
    </row>
    <row r="11" spans="3:30" s="811" customFormat="1" ht="14">
      <c r="C11" s="923"/>
      <c r="D11" s="930" t="s">
        <v>233</v>
      </c>
      <c r="E11" s="807">
        <f>'Notes to the Income Statement'!E81</f>
        <v>845</v>
      </c>
      <c r="F11" s="807"/>
      <c r="G11" s="807"/>
      <c r="H11" s="807"/>
      <c r="I11" s="807"/>
      <c r="J11" s="807"/>
      <c r="K11" s="807"/>
      <c r="L11" s="807"/>
      <c r="M11" s="807"/>
      <c r="N11" s="807"/>
      <c r="O11" s="807"/>
      <c r="P11" s="807"/>
      <c r="Q11" s="807"/>
      <c r="R11" s="807"/>
      <c r="S11" s="807"/>
      <c r="T11" s="807"/>
      <c r="U11" s="807"/>
      <c r="V11" s="807"/>
      <c r="W11" s="807"/>
      <c r="X11" s="807"/>
      <c r="Y11" s="807"/>
      <c r="Z11" s="807"/>
      <c r="AA11" s="807"/>
      <c r="AB11" s="807"/>
      <c r="AC11" s="807"/>
      <c r="AD11" s="808"/>
    </row>
    <row r="12" spans="3:30" s="811" customFormat="1" ht="14">
      <c r="C12" s="923"/>
      <c r="D12" s="930" t="s">
        <v>177</v>
      </c>
      <c r="E12" s="807"/>
      <c r="F12" s="807"/>
      <c r="G12" s="807"/>
      <c r="H12" s="807"/>
      <c r="I12" s="807"/>
      <c r="J12" s="807"/>
      <c r="K12" s="807"/>
      <c r="L12" s="807"/>
      <c r="M12" s="807"/>
      <c r="N12" s="807">
        <v>8</v>
      </c>
      <c r="O12" s="807"/>
      <c r="P12" s="807"/>
      <c r="Q12" s="807"/>
      <c r="R12" s="807"/>
      <c r="S12" s="807"/>
      <c r="T12" s="807"/>
      <c r="U12" s="807"/>
      <c r="V12" s="807"/>
      <c r="W12" s="807"/>
      <c r="X12" s="807"/>
      <c r="Y12" s="807"/>
      <c r="Z12" s="807"/>
      <c r="AA12" s="807"/>
      <c r="AB12" s="807"/>
      <c r="AC12" s="807"/>
      <c r="AD12" s="808"/>
    </row>
    <row r="13" spans="3:30" s="811" customFormat="1" ht="14">
      <c r="C13" s="923"/>
      <c r="D13" s="930" t="s">
        <v>212</v>
      </c>
      <c r="E13" s="807"/>
      <c r="F13" s="807"/>
      <c r="G13" s="807"/>
      <c r="H13" s="807"/>
      <c r="I13" s="807"/>
      <c r="J13" s="807"/>
      <c r="K13" s="807"/>
      <c r="L13" s="807"/>
      <c r="M13" s="807"/>
      <c r="N13" s="807"/>
      <c r="O13" s="807">
        <f>'Notes to the Income Statement'!O82</f>
        <v>3455</v>
      </c>
      <c r="P13" s="807"/>
      <c r="Q13" s="807"/>
      <c r="R13" s="807"/>
      <c r="S13" s="807"/>
      <c r="T13" s="807"/>
      <c r="U13" s="807"/>
      <c r="V13" s="807"/>
      <c r="W13" s="807"/>
      <c r="X13" s="807"/>
      <c r="Y13" s="807"/>
      <c r="Z13" s="807"/>
      <c r="AA13" s="807"/>
      <c r="AB13" s="807"/>
      <c r="AC13" s="807"/>
      <c r="AD13" s="808"/>
    </row>
    <row r="14" spans="3:30" s="811" customFormat="1" ht="14">
      <c r="C14" s="923"/>
      <c r="D14" s="930" t="s">
        <v>240</v>
      </c>
      <c r="E14" s="807">
        <v>-22</v>
      </c>
      <c r="F14" s="807">
        <v>-3</v>
      </c>
      <c r="G14" s="807"/>
      <c r="H14" s="807"/>
      <c r="I14" s="807"/>
      <c r="J14" s="807"/>
      <c r="K14" s="807"/>
      <c r="L14" s="807"/>
      <c r="M14" s="807"/>
      <c r="N14" s="807"/>
      <c r="O14" s="807"/>
      <c r="P14" s="807"/>
      <c r="Q14" s="807"/>
      <c r="R14" s="807"/>
      <c r="S14" s="807"/>
      <c r="T14" s="807"/>
      <c r="U14" s="807"/>
      <c r="V14" s="807"/>
      <c r="W14" s="807"/>
      <c r="X14" s="807"/>
      <c r="Y14" s="807"/>
      <c r="Z14" s="807"/>
      <c r="AA14" s="807"/>
      <c r="AB14" s="807"/>
      <c r="AC14" s="807"/>
      <c r="AD14" s="808"/>
    </row>
    <row r="15" spans="3:30" s="811" customFormat="1" ht="14">
      <c r="C15" s="923"/>
      <c r="D15" s="930" t="s">
        <v>178</v>
      </c>
      <c r="E15" s="807"/>
      <c r="F15" s="807"/>
      <c r="G15" s="807"/>
      <c r="H15" s="807"/>
      <c r="I15" s="807"/>
      <c r="J15" s="807"/>
      <c r="K15" s="807"/>
      <c r="L15" s="807"/>
      <c r="M15" s="807"/>
      <c r="N15" s="807"/>
      <c r="O15" s="807">
        <f>-'Notes to the Income Statement'!O48</f>
        <v>-500</v>
      </c>
      <c r="P15" s="807"/>
      <c r="Q15" s="807"/>
      <c r="R15" s="807"/>
      <c r="S15" s="807"/>
      <c r="T15" s="807"/>
      <c r="U15" s="807"/>
      <c r="V15" s="807"/>
      <c r="W15" s="807"/>
      <c r="X15" s="807"/>
      <c r="Y15" s="807"/>
      <c r="Z15" s="807"/>
      <c r="AA15" s="807"/>
      <c r="AB15" s="807"/>
      <c r="AC15" s="807"/>
      <c r="AD15" s="808"/>
    </row>
    <row r="16" spans="3:30" s="811" customFormat="1" ht="14">
      <c r="C16" s="923"/>
      <c r="D16" s="930" t="s">
        <v>157</v>
      </c>
      <c r="E16" s="807"/>
      <c r="F16" s="807"/>
      <c r="G16" s="807"/>
      <c r="H16" s="807"/>
      <c r="I16" s="807"/>
      <c r="J16" s="807"/>
      <c r="K16" s="807"/>
      <c r="L16" s="807"/>
      <c r="M16" s="807"/>
      <c r="N16" s="807">
        <v>-268</v>
      </c>
      <c r="O16" s="807"/>
      <c r="P16" s="807"/>
      <c r="Q16" s="807"/>
      <c r="R16" s="807"/>
      <c r="S16" s="807"/>
      <c r="T16" s="807"/>
      <c r="U16" s="807"/>
      <c r="V16" s="807"/>
      <c r="W16" s="807"/>
      <c r="X16" s="807"/>
      <c r="Y16" s="807"/>
      <c r="Z16" s="807"/>
      <c r="AA16" s="807"/>
      <c r="AB16" s="807"/>
      <c r="AC16" s="807"/>
      <c r="AD16" s="808"/>
    </row>
    <row r="17" spans="3:30" s="811" customFormat="1" ht="14">
      <c r="C17" s="923"/>
      <c r="D17" s="930" t="s">
        <v>170</v>
      </c>
      <c r="E17" s="807"/>
      <c r="F17" s="807"/>
      <c r="G17" s="807"/>
      <c r="H17" s="807"/>
      <c r="I17" s="807"/>
      <c r="J17" s="807"/>
      <c r="K17" s="807"/>
      <c r="L17" s="807"/>
      <c r="M17" s="807">
        <f>-'Notes to the Income Statement'!M49</f>
        <v>-2418</v>
      </c>
      <c r="N17" s="807"/>
      <c r="O17" s="807"/>
      <c r="P17" s="807"/>
      <c r="Q17" s="807"/>
      <c r="R17" s="807"/>
      <c r="S17" s="807"/>
      <c r="T17" s="807"/>
      <c r="U17" s="807"/>
      <c r="V17" s="807"/>
      <c r="W17" s="807"/>
      <c r="X17" s="807"/>
      <c r="Y17" s="807"/>
      <c r="Z17" s="807"/>
      <c r="AA17" s="807"/>
      <c r="AB17" s="807"/>
      <c r="AC17" s="807"/>
      <c r="AD17" s="808"/>
    </row>
    <row r="18" spans="3:30" s="811" customFormat="1" ht="14">
      <c r="C18" s="923"/>
      <c r="D18" s="930" t="s">
        <v>179</v>
      </c>
      <c r="E18" s="807"/>
      <c r="F18" s="807"/>
      <c r="G18" s="807"/>
      <c r="H18" s="807"/>
      <c r="I18" s="807"/>
      <c r="J18" s="807"/>
      <c r="K18" s="807"/>
      <c r="L18" s="807">
        <f>'Notes to the Income Statement'!L112</f>
        <v>-34750</v>
      </c>
      <c r="M18" s="807"/>
      <c r="N18" s="807"/>
      <c r="O18" s="807">
        <f>'Notes to the Income Statement'!O94+'Notes to the Income Statement'!O95</f>
        <v>16919</v>
      </c>
      <c r="P18" s="807"/>
      <c r="Q18" s="807"/>
      <c r="R18" s="807"/>
      <c r="S18" s="807"/>
      <c r="T18" s="807"/>
      <c r="U18" s="807"/>
      <c r="V18" s="807"/>
      <c r="W18" s="807"/>
      <c r="X18" s="807"/>
      <c r="Y18" s="807"/>
      <c r="Z18" s="807"/>
      <c r="AA18" s="807"/>
      <c r="AB18" s="807"/>
      <c r="AC18" s="807"/>
      <c r="AD18" s="808"/>
    </row>
    <row r="19" spans="3:30" s="922" customFormat="1" ht="14">
      <c r="C19" s="921"/>
      <c r="D19" s="928" t="s">
        <v>180</v>
      </c>
      <c r="E19" s="816">
        <f t="shared" ref="E19:J19" si="1">SUM(E5:E6)</f>
        <v>244570</v>
      </c>
      <c r="F19" s="816">
        <f t="shared" si="1"/>
        <v>244102</v>
      </c>
      <c r="G19" s="816">
        <f t="shared" si="1"/>
        <v>315146</v>
      </c>
      <c r="H19" s="816">
        <f t="shared" si="1"/>
        <v>400329</v>
      </c>
      <c r="I19" s="816">
        <f t="shared" si="1"/>
        <v>500525</v>
      </c>
      <c r="J19" s="816">
        <f t="shared" si="1"/>
        <v>585566</v>
      </c>
      <c r="K19" s="816">
        <f t="shared" ref="K19:AD19" si="2">K5+K6</f>
        <v>610336</v>
      </c>
      <c r="L19" s="816">
        <f t="shared" si="2"/>
        <v>813857</v>
      </c>
      <c r="M19" s="816">
        <f t="shared" si="2"/>
        <v>862206</v>
      </c>
      <c r="N19" s="816">
        <f t="shared" si="2"/>
        <v>912577</v>
      </c>
      <c r="O19" s="816">
        <f t="shared" si="2"/>
        <v>1187874</v>
      </c>
      <c r="P19" s="816">
        <f>P5+P6</f>
        <v>1864591.3164273296</v>
      </c>
      <c r="Q19" s="816">
        <f t="shared" si="2"/>
        <v>2030599.0349216142</v>
      </c>
      <c r="R19" s="816">
        <f t="shared" si="2"/>
        <v>2163285.9973571985</v>
      </c>
      <c r="S19" s="816">
        <f t="shared" si="2"/>
        <v>2356637.9312349157</v>
      </c>
      <c r="T19" s="816">
        <f t="shared" si="2"/>
        <v>2556930.4796997467</v>
      </c>
      <c r="U19" s="816">
        <f t="shared" si="2"/>
        <v>2757744.2338320194</v>
      </c>
      <c r="V19" s="816">
        <f t="shared" si="2"/>
        <v>2984301.5664062807</v>
      </c>
      <c r="W19" s="816">
        <f t="shared" si="2"/>
        <v>3236557.536847481</v>
      </c>
      <c r="X19" s="816">
        <f t="shared" si="2"/>
        <v>3521868.8466068939</v>
      </c>
      <c r="Y19" s="816">
        <f t="shared" si="2"/>
        <v>3824836.732680453</v>
      </c>
      <c r="Z19" s="816">
        <f t="shared" si="2"/>
        <v>4154705.784009885</v>
      </c>
      <c r="AA19" s="816">
        <f t="shared" si="2"/>
        <v>4516097.6899012132</v>
      </c>
      <c r="AB19" s="816">
        <f t="shared" si="2"/>
        <v>4912827.2825669013</v>
      </c>
      <c r="AC19" s="816">
        <f t="shared" si="2"/>
        <v>5348545.9376119748</v>
      </c>
      <c r="AD19" s="929">
        <f t="shared" si="2"/>
        <v>5827290.8216884546</v>
      </c>
    </row>
    <row r="20" spans="3:30" s="811" customFormat="1" ht="14">
      <c r="C20" s="923"/>
      <c r="D20" s="930" t="s">
        <v>181</v>
      </c>
      <c r="E20" s="807">
        <v>33989</v>
      </c>
      <c r="F20" s="807">
        <v>50606</v>
      </c>
      <c r="G20" s="807">
        <v>-44475</v>
      </c>
      <c r="H20" s="915">
        <v>-79496</v>
      </c>
      <c r="I20" s="807">
        <v>-206875</v>
      </c>
      <c r="J20" s="807">
        <v>-168970</v>
      </c>
      <c r="K20" s="807">
        <v>118875</v>
      </c>
      <c r="L20" s="807">
        <v>-357295</v>
      </c>
      <c r="M20" s="807">
        <v>-468732</v>
      </c>
      <c r="N20" s="807">
        <v>325800</v>
      </c>
      <c r="O20" s="807">
        <v>-92760</v>
      </c>
      <c r="P20" s="807">
        <f>'2e. Notes to the New Fin Stat'!P60</f>
        <v>-431139.89140236098</v>
      </c>
      <c r="Q20" s="807">
        <f>'2e. Notes to the New Fin Stat'!Q60</f>
        <v>-148515.37985081039</v>
      </c>
      <c r="R20" s="807">
        <f>'2e. Notes to the New Fin Stat'!R60</f>
        <v>-152063.75318398932</v>
      </c>
      <c r="S20" s="807">
        <f>'2e. Notes to the New Fin Stat'!S60</f>
        <v>-162865.00110065844</v>
      </c>
      <c r="T20" s="807">
        <f>'2e. Notes to the New Fin Stat'!T60</f>
        <v>-165173.91542724334</v>
      </c>
      <c r="U20" s="807">
        <f>'2e. Notes to the New Fin Stat'!U60</f>
        <v>-170332.06565395603</v>
      </c>
      <c r="V20" s="807">
        <f>'2e. Notes to the New Fin Stat'!V60</f>
        <v>-184867.56009333069</v>
      </c>
      <c r="W20" s="807">
        <f>'2e. Notes to the New Fin Stat'!W60</f>
        <v>-204616.13965913048</v>
      </c>
      <c r="X20" s="807">
        <f>'2e. Notes to the New Fin Stat'!X60</f>
        <v>-232983.09863156546</v>
      </c>
      <c r="Y20" s="807">
        <f>'2e. Notes to the New Fin Stat'!Y60</f>
        <v>-242870.91778205987</v>
      </c>
      <c r="Z20" s="807">
        <f>'2e. Notes to the New Fin Stat'!Z60</f>
        <v>-263007.65251883678</v>
      </c>
      <c r="AA20" s="807">
        <f>'2e. Notes to the New Fin Stat'!AA60</f>
        <v>-286729.49719674513</v>
      </c>
      <c r="AB20" s="807">
        <f>'2e. Notes to the New Fin Stat'!AB60</f>
        <v>-313162.01778371911</v>
      </c>
      <c r="AC20" s="807">
        <f>'2e. Notes to the New Fin Stat'!AC60</f>
        <v>-342221.32440469135</v>
      </c>
      <c r="AD20" s="808">
        <f>'2e. Notes to the New Fin Stat'!AD60</f>
        <v>-374175.39062065724</v>
      </c>
    </row>
    <row r="21" spans="3:30" s="922" customFormat="1" ht="14">
      <c r="C21" s="921"/>
      <c r="D21" s="928" t="s">
        <v>182</v>
      </c>
      <c r="E21" s="816">
        <f t="shared" ref="E21:G21" si="3">E19+E20</f>
        <v>278559</v>
      </c>
      <c r="F21" s="816">
        <f t="shared" si="3"/>
        <v>294708</v>
      </c>
      <c r="G21" s="816">
        <f t="shared" si="3"/>
        <v>270671</v>
      </c>
      <c r="H21" s="816">
        <f>H19+H20</f>
        <v>320833</v>
      </c>
      <c r="I21" s="816">
        <f t="shared" ref="I21:AD21" si="4">I19+I20</f>
        <v>293650</v>
      </c>
      <c r="J21" s="816">
        <f t="shared" si="4"/>
        <v>416596</v>
      </c>
      <c r="K21" s="816">
        <f t="shared" si="4"/>
        <v>729211</v>
      </c>
      <c r="L21" s="816">
        <f t="shared" si="4"/>
        <v>456562</v>
      </c>
      <c r="M21" s="816">
        <f t="shared" si="4"/>
        <v>393474</v>
      </c>
      <c r="N21" s="816">
        <f t="shared" si="4"/>
        <v>1238377</v>
      </c>
      <c r="O21" s="816">
        <f t="shared" si="4"/>
        <v>1095114</v>
      </c>
      <c r="P21" s="816">
        <f t="shared" si="4"/>
        <v>1433451.4250249686</v>
      </c>
      <c r="Q21" s="816">
        <f t="shared" si="4"/>
        <v>1882083.6550708038</v>
      </c>
      <c r="R21" s="816">
        <f t="shared" si="4"/>
        <v>2011222.2441732092</v>
      </c>
      <c r="S21" s="816">
        <f t="shared" si="4"/>
        <v>2193772.9301342573</v>
      </c>
      <c r="T21" s="816">
        <f t="shared" si="4"/>
        <v>2391756.5642725034</v>
      </c>
      <c r="U21" s="816">
        <f t="shared" si="4"/>
        <v>2587412.1681780634</v>
      </c>
      <c r="V21" s="816">
        <f t="shared" si="4"/>
        <v>2799434.00631295</v>
      </c>
      <c r="W21" s="816">
        <f t="shared" si="4"/>
        <v>3031941.3971883506</v>
      </c>
      <c r="X21" s="816">
        <f t="shared" si="4"/>
        <v>3288885.7479753285</v>
      </c>
      <c r="Y21" s="816">
        <f t="shared" si="4"/>
        <v>3581965.8148983931</v>
      </c>
      <c r="Z21" s="816">
        <f t="shared" si="4"/>
        <v>3891698.1314910483</v>
      </c>
      <c r="AA21" s="816">
        <f t="shared" si="4"/>
        <v>4229368.192704468</v>
      </c>
      <c r="AB21" s="816">
        <f t="shared" si="4"/>
        <v>4599665.2647831822</v>
      </c>
      <c r="AC21" s="816">
        <f t="shared" si="4"/>
        <v>5006324.6132072834</v>
      </c>
      <c r="AD21" s="929">
        <f t="shared" si="4"/>
        <v>5453115.4310677974</v>
      </c>
    </row>
    <row r="22" spans="3:30" s="811" customFormat="1" ht="14">
      <c r="C22" s="923"/>
      <c r="D22" s="930" t="s">
        <v>183</v>
      </c>
      <c r="E22" s="807">
        <f>'Notes to the Income Statement'!E137+'Notes to the Income Statement'!E125</f>
        <v>29048</v>
      </c>
      <c r="F22" s="807">
        <f>'Notes to the Income Statement'!F137+'Notes to the Income Statement'!F125</f>
        <v>34651</v>
      </c>
      <c r="G22" s="807">
        <f>'Notes to the Income Statement'!G137+'Notes to the Income Statement'!G125</f>
        <v>24472</v>
      </c>
      <c r="H22" s="807">
        <f>'Notes to the Income Statement'!H137+'Notes to the Income Statement'!H125</f>
        <v>20998</v>
      </c>
      <c r="I22" s="807">
        <f>'Notes to the Income Statement'!I137+'Notes to the Income Statement'!I125</f>
        <v>16509</v>
      </c>
      <c r="J22" s="807">
        <f>'Notes to the Income Statement'!J137+'Notes to the Income Statement'!J125</f>
        <v>6639</v>
      </c>
      <c r="K22" s="807">
        <f>'Notes to the Income Statement'!K137+'Notes to the Income Statement'!K125</f>
        <v>14320</v>
      </c>
      <c r="L22" s="807">
        <f>'Notes to the Income Statement'!L137-'Notes to the Income Statement'!L131</f>
        <v>25312</v>
      </c>
      <c r="M22" s="807">
        <v>9886</v>
      </c>
      <c r="N22" s="807">
        <v>24476</v>
      </c>
      <c r="O22" s="807">
        <v>59264</v>
      </c>
      <c r="P22" s="807">
        <f>'2a. Income Statement'!P41</f>
        <v>53568.098538384831</v>
      </c>
      <c r="Q22" s="807">
        <f>'2a. Income Statement'!Q41</f>
        <v>1464.164400403203</v>
      </c>
      <c r="R22" s="807">
        <f>'2a. Income Statement'!R41</f>
        <v>5317.2219369511722</v>
      </c>
      <c r="S22" s="807">
        <f>'2a. Income Statement'!S41</f>
        <v>6919.9562203362038</v>
      </c>
      <c r="T22" s="807">
        <f>'2a. Income Statement'!T41</f>
        <v>8390.0637170864265</v>
      </c>
      <c r="U22" s="807">
        <f>'2a. Income Statement'!U41</f>
        <v>10105.290038473138</v>
      </c>
      <c r="V22" s="807">
        <f>'2a. Income Statement'!V41</f>
        <v>11894.738482998695</v>
      </c>
      <c r="W22" s="807">
        <f>'2a. Income Statement'!W41</f>
        <v>13377.100731142393</v>
      </c>
      <c r="X22" s="807">
        <f>'2a. Income Statement'!X41</f>
        <v>14341.156527019926</v>
      </c>
      <c r="Y22" s="807">
        <f>'2a. Income Statement'!Y41</f>
        <v>14429.868088161771</v>
      </c>
      <c r="Z22" s="807">
        <f>'2a. Income Statement'!Z41</f>
        <v>14476.565220047522</v>
      </c>
      <c r="AA22" s="807">
        <f>'2a. Income Statement'!AA41</f>
        <v>14027.151837097421</v>
      </c>
      <c r="AB22" s="807">
        <f>'2a. Income Statement'!AB41</f>
        <v>12930.694187671159</v>
      </c>
      <c r="AC22" s="807">
        <f>'2a. Income Statement'!AC41</f>
        <v>11075.183374559851</v>
      </c>
      <c r="AD22" s="808">
        <f>'2a. Income Statement'!AD41</f>
        <v>8350.6765004538338</v>
      </c>
    </row>
    <row r="23" spans="3:30" s="811" customFormat="1" ht="14">
      <c r="C23" s="923"/>
      <c r="D23" s="930" t="s">
        <v>13</v>
      </c>
      <c r="E23" s="807">
        <f>'Notes to the Income Statement'!E153</f>
        <v>-2440</v>
      </c>
      <c r="F23" s="807">
        <f>'Notes to the Income Statement'!F153</f>
        <v>-5160</v>
      </c>
      <c r="G23" s="807">
        <f>'Notes to the Income Statement'!G153</f>
        <v>-8675</v>
      </c>
      <c r="H23" s="807">
        <f>'Notes to the Income Statement'!H153</f>
        <v>-6464</v>
      </c>
      <c r="I23" s="807">
        <f>'Notes to the Income Statement'!I153</f>
        <v>-5600</v>
      </c>
      <c r="J23" s="807">
        <f>'Notes to the Income Statement'!J153</f>
        <v>-5497</v>
      </c>
      <c r="K23" s="807">
        <f>'Notes to the Income Statement'!K153</f>
        <v>-2872</v>
      </c>
      <c r="L23" s="807">
        <f>'Notes to the Income Statement'!L153</f>
        <v>-3108</v>
      </c>
      <c r="M23" s="807">
        <f>'Notes to the Income Statement'!M153</f>
        <v>-7485</v>
      </c>
      <c r="N23" s="807">
        <f>'Notes to the Income Statement'!N153</f>
        <v>-17102</v>
      </c>
      <c r="O23" s="807">
        <f>'Notes to the Income Statement'!O153</f>
        <v>-158442</v>
      </c>
      <c r="P23" s="807">
        <f>'2a. Income Statement'!P42</f>
        <v>-220455.89597000001</v>
      </c>
      <c r="Q23" s="807">
        <f>'2a. Income Statement'!Q42</f>
        <v>-172211.34640000001</v>
      </c>
      <c r="R23" s="807">
        <f>'2a. Income Statement'!R42</f>
        <v>-177325.01490000001</v>
      </c>
      <c r="S23" s="807">
        <f>'2a. Income Statement'!S42</f>
        <v>-183101.7524</v>
      </c>
      <c r="T23" s="807">
        <f>'2a. Income Statement'!T42</f>
        <v>-189210.02439999999</v>
      </c>
      <c r="U23" s="807">
        <f>'2a. Income Statement'!U42</f>
        <v>-195288.1569</v>
      </c>
      <c r="V23" s="807">
        <f>'2a. Income Statement'!V42</f>
        <v>-201959.03290000002</v>
      </c>
      <c r="W23" s="807">
        <f>'2a. Income Statement'!W42</f>
        <v>-209433.62890000001</v>
      </c>
      <c r="X23" s="807">
        <f>'2a. Income Statement'!X42</f>
        <v>-217440.6894</v>
      </c>
      <c r="Y23" s="807">
        <f>'2a. Income Statement'!Y42</f>
        <v>-226030.44690000004</v>
      </c>
      <c r="Z23" s="807">
        <f>'2a. Income Statement'!Z42</f>
        <v>-235112.4829</v>
      </c>
      <c r="AA23" s="807">
        <f>'2a. Income Statement'!AA42</f>
        <v>-244833.55927237123</v>
      </c>
      <c r="AB23" s="807">
        <f>'2a. Income Statement'!AB42</f>
        <v>-255362.8505797041</v>
      </c>
      <c r="AC23" s="807">
        <f>'2a. Income Statement'!AC42</f>
        <v>-266702.57009834633</v>
      </c>
      <c r="AD23" s="808">
        <f>'2a. Income Statement'!AD42</f>
        <v>-278915.09561484744</v>
      </c>
    </row>
    <row r="24" spans="3:30" s="811" customFormat="1" ht="14">
      <c r="C24" s="923"/>
      <c r="D24" s="930" t="s">
        <v>184</v>
      </c>
      <c r="E24" s="807">
        <f>'Notes to the cash flow statemen'!E28</f>
        <v>-62366</v>
      </c>
      <c r="F24" s="807">
        <f>'Notes to the cash flow statemen'!F28</f>
        <v>-46960</v>
      </c>
      <c r="G24" s="807">
        <f>'Notes to the cash flow statemen'!G28</f>
        <v>-74378</v>
      </c>
      <c r="H24" s="807">
        <f>'Notes to the cash flow statemen'!H28</f>
        <v>-84623</v>
      </c>
      <c r="I24" s="807">
        <f>'Notes to the cash flow statemen'!I28</f>
        <v>-138822</v>
      </c>
      <c r="J24" s="807">
        <f>'Notes to the cash flow statemen'!J28</f>
        <v>-166234</v>
      </c>
      <c r="K24" s="807">
        <f>'Notes to the cash flow statemen'!K28</f>
        <v>-169132</v>
      </c>
      <c r="L24" s="807">
        <f>'Notes to the cash flow statemen'!L28</f>
        <v>-242588</v>
      </c>
      <c r="M24" s="807">
        <f>'Notes to the cash flow statemen'!M28</f>
        <v>-317873</v>
      </c>
      <c r="N24" s="807">
        <f>'Notes to the cash flow statemen'!N28</f>
        <v>-264090</v>
      </c>
      <c r="O24" s="807">
        <f>'Notes to the cash flow statemen'!O28</f>
        <v>-221986</v>
      </c>
      <c r="P24" s="807">
        <f>-'2a. Income Statement'!P46</f>
        <v>-520434.70737850002</v>
      </c>
      <c r="Q24" s="807">
        <f>-'2a. Income Statement'!Q46</f>
        <v>-570687.34352027345</v>
      </c>
      <c r="R24" s="807">
        <f>-'2a. Income Statement'!R46</f>
        <v>-609377.5857891835</v>
      </c>
      <c r="S24" s="807">
        <f>-'2a. Income Statement'!S46</f>
        <v>-668988.88536110148</v>
      </c>
      <c r="T24" s="807">
        <f>-'2a. Income Statement'!T46</f>
        <v>-730096.29635660257</v>
      </c>
      <c r="U24" s="807">
        <f>-'2a. Income Statement'!U46</f>
        <v>-790630.79769502999</v>
      </c>
      <c r="V24" s="807">
        <f>-'2a. Income Statement'!V46</f>
        <v>-859042.29645441915</v>
      </c>
      <c r="W24" s="807">
        <f>-'2a. Income Statement'!W46</f>
        <v>-934991.11442955071</v>
      </c>
      <c r="X24" s="807">
        <f>-'2a. Income Statement'!X46</f>
        <v>-1020933.8112627636</v>
      </c>
      <c r="Y24" s="807">
        <f>-'2a. Income Statement'!Y46</f>
        <v>-1111208.0491649953</v>
      </c>
      <c r="Z24" s="807">
        <f>-'2a. Income Statement'!Z46</f>
        <v>-1209215.6613505343</v>
      </c>
      <c r="AA24" s="807">
        <f>-'2a. Income Statement'!AA46</f>
        <v>-1316185.7947854311</v>
      </c>
      <c r="AB24" s="807">
        <f>-'2a. Income Statement'!AB46</f>
        <v>-1433141.2987143246</v>
      </c>
      <c r="AC24" s="807">
        <f>-'2a. Income Statement'!AC46</f>
        <v>-1561095.4444106407</v>
      </c>
      <c r="AD24" s="808">
        <f>-'2a. Income Statement'!AD46</f>
        <v>-1701148.7527521164</v>
      </c>
    </row>
    <row r="25" spans="3:30" s="811" customFormat="1" ht="14">
      <c r="C25" s="923"/>
      <c r="D25" s="930" t="s">
        <v>185</v>
      </c>
      <c r="E25" s="807"/>
      <c r="F25" s="807"/>
      <c r="G25" s="807"/>
      <c r="H25" s="807"/>
      <c r="I25" s="807"/>
      <c r="J25" s="807"/>
      <c r="K25" s="807"/>
      <c r="L25" s="807"/>
      <c r="M25" s="807"/>
      <c r="N25" s="816">
        <v>-291524</v>
      </c>
      <c r="O25" s="807"/>
      <c r="P25" s="807"/>
      <c r="Q25" s="807"/>
      <c r="R25" s="807"/>
      <c r="S25" s="807"/>
      <c r="T25" s="807"/>
      <c r="U25" s="807"/>
      <c r="V25" s="807"/>
      <c r="W25" s="807"/>
      <c r="X25" s="807"/>
      <c r="Y25" s="807"/>
      <c r="Z25" s="807"/>
      <c r="AA25" s="807"/>
      <c r="AB25" s="807"/>
      <c r="AC25" s="807"/>
      <c r="AD25" s="808"/>
    </row>
    <row r="26" spans="3:30" s="811" customFormat="1" ht="14">
      <c r="C26" s="923"/>
      <c r="D26" s="930" t="s">
        <v>186</v>
      </c>
      <c r="E26" s="807">
        <f>'Notes to the cash flow statemen'!E37</f>
        <v>-83587</v>
      </c>
      <c r="F26" s="807">
        <f>'Notes to the cash flow statemen'!F37</f>
        <v>-86034</v>
      </c>
      <c r="G26" s="807">
        <f>'Notes to the cash flow statemen'!G37</f>
        <v>-83128</v>
      </c>
      <c r="H26" s="807">
        <f>'Notes to the cash flow statemen'!H37</f>
        <v>-123640</v>
      </c>
      <c r="I26" s="807">
        <f>'Notes to the cash flow statemen'!I37</f>
        <v>-170984</v>
      </c>
      <c r="J26" s="807">
        <f>'Notes to the cash flow statemen'!J37</f>
        <v>-193840</v>
      </c>
      <c r="K26" s="807">
        <f>'Notes to the cash flow statemen'!K37</f>
        <v>-219993</v>
      </c>
      <c r="L26" s="807">
        <f>'Notes to the cash flow statemen'!L37</f>
        <v>-242222</v>
      </c>
      <c r="M26" s="807">
        <f>'Notes to the cash flow statemen'!M37</f>
        <v>-380932</v>
      </c>
      <c r="N26" s="807">
        <f>'Notes to the cash flow statemen'!N37</f>
        <v>-365880</v>
      </c>
      <c r="O26" s="807">
        <f>'Notes to the cash flow statemen'!O37</f>
        <v>-427395</v>
      </c>
      <c r="P26" s="807">
        <f>'2d. Changes in Equity'!P19</f>
        <v>-724891.19956291083</v>
      </c>
      <c r="Q26" s="807">
        <f>'2d. Changes in Equity'!Q19</f>
        <v>-847878.33894440648</v>
      </c>
      <c r="R26" s="807">
        <f>'2d. Changes in Equity'!R19</f>
        <v>-961946.04613863956</v>
      </c>
      <c r="S26" s="807">
        <f>'2d. Changes in Equity'!S19</f>
        <v>-1056046.7404628817</v>
      </c>
      <c r="T26" s="807">
        <f>'2d. Changes in Equity'!T19</f>
        <v>-1152509.1535343514</v>
      </c>
      <c r="U26" s="807">
        <f>'2d. Changes in Equity'!U19</f>
        <v>-1248067.1877900118</v>
      </c>
      <c r="V26" s="807">
        <f>'2d. Changes in Equity'!V19</f>
        <v>-1356059.6251173331</v>
      </c>
      <c r="W26" s="807">
        <f>'2d. Changes in Equity'!W19</f>
        <v>-1475950.259206648</v>
      </c>
      <c r="X26" s="807">
        <f>'2d. Changes in Equity'!X19</f>
        <v>-1611616.944921934</v>
      </c>
      <c r="Y26" s="807">
        <f>'2d. Changes in Equity'!Y19</f>
        <v>-1754121.2776104573</v>
      </c>
      <c r="Z26" s="807">
        <f>'2d. Changes in Equity'!Z19</f>
        <v>-1908833.2939890577</v>
      </c>
      <c r="AA26" s="807">
        <f>'2d. Changes in Equity'!AA19</f>
        <v>-2077693.2903398592</v>
      </c>
      <c r="AB26" s="807">
        <f>'2d. Changes in Equity'!AB19</f>
        <v>-2262315.9072561837</v>
      </c>
      <c r="AC26" s="807">
        <f>'2d. Changes in Equity'!AC19</f>
        <v>-2464300.6658196547</v>
      </c>
      <c r="AD26" s="808">
        <f>'2d. Changes in Equity'!AD19</f>
        <v>-2685384.8168444126</v>
      </c>
    </row>
    <row r="27" spans="3:30" s="922" customFormat="1" ht="14">
      <c r="C27" s="921"/>
      <c r="D27" s="931" t="s">
        <v>187</v>
      </c>
      <c r="E27" s="924">
        <f t="shared" ref="E27:G27" si="5">SUM(E21:E26)</f>
        <v>159214</v>
      </c>
      <c r="F27" s="924">
        <f t="shared" si="5"/>
        <v>191205</v>
      </c>
      <c r="G27" s="924">
        <f t="shared" si="5"/>
        <v>128962</v>
      </c>
      <c r="H27" s="924">
        <f t="shared" ref="H27:N27" si="6">SUM(H21:H26)</f>
        <v>127104</v>
      </c>
      <c r="I27" s="924">
        <f t="shared" si="6"/>
        <v>-5247</v>
      </c>
      <c r="J27" s="924">
        <f t="shared" si="6"/>
        <v>57664</v>
      </c>
      <c r="K27" s="924">
        <f t="shared" si="6"/>
        <v>351534</v>
      </c>
      <c r="L27" s="924">
        <f t="shared" si="6"/>
        <v>-6044</v>
      </c>
      <c r="M27" s="924">
        <f t="shared" si="6"/>
        <v>-302930</v>
      </c>
      <c r="N27" s="924">
        <f t="shared" si="6"/>
        <v>324257</v>
      </c>
      <c r="O27" s="924">
        <f>SUM(O21:O26)</f>
        <v>346555</v>
      </c>
      <c r="P27" s="924">
        <f>SUM(P21:P26)</f>
        <v>21237.720651942538</v>
      </c>
      <c r="Q27" s="924">
        <f t="shared" ref="Q27" si="7">SUM(Q21:Q26)</f>
        <v>292770.79060652712</v>
      </c>
      <c r="R27" s="924">
        <f t="shared" ref="R27:AD27" si="8">SUM(R21:R26)</f>
        <v>267890.81928233709</v>
      </c>
      <c r="S27" s="924">
        <f t="shared" si="8"/>
        <v>292555.50813061022</v>
      </c>
      <c r="T27" s="924">
        <f t="shared" si="8"/>
        <v>328331.15369863575</v>
      </c>
      <c r="U27" s="924">
        <f t="shared" si="8"/>
        <v>363531.31583149475</v>
      </c>
      <c r="V27" s="924">
        <f t="shared" si="8"/>
        <v>394267.79032419645</v>
      </c>
      <c r="W27" s="924">
        <f t="shared" si="8"/>
        <v>424943.4953832943</v>
      </c>
      <c r="X27" s="924">
        <f t="shared" si="8"/>
        <v>453235.45891765086</v>
      </c>
      <c r="Y27" s="924">
        <f t="shared" si="8"/>
        <v>505035.909311102</v>
      </c>
      <c r="Z27" s="924">
        <f t="shared" si="8"/>
        <v>553013.25847150385</v>
      </c>
      <c r="AA27" s="924">
        <f t="shared" si="8"/>
        <v>604682.70014390396</v>
      </c>
      <c r="AB27" s="924">
        <f t="shared" si="8"/>
        <v>661775.90242064046</v>
      </c>
      <c r="AC27" s="924">
        <f t="shared" si="8"/>
        <v>725301.11625320138</v>
      </c>
      <c r="AD27" s="932">
        <f t="shared" si="8"/>
        <v>796017.44235687423</v>
      </c>
    </row>
    <row r="28" spans="3:30" s="811" customFormat="1" ht="14">
      <c r="C28" s="923"/>
      <c r="D28" s="930"/>
      <c r="E28" s="807"/>
      <c r="F28" s="807"/>
      <c r="G28" s="807"/>
      <c r="H28" s="807"/>
      <c r="I28" s="807"/>
      <c r="J28" s="807"/>
      <c r="K28" s="807"/>
      <c r="L28" s="807"/>
      <c r="M28" s="807"/>
      <c r="N28" s="807"/>
      <c r="O28" s="807"/>
      <c r="P28" s="807"/>
      <c r="Q28" s="807"/>
      <c r="R28" s="807"/>
      <c r="S28" s="807"/>
      <c r="T28" s="807"/>
      <c r="U28" s="807"/>
      <c r="V28" s="807"/>
      <c r="W28" s="807"/>
      <c r="X28" s="807"/>
      <c r="Y28" s="807"/>
      <c r="Z28" s="807"/>
      <c r="AA28" s="807"/>
      <c r="AB28" s="807"/>
      <c r="AC28" s="807"/>
      <c r="AD28" s="808"/>
    </row>
    <row r="29" spans="3:30" s="811" customFormat="1" ht="14">
      <c r="C29" s="923"/>
      <c r="D29" s="930"/>
      <c r="E29" s="807"/>
      <c r="F29" s="807"/>
      <c r="G29" s="807"/>
      <c r="H29" s="807"/>
      <c r="I29" s="807"/>
      <c r="J29" s="807"/>
      <c r="K29" s="807"/>
      <c r="L29" s="807"/>
      <c r="M29" s="807"/>
      <c r="N29" s="807"/>
      <c r="O29" s="807"/>
      <c r="P29" s="807"/>
      <c r="Q29" s="807"/>
      <c r="R29" s="807"/>
      <c r="S29" s="807"/>
      <c r="T29" s="807"/>
      <c r="U29" s="807"/>
      <c r="V29" s="807"/>
      <c r="W29" s="807"/>
      <c r="X29" s="807"/>
      <c r="Y29" s="807"/>
      <c r="Z29" s="807"/>
      <c r="AA29" s="807"/>
      <c r="AB29" s="807"/>
      <c r="AC29" s="807"/>
      <c r="AD29" s="808"/>
    </row>
    <row r="30" spans="3:30" s="811" customFormat="1" ht="14">
      <c r="C30" s="923"/>
      <c r="D30" s="930" t="s">
        <v>188</v>
      </c>
      <c r="E30" s="807">
        <v>-43429</v>
      </c>
      <c r="F30" s="807">
        <v>-31820</v>
      </c>
      <c r="G30" s="807">
        <v>-27549</v>
      </c>
      <c r="H30" s="807">
        <v>-38127</v>
      </c>
      <c r="I30" s="807">
        <v>-71520</v>
      </c>
      <c r="J30" s="807">
        <v>-61619</v>
      </c>
      <c r="K30" s="807">
        <v>-102667</v>
      </c>
      <c r="L30" s="807">
        <v>-67661</v>
      </c>
      <c r="M30" s="807">
        <v>-103990</v>
      </c>
      <c r="N30" s="807">
        <v>-134358</v>
      </c>
      <c r="O30" s="807">
        <v>-106618</v>
      </c>
      <c r="P30" s="807">
        <f>-'All Together'!P81</f>
        <v>-185367.46000000002</v>
      </c>
      <c r="Q30" s="807">
        <f>-'All Together'!Q81</f>
        <v>-207803.93608752286</v>
      </c>
      <c r="R30" s="807">
        <f>-'All Together'!R81</f>
        <v>-232547.6432728238</v>
      </c>
      <c r="S30" s="807">
        <f>-'All Together'!S81</f>
        <v>-260136.99150612624</v>
      </c>
      <c r="T30" s="807">
        <f>-'All Together'!T81</f>
        <v>-290507.32575574948</v>
      </c>
      <c r="U30" s="807">
        <f>-'All Together'!U81</f>
        <v>-324070.75646713068</v>
      </c>
      <c r="V30" s="807">
        <f>-'All Together'!V81</f>
        <v>-361579.03437186975</v>
      </c>
      <c r="W30" s="807">
        <f>-'All Together'!W81</f>
        <v>-403684.32970005448</v>
      </c>
      <c r="X30" s="807">
        <f>-'All Together'!X81</f>
        <v>-451279.20930596039</v>
      </c>
      <c r="Y30" s="807">
        <f>-'All Together'!Y81</f>
        <v>-504006.15349412919</v>
      </c>
      <c r="Z30" s="807">
        <f>-'All Together'!Z81</f>
        <v>-562923.63254866481</v>
      </c>
      <c r="AA30" s="807">
        <f>-'All Together'!AA81</f>
        <v>-628861.56503272592</v>
      </c>
      <c r="AB30" s="807">
        <f>-'All Together'!AB81</f>
        <v>-702693.25593031989</v>
      </c>
      <c r="AC30" s="807">
        <f>-'All Together'!AC81</f>
        <v>-785381.39717617771</v>
      </c>
      <c r="AD30" s="808">
        <f>-'All Together'!AD81</f>
        <v>-878007.47777653928</v>
      </c>
    </row>
    <row r="31" spans="3:30" s="811" customFormat="1" ht="14">
      <c r="C31" s="923"/>
      <c r="D31" s="930" t="s">
        <v>189</v>
      </c>
      <c r="E31" s="807">
        <v>-2643</v>
      </c>
      <c r="F31" s="807">
        <v>-62456</v>
      </c>
      <c r="G31" s="807">
        <v>-492</v>
      </c>
      <c r="H31" s="807">
        <v>-89384</v>
      </c>
      <c r="I31" s="807">
        <v>-19618</v>
      </c>
      <c r="J31" s="807">
        <v>-30233</v>
      </c>
      <c r="K31" s="807">
        <v>-23321</v>
      </c>
      <c r="L31" s="807">
        <v>-2085</v>
      </c>
      <c r="M31" s="807">
        <v>-23182</v>
      </c>
      <c r="N31" s="807">
        <v>-24592</v>
      </c>
      <c r="O31" s="807">
        <v>-53995</v>
      </c>
      <c r="P31" s="807"/>
      <c r="Q31" s="807"/>
      <c r="R31" s="807"/>
      <c r="S31" s="807"/>
      <c r="T31" s="807"/>
      <c r="U31" s="807"/>
      <c r="V31" s="807"/>
      <c r="W31" s="807"/>
      <c r="X31" s="807"/>
      <c r="Y31" s="807"/>
      <c r="Z31" s="807"/>
      <c r="AA31" s="807"/>
      <c r="AB31" s="807"/>
      <c r="AC31" s="807"/>
      <c r="AD31" s="808"/>
    </row>
    <row r="32" spans="3:30" s="811" customFormat="1" ht="14">
      <c r="C32" s="923"/>
      <c r="D32" s="930" t="s">
        <v>190</v>
      </c>
      <c r="E32" s="807"/>
      <c r="F32" s="807"/>
      <c r="G32" s="807"/>
      <c r="H32" s="807"/>
      <c r="I32" s="807"/>
      <c r="J32" s="807"/>
      <c r="K32" s="807"/>
      <c r="L32" s="807"/>
      <c r="M32" s="807"/>
      <c r="N32" s="807">
        <v>-4436</v>
      </c>
      <c r="O32" s="807">
        <v>-3429</v>
      </c>
      <c r="P32" s="807"/>
      <c r="Q32" s="807"/>
      <c r="R32" s="807"/>
      <c r="S32" s="807"/>
      <c r="T32" s="807"/>
      <c r="U32" s="807"/>
      <c r="V32" s="807"/>
      <c r="W32" s="807"/>
      <c r="X32" s="807"/>
      <c r="Y32" s="807"/>
      <c r="Z32" s="807"/>
      <c r="AA32" s="807"/>
      <c r="AB32" s="807"/>
      <c r="AC32" s="807"/>
      <c r="AD32" s="808"/>
    </row>
    <row r="33" spans="3:30" s="811" customFormat="1" ht="14">
      <c r="C33" s="923"/>
      <c r="D33" s="930" t="s">
        <v>191</v>
      </c>
      <c r="E33" s="807">
        <v>6413</v>
      </c>
      <c r="F33" s="807">
        <v>1639</v>
      </c>
      <c r="G33" s="807">
        <v>1854</v>
      </c>
      <c r="H33" s="807">
        <v>2478</v>
      </c>
      <c r="I33" s="807">
        <v>10275</v>
      </c>
      <c r="J33" s="807">
        <v>2590</v>
      </c>
      <c r="K33" s="807">
        <v>460</v>
      </c>
      <c r="L33" s="807">
        <v>1536</v>
      </c>
      <c r="M33" s="807">
        <v>3800</v>
      </c>
      <c r="N33" s="807">
        <v>990</v>
      </c>
      <c r="O33" s="807">
        <v>12909</v>
      </c>
      <c r="P33" s="807"/>
      <c r="Q33" s="807"/>
      <c r="R33" s="807"/>
      <c r="S33" s="807"/>
      <c r="T33" s="807"/>
      <c r="U33" s="807"/>
      <c r="V33" s="807"/>
      <c r="W33" s="807"/>
      <c r="X33" s="807"/>
      <c r="Y33" s="807"/>
      <c r="Z33" s="807"/>
      <c r="AA33" s="807"/>
      <c r="AB33" s="807"/>
      <c r="AC33" s="807"/>
      <c r="AD33" s="808"/>
    </row>
    <row r="34" spans="3:30" s="811" customFormat="1" ht="14">
      <c r="C34" s="923"/>
      <c r="D34" s="930" t="s">
        <v>238</v>
      </c>
      <c r="E34" s="807">
        <v>12</v>
      </c>
      <c r="F34" s="807"/>
      <c r="G34" s="807"/>
      <c r="H34" s="807">
        <v>451</v>
      </c>
      <c r="I34" s="807"/>
      <c r="J34" s="807"/>
      <c r="K34" s="807"/>
      <c r="L34" s="807"/>
      <c r="M34" s="807"/>
      <c r="N34" s="807"/>
      <c r="O34" s="807"/>
      <c r="P34" s="807"/>
      <c r="Q34" s="807"/>
      <c r="R34" s="807"/>
      <c r="S34" s="807"/>
      <c r="T34" s="807"/>
      <c r="U34" s="807"/>
      <c r="V34" s="807"/>
      <c r="W34" s="807"/>
      <c r="X34" s="807"/>
      <c r="Y34" s="807"/>
      <c r="Z34" s="807"/>
      <c r="AA34" s="807"/>
      <c r="AB34" s="807"/>
      <c r="AC34" s="807"/>
      <c r="AD34" s="808"/>
    </row>
    <row r="35" spans="3:30" s="811" customFormat="1" ht="14">
      <c r="C35" s="923"/>
      <c r="D35" s="930" t="s">
        <v>432</v>
      </c>
      <c r="E35" s="807"/>
      <c r="F35" s="807"/>
      <c r="G35" s="807"/>
      <c r="H35" s="807"/>
      <c r="I35" s="807"/>
      <c r="J35" s="807"/>
      <c r="K35" s="807"/>
      <c r="L35" s="807"/>
      <c r="M35" s="807">
        <v>2418</v>
      </c>
      <c r="N35" s="807"/>
      <c r="O35" s="807"/>
      <c r="P35" s="807"/>
      <c r="Q35" s="807"/>
      <c r="R35" s="807"/>
      <c r="S35" s="807"/>
      <c r="T35" s="807"/>
      <c r="U35" s="807"/>
      <c r="V35" s="807"/>
      <c r="W35" s="807"/>
      <c r="X35" s="807"/>
      <c r="Y35" s="807"/>
      <c r="Z35" s="807"/>
      <c r="AA35" s="807"/>
      <c r="AB35" s="807"/>
      <c r="AC35" s="807"/>
      <c r="AD35" s="808"/>
    </row>
    <row r="36" spans="3:30" s="811" customFormat="1" ht="14">
      <c r="C36" s="923"/>
      <c r="D36" s="930" t="s">
        <v>192</v>
      </c>
      <c r="E36" s="807"/>
      <c r="F36" s="807"/>
      <c r="G36" s="807"/>
      <c r="H36" s="807"/>
      <c r="I36" s="807"/>
      <c r="J36" s="807"/>
      <c r="K36" s="807">
        <f>'Notes to the cash flow statemen'!K59</f>
        <v>-258</v>
      </c>
      <c r="L36" s="807">
        <f>'Notes to the cash flow statemen'!L59</f>
        <v>-105296</v>
      </c>
      <c r="M36" s="807">
        <f>'Notes to the cash flow statemen'!M59</f>
        <v>-10450</v>
      </c>
      <c r="N36" s="807"/>
      <c r="O36" s="807">
        <f>-'Notes to the cash flow statemen'!O87-'Notes to the cash flow statemen'!O59</f>
        <v>-4544426</v>
      </c>
      <c r="P36" s="807"/>
      <c r="Q36" s="807"/>
      <c r="R36" s="807"/>
      <c r="S36" s="807"/>
      <c r="T36" s="807"/>
      <c r="U36" s="807"/>
      <c r="V36" s="807"/>
      <c r="W36" s="807"/>
      <c r="X36" s="807"/>
      <c r="Y36" s="807"/>
      <c r="Z36" s="807"/>
      <c r="AA36" s="807"/>
      <c r="AB36" s="807"/>
      <c r="AC36" s="807"/>
      <c r="AD36" s="808"/>
    </row>
    <row r="37" spans="3:30" s="811" customFormat="1" ht="14">
      <c r="C37" s="923"/>
      <c r="D37" s="930" t="s">
        <v>243</v>
      </c>
      <c r="E37" s="807">
        <f>'Notes to the cash flow statemen'!E59</f>
        <v>16745</v>
      </c>
      <c r="F37" s="807">
        <f>'Notes to the cash flow statemen'!F59</f>
        <v>0</v>
      </c>
      <c r="G37" s="807">
        <f>'Notes to the cash flow statemen'!G59</f>
        <v>7830</v>
      </c>
      <c r="H37" s="807">
        <f>'Notes to the cash flow statemen'!H59</f>
        <v>21312</v>
      </c>
      <c r="I37" s="807"/>
      <c r="J37" s="807"/>
      <c r="K37" s="807"/>
      <c r="L37" s="807"/>
      <c r="M37" s="807"/>
      <c r="N37" s="807"/>
      <c r="O37" s="807"/>
      <c r="P37" s="807"/>
      <c r="Q37" s="807"/>
      <c r="R37" s="807"/>
      <c r="S37" s="807"/>
      <c r="T37" s="807"/>
      <c r="U37" s="807"/>
      <c r="V37" s="807"/>
      <c r="W37" s="807"/>
      <c r="X37" s="807"/>
      <c r="Y37" s="807"/>
      <c r="Z37" s="807"/>
      <c r="AA37" s="807"/>
      <c r="AB37" s="807"/>
      <c r="AC37" s="807"/>
      <c r="AD37" s="808"/>
    </row>
    <row r="38" spans="3:30" s="811" customFormat="1" ht="14">
      <c r="C38" s="923"/>
      <c r="D38" s="930" t="s">
        <v>241</v>
      </c>
      <c r="E38" s="807"/>
      <c r="F38" s="807">
        <v>-88000</v>
      </c>
      <c r="G38" s="807"/>
      <c r="H38" s="807"/>
      <c r="I38" s="807"/>
      <c r="J38" s="807"/>
      <c r="K38" s="807"/>
      <c r="L38" s="807"/>
      <c r="M38" s="807"/>
      <c r="N38" s="807"/>
      <c r="O38" s="807"/>
      <c r="P38" s="807"/>
      <c r="Q38" s="807"/>
      <c r="R38" s="807"/>
      <c r="S38" s="807"/>
      <c r="T38" s="807"/>
      <c r="U38" s="807"/>
      <c r="V38" s="807"/>
      <c r="W38" s="807"/>
      <c r="X38" s="807"/>
      <c r="Y38" s="807"/>
      <c r="Z38" s="807"/>
      <c r="AA38" s="807"/>
      <c r="AB38" s="807"/>
      <c r="AC38" s="807"/>
      <c r="AD38" s="808"/>
    </row>
    <row r="39" spans="3:30" s="811" customFormat="1" ht="14">
      <c r="C39" s="923"/>
      <c r="D39" s="930" t="s">
        <v>193</v>
      </c>
      <c r="E39" s="807"/>
      <c r="F39" s="807"/>
      <c r="G39" s="807">
        <v>3366</v>
      </c>
      <c r="H39" s="807">
        <v>7728</v>
      </c>
      <c r="I39" s="807"/>
      <c r="J39" s="807"/>
      <c r="K39" s="807"/>
      <c r="L39" s="807">
        <v>-1296</v>
      </c>
      <c r="M39" s="807">
        <v>-26695</v>
      </c>
      <c r="N39" s="807"/>
      <c r="O39" s="807">
        <v>-2812</v>
      </c>
      <c r="P39" s="807"/>
      <c r="Q39" s="807"/>
      <c r="R39" s="807"/>
      <c r="S39" s="807"/>
      <c r="T39" s="807"/>
      <c r="U39" s="807"/>
      <c r="V39" s="807"/>
      <c r="W39" s="807"/>
      <c r="X39" s="807"/>
      <c r="Y39" s="807"/>
      <c r="Z39" s="807"/>
      <c r="AA39" s="807"/>
      <c r="AB39" s="807"/>
      <c r="AC39" s="807"/>
      <c r="AD39" s="808"/>
    </row>
    <row r="40" spans="3:30" s="811" customFormat="1" ht="14">
      <c r="C40" s="923"/>
      <c r="D40" s="930" t="s">
        <v>233</v>
      </c>
      <c r="E40" s="807">
        <f>-'Notes to the Income Statement'!E81</f>
        <v>-845</v>
      </c>
      <c r="F40" s="807"/>
      <c r="G40" s="807"/>
      <c r="H40" s="807"/>
      <c r="I40" s="807"/>
      <c r="J40" s="807"/>
      <c r="K40" s="807"/>
      <c r="L40" s="807"/>
      <c r="M40" s="807"/>
      <c r="N40" s="807"/>
      <c r="O40" s="807"/>
      <c r="P40" s="807"/>
      <c r="Q40" s="807"/>
      <c r="R40" s="807"/>
      <c r="S40" s="807"/>
      <c r="T40" s="807"/>
      <c r="U40" s="807"/>
      <c r="V40" s="807"/>
      <c r="W40" s="807"/>
      <c r="X40" s="807"/>
      <c r="Y40" s="807"/>
      <c r="Z40" s="807"/>
      <c r="AA40" s="807"/>
      <c r="AB40" s="807"/>
      <c r="AC40" s="807"/>
      <c r="AD40" s="808"/>
    </row>
    <row r="41" spans="3:30" s="811" customFormat="1" ht="14">
      <c r="C41" s="923"/>
      <c r="D41" s="930" t="s">
        <v>194</v>
      </c>
      <c r="E41" s="807"/>
      <c r="F41" s="807"/>
      <c r="G41" s="807"/>
      <c r="H41" s="807"/>
      <c r="I41" s="807"/>
      <c r="J41" s="807"/>
      <c r="K41" s="807">
        <v>22829</v>
      </c>
      <c r="L41" s="807">
        <v>11949</v>
      </c>
      <c r="M41" s="807">
        <v>39377</v>
      </c>
      <c r="N41" s="807">
        <v>8573</v>
      </c>
      <c r="O41" s="807">
        <v>105049</v>
      </c>
      <c r="P41" s="807"/>
      <c r="Q41" s="807"/>
      <c r="R41" s="807"/>
      <c r="S41" s="807"/>
      <c r="T41" s="807"/>
      <c r="U41" s="807"/>
      <c r="V41" s="807"/>
      <c r="W41" s="807"/>
      <c r="X41" s="807"/>
      <c r="Y41" s="807"/>
      <c r="Z41" s="807"/>
      <c r="AA41" s="807"/>
      <c r="AB41" s="807"/>
      <c r="AC41" s="807"/>
      <c r="AD41" s="808"/>
    </row>
    <row r="42" spans="3:30" s="811" customFormat="1" ht="14">
      <c r="C42" s="923"/>
      <c r="D42" s="930" t="s">
        <v>195</v>
      </c>
      <c r="E42" s="807">
        <v>8975</v>
      </c>
      <c r="F42" s="807">
        <v>12789</v>
      </c>
      <c r="G42" s="807">
        <v>14291</v>
      </c>
      <c r="H42" s="807">
        <v>3470</v>
      </c>
      <c r="I42" s="807">
        <v>14221</v>
      </c>
      <c r="J42" s="807">
        <v>1534</v>
      </c>
      <c r="K42" s="807">
        <v>-12870</v>
      </c>
      <c r="L42" s="807">
        <v>9718</v>
      </c>
      <c r="M42" s="807">
        <v>-5848</v>
      </c>
      <c r="N42" s="807">
        <v>6172</v>
      </c>
      <c r="O42" s="807">
        <v>-97099</v>
      </c>
      <c r="P42" s="807"/>
      <c r="Q42" s="807"/>
      <c r="R42" s="807"/>
      <c r="S42" s="807"/>
      <c r="T42" s="807"/>
      <c r="U42" s="807"/>
      <c r="V42" s="807"/>
      <c r="W42" s="807"/>
      <c r="X42" s="807"/>
      <c r="Y42" s="807"/>
      <c r="Z42" s="807"/>
      <c r="AA42" s="807"/>
      <c r="AB42" s="807"/>
      <c r="AC42" s="807"/>
      <c r="AD42" s="808"/>
    </row>
    <row r="43" spans="3:30" s="811" customFormat="1" ht="14">
      <c r="C43" s="923"/>
      <c r="D43" s="930" t="s">
        <v>196</v>
      </c>
      <c r="E43" s="807"/>
      <c r="F43" s="807"/>
      <c r="G43" s="807"/>
      <c r="H43" s="807"/>
      <c r="I43" s="807"/>
      <c r="J43" s="807"/>
      <c r="K43" s="807"/>
      <c r="L43" s="807"/>
      <c r="M43" s="807">
        <f>-'Notes to the cash flow statemen'!M98</f>
        <v>-7158</v>
      </c>
      <c r="N43" s="807"/>
      <c r="O43" s="807">
        <f>-'Notes to the cash flow statemen'!O98</f>
        <v>-1276</v>
      </c>
      <c r="P43" s="807"/>
      <c r="Q43" s="807"/>
      <c r="R43" s="807"/>
      <c r="S43" s="807"/>
      <c r="T43" s="807"/>
      <c r="U43" s="807"/>
      <c r="V43" s="807"/>
      <c r="W43" s="807"/>
      <c r="X43" s="807"/>
      <c r="Y43" s="807"/>
      <c r="Z43" s="807"/>
      <c r="AA43" s="807"/>
      <c r="AB43" s="807"/>
      <c r="AC43" s="807"/>
      <c r="AD43" s="808"/>
    </row>
    <row r="44" spans="3:30" s="811" customFormat="1" ht="14">
      <c r="C44" s="923"/>
      <c r="D44" s="930" t="s">
        <v>237</v>
      </c>
      <c r="E44" s="807"/>
      <c r="F44" s="807">
        <v>-190</v>
      </c>
      <c r="G44" s="807"/>
      <c r="H44" s="807"/>
      <c r="I44" s="807"/>
      <c r="J44" s="807">
        <v>-209</v>
      </c>
      <c r="K44" s="807"/>
      <c r="L44" s="807"/>
      <c r="M44" s="807"/>
      <c r="N44" s="807"/>
      <c r="O44" s="807"/>
      <c r="P44" s="807"/>
      <c r="Q44" s="807"/>
      <c r="R44" s="807"/>
      <c r="S44" s="807"/>
      <c r="T44" s="807"/>
      <c r="U44" s="807"/>
      <c r="V44" s="807"/>
      <c r="W44" s="807"/>
      <c r="X44" s="807"/>
      <c r="Y44" s="807"/>
      <c r="Z44" s="807"/>
      <c r="AA44" s="807"/>
      <c r="AB44" s="807"/>
      <c r="AC44" s="807"/>
      <c r="AD44" s="808"/>
    </row>
    <row r="45" spans="3:30" s="811" customFormat="1" ht="14">
      <c r="C45" s="923"/>
      <c r="D45" s="930" t="s">
        <v>427</v>
      </c>
      <c r="E45" s="807"/>
      <c r="F45" s="807"/>
      <c r="G45" s="807"/>
      <c r="H45" s="807"/>
      <c r="I45" s="807"/>
      <c r="J45" s="807"/>
      <c r="K45" s="807"/>
      <c r="L45" s="807"/>
      <c r="M45" s="807">
        <f>'Notes to the cash flow statemen'!M110</f>
        <v>3490</v>
      </c>
      <c r="N45" s="807"/>
      <c r="O45" s="807"/>
      <c r="P45" s="807"/>
      <c r="Q45" s="807"/>
      <c r="R45" s="807"/>
      <c r="S45" s="807"/>
      <c r="T45" s="807"/>
      <c r="U45" s="807"/>
      <c r="V45" s="807"/>
      <c r="W45" s="807"/>
      <c r="X45" s="807"/>
      <c r="Y45" s="807"/>
      <c r="Z45" s="807"/>
      <c r="AA45" s="807"/>
      <c r="AB45" s="807"/>
      <c r="AC45" s="807"/>
      <c r="AD45" s="808"/>
    </row>
    <row r="46" spans="3:30" s="811" customFormat="1" ht="14">
      <c r="C46" s="923"/>
      <c r="D46" s="930" t="s">
        <v>197</v>
      </c>
      <c r="E46" s="807"/>
      <c r="F46" s="807"/>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8"/>
    </row>
    <row r="47" spans="3:30" s="811" customFormat="1" ht="14">
      <c r="C47" s="923"/>
      <c r="D47" s="930" t="s">
        <v>198</v>
      </c>
      <c r="E47" s="807"/>
      <c r="F47" s="807"/>
      <c r="G47" s="807"/>
      <c r="H47" s="807"/>
      <c r="I47" s="807"/>
      <c r="J47" s="807"/>
      <c r="K47" s="807"/>
      <c r="L47" s="807"/>
      <c r="M47" s="807"/>
      <c r="N47" s="807"/>
      <c r="O47" s="807">
        <f>-'Notes to the cash flow statemen'!O113</f>
        <v>-56321</v>
      </c>
      <c r="P47" s="807"/>
      <c r="Q47" s="807"/>
      <c r="R47" s="807"/>
      <c r="S47" s="807"/>
      <c r="T47" s="807"/>
      <c r="U47" s="807"/>
      <c r="V47" s="807"/>
      <c r="W47" s="807"/>
      <c r="X47" s="807"/>
      <c r="Y47" s="807"/>
      <c r="Z47" s="807"/>
      <c r="AA47" s="807"/>
      <c r="AB47" s="807"/>
      <c r="AC47" s="807"/>
      <c r="AD47" s="808"/>
    </row>
    <row r="48" spans="3:30" s="811" customFormat="1" ht="14">
      <c r="C48" s="923"/>
      <c r="D48" s="930" t="s">
        <v>236</v>
      </c>
      <c r="E48" s="807">
        <v>-1347</v>
      </c>
      <c r="F48" s="807">
        <f>'Notes to the Income Statement'!F103</f>
        <v>227</v>
      </c>
      <c r="G48" s="807"/>
      <c r="H48" s="807">
        <v>4546</v>
      </c>
      <c r="I48" s="807">
        <v>4213</v>
      </c>
      <c r="J48" s="807"/>
      <c r="K48" s="807"/>
      <c r="L48" s="807"/>
      <c r="M48" s="807"/>
      <c r="N48" s="807"/>
      <c r="O48" s="807"/>
      <c r="P48" s="807"/>
      <c r="Q48" s="807"/>
      <c r="R48" s="807"/>
      <c r="S48" s="807"/>
      <c r="T48" s="807"/>
      <c r="U48" s="807"/>
      <c r="V48" s="807"/>
      <c r="W48" s="807"/>
      <c r="X48" s="807"/>
      <c r="Y48" s="807"/>
      <c r="Z48" s="807"/>
      <c r="AA48" s="807"/>
      <c r="AB48" s="807"/>
      <c r="AC48" s="807"/>
      <c r="AD48" s="808"/>
    </row>
    <row r="49" spans="3:30" s="811" customFormat="1" ht="14">
      <c r="C49" s="923"/>
      <c r="D49" s="930" t="s">
        <v>199</v>
      </c>
      <c r="E49" s="807"/>
      <c r="F49" s="807"/>
      <c r="G49" s="807"/>
      <c r="H49" s="807"/>
      <c r="I49" s="807"/>
      <c r="J49" s="807"/>
      <c r="K49" s="807"/>
      <c r="L49" s="807"/>
      <c r="M49" s="807">
        <v>-27</v>
      </c>
      <c r="N49" s="807">
        <v>268</v>
      </c>
      <c r="O49" s="807"/>
      <c r="P49" s="807"/>
      <c r="Q49" s="807"/>
      <c r="R49" s="807"/>
      <c r="S49" s="807"/>
      <c r="T49" s="807"/>
      <c r="U49" s="807"/>
      <c r="V49" s="807"/>
      <c r="W49" s="807"/>
      <c r="X49" s="807"/>
      <c r="Y49" s="807"/>
      <c r="Z49" s="807"/>
      <c r="AA49" s="807"/>
      <c r="AB49" s="807"/>
      <c r="AC49" s="807"/>
      <c r="AD49" s="808"/>
    </row>
    <row r="50" spans="3:30" s="811" customFormat="1" ht="14">
      <c r="C50" s="923"/>
      <c r="D50" s="930" t="s">
        <v>200</v>
      </c>
      <c r="E50" s="807"/>
      <c r="F50" s="807"/>
      <c r="G50" s="807"/>
      <c r="H50" s="807"/>
      <c r="I50" s="807"/>
      <c r="J50" s="807"/>
      <c r="K50" s="807"/>
      <c r="L50" s="807">
        <v>-196</v>
      </c>
      <c r="M50" s="807"/>
      <c r="N50" s="807"/>
      <c r="O50" s="807">
        <v>802</v>
      </c>
      <c r="P50" s="807"/>
      <c r="Q50" s="807"/>
      <c r="R50" s="807"/>
      <c r="S50" s="807"/>
      <c r="T50" s="807"/>
      <c r="U50" s="807"/>
      <c r="V50" s="807"/>
      <c r="W50" s="807"/>
      <c r="X50" s="807"/>
      <c r="Y50" s="807"/>
      <c r="Z50" s="807"/>
      <c r="AA50" s="807"/>
      <c r="AB50" s="807"/>
      <c r="AC50" s="807"/>
      <c r="AD50" s="808"/>
    </row>
    <row r="51" spans="3:30" s="811" customFormat="1" ht="14">
      <c r="C51" s="923"/>
      <c r="D51" s="930" t="s">
        <v>201</v>
      </c>
      <c r="E51" s="807"/>
      <c r="F51" s="807"/>
      <c r="G51" s="807"/>
      <c r="H51" s="807"/>
      <c r="I51" s="807"/>
      <c r="J51" s="807"/>
      <c r="K51" s="807"/>
      <c r="L51" s="807"/>
      <c r="M51" s="807"/>
      <c r="N51" s="807"/>
      <c r="O51" s="807"/>
      <c r="P51" s="807"/>
      <c r="Q51" s="807"/>
      <c r="R51" s="807"/>
      <c r="S51" s="807"/>
      <c r="T51" s="807"/>
      <c r="U51" s="807"/>
      <c r="V51" s="807"/>
      <c r="W51" s="807"/>
      <c r="X51" s="807"/>
      <c r="Y51" s="807"/>
      <c r="Z51" s="807"/>
      <c r="AA51" s="807"/>
      <c r="AB51" s="807"/>
      <c r="AC51" s="807"/>
      <c r="AD51" s="808"/>
    </row>
    <row r="52" spans="3:30" s="922" customFormat="1" ht="14">
      <c r="C52" s="921"/>
      <c r="D52" s="931" t="s">
        <v>202</v>
      </c>
      <c r="E52" s="924">
        <f>SUM(E30:E51)</f>
        <v>-16119</v>
      </c>
      <c r="F52" s="924">
        <f>SUM(F30:F51)</f>
        <v>-167811</v>
      </c>
      <c r="G52" s="924">
        <f>SUM(G30:G51)</f>
        <v>-700</v>
      </c>
      <c r="H52" s="924">
        <f t="shared" ref="H52:N52" si="9">SUM(H30:H51)</f>
        <v>-87526</v>
      </c>
      <c r="I52" s="924">
        <f t="shared" si="9"/>
        <v>-62429</v>
      </c>
      <c r="J52" s="924">
        <f t="shared" si="9"/>
        <v>-87937</v>
      </c>
      <c r="K52" s="924">
        <f t="shared" si="9"/>
        <v>-115827</v>
      </c>
      <c r="L52" s="924">
        <f t="shared" si="9"/>
        <v>-153331</v>
      </c>
      <c r="M52" s="924">
        <f t="shared" si="9"/>
        <v>-128265</v>
      </c>
      <c r="N52" s="924">
        <f t="shared" si="9"/>
        <v>-147383</v>
      </c>
      <c r="O52" s="924">
        <f>SUM(O30:O51)</f>
        <v>-4747216</v>
      </c>
      <c r="P52" s="924">
        <f t="shared" ref="P52" si="10">SUM(P30:P51)</f>
        <v>-185367.46000000002</v>
      </c>
      <c r="Q52" s="924">
        <f t="shared" ref="Q52:AD52" si="11">SUM(Q30:Q51)</f>
        <v>-207803.93608752286</v>
      </c>
      <c r="R52" s="924">
        <f t="shared" si="11"/>
        <v>-232547.6432728238</v>
      </c>
      <c r="S52" s="924">
        <f t="shared" si="11"/>
        <v>-260136.99150612624</v>
      </c>
      <c r="T52" s="924">
        <f t="shared" si="11"/>
        <v>-290507.32575574948</v>
      </c>
      <c r="U52" s="924">
        <f t="shared" si="11"/>
        <v>-324070.75646713068</v>
      </c>
      <c r="V52" s="924">
        <f t="shared" si="11"/>
        <v>-361579.03437186975</v>
      </c>
      <c r="W52" s="924">
        <f t="shared" si="11"/>
        <v>-403684.32970005448</v>
      </c>
      <c r="X52" s="924">
        <f t="shared" si="11"/>
        <v>-451279.20930596039</v>
      </c>
      <c r="Y52" s="924">
        <f t="shared" si="11"/>
        <v>-504006.15349412919</v>
      </c>
      <c r="Z52" s="924">
        <f t="shared" si="11"/>
        <v>-562923.63254866481</v>
      </c>
      <c r="AA52" s="924">
        <f t="shared" si="11"/>
        <v>-628861.56503272592</v>
      </c>
      <c r="AB52" s="924">
        <f t="shared" si="11"/>
        <v>-702693.25593031989</v>
      </c>
      <c r="AC52" s="924">
        <f t="shared" si="11"/>
        <v>-785381.39717617771</v>
      </c>
      <c r="AD52" s="932">
        <f t="shared" si="11"/>
        <v>-878007.47777653928</v>
      </c>
    </row>
    <row r="53" spans="3:30" s="811" customFormat="1" ht="14">
      <c r="C53" s="923"/>
      <c r="D53" s="930"/>
      <c r="E53" s="807"/>
      <c r="F53" s="807"/>
      <c r="G53" s="807"/>
      <c r="H53" s="807"/>
      <c r="I53" s="807"/>
      <c r="J53" s="807"/>
      <c r="K53" s="807"/>
      <c r="L53" s="807"/>
      <c r="M53" s="807"/>
      <c r="N53" s="807"/>
      <c r="O53" s="807"/>
      <c r="P53" s="807"/>
      <c r="Q53" s="807"/>
      <c r="R53" s="807"/>
      <c r="S53" s="807"/>
      <c r="T53" s="807"/>
      <c r="U53" s="807"/>
      <c r="V53" s="807"/>
      <c r="W53" s="807"/>
      <c r="X53" s="807"/>
      <c r="Y53" s="807"/>
      <c r="Z53" s="807"/>
      <c r="AA53" s="807"/>
      <c r="AB53" s="807"/>
      <c r="AC53" s="807"/>
      <c r="AD53" s="808"/>
    </row>
    <row r="54" spans="3:30" s="811" customFormat="1" ht="14">
      <c r="C54" s="923"/>
      <c r="D54" s="930" t="s">
        <v>203</v>
      </c>
      <c r="E54" s="807">
        <v>14420</v>
      </c>
      <c r="F54" s="807">
        <v>9377</v>
      </c>
      <c r="G54" s="807">
        <v>16087</v>
      </c>
      <c r="H54" s="807">
        <v>10817</v>
      </c>
      <c r="I54" s="807">
        <v>14472</v>
      </c>
      <c r="J54" s="807">
        <v>6598</v>
      </c>
      <c r="K54" s="807">
        <v>3112</v>
      </c>
      <c r="L54" s="807">
        <v>4270</v>
      </c>
      <c r="M54" s="807">
        <v>2608</v>
      </c>
      <c r="N54" s="807">
        <v>1286</v>
      </c>
      <c r="O54" s="933">
        <v>1154615</v>
      </c>
      <c r="P54" s="807"/>
      <c r="Q54" s="807"/>
      <c r="R54" s="807"/>
      <c r="S54" s="807"/>
      <c r="T54" s="807"/>
      <c r="U54" s="807"/>
      <c r="V54" s="807"/>
      <c r="W54" s="807"/>
      <c r="X54" s="807"/>
      <c r="Y54" s="807"/>
      <c r="Z54" s="807"/>
      <c r="AA54" s="807"/>
      <c r="AB54" s="807"/>
      <c r="AC54" s="807"/>
      <c r="AD54" s="808"/>
    </row>
    <row r="55" spans="3:30" s="811" customFormat="1" ht="14">
      <c r="C55" s="923"/>
      <c r="D55" s="930" t="s">
        <v>204</v>
      </c>
      <c r="E55" s="807">
        <v>3500</v>
      </c>
      <c r="F55" s="807">
        <v>-6713</v>
      </c>
      <c r="G55" s="807">
        <v>-12568</v>
      </c>
      <c r="H55" s="807">
        <v>-98</v>
      </c>
      <c r="I55" s="807">
        <v>1198</v>
      </c>
      <c r="J55" s="807">
        <v>155</v>
      </c>
      <c r="K55" s="807">
        <v>1790</v>
      </c>
      <c r="L55" s="807">
        <v>3717</v>
      </c>
      <c r="M55" s="807">
        <v>8300</v>
      </c>
      <c r="N55" s="807">
        <v>9185</v>
      </c>
      <c r="O55" s="807">
        <v>-33743</v>
      </c>
      <c r="P55" s="807"/>
      <c r="Q55" s="807"/>
      <c r="R55" s="807"/>
      <c r="S55" s="807"/>
      <c r="T55" s="807"/>
      <c r="U55" s="807"/>
      <c r="V55" s="807"/>
      <c r="W55" s="807"/>
      <c r="X55" s="807"/>
      <c r="Y55" s="807"/>
      <c r="Z55" s="807"/>
      <c r="AA55" s="807"/>
      <c r="AB55" s="807"/>
      <c r="AC55" s="807"/>
      <c r="AD55" s="808"/>
    </row>
    <row r="56" spans="3:30" s="811" customFormat="1" ht="14">
      <c r="C56" s="923"/>
      <c r="D56" s="930" t="s">
        <v>239</v>
      </c>
      <c r="E56" s="807">
        <v>-336</v>
      </c>
      <c r="F56" s="807">
        <v>-177822</v>
      </c>
      <c r="G56" s="807">
        <v>-36805</v>
      </c>
      <c r="H56" s="807">
        <v>-52302</v>
      </c>
      <c r="I56" s="807"/>
      <c r="J56" s="807"/>
      <c r="K56" s="807"/>
      <c r="L56" s="807"/>
      <c r="M56" s="807"/>
      <c r="N56" s="807"/>
      <c r="O56" s="807"/>
      <c r="P56" s="807"/>
      <c r="Q56" s="807"/>
      <c r="R56" s="807"/>
      <c r="S56" s="807"/>
      <c r="T56" s="807"/>
      <c r="U56" s="807"/>
      <c r="V56" s="807"/>
      <c r="W56" s="807"/>
      <c r="X56" s="807"/>
      <c r="Y56" s="807"/>
      <c r="Z56" s="807"/>
      <c r="AA56" s="807"/>
      <c r="AB56" s="807"/>
      <c r="AC56" s="807"/>
      <c r="AD56" s="808"/>
    </row>
    <row r="57" spans="3:30" s="811" customFormat="1" ht="14">
      <c r="C57" s="923"/>
      <c r="D57" s="930" t="s">
        <v>242</v>
      </c>
      <c r="E57" s="807">
        <v>238</v>
      </c>
      <c r="F57" s="807">
        <v>264</v>
      </c>
      <c r="G57" s="807"/>
      <c r="H57" s="807"/>
      <c r="I57" s="807"/>
      <c r="J57" s="807"/>
      <c r="K57" s="807"/>
      <c r="L57" s="807"/>
      <c r="M57" s="807"/>
      <c r="N57" s="807"/>
      <c r="O57" s="807"/>
      <c r="P57" s="807"/>
      <c r="Q57" s="807"/>
      <c r="R57" s="807"/>
      <c r="S57" s="807"/>
      <c r="T57" s="807"/>
      <c r="U57" s="807"/>
      <c r="V57" s="807"/>
      <c r="W57" s="807"/>
      <c r="X57" s="807"/>
      <c r="Y57" s="807"/>
      <c r="Z57" s="807"/>
      <c r="AA57" s="807"/>
      <c r="AB57" s="807"/>
      <c r="AC57" s="807"/>
      <c r="AD57" s="808"/>
    </row>
    <row r="58" spans="3:30" s="811" customFormat="1" ht="14">
      <c r="C58" s="923"/>
      <c r="D58" s="930" t="s">
        <v>1127</v>
      </c>
      <c r="E58" s="807"/>
      <c r="F58" s="807"/>
      <c r="G58" s="807"/>
      <c r="H58" s="807"/>
      <c r="I58" s="807"/>
      <c r="J58" s="807"/>
      <c r="K58" s="807"/>
      <c r="L58" s="807"/>
      <c r="M58" s="807"/>
      <c r="N58" s="807">
        <v>300000</v>
      </c>
      <c r="O58" s="933">
        <v>4025301</v>
      </c>
      <c r="P58" s="807">
        <f>-('2b. Balance Sheet'!O44-'2b. Balance Sheet'!P44)</f>
        <v>-984855.79999999981</v>
      </c>
      <c r="Q58" s="807">
        <f>-('2b. Balance Sheet'!P44-'2b. Balance Sheet'!Q44)</f>
        <v>0</v>
      </c>
      <c r="R58" s="807">
        <f>-('2b. Balance Sheet'!Q44-'2b. Balance Sheet'!R44)</f>
        <v>0</v>
      </c>
      <c r="S58" s="807">
        <f>-('2b. Balance Sheet'!R44-'2b. Balance Sheet'!S44)</f>
        <v>0</v>
      </c>
      <c r="T58" s="807">
        <f>-('2b. Balance Sheet'!S44-'2b. Balance Sheet'!T44)</f>
        <v>0</v>
      </c>
      <c r="U58" s="807">
        <f>-('2b. Balance Sheet'!T44-'2b. Balance Sheet'!U44)</f>
        <v>0</v>
      </c>
      <c r="V58" s="807">
        <f>-('2b. Balance Sheet'!U44-'2b. Balance Sheet'!V44)</f>
        <v>0</v>
      </c>
      <c r="W58" s="807">
        <f>-('2b. Balance Sheet'!V44-'2b. Balance Sheet'!W44)</f>
        <v>0</v>
      </c>
      <c r="X58" s="807">
        <f>-('2b. Balance Sheet'!W44-'2b. Balance Sheet'!X44)</f>
        <v>0</v>
      </c>
      <c r="Y58" s="807">
        <f>-('2b. Balance Sheet'!X44-'2b. Balance Sheet'!Y44)</f>
        <v>0</v>
      </c>
      <c r="Z58" s="807">
        <f>-('2b. Balance Sheet'!Y44-'2b. Balance Sheet'!Z44)</f>
        <v>0</v>
      </c>
      <c r="AA58" s="807">
        <f>-('2b. Balance Sheet'!Z44-'2b. Balance Sheet'!AA44)</f>
        <v>0</v>
      </c>
      <c r="AB58" s="807">
        <f>-('2b. Balance Sheet'!AA44-'2b. Balance Sheet'!AB44)</f>
        <v>0</v>
      </c>
      <c r="AC58" s="807">
        <f>-('2b. Balance Sheet'!AB44-'2b. Balance Sheet'!AC44)</f>
        <v>0</v>
      </c>
      <c r="AD58" s="808">
        <f>-('2b. Balance Sheet'!AC44-'2b. Balance Sheet'!AD44)</f>
        <v>0</v>
      </c>
    </row>
    <row r="59" spans="3:30" s="811" customFormat="1" ht="14">
      <c r="C59" s="923"/>
      <c r="D59" s="930" t="s">
        <v>205</v>
      </c>
      <c r="E59" s="807"/>
      <c r="F59" s="807"/>
      <c r="G59" s="807"/>
      <c r="H59" s="807"/>
      <c r="I59" s="807"/>
      <c r="J59" s="807"/>
      <c r="K59" s="807"/>
      <c r="L59" s="807"/>
      <c r="M59" s="807"/>
      <c r="N59" s="807"/>
      <c r="O59" s="807"/>
      <c r="P59" s="807"/>
      <c r="Q59" s="807"/>
      <c r="R59" s="807"/>
      <c r="S59" s="807"/>
      <c r="T59" s="807"/>
      <c r="U59" s="807"/>
      <c r="V59" s="807"/>
      <c r="W59" s="807"/>
      <c r="X59" s="807"/>
      <c r="Y59" s="807"/>
      <c r="Z59" s="807"/>
      <c r="AA59" s="807"/>
      <c r="AB59" s="807"/>
      <c r="AC59" s="807"/>
      <c r="AD59" s="808"/>
    </row>
    <row r="60" spans="3:30" s="922" customFormat="1" ht="14">
      <c r="C60" s="921"/>
      <c r="D60" s="931" t="s">
        <v>206</v>
      </c>
      <c r="E60" s="924">
        <f t="shared" ref="E60:G60" si="12">SUM(E54:E59)</f>
        <v>17822</v>
      </c>
      <c r="F60" s="924">
        <f t="shared" si="12"/>
        <v>-174894</v>
      </c>
      <c r="G60" s="924">
        <f t="shared" si="12"/>
        <v>-33286</v>
      </c>
      <c r="H60" s="924">
        <f t="shared" ref="H60:M60" si="13">SUM(H54:H59)</f>
        <v>-41583</v>
      </c>
      <c r="I60" s="924">
        <f t="shared" si="13"/>
        <v>15670</v>
      </c>
      <c r="J60" s="924">
        <f t="shared" si="13"/>
        <v>6753</v>
      </c>
      <c r="K60" s="924">
        <f t="shared" si="13"/>
        <v>4902</v>
      </c>
      <c r="L60" s="924">
        <f t="shared" si="13"/>
        <v>7987</v>
      </c>
      <c r="M60" s="924">
        <f t="shared" si="13"/>
        <v>10908</v>
      </c>
      <c r="N60" s="924">
        <f>SUM(N54:N59)</f>
        <v>310471</v>
      </c>
      <c r="O60" s="924">
        <f t="shared" ref="O60" si="14">SUM(O54:O59)</f>
        <v>5146173</v>
      </c>
      <c r="P60" s="924">
        <f t="shared" ref="P60" si="15">SUM(P54:P59)</f>
        <v>-984855.79999999981</v>
      </c>
      <c r="Q60" s="924">
        <f t="shared" ref="Q60:AD60" si="16">SUM(Q54:Q59)</f>
        <v>0</v>
      </c>
      <c r="R60" s="924">
        <f t="shared" si="16"/>
        <v>0</v>
      </c>
      <c r="S60" s="924">
        <f t="shared" si="16"/>
        <v>0</v>
      </c>
      <c r="T60" s="924">
        <f t="shared" si="16"/>
        <v>0</v>
      </c>
      <c r="U60" s="924">
        <f t="shared" si="16"/>
        <v>0</v>
      </c>
      <c r="V60" s="924">
        <f t="shared" si="16"/>
        <v>0</v>
      </c>
      <c r="W60" s="924">
        <f t="shared" si="16"/>
        <v>0</v>
      </c>
      <c r="X60" s="924">
        <f t="shared" si="16"/>
        <v>0</v>
      </c>
      <c r="Y60" s="924">
        <f t="shared" si="16"/>
        <v>0</v>
      </c>
      <c r="Z60" s="924">
        <f t="shared" si="16"/>
        <v>0</v>
      </c>
      <c r="AA60" s="924">
        <f t="shared" si="16"/>
        <v>0</v>
      </c>
      <c r="AB60" s="924">
        <f t="shared" si="16"/>
        <v>0</v>
      </c>
      <c r="AC60" s="924">
        <f t="shared" si="16"/>
        <v>0</v>
      </c>
      <c r="AD60" s="932">
        <f t="shared" si="16"/>
        <v>0</v>
      </c>
    </row>
    <row r="61" spans="3:30" s="811" customFormat="1" ht="14">
      <c r="C61" s="923"/>
      <c r="D61" s="930"/>
      <c r="E61" s="807"/>
      <c r="F61" s="807"/>
      <c r="G61" s="807"/>
      <c r="H61" s="807"/>
      <c r="I61" s="807"/>
      <c r="J61" s="807"/>
      <c r="K61" s="807"/>
      <c r="L61" s="807"/>
      <c r="M61" s="807"/>
      <c r="N61" s="807"/>
      <c r="O61" s="807"/>
      <c r="P61" s="807"/>
      <c r="Q61" s="807"/>
      <c r="R61" s="807"/>
      <c r="S61" s="807"/>
      <c r="T61" s="807"/>
      <c r="U61" s="807"/>
      <c r="V61" s="807"/>
      <c r="W61" s="807"/>
      <c r="X61" s="807"/>
      <c r="Y61" s="807"/>
      <c r="Z61" s="807"/>
      <c r="AA61" s="807"/>
      <c r="AB61" s="807"/>
      <c r="AC61" s="807"/>
      <c r="AD61" s="808"/>
    </row>
    <row r="62" spans="3:30" s="811" customFormat="1" ht="14">
      <c r="C62" s="923"/>
      <c r="D62" s="930"/>
      <c r="E62" s="807"/>
      <c r="F62" s="807"/>
      <c r="G62" s="807"/>
      <c r="H62" s="807"/>
      <c r="I62" s="807"/>
      <c r="J62" s="807"/>
      <c r="K62" s="807"/>
      <c r="L62" s="807"/>
      <c r="M62" s="807"/>
      <c r="N62" s="807"/>
      <c r="O62" s="807"/>
      <c r="P62" s="807"/>
      <c r="Q62" s="807"/>
      <c r="R62" s="807"/>
      <c r="S62" s="807"/>
      <c r="T62" s="807"/>
      <c r="U62" s="807"/>
      <c r="V62" s="807"/>
      <c r="W62" s="807"/>
      <c r="X62" s="807"/>
      <c r="Y62" s="807"/>
      <c r="Z62" s="807"/>
      <c r="AA62" s="807"/>
      <c r="AB62" s="807"/>
      <c r="AC62" s="807"/>
      <c r="AD62" s="808"/>
    </row>
    <row r="63" spans="3:30" s="922" customFormat="1" ht="14">
      <c r="C63" s="921"/>
      <c r="D63" s="931" t="s">
        <v>207</v>
      </c>
      <c r="E63" s="924">
        <f>E27+E52+E60</f>
        <v>160917</v>
      </c>
      <c r="F63" s="924">
        <f t="shared" ref="F63:G63" si="17">F27+F52+F60</f>
        <v>-151500</v>
      </c>
      <c r="G63" s="924">
        <f t="shared" si="17"/>
        <v>94976</v>
      </c>
      <c r="H63" s="924">
        <f t="shared" ref="H63:AD63" si="18">H27+H52+H60</f>
        <v>-2005</v>
      </c>
      <c r="I63" s="924">
        <f t="shared" si="18"/>
        <v>-52006</v>
      </c>
      <c r="J63" s="924">
        <f t="shared" si="18"/>
        <v>-23520</v>
      </c>
      <c r="K63" s="924">
        <f t="shared" si="18"/>
        <v>240609</v>
      </c>
      <c r="L63" s="924">
        <f t="shared" si="18"/>
        <v>-151388</v>
      </c>
      <c r="M63" s="924">
        <f t="shared" si="18"/>
        <v>-420287</v>
      </c>
      <c r="N63" s="924">
        <f t="shared" si="18"/>
        <v>487345</v>
      </c>
      <c r="O63" s="924">
        <f>O27+O52+O60</f>
        <v>745512</v>
      </c>
      <c r="P63" s="924">
        <f t="shared" si="18"/>
        <v>-1148985.5393480572</v>
      </c>
      <c r="Q63" s="924">
        <f t="shared" si="18"/>
        <v>84966.854519004264</v>
      </c>
      <c r="R63" s="924">
        <f t="shared" si="18"/>
        <v>35343.176009513292</v>
      </c>
      <c r="S63" s="924">
        <f t="shared" si="18"/>
        <v>32418.516624483978</v>
      </c>
      <c r="T63" s="924">
        <f t="shared" si="18"/>
        <v>37823.827942886273</v>
      </c>
      <c r="U63" s="924">
        <f t="shared" si="18"/>
        <v>39460.559364364075</v>
      </c>
      <c r="V63" s="924">
        <f t="shared" si="18"/>
        <v>32688.755952326697</v>
      </c>
      <c r="W63" s="924">
        <f t="shared" si="18"/>
        <v>21259.165683239815</v>
      </c>
      <c r="X63" s="924">
        <f t="shared" si="18"/>
        <v>1956.2496116904658</v>
      </c>
      <c r="Y63" s="924">
        <f t="shared" si="18"/>
        <v>1029.7558169728145</v>
      </c>
      <c r="Z63" s="924">
        <f t="shared" si="18"/>
        <v>-9910.3740771609591</v>
      </c>
      <c r="AA63" s="924">
        <f t="shared" si="18"/>
        <v>-24178.864888821961</v>
      </c>
      <c r="AB63" s="924">
        <f t="shared" si="18"/>
        <v>-40917.353509679437</v>
      </c>
      <c r="AC63" s="924">
        <f t="shared" si="18"/>
        <v>-60080.280922976322</v>
      </c>
      <c r="AD63" s="932">
        <f t="shared" si="18"/>
        <v>-81990.035419665044</v>
      </c>
    </row>
    <row r="64" spans="3:30" s="811" customFormat="1" thickBot="1">
      <c r="C64" s="923"/>
      <c r="D64" s="930"/>
      <c r="E64" s="807"/>
      <c r="F64" s="807"/>
      <c r="G64" s="807"/>
      <c r="H64" s="807"/>
      <c r="I64" s="807"/>
      <c r="J64" s="807"/>
      <c r="K64" s="807"/>
      <c r="L64" s="807"/>
      <c r="M64" s="807"/>
      <c r="N64" s="807"/>
      <c r="O64" s="807"/>
      <c r="P64" s="807"/>
      <c r="Q64" s="807"/>
      <c r="R64" s="807"/>
      <c r="S64" s="807"/>
      <c r="T64" s="807"/>
      <c r="U64" s="807"/>
      <c r="V64" s="807"/>
      <c r="W64" s="807"/>
      <c r="X64" s="807"/>
      <c r="Y64" s="807"/>
      <c r="Z64" s="807"/>
      <c r="AA64" s="807"/>
      <c r="AB64" s="807"/>
      <c r="AC64" s="807"/>
      <c r="AD64" s="808"/>
    </row>
    <row r="65" spans="3:30" s="922" customFormat="1" ht="14">
      <c r="C65" s="921"/>
      <c r="D65" s="934" t="s">
        <v>208</v>
      </c>
      <c r="E65" s="926">
        <v>117455</v>
      </c>
      <c r="F65" s="926">
        <f>'2b. Balance Sheet'!E23-'2b. Balance Sheet'!E53</f>
        <v>283195</v>
      </c>
      <c r="G65" s="926">
        <f>'2b. Balance Sheet'!F23-'2b. Balance Sheet'!F53</f>
        <v>126721</v>
      </c>
      <c r="H65" s="926">
        <f>'2b. Balance Sheet'!G23-'2b. Balance Sheet'!G53</f>
        <v>218369</v>
      </c>
      <c r="I65" s="926">
        <f>'2b. Balance Sheet'!H23-'2b. Balance Sheet'!H53</f>
        <v>218133</v>
      </c>
      <c r="J65" s="926">
        <f>'2b. Balance Sheet'!I23-'2b. Balance Sheet'!I53</f>
        <v>168970</v>
      </c>
      <c r="K65" s="926">
        <f>'2b. Balance Sheet'!J23-'2b. Balance Sheet'!J53</f>
        <v>145116</v>
      </c>
      <c r="L65" s="926">
        <f>'2b. Balance Sheet'!K23-'2b. Balance Sheet'!K53</f>
        <v>384544</v>
      </c>
      <c r="M65" s="926">
        <v>272872</v>
      </c>
      <c r="N65" s="926">
        <f>'2b. Balance Sheet'!M23-'2b. Balance Sheet'!M53</f>
        <v>-145797</v>
      </c>
      <c r="O65" s="926">
        <f>'2b. Balance Sheet'!N23-'2b. Balance Sheet'!N53</f>
        <v>344003</v>
      </c>
      <c r="P65" s="925">
        <f>O67</f>
        <v>1181273</v>
      </c>
      <c r="Q65" s="925">
        <f>P67</f>
        <v>32287.460651942762</v>
      </c>
      <c r="R65" s="925">
        <f t="shared" ref="R65:V65" si="19">Q67</f>
        <v>117254.31517094703</v>
      </c>
      <c r="S65" s="925">
        <f t="shared" si="19"/>
        <v>152597.49118046032</v>
      </c>
      <c r="T65" s="925">
        <f t="shared" si="19"/>
        <v>185016.0078049443</v>
      </c>
      <c r="U65" s="925">
        <f t="shared" si="19"/>
        <v>222839.83574783057</v>
      </c>
      <c r="V65" s="925">
        <f t="shared" si="19"/>
        <v>262300.39511219464</v>
      </c>
      <c r="W65" s="925">
        <f t="shared" ref="W65:AD65" si="20">V67</f>
        <v>294989.15106452134</v>
      </c>
      <c r="X65" s="925">
        <f t="shared" si="20"/>
        <v>316248.31674776116</v>
      </c>
      <c r="Y65" s="925">
        <f t="shared" si="20"/>
        <v>318204.56635945162</v>
      </c>
      <c r="Z65" s="925">
        <f t="shared" si="20"/>
        <v>319234.32217642444</v>
      </c>
      <c r="AA65" s="925">
        <f t="shared" si="20"/>
        <v>309323.94809926348</v>
      </c>
      <c r="AB65" s="925">
        <f t="shared" si="20"/>
        <v>285145.08321044152</v>
      </c>
      <c r="AC65" s="925">
        <f t="shared" si="20"/>
        <v>244227.72970076208</v>
      </c>
      <c r="AD65" s="935">
        <f t="shared" si="20"/>
        <v>184147.44877778576</v>
      </c>
    </row>
    <row r="66" spans="3:30" s="922" customFormat="1" ht="14">
      <c r="C66" s="921"/>
      <c r="D66" s="928" t="s">
        <v>209</v>
      </c>
      <c r="E66" s="816">
        <v>4823</v>
      </c>
      <c r="F66" s="816">
        <v>-4974</v>
      </c>
      <c r="G66" s="816">
        <v>-3328</v>
      </c>
      <c r="H66" s="816">
        <v>1769</v>
      </c>
      <c r="I66" s="816">
        <v>2843</v>
      </c>
      <c r="J66" s="816">
        <v>-334</v>
      </c>
      <c r="K66" s="816">
        <v>-1181</v>
      </c>
      <c r="L66" s="816">
        <v>-1552</v>
      </c>
      <c r="M66" s="816">
        <v>1619</v>
      </c>
      <c r="N66" s="816">
        <v>2455</v>
      </c>
      <c r="O66" s="816">
        <v>91758</v>
      </c>
      <c r="P66" s="816">
        <v>0</v>
      </c>
      <c r="Q66" s="816">
        <v>0</v>
      </c>
      <c r="R66" s="816">
        <v>0</v>
      </c>
      <c r="S66" s="816">
        <v>0</v>
      </c>
      <c r="T66" s="816">
        <v>0</v>
      </c>
      <c r="U66" s="816">
        <v>0</v>
      </c>
      <c r="V66" s="816">
        <v>0</v>
      </c>
      <c r="W66" s="816">
        <v>0</v>
      </c>
      <c r="X66" s="816">
        <v>0</v>
      </c>
      <c r="Y66" s="816">
        <v>0</v>
      </c>
      <c r="Z66" s="816">
        <v>0</v>
      </c>
      <c r="AA66" s="816">
        <v>0</v>
      </c>
      <c r="AB66" s="816">
        <v>0</v>
      </c>
      <c r="AC66" s="816">
        <v>0</v>
      </c>
      <c r="AD66" s="929">
        <v>0</v>
      </c>
    </row>
    <row r="67" spans="3:30" s="922" customFormat="1" ht="14">
      <c r="C67" s="921"/>
      <c r="D67" s="928" t="s">
        <v>210</v>
      </c>
      <c r="E67" s="816">
        <f>F65</f>
        <v>283195</v>
      </c>
      <c r="F67" s="816">
        <f t="shared" ref="F67" si="21">G65</f>
        <v>126721</v>
      </c>
      <c r="G67" s="816">
        <f t="shared" ref="G67" si="22">H65</f>
        <v>218369</v>
      </c>
      <c r="H67" s="816">
        <f t="shared" ref="H67" si="23">I65</f>
        <v>218133</v>
      </c>
      <c r="I67" s="816">
        <f t="shared" ref="I67" si="24">J65</f>
        <v>168970</v>
      </c>
      <c r="J67" s="816">
        <f t="shared" ref="J67" si="25">K65</f>
        <v>145116</v>
      </c>
      <c r="K67" s="816">
        <f t="shared" ref="K67" si="26">L65</f>
        <v>384544</v>
      </c>
      <c r="L67" s="816">
        <v>231604</v>
      </c>
      <c r="M67" s="816">
        <f t="shared" ref="M67" si="27">N65</f>
        <v>-145797</v>
      </c>
      <c r="N67" s="816">
        <f>O65</f>
        <v>344003</v>
      </c>
      <c r="O67" s="816">
        <f>'2b. Balance Sheet'!O23</f>
        <v>1181273</v>
      </c>
      <c r="P67" s="816">
        <f>SUM(P63:P66)</f>
        <v>32287.460651942762</v>
      </c>
      <c r="Q67" s="816">
        <f>SUM(Q63:Q66)</f>
        <v>117254.31517094703</v>
      </c>
      <c r="R67" s="816">
        <f t="shared" ref="R67:V67" si="28">SUM(R63:R66)</f>
        <v>152597.49118046032</v>
      </c>
      <c r="S67" s="816">
        <f t="shared" si="28"/>
        <v>185016.0078049443</v>
      </c>
      <c r="T67" s="816">
        <f t="shared" si="28"/>
        <v>222839.83574783057</v>
      </c>
      <c r="U67" s="816">
        <f t="shared" si="28"/>
        <v>262300.39511219464</v>
      </c>
      <c r="V67" s="816">
        <f t="shared" si="28"/>
        <v>294989.15106452134</v>
      </c>
      <c r="W67" s="816">
        <f t="shared" ref="W67" si="29">SUM(W63:W66)</f>
        <v>316248.31674776116</v>
      </c>
      <c r="X67" s="816">
        <f t="shared" ref="X67" si="30">SUM(X63:X66)</f>
        <v>318204.56635945162</v>
      </c>
      <c r="Y67" s="816">
        <f t="shared" ref="Y67" si="31">SUM(Y63:Y66)</f>
        <v>319234.32217642444</v>
      </c>
      <c r="Z67" s="816">
        <f t="shared" ref="Z67:AA67" si="32">SUM(Z63:Z66)</f>
        <v>309323.94809926348</v>
      </c>
      <c r="AA67" s="816">
        <f t="shared" si="32"/>
        <v>285145.08321044152</v>
      </c>
      <c r="AB67" s="816">
        <f t="shared" ref="AB67" si="33">SUM(AB63:AB66)</f>
        <v>244227.72970076208</v>
      </c>
      <c r="AC67" s="816">
        <f t="shared" ref="AC67" si="34">SUM(AC63:AC66)</f>
        <v>184147.44877778576</v>
      </c>
      <c r="AD67" s="929">
        <f t="shared" ref="AD67" si="35">SUM(AD63:AD66)</f>
        <v>102157.41335812071</v>
      </c>
    </row>
    <row r="68" spans="3:30" s="923" customFormat="1" thickBot="1">
      <c r="D68" s="936" t="s">
        <v>169</v>
      </c>
      <c r="E68" s="927">
        <f>E63+E65+E66-E67</f>
        <v>0</v>
      </c>
      <c r="F68" s="927">
        <f t="shared" ref="F68:K68" si="36">F63+F65+F66-F67</f>
        <v>0</v>
      </c>
      <c r="G68" s="927">
        <f t="shared" si="36"/>
        <v>0</v>
      </c>
      <c r="H68" s="927">
        <f t="shared" si="36"/>
        <v>0</v>
      </c>
      <c r="I68" s="927">
        <f t="shared" si="36"/>
        <v>0</v>
      </c>
      <c r="J68" s="927">
        <f t="shared" si="36"/>
        <v>0</v>
      </c>
      <c r="K68" s="927">
        <f t="shared" si="36"/>
        <v>0</v>
      </c>
      <c r="L68" s="927">
        <f>L63+L65+L66-L67</f>
        <v>0</v>
      </c>
      <c r="M68" s="927">
        <f>M63+M65+M66-M67</f>
        <v>1</v>
      </c>
      <c r="N68" s="927">
        <f>N63+N65+N66-N67</f>
        <v>0</v>
      </c>
      <c r="O68" s="927">
        <f>O63+O65+O66-O67</f>
        <v>0</v>
      </c>
      <c r="P68" s="927">
        <f>P63+P65+P66-P67</f>
        <v>0</v>
      </c>
      <c r="Q68" s="927">
        <f t="shared" ref="Q68" si="37">Q63+Q65+Q66-Q67</f>
        <v>0</v>
      </c>
      <c r="R68" s="927">
        <f t="shared" ref="R68:V68" si="38">R63+R65+R66-R67</f>
        <v>0</v>
      </c>
      <c r="S68" s="927">
        <f t="shared" si="38"/>
        <v>0</v>
      </c>
      <c r="T68" s="927">
        <f t="shared" si="38"/>
        <v>0</v>
      </c>
      <c r="U68" s="927">
        <f t="shared" si="38"/>
        <v>0</v>
      </c>
      <c r="V68" s="927">
        <f t="shared" si="38"/>
        <v>0</v>
      </c>
      <c r="W68" s="927">
        <f t="shared" ref="W68:AD68" si="39">W63+W65+W66-W67</f>
        <v>0</v>
      </c>
      <c r="X68" s="927">
        <f t="shared" si="39"/>
        <v>0</v>
      </c>
      <c r="Y68" s="927">
        <f t="shared" si="39"/>
        <v>0</v>
      </c>
      <c r="Z68" s="927">
        <f t="shared" si="39"/>
        <v>0</v>
      </c>
      <c r="AA68" s="927">
        <f t="shared" si="39"/>
        <v>0</v>
      </c>
      <c r="AB68" s="927">
        <f t="shared" si="39"/>
        <v>0</v>
      </c>
      <c r="AC68" s="927">
        <f t="shared" si="39"/>
        <v>0</v>
      </c>
      <c r="AD68" s="937">
        <f t="shared" si="39"/>
        <v>0</v>
      </c>
    </row>
    <row r="69" spans="3:30">
      <c r="C69" s="410"/>
      <c r="E69" s="18"/>
      <c r="F69" s="18"/>
      <c r="G69" s="18"/>
      <c r="H69" s="18"/>
      <c r="I69" s="18"/>
      <c r="J69" s="18"/>
      <c r="K69" s="18"/>
      <c r="L69" s="18"/>
      <c r="M69" s="18"/>
      <c r="N69" s="18"/>
      <c r="O69" s="18"/>
      <c r="P69" s="18"/>
      <c r="Q69" s="18"/>
      <c r="R69" s="18"/>
      <c r="S69" s="18"/>
      <c r="T69" s="18"/>
      <c r="U69" s="18"/>
      <c r="V69" s="18"/>
      <c r="W69" s="18"/>
      <c r="X69" s="18"/>
    </row>
    <row r="70" spans="3:30">
      <c r="C70" s="410"/>
      <c r="E70" s="18"/>
      <c r="F70" s="18"/>
      <c r="G70" s="18"/>
      <c r="H70" s="18"/>
      <c r="I70" s="18"/>
      <c r="J70" s="18"/>
      <c r="K70" s="18"/>
      <c r="L70" s="18"/>
      <c r="M70" s="18"/>
      <c r="N70" s="18"/>
      <c r="O70" s="18"/>
      <c r="P70" s="18"/>
      <c r="Q70" s="18"/>
      <c r="R70" s="18"/>
      <c r="S70" s="18"/>
      <c r="T70" s="18"/>
      <c r="U70" s="18"/>
      <c r="V70" s="18"/>
      <c r="W70" s="18"/>
      <c r="X70" s="18"/>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3:AD20"/>
  <sheetViews>
    <sheetView showGridLines="0" topLeftCell="C1" zoomScale="75" zoomScaleNormal="75" zoomScalePageLayoutView="75" workbookViewId="0">
      <pane xSplit="2" topLeftCell="E1" activePane="topRight" state="frozen"/>
      <selection activeCell="Q37" sqref="Q37"/>
      <selection pane="topRight" activeCell="T19" sqref="T19"/>
    </sheetView>
  </sheetViews>
  <sheetFormatPr baseColWidth="10" defaultRowHeight="15" x14ac:dyDescent="0"/>
  <cols>
    <col min="1" max="2" width="0" hidden="1" customWidth="1"/>
    <col min="3" max="3" width="10.83203125" style="39"/>
    <col min="4" max="4" width="47.6640625" bestFit="1" customWidth="1"/>
    <col min="5" max="13" width="10.83203125" hidden="1" customWidth="1"/>
    <col min="14" max="14" width="10.83203125" customWidth="1"/>
    <col min="16" max="20" width="14.1640625" bestFit="1" customWidth="1"/>
    <col min="21" max="30" width="14.1640625" customWidth="1"/>
    <col min="31" max="16384" width="10.83203125" style="39"/>
  </cols>
  <sheetData>
    <row r="3" spans="1:30" ht="16" thickBot="1"/>
    <row r="4" spans="1:30" s="412" customFormat="1" ht="16" thickBot="1">
      <c r="A4" s="405"/>
      <c r="B4" s="405"/>
      <c r="C4" s="944"/>
      <c r="D4" s="683" t="s">
        <v>1187</v>
      </c>
      <c r="E4" s="403" t="s">
        <v>216</v>
      </c>
      <c r="F4" s="403" t="s">
        <v>217</v>
      </c>
      <c r="G4" s="403" t="s">
        <v>218</v>
      </c>
      <c r="H4" s="403" t="s">
        <v>28</v>
      </c>
      <c r="I4" s="403" t="s">
        <v>17</v>
      </c>
      <c r="J4" s="403" t="s">
        <v>18</v>
      </c>
      <c r="K4" s="403" t="s">
        <v>19</v>
      </c>
      <c r="L4" s="403" t="s">
        <v>20</v>
      </c>
      <c r="M4" s="403" t="s">
        <v>21</v>
      </c>
      <c r="N4" s="403" t="s">
        <v>22</v>
      </c>
      <c r="O4" s="403" t="s">
        <v>23</v>
      </c>
      <c r="P4" s="404" t="s">
        <v>24</v>
      </c>
      <c r="Q4" s="404" t="s">
        <v>25</v>
      </c>
      <c r="R4" s="404" t="s">
        <v>26</v>
      </c>
      <c r="S4" s="404" t="s">
        <v>27</v>
      </c>
      <c r="T4" s="404" t="s">
        <v>712</v>
      </c>
      <c r="U4" s="404" t="s">
        <v>713</v>
      </c>
      <c r="V4" s="404" t="s">
        <v>714</v>
      </c>
      <c r="W4" s="404" t="s">
        <v>715</v>
      </c>
      <c r="X4" s="404" t="s">
        <v>716</v>
      </c>
      <c r="Y4" s="404" t="s">
        <v>717</v>
      </c>
      <c r="Z4" s="404" t="s">
        <v>718</v>
      </c>
      <c r="AA4" s="404" t="s">
        <v>719</v>
      </c>
      <c r="AB4" s="404" t="s">
        <v>720</v>
      </c>
      <c r="AC4" s="404" t="s">
        <v>721</v>
      </c>
      <c r="AD4" s="776" t="s">
        <v>722</v>
      </c>
    </row>
    <row r="5" spans="1:30" s="124" customFormat="1" ht="14">
      <c r="A5" s="6"/>
      <c r="B5" s="6"/>
      <c r="D5" s="624" t="s">
        <v>993</v>
      </c>
      <c r="N5" s="922">
        <f>'2b. Balance Sheet'!M31</f>
        <v>1789371</v>
      </c>
      <c r="O5" s="922">
        <f>'2b. Balance Sheet'!N31</f>
        <v>1746906</v>
      </c>
      <c r="P5" s="816">
        <f>O20</f>
        <v>3564286</v>
      </c>
      <c r="Q5" s="816">
        <f>P20</f>
        <v>3805916.3998543033</v>
      </c>
      <c r="R5" s="816">
        <f t="shared" ref="R5:AD5" si="0">Q20</f>
        <v>4017885.9845904047</v>
      </c>
      <c r="S5" s="816">
        <f t="shared" si="0"/>
        <v>4187641.1692031054</v>
      </c>
      <c r="T5" s="816">
        <f t="shared" si="0"/>
        <v>4374002.3586965548</v>
      </c>
      <c r="U5" s="816">
        <f t="shared" si="0"/>
        <v>4577386.3269673232</v>
      </c>
      <c r="V5" s="816">
        <f t="shared" si="0"/>
        <v>4797633.4777537957</v>
      </c>
      <c r="W5" s="816">
        <f t="shared" si="0"/>
        <v>5036938.1174803842</v>
      </c>
      <c r="X5" s="816">
        <f t="shared" si="0"/>
        <v>5297399.9279286163</v>
      </c>
      <c r="Y5" s="816">
        <f t="shared" si="0"/>
        <v>5581802.9182089576</v>
      </c>
      <c r="Z5" s="816">
        <f t="shared" si="0"/>
        <v>5891353.7319049202</v>
      </c>
      <c r="AA5" s="816">
        <f t="shared" si="0"/>
        <v>6228206.666138283</v>
      </c>
      <c r="AB5" s="816">
        <f t="shared" si="0"/>
        <v>6594858.4232570808</v>
      </c>
      <c r="AC5" s="816">
        <f t="shared" si="0"/>
        <v>6994090.6421846431</v>
      </c>
      <c r="AD5" s="929">
        <f t="shared" si="0"/>
        <v>7428967.2302704658</v>
      </c>
    </row>
    <row r="6" spans="1:30" s="160" customFormat="1" ht="14">
      <c r="A6" s="7"/>
      <c r="B6" s="7"/>
      <c r="D6" s="175" t="s">
        <v>35</v>
      </c>
      <c r="N6" s="811">
        <f>SUM(N7:N10)</f>
        <v>607778</v>
      </c>
      <c r="O6" s="811">
        <f>SUM(O7:O10)</f>
        <v>1096288</v>
      </c>
      <c r="P6" s="807"/>
      <c r="Q6" s="807"/>
      <c r="R6" s="807"/>
      <c r="S6" s="807"/>
      <c r="T6" s="807"/>
      <c r="U6" s="807"/>
      <c r="V6" s="807"/>
      <c r="W6" s="807"/>
      <c r="X6" s="807"/>
      <c r="Y6" s="807"/>
      <c r="Z6" s="807"/>
      <c r="AA6" s="807"/>
      <c r="AB6" s="807"/>
      <c r="AC6" s="807"/>
      <c r="AD6" s="808"/>
    </row>
    <row r="7" spans="1:30" s="415" customFormat="1" ht="14">
      <c r="A7" s="183"/>
      <c r="B7" s="183"/>
      <c r="D7" s="739" t="s">
        <v>982</v>
      </c>
      <c r="N7" s="938">
        <f>'2a. Income Statement'!N48</f>
        <v>608919</v>
      </c>
      <c r="O7" s="938">
        <f>'2a. Income Statement'!O48</f>
        <v>642202</v>
      </c>
      <c r="P7" s="939">
        <f>'2a. Income Statement'!P48</f>
        <v>966521.5994172144</v>
      </c>
      <c r="Q7" s="939">
        <f>'2a. Income Statement'!Q48</f>
        <v>1059847.923680508</v>
      </c>
      <c r="R7" s="939">
        <f>'2a. Income Statement'!R48</f>
        <v>1131701.2307513407</v>
      </c>
      <c r="S7" s="939">
        <f>'2a. Income Statement'!S48</f>
        <v>1242407.9299563314</v>
      </c>
      <c r="T7" s="939">
        <f>'2a. Income Statement'!T48</f>
        <v>1355893.1218051193</v>
      </c>
      <c r="U7" s="939">
        <f>'2a. Income Statement'!U48</f>
        <v>1468314.3385764845</v>
      </c>
      <c r="V7" s="939">
        <f>'2a. Income Statement'!V48</f>
        <v>1595364.2648439214</v>
      </c>
      <c r="W7" s="939">
        <f>'2a. Income Statement'!W48</f>
        <v>1736412.0696548801</v>
      </c>
      <c r="X7" s="939">
        <f>'2a. Income Statement'!X48</f>
        <v>1896019.9352022754</v>
      </c>
      <c r="Y7" s="939">
        <f>'2a. Income Statement'!Y48</f>
        <v>2063672.0913064203</v>
      </c>
      <c r="Z7" s="939">
        <f>'2a. Income Statement'!Z48</f>
        <v>2245686.2282224209</v>
      </c>
      <c r="AA7" s="939">
        <f>'2a. Income Statement'!AA48</f>
        <v>2444345.047458658</v>
      </c>
      <c r="AB7" s="939">
        <f>'2a. Income Statement'!AB48</f>
        <v>2661548.1261837455</v>
      </c>
      <c r="AC7" s="939">
        <f>'2a. Income Statement'!AC48</f>
        <v>2899177.2539054761</v>
      </c>
      <c r="AD7" s="940">
        <f>'2a. Income Statement'!AD48</f>
        <v>3159276.2551110736</v>
      </c>
    </row>
    <row r="8" spans="1:30" s="415" customFormat="1" ht="14">
      <c r="A8" s="183"/>
      <c r="B8" s="183"/>
      <c r="D8" s="739" t="s">
        <v>994</v>
      </c>
      <c r="N8" s="938">
        <f>'2a. Income Statement'!N82</f>
        <v>6205</v>
      </c>
      <c r="O8" s="938">
        <f>'2a. Income Statement'!O82</f>
        <v>432332</v>
      </c>
      <c r="P8" s="939"/>
      <c r="Q8" s="939"/>
      <c r="R8" s="939"/>
      <c r="S8" s="939"/>
      <c r="T8" s="939"/>
      <c r="U8" s="939"/>
      <c r="V8" s="939"/>
      <c r="W8" s="939"/>
      <c r="X8" s="939"/>
      <c r="Y8" s="939"/>
      <c r="Z8" s="939"/>
      <c r="AA8" s="939"/>
      <c r="AB8" s="939"/>
      <c r="AC8" s="939"/>
      <c r="AD8" s="940"/>
    </row>
    <row r="9" spans="1:30" s="415" customFormat="1" ht="14">
      <c r="A9" s="183"/>
      <c r="B9" s="183"/>
      <c r="D9" s="739" t="s">
        <v>995</v>
      </c>
      <c r="N9" s="938">
        <f>'2a. Income Statement'!N83</f>
        <v>-7346</v>
      </c>
      <c r="O9" s="938">
        <f>'2a. Income Statement'!O83</f>
        <v>23511</v>
      </c>
      <c r="P9" s="939"/>
      <c r="Q9" s="939"/>
      <c r="R9" s="939"/>
      <c r="S9" s="939"/>
      <c r="T9" s="939"/>
      <c r="U9" s="939"/>
      <c r="V9" s="939"/>
      <c r="W9" s="939"/>
      <c r="X9" s="939"/>
      <c r="Y9" s="939"/>
      <c r="Z9" s="939"/>
      <c r="AA9" s="939"/>
      <c r="AB9" s="939"/>
      <c r="AC9" s="939"/>
      <c r="AD9" s="940"/>
    </row>
    <row r="10" spans="1:30" s="415" customFormat="1" ht="14">
      <c r="A10" s="183"/>
      <c r="B10" s="183"/>
      <c r="D10" s="739" t="s">
        <v>996</v>
      </c>
      <c r="N10" s="938">
        <f>'2a. Income Statement'!N84</f>
        <v>0</v>
      </c>
      <c r="O10" s="938">
        <f>'2a. Income Statement'!O84</f>
        <v>-1757</v>
      </c>
      <c r="P10" s="939"/>
      <c r="Q10" s="939"/>
      <c r="R10" s="939"/>
      <c r="S10" s="939"/>
      <c r="T10" s="939"/>
      <c r="U10" s="939"/>
      <c r="V10" s="939"/>
      <c r="W10" s="939"/>
      <c r="X10" s="939"/>
      <c r="Y10" s="939"/>
      <c r="Z10" s="939"/>
      <c r="AA10" s="939"/>
      <c r="AB10" s="939"/>
      <c r="AC10" s="939"/>
      <c r="AD10" s="940"/>
    </row>
    <row r="11" spans="1:30" s="160" customFormat="1" ht="14">
      <c r="A11" s="7"/>
      <c r="B11" s="7"/>
      <c r="D11" s="941" t="s">
        <v>997</v>
      </c>
      <c r="N11" s="811"/>
      <c r="O11" s="811">
        <v>1150997</v>
      </c>
      <c r="P11" s="807"/>
      <c r="Q11" s="807"/>
      <c r="R11" s="807"/>
      <c r="S11" s="807"/>
      <c r="T11" s="807"/>
      <c r="U11" s="807"/>
      <c r="V11" s="807"/>
      <c r="W11" s="807"/>
      <c r="X11" s="807"/>
      <c r="Y11" s="807"/>
      <c r="Z11" s="807"/>
      <c r="AA11" s="807"/>
      <c r="AB11" s="807"/>
      <c r="AC11" s="807"/>
      <c r="AD11" s="808"/>
    </row>
    <row r="12" spans="1:30" s="160" customFormat="1" ht="14">
      <c r="A12" s="7"/>
      <c r="B12" s="7"/>
      <c r="D12" s="941" t="s">
        <v>998</v>
      </c>
      <c r="N12" s="811">
        <v>195</v>
      </c>
      <c r="O12" s="811"/>
      <c r="P12" s="807"/>
      <c r="Q12" s="807"/>
      <c r="R12" s="807"/>
      <c r="S12" s="807"/>
      <c r="T12" s="807"/>
      <c r="U12" s="807"/>
      <c r="V12" s="807"/>
      <c r="W12" s="807"/>
      <c r="X12" s="807"/>
      <c r="Y12" s="807"/>
      <c r="Z12" s="807"/>
      <c r="AA12" s="807"/>
      <c r="AB12" s="807"/>
      <c r="AC12" s="807"/>
      <c r="AD12" s="808"/>
    </row>
    <row r="13" spans="1:30" s="160" customFormat="1" ht="14">
      <c r="A13" s="7"/>
      <c r="B13" s="7"/>
      <c r="D13" s="941" t="s">
        <v>999</v>
      </c>
      <c r="N13" s="811">
        <v>1280</v>
      </c>
      <c r="O13" s="811">
        <v>1157</v>
      </c>
      <c r="P13" s="807"/>
      <c r="Q13" s="807"/>
      <c r="R13" s="807"/>
      <c r="S13" s="807"/>
      <c r="T13" s="807"/>
      <c r="U13" s="807"/>
      <c r="V13" s="807"/>
      <c r="W13" s="807"/>
      <c r="X13" s="807"/>
      <c r="Y13" s="807"/>
      <c r="Z13" s="807"/>
      <c r="AA13" s="807"/>
      <c r="AB13" s="807"/>
      <c r="AC13" s="807"/>
      <c r="AD13" s="808"/>
    </row>
    <row r="14" spans="1:30" s="160" customFormat="1" ht="14">
      <c r="A14" s="7"/>
      <c r="B14" s="7"/>
      <c r="D14" s="941" t="s">
        <v>1000</v>
      </c>
      <c r="N14" s="811">
        <v>5875</v>
      </c>
      <c r="O14" s="811">
        <v>7917</v>
      </c>
      <c r="P14" s="807"/>
      <c r="Q14" s="807"/>
      <c r="R14" s="807"/>
      <c r="S14" s="807"/>
      <c r="T14" s="807"/>
      <c r="U14" s="807"/>
      <c r="V14" s="807"/>
      <c r="W14" s="807"/>
      <c r="X14" s="807"/>
      <c r="Y14" s="807"/>
      <c r="Z14" s="807"/>
      <c r="AA14" s="807"/>
      <c r="AB14" s="807"/>
      <c r="AC14" s="807"/>
      <c r="AD14" s="808"/>
    </row>
    <row r="15" spans="1:30" s="160" customFormat="1" ht="14">
      <c r="A15" s="7"/>
      <c r="B15" s="7"/>
      <c r="D15" s="941" t="s">
        <v>1001</v>
      </c>
      <c r="N15" s="811">
        <v>-189</v>
      </c>
      <c r="O15" s="811">
        <v>1078</v>
      </c>
      <c r="P15" s="807"/>
      <c r="Q15" s="807"/>
      <c r="R15" s="807"/>
      <c r="S15" s="807"/>
      <c r="T15" s="807"/>
      <c r="U15" s="807"/>
      <c r="V15" s="807"/>
      <c r="W15" s="807"/>
      <c r="X15" s="807"/>
      <c r="Y15" s="807"/>
      <c r="Z15" s="807"/>
      <c r="AA15" s="807"/>
      <c r="AB15" s="807"/>
      <c r="AC15" s="807"/>
      <c r="AD15" s="808"/>
    </row>
    <row r="16" spans="1:30" s="160" customFormat="1" ht="14">
      <c r="A16" s="7"/>
      <c r="B16" s="7"/>
      <c r="D16" s="941" t="s">
        <v>1002</v>
      </c>
      <c r="N16" s="811"/>
      <c r="O16" s="811">
        <v>2807</v>
      </c>
      <c r="P16" s="807"/>
      <c r="Q16" s="807"/>
      <c r="R16" s="807"/>
      <c r="S16" s="807"/>
      <c r="T16" s="807"/>
      <c r="U16" s="807"/>
      <c r="V16" s="807"/>
      <c r="W16" s="807"/>
      <c r="X16" s="807"/>
      <c r="Y16" s="807"/>
      <c r="Z16" s="807"/>
      <c r="AA16" s="807"/>
      <c r="AB16" s="807"/>
      <c r="AC16" s="807"/>
      <c r="AD16" s="808"/>
    </row>
    <row r="17" spans="1:30" s="160" customFormat="1" ht="14">
      <c r="A17" s="7"/>
      <c r="B17" s="7"/>
      <c r="D17" s="941" t="s">
        <v>185</v>
      </c>
      <c r="N17" s="811">
        <v>-291524</v>
      </c>
      <c r="O17" s="811">
        <v>-15469</v>
      </c>
      <c r="P17" s="807"/>
      <c r="Q17" s="807"/>
      <c r="R17" s="807"/>
      <c r="S17" s="807"/>
      <c r="T17" s="807"/>
      <c r="U17" s="807"/>
      <c r="V17" s="807"/>
      <c r="W17" s="807"/>
      <c r="X17" s="807"/>
      <c r="Y17" s="807"/>
      <c r="Z17" s="807"/>
      <c r="AA17" s="807"/>
      <c r="AB17" s="807"/>
      <c r="AC17" s="807"/>
      <c r="AD17" s="808"/>
    </row>
    <row r="18" spans="1:30" s="160" customFormat="1" ht="14">
      <c r="A18" s="7"/>
      <c r="B18" s="7"/>
      <c r="D18" s="941" t="s">
        <v>1003</v>
      </c>
      <c r="N18" s="811">
        <v>-10176</v>
      </c>
      <c r="O18" s="811">
        <v>-25506</v>
      </c>
      <c r="P18" s="807"/>
      <c r="Q18" s="807"/>
      <c r="R18" s="807"/>
      <c r="S18" s="807"/>
      <c r="T18" s="807"/>
      <c r="U18" s="807"/>
      <c r="V18" s="807"/>
      <c r="W18" s="807"/>
      <c r="X18" s="807"/>
      <c r="Y18" s="807"/>
      <c r="Z18" s="807"/>
      <c r="AA18" s="807"/>
      <c r="AB18" s="807"/>
      <c r="AC18" s="807"/>
      <c r="AD18" s="808"/>
    </row>
    <row r="19" spans="1:30" s="160" customFormat="1" thickBot="1">
      <c r="A19" s="7"/>
      <c r="B19" s="7"/>
      <c r="D19" s="941" t="s">
        <v>1004</v>
      </c>
      <c r="N19" s="811">
        <v>-355704</v>
      </c>
      <c r="O19" s="811">
        <v>-401889</v>
      </c>
      <c r="P19" s="807">
        <f>-'2a. Income Statement'!P140*'2a. Income Statement'!P74</f>
        <v>-724891.19956291083</v>
      </c>
      <c r="Q19" s="807">
        <f>-'2a. Income Statement'!Q140*'2a. Income Statement'!Q74</f>
        <v>-847878.33894440648</v>
      </c>
      <c r="R19" s="807">
        <f>-'2a. Income Statement'!R140*'2a. Income Statement'!R74</f>
        <v>-961946.04613863956</v>
      </c>
      <c r="S19" s="807">
        <f>-'2a. Income Statement'!S140*'2a. Income Statement'!S74</f>
        <v>-1056046.7404628817</v>
      </c>
      <c r="T19" s="807">
        <f>-'2a. Income Statement'!T140*'2a. Income Statement'!T74</f>
        <v>-1152509.1535343514</v>
      </c>
      <c r="U19" s="807">
        <f>-'2a. Income Statement'!U140*'2a. Income Statement'!U74</f>
        <v>-1248067.1877900118</v>
      </c>
      <c r="V19" s="807">
        <f>-'2a. Income Statement'!V140*'2a. Income Statement'!V74</f>
        <v>-1356059.6251173331</v>
      </c>
      <c r="W19" s="807">
        <f>-'2a. Income Statement'!W140*'2a. Income Statement'!W74</f>
        <v>-1475950.259206648</v>
      </c>
      <c r="X19" s="807">
        <f>-'2a. Income Statement'!X140*'2a. Income Statement'!X74</f>
        <v>-1611616.944921934</v>
      </c>
      <c r="Y19" s="807">
        <f>-'2a. Income Statement'!Y140*'2a. Income Statement'!Y74</f>
        <v>-1754121.2776104573</v>
      </c>
      <c r="Z19" s="807">
        <f>-'2a. Income Statement'!Z140*'2a. Income Statement'!Z74</f>
        <v>-1908833.2939890577</v>
      </c>
      <c r="AA19" s="807">
        <f>-'2a. Income Statement'!AA140*'2a. Income Statement'!AA74</f>
        <v>-2077693.2903398592</v>
      </c>
      <c r="AB19" s="807">
        <f>-'2a. Income Statement'!AB140*'2a. Income Statement'!AB74</f>
        <v>-2262315.9072561837</v>
      </c>
      <c r="AC19" s="807">
        <f>-'2a. Income Statement'!AC140*'2a. Income Statement'!AC74</f>
        <v>-2464300.6658196547</v>
      </c>
      <c r="AD19" s="807">
        <f>-'2a. Income Statement'!AD140*'2a. Income Statement'!AD74</f>
        <v>-2685384.8168444126</v>
      </c>
    </row>
    <row r="20" spans="1:30" s="124" customFormat="1" thickBot="1">
      <c r="A20" s="6"/>
      <c r="B20" s="6"/>
      <c r="D20" s="942" t="s">
        <v>1005</v>
      </c>
      <c r="E20" s="450"/>
      <c r="F20" s="450"/>
      <c r="G20" s="450"/>
      <c r="H20" s="450"/>
      <c r="I20" s="450"/>
      <c r="J20" s="450"/>
      <c r="K20" s="450"/>
      <c r="L20" s="450"/>
      <c r="M20" s="450"/>
      <c r="N20" s="814">
        <f>SUM(N11:N19)+SUM(N5:N6)</f>
        <v>1746906</v>
      </c>
      <c r="O20" s="814">
        <f>SUM(O11:O19)+SUM(O5:O6)</f>
        <v>3564286</v>
      </c>
      <c r="P20" s="815">
        <f>SUM(P5:P19)</f>
        <v>3805916.3998543033</v>
      </c>
      <c r="Q20" s="815">
        <f>SUM(Q5:Q19)</f>
        <v>4017885.9845904047</v>
      </c>
      <c r="R20" s="815">
        <f t="shared" ref="R20:AD20" si="1">SUM(R5:R19)</f>
        <v>4187641.1692031054</v>
      </c>
      <c r="S20" s="815">
        <f t="shared" si="1"/>
        <v>4374002.3586965548</v>
      </c>
      <c r="T20" s="815">
        <f t="shared" si="1"/>
        <v>4577386.3269673232</v>
      </c>
      <c r="U20" s="815">
        <f t="shared" si="1"/>
        <v>4797633.4777537957</v>
      </c>
      <c r="V20" s="815">
        <f t="shared" si="1"/>
        <v>5036938.1174803842</v>
      </c>
      <c r="W20" s="815">
        <f t="shared" si="1"/>
        <v>5297399.9279286163</v>
      </c>
      <c r="X20" s="815">
        <f t="shared" si="1"/>
        <v>5581802.9182089576</v>
      </c>
      <c r="Y20" s="815">
        <f t="shared" si="1"/>
        <v>5891353.7319049202</v>
      </c>
      <c r="Z20" s="815">
        <f t="shared" si="1"/>
        <v>6228206.666138283</v>
      </c>
      <c r="AA20" s="815">
        <f t="shared" si="1"/>
        <v>6594858.4232570808</v>
      </c>
      <c r="AB20" s="815">
        <f t="shared" si="1"/>
        <v>6994090.6421846431</v>
      </c>
      <c r="AC20" s="815">
        <f t="shared" si="1"/>
        <v>7428967.2302704658</v>
      </c>
      <c r="AD20" s="943">
        <f t="shared" si="1"/>
        <v>7902858.6685371269</v>
      </c>
    </row>
  </sheetData>
  <phoneticPr fontId="32"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3:BL97"/>
  <sheetViews>
    <sheetView showGridLines="0" zoomScale="75" zoomScaleNormal="75" zoomScalePageLayoutView="75" workbookViewId="0">
      <pane xSplit="4" topLeftCell="E1" activePane="topRight" state="frozen"/>
      <selection activeCell="D125" sqref="D125"/>
      <selection pane="topRight" activeCell="Q82" sqref="Q82"/>
    </sheetView>
  </sheetViews>
  <sheetFormatPr baseColWidth="10" defaultRowHeight="15" x14ac:dyDescent="0"/>
  <cols>
    <col min="1" max="2" width="10.83203125" hidden="1" customWidth="1"/>
    <col min="3" max="3" width="10.83203125" style="39" customWidth="1"/>
    <col min="4" max="4" width="55.5" bestFit="1" customWidth="1"/>
    <col min="5" max="5" width="9.33203125" hidden="1" customWidth="1"/>
    <col min="6" max="11" width="10.83203125" hidden="1" customWidth="1"/>
    <col min="12" max="14" width="10.83203125" customWidth="1"/>
    <col min="15" max="15" width="13.5" bestFit="1" customWidth="1"/>
    <col min="16" max="16" width="18" bestFit="1" customWidth="1"/>
    <col min="17" max="17" width="11.6640625" bestFit="1" customWidth="1"/>
    <col min="18" max="18" width="12" bestFit="1" customWidth="1"/>
    <col min="19" max="19" width="12.1640625" bestFit="1" customWidth="1"/>
    <col min="20" max="20" width="11.5" customWidth="1"/>
    <col min="21" max="21" width="13.6640625" style="39" customWidth="1"/>
    <col min="22" max="25" width="13.6640625" customWidth="1"/>
    <col min="26" max="26" width="12.6640625" customWidth="1"/>
    <col min="27" max="27" width="13.6640625" customWidth="1"/>
    <col min="28" max="29" width="12.6640625" customWidth="1"/>
    <col min="30" max="30" width="13.6640625" customWidth="1"/>
    <col min="31" max="31" width="11.33203125" style="39" customWidth="1"/>
    <col min="32" max="32" width="11.33203125" style="39" bestFit="1" customWidth="1"/>
    <col min="33" max="41" width="10.83203125" style="39"/>
    <col min="42" max="42" width="5.6640625" style="39" customWidth="1"/>
    <col min="43" max="43" width="4" style="39" customWidth="1"/>
    <col min="44" max="44" width="5.5" style="39" customWidth="1"/>
    <col min="45" max="50" width="10.83203125" style="39"/>
    <col min="51" max="51" width="3.5" style="39" customWidth="1"/>
    <col min="52" max="16384" width="10.83203125" style="39"/>
  </cols>
  <sheetData>
    <row r="3" spans="1:64" ht="21" thickBot="1">
      <c r="AJ3" s="1210" t="s">
        <v>1820</v>
      </c>
    </row>
    <row r="4" spans="1:64" ht="16" thickBot="1">
      <c r="A4" s="408"/>
      <c r="B4" s="408"/>
      <c r="C4" s="278"/>
      <c r="D4" s="949" t="s">
        <v>985</v>
      </c>
      <c r="E4" s="695" t="s">
        <v>216</v>
      </c>
      <c r="F4" s="695" t="s">
        <v>217</v>
      </c>
      <c r="G4" s="695" t="s">
        <v>218</v>
      </c>
      <c r="H4" s="695" t="s">
        <v>28</v>
      </c>
      <c r="I4" s="695" t="s">
        <v>17</v>
      </c>
      <c r="J4" s="695" t="s">
        <v>18</v>
      </c>
      <c r="K4" s="695" t="s">
        <v>19</v>
      </c>
      <c r="L4" s="695" t="s">
        <v>20</v>
      </c>
      <c r="M4" s="695" t="s">
        <v>21</v>
      </c>
      <c r="N4" s="695" t="s">
        <v>22</v>
      </c>
      <c r="O4" s="695" t="s">
        <v>23</v>
      </c>
      <c r="P4" s="404" t="s">
        <v>24</v>
      </c>
      <c r="Q4" s="404" t="s">
        <v>25</v>
      </c>
      <c r="R4" s="404" t="s">
        <v>26</v>
      </c>
      <c r="S4" s="404" t="s">
        <v>27</v>
      </c>
      <c r="T4" s="404" t="s">
        <v>712</v>
      </c>
      <c r="U4" s="404" t="s">
        <v>713</v>
      </c>
      <c r="V4" s="404" t="s">
        <v>714</v>
      </c>
      <c r="W4" s="404" t="s">
        <v>715</v>
      </c>
      <c r="X4" s="404" t="s">
        <v>716</v>
      </c>
      <c r="Y4" s="404" t="s">
        <v>717</v>
      </c>
      <c r="Z4" s="404" t="s">
        <v>718</v>
      </c>
      <c r="AA4" s="404" t="s">
        <v>719</v>
      </c>
      <c r="AB4" s="404" t="s">
        <v>720</v>
      </c>
      <c r="AC4" s="404" t="s">
        <v>721</v>
      </c>
      <c r="AD4" s="404" t="s">
        <v>722</v>
      </c>
      <c r="AE4" s="735" t="s">
        <v>1445</v>
      </c>
      <c r="AF4" s="736" t="s">
        <v>1446</v>
      </c>
      <c r="AJ4" s="1333"/>
      <c r="AK4" s="336"/>
      <c r="AL4" s="336"/>
      <c r="AM4" s="336"/>
      <c r="AN4" s="336"/>
      <c r="AO4" s="336"/>
      <c r="AP4" s="336"/>
      <c r="AQ4" s="336"/>
      <c r="AR4" s="336"/>
      <c r="AS4" s="336"/>
      <c r="AT4" s="336"/>
      <c r="AU4" s="336"/>
      <c r="AV4" s="620"/>
      <c r="AW4" s="620"/>
      <c r="AX4" s="620"/>
      <c r="AY4" s="620"/>
      <c r="AZ4" s="620"/>
      <c r="BA4" s="620"/>
      <c r="BB4" s="620"/>
      <c r="BC4" s="620"/>
      <c r="BD4" s="620"/>
      <c r="BE4" s="620"/>
      <c r="BF4" s="620"/>
      <c r="BG4" s="620"/>
      <c r="BH4" s="620"/>
      <c r="BI4" s="620"/>
      <c r="BJ4" s="620"/>
      <c r="BK4" s="1334"/>
      <c r="BL4" s="1334"/>
    </row>
    <row r="5" spans="1:64" s="443" customFormat="1">
      <c r="C5" s="1335"/>
      <c r="D5" s="1567" t="s">
        <v>1352</v>
      </c>
      <c r="E5" s="336"/>
      <c r="F5" s="336"/>
      <c r="G5" s="336"/>
      <c r="H5" s="336"/>
      <c r="I5" s="336"/>
      <c r="J5" s="336">
        <v>1009657</v>
      </c>
      <c r="K5" s="336">
        <v>1097849</v>
      </c>
      <c r="L5" s="1568">
        <v>1215937</v>
      </c>
      <c r="M5" s="1568">
        <v>1249373</v>
      </c>
      <c r="N5" s="1568">
        <v>1330675</v>
      </c>
      <c r="O5" s="1568">
        <v>2825307</v>
      </c>
      <c r="P5" s="1568">
        <f>O5+P6</f>
        <v>3010674.46</v>
      </c>
      <c r="Q5" s="1568">
        <f t="shared" ref="Q5:AD5" si="0">P5+Q6</f>
        <v>3218478.3960875226</v>
      </c>
      <c r="R5" s="1568">
        <f t="shared" si="0"/>
        <v>3451026.0393603463</v>
      </c>
      <c r="S5" s="1568">
        <f t="shared" si="0"/>
        <v>3711163.0308664725</v>
      </c>
      <c r="T5" s="1568">
        <f t="shared" si="0"/>
        <v>4001670.3566222219</v>
      </c>
      <c r="U5" s="1568">
        <f t="shared" si="0"/>
        <v>4325741.1130893528</v>
      </c>
      <c r="V5" s="1568">
        <f t="shared" si="0"/>
        <v>4687320.1474612225</v>
      </c>
      <c r="W5" s="1568">
        <f t="shared" si="0"/>
        <v>5091004.4771612771</v>
      </c>
      <c r="X5" s="1568">
        <f t="shared" si="0"/>
        <v>5542283.6864672378</v>
      </c>
      <c r="Y5" s="1568">
        <f t="shared" si="0"/>
        <v>6046289.8399613667</v>
      </c>
      <c r="Z5" s="1568">
        <f t="shared" si="0"/>
        <v>6609213.4725100314</v>
      </c>
      <c r="AA5" s="1568">
        <f t="shared" si="0"/>
        <v>7238075.0375427576</v>
      </c>
      <c r="AB5" s="1568">
        <f t="shared" si="0"/>
        <v>7940768.2934730779</v>
      </c>
      <c r="AC5" s="1568">
        <f t="shared" si="0"/>
        <v>8726149.6906492561</v>
      </c>
      <c r="AD5" s="1569">
        <f t="shared" si="0"/>
        <v>9604157.1684257947</v>
      </c>
      <c r="AE5" s="1570"/>
      <c r="AF5" s="1571"/>
      <c r="AJ5" s="1337"/>
      <c r="AK5" s="1336"/>
      <c r="AL5" s="1336"/>
      <c r="AM5" s="1336"/>
      <c r="AN5" s="1336"/>
      <c r="AO5" s="1336"/>
      <c r="AP5" s="1336"/>
      <c r="AQ5" s="1336"/>
      <c r="AR5" s="947"/>
      <c r="AS5" s="947"/>
      <c r="AT5" s="947"/>
      <c r="AU5" s="947"/>
      <c r="AV5" s="947"/>
      <c r="AW5" s="947"/>
      <c r="AX5" s="947"/>
      <c r="AY5" s="947"/>
      <c r="AZ5" s="947"/>
      <c r="BA5" s="947"/>
      <c r="BB5" s="947"/>
      <c r="BC5" s="947"/>
      <c r="BD5" s="947"/>
      <c r="BE5" s="947"/>
      <c r="BF5" s="947"/>
      <c r="BG5" s="947"/>
      <c r="BH5" s="947"/>
      <c r="BI5" s="947"/>
      <c r="BJ5" s="947"/>
      <c r="BK5" s="221"/>
      <c r="BL5" s="221"/>
    </row>
    <row r="6" spans="1:64" s="443" customFormat="1">
      <c r="C6" s="1335"/>
      <c r="D6" s="1572" t="s">
        <v>498</v>
      </c>
      <c r="E6" s="1573"/>
      <c r="F6" s="1573"/>
      <c r="G6" s="1573"/>
      <c r="H6" s="1573"/>
      <c r="I6" s="1573"/>
      <c r="J6" s="1573">
        <v>92059</v>
      </c>
      <c r="K6" s="1573">
        <v>125988</v>
      </c>
      <c r="L6" s="1574">
        <v>69746</v>
      </c>
      <c r="M6" s="1574">
        <v>127172</v>
      </c>
      <c r="N6" s="1574">
        <v>163386</v>
      </c>
      <c r="O6" s="1574">
        <v>164042</v>
      </c>
      <c r="P6" s="1574">
        <f t="shared" ref="P6:AD6" si="1">O6*(1+P7)</f>
        <v>185367.46</v>
      </c>
      <c r="Q6" s="1574">
        <f t="shared" si="1"/>
        <v>207803.93608752283</v>
      </c>
      <c r="R6" s="1574">
        <f t="shared" si="1"/>
        <v>232547.6432728238</v>
      </c>
      <c r="S6" s="1574">
        <f t="shared" si="1"/>
        <v>260136.99150612621</v>
      </c>
      <c r="T6" s="1574">
        <f t="shared" si="1"/>
        <v>290507.32575574942</v>
      </c>
      <c r="U6" s="1574">
        <f t="shared" si="1"/>
        <v>324070.75646713062</v>
      </c>
      <c r="V6" s="1574">
        <f t="shared" si="1"/>
        <v>361579.0343718697</v>
      </c>
      <c r="W6" s="1574">
        <f t="shared" si="1"/>
        <v>403684.32970005443</v>
      </c>
      <c r="X6" s="1574">
        <f t="shared" si="1"/>
        <v>451279.20930596034</v>
      </c>
      <c r="Y6" s="1574">
        <f t="shared" si="1"/>
        <v>504006.15349412913</v>
      </c>
      <c r="Z6" s="1574">
        <f t="shared" si="1"/>
        <v>562923.63254866481</v>
      </c>
      <c r="AA6" s="1574">
        <f t="shared" si="1"/>
        <v>628861.5650327258</v>
      </c>
      <c r="AB6" s="1574">
        <f t="shared" si="1"/>
        <v>702693.25593031989</v>
      </c>
      <c r="AC6" s="1574">
        <f t="shared" si="1"/>
        <v>785381.39717617771</v>
      </c>
      <c r="AD6" s="1575">
        <f t="shared" si="1"/>
        <v>878007.47777653916</v>
      </c>
      <c r="AE6" s="1576">
        <f>(O6/L6)^(1/3)-1</f>
        <v>0.3298783524629858</v>
      </c>
      <c r="AF6" s="1577">
        <f>(T6/P6)^(1/4)-1</f>
        <v>0.11887326674199494</v>
      </c>
      <c r="AJ6" s="1339"/>
      <c r="AK6" s="1338"/>
      <c r="AL6" s="1338"/>
      <c r="AM6" s="1338"/>
      <c r="AN6" s="1338"/>
      <c r="AO6" s="1338"/>
      <c r="AP6" s="1338"/>
      <c r="AQ6" s="1338"/>
      <c r="AR6" s="948"/>
      <c r="AS6" s="948"/>
      <c r="AT6" s="948"/>
      <c r="AU6" s="948"/>
      <c r="AV6" s="948"/>
      <c r="AW6" s="948"/>
      <c r="AX6" s="948"/>
      <c r="AY6" s="948"/>
      <c r="AZ6" s="948"/>
      <c r="BA6" s="948"/>
      <c r="BB6" s="948"/>
      <c r="BC6" s="948"/>
      <c r="BD6" s="948"/>
      <c r="BE6" s="948"/>
      <c r="BF6" s="948"/>
      <c r="BG6" s="948"/>
      <c r="BH6" s="948"/>
      <c r="BI6" s="948"/>
      <c r="BJ6" s="948"/>
      <c r="BK6" s="233"/>
      <c r="BL6" s="233"/>
    </row>
    <row r="7" spans="1:64" s="1582" customFormat="1" ht="14">
      <c r="C7" s="1583"/>
      <c r="D7" s="1584" t="s">
        <v>1495</v>
      </c>
      <c r="E7" s="1585"/>
      <c r="F7" s="1585"/>
      <c r="G7" s="1585"/>
      <c r="H7" s="1585"/>
      <c r="I7" s="1585"/>
      <c r="J7" s="1585"/>
      <c r="K7" s="1585"/>
      <c r="L7" s="1586">
        <f>L6/K6-1</f>
        <v>-0.44640759437406741</v>
      </c>
      <c r="M7" s="1586">
        <f>M6/L6-1</f>
        <v>0.82335904568003904</v>
      </c>
      <c r="N7" s="1586">
        <f>N6/M6-1</f>
        <v>0.28476394174818354</v>
      </c>
      <c r="O7" s="1586">
        <f>O6/N6-1</f>
        <v>4.0150318876770452E-3</v>
      </c>
      <c r="P7" s="1586">
        <f>13%</f>
        <v>0.13</v>
      </c>
      <c r="Q7" s="1586">
        <f>9%+('2a. Income Statement'!Q7/3)</f>
        <v>0.12103783526797432</v>
      </c>
      <c r="R7" s="1586">
        <f>9%+('2a. Income Statement'!R7/3)</f>
        <v>0.11907237009639418</v>
      </c>
      <c r="S7" s="1586">
        <f>9%+('2a. Income Statement'!S7/3)</f>
        <v>0.11863955207206607</v>
      </c>
      <c r="T7" s="1586">
        <f>9%+('2a. Income Statement'!T7/3)</f>
        <v>0.11674746476380322</v>
      </c>
      <c r="U7" s="1586">
        <f>9%+('2a. Income Statement'!U7/3)</f>
        <v>0.11553385314489586</v>
      </c>
      <c r="V7" s="1586">
        <f>9%+('2a. Income Statement'!V7/3)</f>
        <v>0.11574101382561311</v>
      </c>
      <c r="W7" s="1586">
        <f>9%+('2a. Income Statement'!W7/3)</f>
        <v>0.11644838700708825</v>
      </c>
      <c r="X7" s="1586">
        <f>9%+('2a. Income Statement'!X7/3)</f>
        <v>0.1179012314926117</v>
      </c>
      <c r="Y7" s="1586">
        <f>9%+('2a. Income Statement'!Y7/3)</f>
        <v>0.11683885076216914</v>
      </c>
      <c r="Z7" s="1586">
        <f>9%+('2a. Income Statement'!Z7/3)</f>
        <v>0.11689833278041908</v>
      </c>
      <c r="AA7" s="1586">
        <f>9%+('2a. Income Statement'!AA7/3)</f>
        <v>0.11713477401103888</v>
      </c>
      <c r="AB7" s="1586">
        <f>9%+('2a. Income Statement'!AB7/3)</f>
        <v>0.11740531621415261</v>
      </c>
      <c r="AC7" s="1586">
        <f>9%+('2a. Income Statement'!AC7/3)</f>
        <v>0.11767316755642428</v>
      </c>
      <c r="AD7" s="1586">
        <f>9%+('2a. Income Statement'!AD7/3)</f>
        <v>0.11793770635947916</v>
      </c>
      <c r="AE7" s="1588"/>
      <c r="AF7" s="1589"/>
      <c r="AJ7" s="1585"/>
      <c r="AK7" s="1585"/>
      <c r="AL7" s="1585"/>
      <c r="AM7" s="1585"/>
      <c r="AN7" s="1585"/>
      <c r="AO7" s="1585"/>
      <c r="AP7" s="1585"/>
      <c r="AQ7" s="1585"/>
      <c r="AR7" s="1586"/>
      <c r="AS7" s="1586"/>
      <c r="AT7" s="1586"/>
      <c r="AU7" s="1586"/>
      <c r="AV7" s="1586"/>
      <c r="AW7" s="1586"/>
      <c r="AX7" s="1586"/>
      <c r="AY7" s="1586"/>
      <c r="AZ7" s="1586"/>
      <c r="BA7" s="1586"/>
      <c r="BB7" s="1586"/>
      <c r="BC7" s="1586"/>
      <c r="BD7" s="1586"/>
      <c r="BE7" s="1586"/>
      <c r="BF7" s="1586"/>
      <c r="BG7" s="1586"/>
      <c r="BH7" s="1586"/>
      <c r="BI7" s="1586"/>
      <c r="BJ7" s="1586"/>
      <c r="BK7" s="1590"/>
      <c r="BL7" s="1590"/>
    </row>
    <row r="8" spans="1:64" s="1582" customFormat="1" ht="14">
      <c r="C8" s="1583"/>
      <c r="D8" s="1584" t="s">
        <v>1494</v>
      </c>
      <c r="E8" s="1585"/>
      <c r="F8" s="1585"/>
      <c r="G8" s="1585"/>
      <c r="H8" s="1585"/>
      <c r="I8" s="1585"/>
      <c r="J8" s="1585"/>
      <c r="K8" s="1585"/>
      <c r="L8" s="1586">
        <f t="shared" ref="L8:AD8" si="2">L6/L5</f>
        <v>5.7359879664818161E-2</v>
      </c>
      <c r="M8" s="1586">
        <f t="shared" si="2"/>
        <v>0.10178865719044673</v>
      </c>
      <c r="N8" s="1586">
        <f t="shared" si="2"/>
        <v>0.12278430120051853</v>
      </c>
      <c r="O8" s="1586">
        <f t="shared" si="2"/>
        <v>5.8061654892724933E-2</v>
      </c>
      <c r="P8" s="1799">
        <f t="shared" si="2"/>
        <v>6.1570077556641574E-2</v>
      </c>
      <c r="Q8" s="1799">
        <f t="shared" si="2"/>
        <v>6.4565894349371877E-2</v>
      </c>
      <c r="R8" s="1586">
        <f t="shared" si="2"/>
        <v>6.7385073488441985E-2</v>
      </c>
      <c r="S8" s="1586">
        <f t="shared" si="2"/>
        <v>7.0095813453226311E-2</v>
      </c>
      <c r="T8" s="1586">
        <f t="shared" si="2"/>
        <v>7.2596515921157567E-2</v>
      </c>
      <c r="U8" s="1586">
        <f t="shared" si="2"/>
        <v>7.4916817256242621E-2</v>
      </c>
      <c r="V8" s="1586">
        <f t="shared" si="2"/>
        <v>7.7139820408407681E-2</v>
      </c>
      <c r="W8" s="1586">
        <f t="shared" si="2"/>
        <v>7.9293650498839699E-2</v>
      </c>
      <c r="X8" s="1586">
        <f t="shared" si="2"/>
        <v>8.1424776289936662E-2</v>
      </c>
      <c r="Y8" s="1586">
        <f t="shared" si="2"/>
        <v>8.3357921441845659E-2</v>
      </c>
      <c r="Z8" s="1586">
        <f t="shared" si="2"/>
        <v>8.5172560228241351E-2</v>
      </c>
      <c r="AA8" s="1586">
        <f t="shared" si="2"/>
        <v>8.6882432383046562E-2</v>
      </c>
      <c r="AB8" s="1586">
        <f t="shared" si="2"/>
        <v>8.8491847383067368E-2</v>
      </c>
      <c r="AC8" s="1586">
        <f t="shared" si="2"/>
        <v>9.000320015341641E-2</v>
      </c>
      <c r="AD8" s="1587">
        <f t="shared" si="2"/>
        <v>9.1419524105981725E-2</v>
      </c>
      <c r="AE8" s="1588"/>
      <c r="AF8" s="1589"/>
      <c r="AJ8" s="1585"/>
      <c r="AK8" s="1585"/>
      <c r="AL8" s="1585"/>
      <c r="AM8" s="1585"/>
      <c r="AN8" s="1585"/>
      <c r="AO8" s="1585"/>
      <c r="AP8" s="1585"/>
      <c r="AQ8" s="1585"/>
      <c r="AR8" s="1586"/>
      <c r="AS8" s="1586"/>
      <c r="AT8" s="1586"/>
      <c r="AU8" s="1586"/>
      <c r="AV8" s="1586"/>
      <c r="AW8" s="1586"/>
      <c r="AX8" s="1586"/>
      <c r="AY8" s="1586"/>
      <c r="AZ8" s="1586"/>
      <c r="BA8" s="1586"/>
      <c r="BB8" s="1586"/>
      <c r="BC8" s="1586"/>
      <c r="BD8" s="1586"/>
      <c r="BE8" s="1586"/>
      <c r="BF8" s="1586"/>
      <c r="BG8" s="1586"/>
      <c r="BH8" s="1586"/>
      <c r="BI8" s="1586"/>
      <c r="BJ8" s="1586"/>
      <c r="BK8" s="1590"/>
      <c r="BL8" s="1590"/>
    </row>
    <row r="9" spans="1:64" s="443" customFormat="1">
      <c r="C9" s="1335"/>
      <c r="D9" s="1572" t="s">
        <v>1353</v>
      </c>
      <c r="E9" s="1573"/>
      <c r="F9" s="1573"/>
      <c r="G9" s="1573"/>
      <c r="H9" s="1573"/>
      <c r="I9" s="1573"/>
      <c r="J9" s="1573">
        <v>-591892</v>
      </c>
      <c r="K9" s="1573">
        <f>J12</f>
        <v>-645119</v>
      </c>
      <c r="L9" s="1574">
        <v>-711938</v>
      </c>
      <c r="M9" s="1574">
        <f t="shared" ref="M9:O9" si="3">L12</f>
        <v>-780087</v>
      </c>
      <c r="N9" s="1574">
        <f t="shared" si="3"/>
        <v>-791173</v>
      </c>
      <c r="O9" s="1574">
        <f t="shared" si="3"/>
        <v>-818333</v>
      </c>
      <c r="P9" s="1574">
        <f>O12</f>
        <v>-1288014</v>
      </c>
      <c r="Q9" s="1574">
        <f t="shared" ref="Q9:AD9" si="4">P12</f>
        <v>-1498761.2122</v>
      </c>
      <c r="R9" s="1574">
        <f t="shared" si="4"/>
        <v>-1728077.7979212359</v>
      </c>
      <c r="S9" s="1574">
        <f t="shared" si="4"/>
        <v>-1978277.1857748611</v>
      </c>
      <c r="T9" s="1574">
        <f t="shared" si="4"/>
        <v>-2247336.5055126804</v>
      </c>
      <c r="U9" s="1574">
        <f t="shared" si="4"/>
        <v>-2537457.6063677915</v>
      </c>
      <c r="V9" s="1574">
        <f t="shared" si="4"/>
        <v>-2851073.8370667696</v>
      </c>
      <c r="W9" s="1574">
        <f t="shared" si="4"/>
        <v>-3190904.5477577085</v>
      </c>
      <c r="X9" s="1574">
        <f t="shared" si="4"/>
        <v>-3560002.3723519011</v>
      </c>
      <c r="Y9" s="1574">
        <f t="shared" si="4"/>
        <v>-3961817.9396207761</v>
      </c>
      <c r="Z9" s="1574">
        <f t="shared" si="4"/>
        <v>-4400173.9530179752</v>
      </c>
      <c r="AA9" s="1574">
        <f t="shared" si="4"/>
        <v>-4879341.9297749521</v>
      </c>
      <c r="AB9" s="1574">
        <f t="shared" si="4"/>
        <v>-5404102.369996802</v>
      </c>
      <c r="AC9" s="1574">
        <f t="shared" si="4"/>
        <v>-5979808.0712736007</v>
      </c>
      <c r="AD9" s="1575">
        <f t="shared" si="4"/>
        <v>-6612453.923845672</v>
      </c>
      <c r="AE9" s="1576"/>
      <c r="AF9" s="1577"/>
      <c r="AJ9" s="1339"/>
      <c r="AK9" s="1338"/>
      <c r="AL9" s="1338"/>
      <c r="AM9" s="1338"/>
      <c r="AN9" s="1338"/>
      <c r="AO9" s="1338"/>
      <c r="AP9" s="1338"/>
      <c r="AQ9" s="1338"/>
      <c r="AR9" s="948"/>
      <c r="AS9" s="948"/>
      <c r="AT9" s="948"/>
      <c r="AU9" s="948"/>
      <c r="AV9" s="948"/>
      <c r="AW9" s="948"/>
      <c r="AX9" s="948"/>
      <c r="AY9" s="948"/>
      <c r="AZ9" s="948"/>
      <c r="BA9" s="948"/>
      <c r="BB9" s="948"/>
      <c r="BC9" s="948"/>
      <c r="BD9" s="948"/>
      <c r="BE9" s="948"/>
      <c r="BF9" s="948"/>
      <c r="BG9" s="948"/>
      <c r="BH9" s="948"/>
      <c r="BI9" s="948"/>
      <c r="BJ9" s="948"/>
      <c r="BK9" s="233"/>
      <c r="BL9" s="233"/>
    </row>
    <row r="10" spans="1:64" s="1582" customFormat="1" ht="14">
      <c r="C10" s="1583"/>
      <c r="D10" s="1584" t="s">
        <v>1493</v>
      </c>
      <c r="E10" s="1585"/>
      <c r="F10" s="1585"/>
      <c r="G10" s="1585"/>
      <c r="H10" s="1585"/>
      <c r="I10" s="1585"/>
      <c r="J10" s="1585">
        <f t="shared" ref="J10:O10" si="5">-J11/J5</f>
        <v>5.2717903208713453E-2</v>
      </c>
      <c r="K10" s="1585">
        <f t="shared" si="5"/>
        <v>6.8227051261147934E-2</v>
      </c>
      <c r="L10" s="1586">
        <f t="shared" si="5"/>
        <v>5.6046489250676637E-2</v>
      </c>
      <c r="M10" s="1586">
        <f t="shared" si="5"/>
        <v>8.1935498846221269E-2</v>
      </c>
      <c r="N10" s="1586">
        <f t="shared" si="5"/>
        <v>8.5387491310800909E-2</v>
      </c>
      <c r="O10" s="1586">
        <f t="shared" si="5"/>
        <v>6.2708583527383038E-2</v>
      </c>
      <c r="P10" s="1586">
        <v>7.0000000000000007E-2</v>
      </c>
      <c r="Q10" s="1586">
        <f>P10+0.125%</f>
        <v>7.1250000000000008E-2</v>
      </c>
      <c r="R10" s="1586">
        <f>Q10+0.125%</f>
        <v>7.2500000000000009E-2</v>
      </c>
      <c r="S10" s="1586">
        <f>R10</f>
        <v>7.2500000000000009E-2</v>
      </c>
      <c r="T10" s="1586">
        <f t="shared" ref="T10:AD10" si="6">S10</f>
        <v>7.2500000000000009E-2</v>
      </c>
      <c r="U10" s="1586">
        <f t="shared" si="6"/>
        <v>7.2500000000000009E-2</v>
      </c>
      <c r="V10" s="1586">
        <f t="shared" si="6"/>
        <v>7.2500000000000009E-2</v>
      </c>
      <c r="W10" s="1586">
        <f t="shared" si="6"/>
        <v>7.2500000000000009E-2</v>
      </c>
      <c r="X10" s="1586">
        <f t="shared" si="6"/>
        <v>7.2500000000000009E-2</v>
      </c>
      <c r="Y10" s="1586">
        <f t="shared" si="6"/>
        <v>7.2500000000000009E-2</v>
      </c>
      <c r="Z10" s="1586">
        <f t="shared" si="6"/>
        <v>7.2500000000000009E-2</v>
      </c>
      <c r="AA10" s="1586">
        <f t="shared" si="6"/>
        <v>7.2500000000000009E-2</v>
      </c>
      <c r="AB10" s="1586">
        <f t="shared" si="6"/>
        <v>7.2500000000000009E-2</v>
      </c>
      <c r="AC10" s="1586">
        <f t="shared" si="6"/>
        <v>7.2500000000000009E-2</v>
      </c>
      <c r="AD10" s="1587">
        <f t="shared" si="6"/>
        <v>7.2500000000000009E-2</v>
      </c>
      <c r="AE10" s="1588"/>
      <c r="AF10" s="1589"/>
      <c r="AJ10" s="1585"/>
      <c r="AK10" s="1585"/>
      <c r="AL10" s="1585"/>
      <c r="AM10" s="1585"/>
      <c r="AN10" s="1585"/>
      <c r="AO10" s="1585"/>
      <c r="AP10" s="1585"/>
      <c r="AQ10" s="1585"/>
      <c r="AR10" s="1586"/>
      <c r="AS10" s="1586"/>
      <c r="AT10" s="1586"/>
      <c r="AU10" s="1586"/>
      <c r="AV10" s="1586"/>
      <c r="AW10" s="1586"/>
      <c r="AX10" s="1586"/>
      <c r="AY10" s="1586"/>
      <c r="AZ10" s="1586"/>
      <c r="BA10" s="1586"/>
      <c r="BB10" s="1586"/>
      <c r="BC10" s="1586"/>
      <c r="BD10" s="1586"/>
      <c r="BE10" s="1586"/>
      <c r="BF10" s="1586"/>
      <c r="BG10" s="1586"/>
      <c r="BH10" s="1586"/>
      <c r="BI10" s="1586"/>
      <c r="BJ10" s="1586"/>
      <c r="BK10" s="1590"/>
      <c r="BL10" s="1590"/>
    </row>
    <row r="11" spans="1:64" s="443" customFormat="1">
      <c r="C11" s="1335"/>
      <c r="D11" s="1572" t="s">
        <v>1354</v>
      </c>
      <c r="E11" s="1573"/>
      <c r="F11" s="1573"/>
      <c r="G11" s="1573"/>
      <c r="H11" s="1573"/>
      <c r="I11" s="1573"/>
      <c r="J11" s="1573">
        <v>-53227</v>
      </c>
      <c r="K11" s="1573">
        <v>-74903</v>
      </c>
      <c r="L11" s="1574">
        <v>-68149</v>
      </c>
      <c r="M11" s="1574">
        <v>-102368</v>
      </c>
      <c r="N11" s="1574">
        <v>-113623</v>
      </c>
      <c r="O11" s="1574">
        <v>-177171</v>
      </c>
      <c r="P11" s="1574">
        <f t="shared" ref="P11:AD11" si="7">-P10*P5</f>
        <v>-210747.21220000001</v>
      </c>
      <c r="Q11" s="1574">
        <f t="shared" si="7"/>
        <v>-229316.58572123601</v>
      </c>
      <c r="R11" s="1574">
        <f t="shared" si="7"/>
        <v>-250199.38785362514</v>
      </c>
      <c r="S11" s="1574">
        <f t="shared" si="7"/>
        <v>-269059.31973781931</v>
      </c>
      <c r="T11" s="1574">
        <f t="shared" si="7"/>
        <v>-290121.10085511114</v>
      </c>
      <c r="U11" s="1574">
        <f t="shared" si="7"/>
        <v>-313616.23069897812</v>
      </c>
      <c r="V11" s="1574">
        <f t="shared" si="7"/>
        <v>-339830.71069093869</v>
      </c>
      <c r="W11" s="1574">
        <f t="shared" si="7"/>
        <v>-369097.82459419261</v>
      </c>
      <c r="X11" s="1574">
        <f t="shared" si="7"/>
        <v>-401815.56726887479</v>
      </c>
      <c r="Y11" s="1574">
        <f t="shared" si="7"/>
        <v>-438356.01339719916</v>
      </c>
      <c r="Z11" s="1574">
        <f t="shared" si="7"/>
        <v>-479167.97675697732</v>
      </c>
      <c r="AA11" s="1574">
        <f t="shared" si="7"/>
        <v>-524760.44022184995</v>
      </c>
      <c r="AB11" s="1574">
        <f t="shared" si="7"/>
        <v>-575705.70127679827</v>
      </c>
      <c r="AC11" s="1574">
        <f t="shared" si="7"/>
        <v>-632645.85257207113</v>
      </c>
      <c r="AD11" s="1575">
        <f t="shared" si="7"/>
        <v>-696301.39471087023</v>
      </c>
      <c r="AE11" s="1576">
        <f>(O11/L11)^(1/3)-1</f>
        <v>0.37502644151187647</v>
      </c>
      <c r="AF11" s="1577">
        <f>(T11/P11)^(1/4)-1</f>
        <v>8.3189320639583064E-2</v>
      </c>
      <c r="AJ11" s="1339"/>
      <c r="AK11" s="1338"/>
      <c r="AL11" s="1338"/>
      <c r="AM11" s="1338"/>
      <c r="AN11" s="1338"/>
      <c r="AO11" s="1338"/>
      <c r="AP11" s="1338"/>
      <c r="AQ11" s="1338"/>
      <c r="AR11" s="948"/>
      <c r="AS11" s="948"/>
      <c r="AT11" s="948"/>
      <c r="AU11" s="948"/>
      <c r="AV11" s="948"/>
      <c r="AW11" s="948"/>
      <c r="AX11" s="948"/>
      <c r="AY11" s="948"/>
      <c r="AZ11" s="948"/>
      <c r="BA11" s="948"/>
      <c r="BB11" s="948"/>
      <c r="BC11" s="948"/>
      <c r="BD11" s="948"/>
      <c r="BE11" s="948"/>
      <c r="BF11" s="948"/>
      <c r="BG11" s="948"/>
      <c r="BH11" s="948"/>
      <c r="BI11" s="948"/>
      <c r="BJ11" s="948"/>
      <c r="BK11" s="233"/>
      <c r="BL11" s="233"/>
    </row>
    <row r="12" spans="1:64" s="443" customFormat="1">
      <c r="C12" s="1335"/>
      <c r="D12" s="1572" t="s">
        <v>1355</v>
      </c>
      <c r="E12" s="1573"/>
      <c r="F12" s="1573"/>
      <c r="G12" s="1573"/>
      <c r="H12" s="1573"/>
      <c r="I12" s="1573"/>
      <c r="J12" s="1573">
        <f>J9+J11</f>
        <v>-645119</v>
      </c>
      <c r="K12" s="1573">
        <f>J12+K11</f>
        <v>-720022</v>
      </c>
      <c r="L12" s="1574">
        <f>L11+L9</f>
        <v>-780087</v>
      </c>
      <c r="M12" s="1574">
        <v>-791173</v>
      </c>
      <c r="N12" s="1574">
        <v>-818333</v>
      </c>
      <c r="O12" s="1574">
        <v>-1288014</v>
      </c>
      <c r="P12" s="1574">
        <f>O12+P11</f>
        <v>-1498761.2122</v>
      </c>
      <c r="Q12" s="1574">
        <f t="shared" ref="Q12:AD12" si="8">P12+Q11</f>
        <v>-1728077.7979212359</v>
      </c>
      <c r="R12" s="1574">
        <f t="shared" si="8"/>
        <v>-1978277.1857748611</v>
      </c>
      <c r="S12" s="1574">
        <f t="shared" si="8"/>
        <v>-2247336.5055126804</v>
      </c>
      <c r="T12" s="1574">
        <f t="shared" si="8"/>
        <v>-2537457.6063677915</v>
      </c>
      <c r="U12" s="1574">
        <f t="shared" si="8"/>
        <v>-2851073.8370667696</v>
      </c>
      <c r="V12" s="1574">
        <f t="shared" si="8"/>
        <v>-3190904.5477577085</v>
      </c>
      <c r="W12" s="1574">
        <f t="shared" si="8"/>
        <v>-3560002.3723519011</v>
      </c>
      <c r="X12" s="1574">
        <f t="shared" si="8"/>
        <v>-3961817.9396207761</v>
      </c>
      <c r="Y12" s="1574">
        <f t="shared" si="8"/>
        <v>-4400173.9530179752</v>
      </c>
      <c r="Z12" s="1574">
        <f t="shared" si="8"/>
        <v>-4879341.9297749521</v>
      </c>
      <c r="AA12" s="1574">
        <f t="shared" si="8"/>
        <v>-5404102.369996802</v>
      </c>
      <c r="AB12" s="1574">
        <f t="shared" si="8"/>
        <v>-5979808.0712736007</v>
      </c>
      <c r="AC12" s="1574">
        <f t="shared" si="8"/>
        <v>-6612453.923845672</v>
      </c>
      <c r="AD12" s="1575">
        <f t="shared" si="8"/>
        <v>-7308755.3185565425</v>
      </c>
      <c r="AE12" s="1576"/>
      <c r="AF12" s="1577"/>
      <c r="AJ12" s="1339"/>
      <c r="AK12" s="1338"/>
      <c r="AL12" s="1338"/>
      <c r="AM12" s="1338"/>
      <c r="AN12" s="1338"/>
      <c r="AO12" s="1338"/>
      <c r="AP12" s="1338"/>
      <c r="AQ12" s="1338"/>
      <c r="AR12" s="948"/>
      <c r="AS12" s="948"/>
      <c r="AT12" s="948"/>
      <c r="AU12" s="948"/>
      <c r="AV12" s="948"/>
      <c r="AW12" s="948"/>
      <c r="AX12" s="948"/>
      <c r="AY12" s="948"/>
      <c r="AZ12" s="948"/>
      <c r="BA12" s="948"/>
      <c r="BB12" s="948"/>
      <c r="BC12" s="948"/>
      <c r="BD12" s="948"/>
      <c r="BE12" s="948"/>
      <c r="BF12" s="948"/>
      <c r="BG12" s="948"/>
      <c r="BH12" s="948"/>
      <c r="BI12" s="948"/>
      <c r="BJ12" s="948"/>
      <c r="BK12" s="233"/>
      <c r="BL12" s="233"/>
    </row>
    <row r="13" spans="1:64" s="160" customFormat="1" ht="16" thickBot="1">
      <c r="C13" s="439"/>
      <c r="D13" s="689"/>
      <c r="E13" s="690"/>
      <c r="F13" s="690"/>
      <c r="G13" s="690"/>
      <c r="H13" s="690"/>
      <c r="I13" s="690"/>
      <c r="J13" s="690"/>
      <c r="K13" s="690"/>
      <c r="L13" s="1578"/>
      <c r="M13" s="1578"/>
      <c r="N13" s="1578"/>
      <c r="O13" s="1578"/>
      <c r="P13" s="1344"/>
      <c r="Q13" s="1344"/>
      <c r="R13" s="1344"/>
      <c r="S13" s="1344"/>
      <c r="T13" s="1344"/>
      <c r="U13" s="1344"/>
      <c r="V13" s="1344"/>
      <c r="W13" s="1344"/>
      <c r="X13" s="1344"/>
      <c r="Y13" s="1344"/>
      <c r="Z13" s="1344"/>
      <c r="AA13" s="1344"/>
      <c r="AB13" s="1344"/>
      <c r="AC13" s="1344"/>
      <c r="AD13" s="1579"/>
      <c r="AE13" s="1580"/>
      <c r="AF13" s="1581"/>
      <c r="AJ13" s="617"/>
      <c r="AK13" s="617"/>
      <c r="AL13" s="617"/>
      <c r="AM13" s="617"/>
      <c r="AN13" s="617"/>
      <c r="AO13" s="617"/>
      <c r="AP13" s="617"/>
      <c r="AQ13" s="617"/>
      <c r="AR13" s="946"/>
      <c r="AS13" s="946"/>
      <c r="AT13" s="946"/>
      <c r="AU13" s="946"/>
      <c r="AV13" s="947"/>
      <c r="AW13" s="947"/>
      <c r="AX13" s="947"/>
      <c r="AY13" s="947"/>
      <c r="AZ13" s="947"/>
      <c r="BA13" s="947"/>
      <c r="BB13" s="947"/>
      <c r="BC13" s="947"/>
      <c r="BD13" s="947"/>
      <c r="BE13" s="947"/>
      <c r="BF13" s="947"/>
      <c r="BG13" s="947"/>
      <c r="BH13" s="947"/>
      <c r="BI13" s="947"/>
      <c r="BJ13" s="947"/>
      <c r="BK13" s="977"/>
      <c r="BL13" s="977"/>
    </row>
    <row r="14" spans="1:64" s="420" customFormat="1" ht="16" thickBot="1">
      <c r="A14" s="127"/>
      <c r="B14" s="127"/>
      <c r="D14" s="740" t="s">
        <v>948</v>
      </c>
      <c r="E14" s="380"/>
      <c r="F14" s="380"/>
      <c r="G14" s="380"/>
      <c r="H14" s="380"/>
      <c r="I14" s="380"/>
      <c r="J14" s="381">
        <f>J5+J12</f>
        <v>364538</v>
      </c>
      <c r="K14" s="381">
        <f>K5+K12+37796</f>
        <v>415623</v>
      </c>
      <c r="L14" s="1340">
        <f>L5+L12</f>
        <v>435850</v>
      </c>
      <c r="M14" s="1340">
        <f>M5+M12</f>
        <v>458200</v>
      </c>
      <c r="N14" s="1340">
        <f>N5+N12</f>
        <v>512342</v>
      </c>
      <c r="O14" s="1340">
        <f>O5+O12</f>
        <v>1537293</v>
      </c>
      <c r="P14" s="1340">
        <f t="shared" ref="P14:AD14" si="9">P12+P5</f>
        <v>1511913.2478</v>
      </c>
      <c r="Q14" s="1340">
        <f t="shared" si="9"/>
        <v>1490400.5981662867</v>
      </c>
      <c r="R14" s="1340">
        <f t="shared" si="9"/>
        <v>1472748.8535854851</v>
      </c>
      <c r="S14" s="1340">
        <f t="shared" si="9"/>
        <v>1463826.5253537921</v>
      </c>
      <c r="T14" s="1340">
        <f t="shared" si="9"/>
        <v>1464212.7502544303</v>
      </c>
      <c r="U14" s="1340">
        <f t="shared" si="9"/>
        <v>1474667.2760225832</v>
      </c>
      <c r="V14" s="1340">
        <f t="shared" si="9"/>
        <v>1496415.599703514</v>
      </c>
      <c r="W14" s="1340">
        <f t="shared" si="9"/>
        <v>1531002.1048093759</v>
      </c>
      <c r="X14" s="1340">
        <f t="shared" si="9"/>
        <v>1580465.7468464617</v>
      </c>
      <c r="Y14" s="1340">
        <f t="shared" si="9"/>
        <v>1646115.8869433915</v>
      </c>
      <c r="Z14" s="1340">
        <f t="shared" si="9"/>
        <v>1729871.5427350793</v>
      </c>
      <c r="AA14" s="1340">
        <f t="shared" si="9"/>
        <v>1833972.6675459556</v>
      </c>
      <c r="AB14" s="1340">
        <f t="shared" si="9"/>
        <v>1960960.2221994773</v>
      </c>
      <c r="AC14" s="1340">
        <f t="shared" si="9"/>
        <v>2113695.7668035841</v>
      </c>
      <c r="AD14" s="1341">
        <f t="shared" si="9"/>
        <v>2295401.8498692522</v>
      </c>
      <c r="AE14" s="1342"/>
      <c r="AF14" s="1343"/>
      <c r="AJ14" s="50" t="s">
        <v>1658</v>
      </c>
      <c r="AK14" s="242"/>
      <c r="AL14" s="242"/>
      <c r="AM14" s="242"/>
      <c r="AN14" s="242"/>
      <c r="AO14" s="242"/>
      <c r="AP14" s="398"/>
      <c r="AQ14" s="398"/>
      <c r="AR14" s="1344"/>
      <c r="AS14" s="1344"/>
      <c r="AT14" s="1344"/>
      <c r="AU14" s="1344"/>
      <c r="AV14" s="1344"/>
      <c r="AW14" s="1344"/>
      <c r="AX14" s="1344"/>
      <c r="AY14" s="1344"/>
      <c r="AZ14" s="1344"/>
      <c r="BA14" s="1344"/>
      <c r="BB14" s="1344"/>
      <c r="BC14" s="1344"/>
      <c r="BD14" s="1344"/>
      <c r="BE14" s="1344"/>
      <c r="BF14" s="1344"/>
      <c r="BG14" s="1344"/>
      <c r="BH14" s="1344"/>
      <c r="BI14" s="1344"/>
      <c r="BJ14" s="1344"/>
      <c r="BK14" s="236"/>
      <c r="BL14" s="236"/>
    </row>
    <row r="15" spans="1:64" s="20" customFormat="1">
      <c r="A15" s="4"/>
      <c r="B15" s="4"/>
      <c r="E15" s="109"/>
      <c r="F15" s="109"/>
      <c r="G15" s="109"/>
      <c r="H15" s="109"/>
      <c r="I15" s="109"/>
      <c r="J15" s="290"/>
      <c r="K15" s="290"/>
      <c r="L15" s="974"/>
      <c r="M15" s="974"/>
      <c r="N15" s="974"/>
      <c r="O15" s="974"/>
      <c r="P15" s="974"/>
      <c r="Q15" s="974"/>
      <c r="R15" s="974"/>
      <c r="S15" s="974"/>
      <c r="T15" s="974"/>
      <c r="U15" s="919"/>
      <c r="V15" s="919"/>
      <c r="W15" s="919"/>
      <c r="X15" s="919"/>
      <c r="Y15" s="919"/>
      <c r="Z15" s="919"/>
      <c r="AA15" s="919"/>
      <c r="AB15" s="919"/>
      <c r="AC15" s="919"/>
      <c r="AD15" s="919"/>
      <c r="AE15" s="188"/>
      <c r="AF15" s="188"/>
      <c r="AJ15" s="50"/>
    </row>
    <row r="16" spans="1:64" s="20" customFormat="1" ht="21" thickBot="1">
      <c r="A16" s="4"/>
      <c r="B16" s="4"/>
      <c r="E16" s="109"/>
      <c r="F16" s="109"/>
      <c r="G16" s="109"/>
      <c r="H16" s="109"/>
      <c r="I16" s="109"/>
      <c r="J16" s="290"/>
      <c r="K16" s="290"/>
      <c r="L16" s="974"/>
      <c r="M16" s="974"/>
      <c r="N16" s="974"/>
      <c r="O16" s="974"/>
      <c r="P16" s="974"/>
      <c r="Q16" s="974"/>
      <c r="R16" s="974"/>
      <c r="S16" s="974"/>
      <c r="T16" s="974"/>
      <c r="U16" s="919"/>
      <c r="V16" s="919"/>
      <c r="W16" s="919"/>
      <c r="X16" s="919"/>
      <c r="Y16" s="919"/>
      <c r="Z16" s="919"/>
      <c r="AA16" s="919"/>
      <c r="AB16" s="919"/>
      <c r="AC16" s="919"/>
      <c r="AD16" s="919"/>
      <c r="AE16" s="188"/>
      <c r="AF16" s="188"/>
      <c r="AJ16" s="1210" t="s">
        <v>1756</v>
      </c>
    </row>
    <row r="17" spans="1:52" s="20" customFormat="1" ht="16" thickBot="1">
      <c r="A17" s="4"/>
      <c r="B17" s="4"/>
      <c r="D17" s="172" t="s">
        <v>1609</v>
      </c>
      <c r="E17" s="406"/>
      <c r="F17" s="406"/>
      <c r="G17" s="406"/>
      <c r="H17" s="406"/>
      <c r="I17" s="406"/>
      <c r="J17" s="985"/>
      <c r="K17" s="985"/>
      <c r="L17" s="695" t="s">
        <v>20</v>
      </c>
      <c r="M17" s="695" t="s">
        <v>21</v>
      </c>
      <c r="N17" s="695" t="s">
        <v>22</v>
      </c>
      <c r="O17" s="695" t="s">
        <v>23</v>
      </c>
      <c r="P17" s="404" t="s">
        <v>24</v>
      </c>
      <c r="Q17" s="404" t="s">
        <v>25</v>
      </c>
      <c r="R17" s="404" t="s">
        <v>26</v>
      </c>
      <c r="S17" s="404" t="s">
        <v>27</v>
      </c>
      <c r="T17" s="404" t="s">
        <v>712</v>
      </c>
      <c r="U17" s="404" t="s">
        <v>713</v>
      </c>
      <c r="V17" s="404" t="s">
        <v>714</v>
      </c>
      <c r="W17" s="404" t="s">
        <v>715</v>
      </c>
      <c r="X17" s="404" t="s">
        <v>716</v>
      </c>
      <c r="Y17" s="404" t="s">
        <v>717</v>
      </c>
      <c r="Z17" s="404" t="s">
        <v>718</v>
      </c>
      <c r="AA17" s="404" t="s">
        <v>719</v>
      </c>
      <c r="AB17" s="404" t="s">
        <v>720</v>
      </c>
      <c r="AC17" s="404" t="s">
        <v>721</v>
      </c>
      <c r="AD17" s="973" t="s">
        <v>722</v>
      </c>
      <c r="AE17" s="188"/>
      <c r="AF17" s="188"/>
      <c r="AJ17" s="109"/>
      <c r="AK17" s="235"/>
      <c r="AL17" s="235"/>
      <c r="AM17" s="235"/>
      <c r="AN17" s="235"/>
      <c r="AO17" s="235"/>
      <c r="AP17" s="618"/>
      <c r="AQ17" s="618"/>
      <c r="AR17" s="336"/>
      <c r="AS17" s="336"/>
      <c r="AT17" s="336"/>
      <c r="AU17" s="336"/>
      <c r="AV17" s="620"/>
      <c r="AW17" s="620"/>
      <c r="AX17" s="620"/>
      <c r="AY17" s="620"/>
      <c r="AZ17" s="620"/>
    </row>
    <row r="18" spans="1:52" s="20" customFormat="1">
      <c r="A18" s="4"/>
      <c r="B18" s="4"/>
      <c r="D18" s="652" t="s">
        <v>1610</v>
      </c>
      <c r="E18" s="109"/>
      <c r="F18" s="109"/>
      <c r="G18" s="109"/>
      <c r="H18" s="109"/>
      <c r="I18" s="109"/>
      <c r="J18" s="290"/>
      <c r="K18" s="290"/>
      <c r="L18" s="974"/>
      <c r="M18" s="974"/>
      <c r="N18" s="974"/>
      <c r="O18" s="974"/>
      <c r="P18" s="974"/>
      <c r="Q18" s="974"/>
      <c r="R18" s="974"/>
      <c r="S18" s="974"/>
      <c r="T18" s="974"/>
      <c r="U18" s="919"/>
      <c r="V18" s="919"/>
      <c r="W18" s="919"/>
      <c r="X18" s="919"/>
      <c r="Y18" s="919"/>
      <c r="Z18" s="919"/>
      <c r="AA18" s="919"/>
      <c r="AB18" s="919"/>
      <c r="AC18" s="919"/>
      <c r="AD18" s="920"/>
      <c r="AE18" s="188"/>
      <c r="AF18" s="188"/>
      <c r="AJ18" s="1345"/>
      <c r="AK18" s="169"/>
      <c r="AL18" s="169"/>
      <c r="AM18" s="169"/>
      <c r="AN18" s="169"/>
      <c r="AO18" s="169"/>
      <c r="AP18" s="429"/>
      <c r="AQ18" s="429"/>
      <c r="AR18" s="807"/>
      <c r="AS18" s="807"/>
      <c r="AT18" s="807"/>
      <c r="AU18" s="807"/>
      <c r="AV18" s="807"/>
      <c r="AW18" s="807"/>
      <c r="AX18" s="807"/>
      <c r="AY18" s="807"/>
      <c r="AZ18" s="807"/>
    </row>
    <row r="19" spans="1:52" s="20" customFormat="1">
      <c r="A19" s="4"/>
      <c r="B19" s="4"/>
      <c r="D19" s="1591" t="s">
        <v>506</v>
      </c>
      <c r="E19" s="109"/>
      <c r="F19" s="109"/>
      <c r="G19" s="109"/>
      <c r="H19" s="109"/>
      <c r="I19" s="109"/>
      <c r="J19" s="290"/>
      <c r="K19" s="290"/>
      <c r="L19" s="1592">
        <f>'All Together'!L65</f>
        <v>21730</v>
      </c>
      <c r="M19" s="1592">
        <f>'All Together'!M65</f>
        <v>81804</v>
      </c>
      <c r="N19" s="1592">
        <f>'All Together'!N65</f>
        <v>29865</v>
      </c>
      <c r="O19" s="1592">
        <f>'All Together'!O65</f>
        <v>76524</v>
      </c>
      <c r="P19" s="1592">
        <f>P23*P25</f>
        <v>83415.357000000004</v>
      </c>
      <c r="Q19" s="1592">
        <f t="shared" ref="Q19:AD19" si="10">Q23*Q25</f>
        <v>93511.771239385271</v>
      </c>
      <c r="R19" s="1592">
        <f t="shared" si="10"/>
        <v>104646.43947277071</v>
      </c>
      <c r="S19" s="1592">
        <f t="shared" si="10"/>
        <v>117061.6461777568</v>
      </c>
      <c r="T19" s="1592">
        <f t="shared" si="10"/>
        <v>130728.29659008724</v>
      </c>
      <c r="U19" s="976">
        <f t="shared" si="10"/>
        <v>145831.8404102088</v>
      </c>
      <c r="V19" s="976">
        <f t="shared" si="10"/>
        <v>162710.56546734137</v>
      </c>
      <c r="W19" s="976">
        <f t="shared" si="10"/>
        <v>181657.94836502449</v>
      </c>
      <c r="X19" s="976">
        <f t="shared" si="10"/>
        <v>203075.64418768216</v>
      </c>
      <c r="Y19" s="976">
        <f t="shared" si="10"/>
        <v>226802.76907235812</v>
      </c>
      <c r="Z19" s="976">
        <f t="shared" si="10"/>
        <v>253315.63464689918</v>
      </c>
      <c r="AA19" s="976">
        <f t="shared" si="10"/>
        <v>282987.70426472661</v>
      </c>
      <c r="AB19" s="976">
        <f t="shared" si="10"/>
        <v>316211.96516864398</v>
      </c>
      <c r="AC19" s="976">
        <f t="shared" si="10"/>
        <v>353421.62872927997</v>
      </c>
      <c r="AD19" s="979">
        <f t="shared" si="10"/>
        <v>395103.36499944265</v>
      </c>
      <c r="AE19" s="188"/>
      <c r="AF19" s="188"/>
      <c r="AJ19" s="1346"/>
      <c r="AK19" s="169"/>
      <c r="AL19" s="169"/>
      <c r="AM19" s="169"/>
      <c r="AN19" s="169"/>
      <c r="AO19" s="169"/>
      <c r="AP19" s="429"/>
      <c r="AQ19" s="429"/>
      <c r="AR19" s="976"/>
      <c r="AS19" s="976"/>
      <c r="AT19" s="976"/>
      <c r="AU19" s="976"/>
      <c r="AV19" s="976"/>
      <c r="AW19" s="976"/>
      <c r="AX19" s="976"/>
      <c r="AY19" s="976"/>
      <c r="AZ19" s="976"/>
    </row>
    <row r="20" spans="1:52" s="20" customFormat="1">
      <c r="A20" s="4"/>
      <c r="B20" s="4"/>
      <c r="D20" s="1591" t="s">
        <v>1218</v>
      </c>
      <c r="E20" s="109"/>
      <c r="F20" s="109"/>
      <c r="G20" s="109"/>
      <c r="H20" s="109"/>
      <c r="I20" s="109"/>
      <c r="J20" s="290"/>
      <c r="K20" s="290"/>
      <c r="L20" s="1592">
        <f>'All Together'!L69</f>
        <v>16963</v>
      </c>
      <c r="M20" s="1592">
        <f>'All Together'!M69</f>
        <v>31890</v>
      </c>
      <c r="N20" s="1592">
        <f>'All Together'!N69</f>
        <v>97516</v>
      </c>
      <c r="O20" s="1592">
        <f>'All Together'!O69</f>
        <v>36147</v>
      </c>
      <c r="P20" s="1592">
        <f>P23*P26</f>
        <v>33366.142799999994</v>
      </c>
      <c r="Q20" s="1592">
        <f t="shared" ref="Q20:AD20" si="11">Q23*Q26</f>
        <v>37404.708495754108</v>
      </c>
      <c r="R20" s="1592">
        <f t="shared" si="11"/>
        <v>41858.575789108283</v>
      </c>
      <c r="S20" s="1592">
        <f t="shared" si="11"/>
        <v>46824.658471102717</v>
      </c>
      <c r="T20" s="1592">
        <f t="shared" si="11"/>
        <v>52291.318636034892</v>
      </c>
      <c r="U20" s="976">
        <f t="shared" si="11"/>
        <v>58332.736164083508</v>
      </c>
      <c r="V20" s="976">
        <f t="shared" si="11"/>
        <v>65084.226186936547</v>
      </c>
      <c r="W20" s="976">
        <f t="shared" si="11"/>
        <v>72663.179346009798</v>
      </c>
      <c r="X20" s="976">
        <f t="shared" si="11"/>
        <v>81230.257675072862</v>
      </c>
      <c r="Y20" s="976">
        <f t="shared" si="11"/>
        <v>90721.107628943239</v>
      </c>
      <c r="Z20" s="976">
        <f t="shared" si="11"/>
        <v>101326.25385875966</v>
      </c>
      <c r="AA20" s="976">
        <f t="shared" si="11"/>
        <v>113195.08170589064</v>
      </c>
      <c r="AB20" s="976">
        <f t="shared" si="11"/>
        <v>126484.78606745758</v>
      </c>
      <c r="AC20" s="976">
        <f t="shared" si="11"/>
        <v>141368.65149171199</v>
      </c>
      <c r="AD20" s="979">
        <f t="shared" si="11"/>
        <v>158041.34599977706</v>
      </c>
      <c r="AE20" s="188"/>
      <c r="AF20" s="188"/>
      <c r="AJ20" s="1346"/>
      <c r="AK20" s="169"/>
      <c r="AL20" s="169"/>
      <c r="AM20" s="169"/>
      <c r="AN20" s="169"/>
      <c r="AO20" s="169"/>
      <c r="AP20" s="429"/>
      <c r="AQ20" s="429"/>
      <c r="AR20" s="976"/>
      <c r="AS20" s="976"/>
      <c r="AT20" s="976"/>
      <c r="AU20" s="976"/>
      <c r="AV20" s="976"/>
      <c r="AW20" s="976"/>
      <c r="AX20" s="976"/>
      <c r="AY20" s="976"/>
      <c r="AZ20" s="976"/>
    </row>
    <row r="21" spans="1:52" s="20" customFormat="1">
      <c r="A21" s="4"/>
      <c r="B21" s="4"/>
      <c r="D21" s="1591" t="s">
        <v>508</v>
      </c>
      <c r="E21" s="109"/>
      <c r="F21" s="109"/>
      <c r="G21" s="109"/>
      <c r="H21" s="109"/>
      <c r="I21" s="109"/>
      <c r="J21" s="290"/>
      <c r="K21" s="290"/>
      <c r="L21" s="1592">
        <f>'All Together'!L73</f>
        <v>31053</v>
      </c>
      <c r="M21" s="1592">
        <f>'All Together'!M73</f>
        <v>13478</v>
      </c>
      <c r="N21" s="1592">
        <f>'All Together'!N73</f>
        <v>36005</v>
      </c>
      <c r="O21" s="1592">
        <f>'All Together'!O73</f>
        <v>39854</v>
      </c>
      <c r="P21" s="1592">
        <f>P23*P27</f>
        <v>37073.491999999998</v>
      </c>
      <c r="Q21" s="1592">
        <f t="shared" ref="Q21:AD21" si="12">Q23*Q27</f>
        <v>41560.78721750457</v>
      </c>
      <c r="R21" s="1592">
        <f t="shared" si="12"/>
        <v>46509.528654564761</v>
      </c>
      <c r="S21" s="1592">
        <f t="shared" si="12"/>
        <v>52027.398301225243</v>
      </c>
      <c r="T21" s="1592">
        <f t="shared" si="12"/>
        <v>58101.465151149889</v>
      </c>
      <c r="U21" s="976">
        <f t="shared" si="12"/>
        <v>64814.151293426126</v>
      </c>
      <c r="V21" s="976">
        <f t="shared" si="12"/>
        <v>72315.806874373942</v>
      </c>
      <c r="W21" s="976">
        <f t="shared" si="12"/>
        <v>80736.865940010888</v>
      </c>
      <c r="X21" s="976">
        <f t="shared" si="12"/>
        <v>90255.841861192079</v>
      </c>
      <c r="Y21" s="976">
        <f t="shared" si="12"/>
        <v>100801.23069882584</v>
      </c>
      <c r="Z21" s="976">
        <f t="shared" si="12"/>
        <v>112584.72650973297</v>
      </c>
      <c r="AA21" s="976">
        <f t="shared" si="12"/>
        <v>125772.31300654517</v>
      </c>
      <c r="AB21" s="976">
        <f t="shared" si="12"/>
        <v>140538.65118606397</v>
      </c>
      <c r="AC21" s="976">
        <f t="shared" si="12"/>
        <v>157076.27943523554</v>
      </c>
      <c r="AD21" s="979">
        <f t="shared" si="12"/>
        <v>175601.49555530783</v>
      </c>
      <c r="AE21" s="188"/>
      <c r="AF21" s="188"/>
      <c r="AJ21" s="1346"/>
      <c r="AK21" s="169"/>
      <c r="AL21" s="169"/>
      <c r="AM21" s="169"/>
      <c r="AN21" s="169"/>
      <c r="AO21" s="169"/>
      <c r="AP21" s="429"/>
      <c r="AQ21" s="429"/>
      <c r="AR21" s="976"/>
      <c r="AS21" s="976"/>
      <c r="AT21" s="976"/>
      <c r="AU21" s="976"/>
      <c r="AV21" s="976"/>
      <c r="AW21" s="976"/>
      <c r="AX21" s="976"/>
      <c r="AY21" s="976"/>
      <c r="AZ21" s="976"/>
    </row>
    <row r="22" spans="1:52" s="20" customFormat="1">
      <c r="A22" s="4"/>
      <c r="B22" s="4"/>
      <c r="D22" s="1591" t="s">
        <v>692</v>
      </c>
      <c r="E22" s="109"/>
      <c r="F22" s="109"/>
      <c r="G22" s="109"/>
      <c r="H22" s="109"/>
      <c r="I22" s="109"/>
      <c r="J22" s="290"/>
      <c r="K22" s="290"/>
      <c r="L22" s="1592">
        <f>'All Together'!L77</f>
        <v>0</v>
      </c>
      <c r="M22" s="1592">
        <f>'All Together'!M77</f>
        <v>0</v>
      </c>
      <c r="N22" s="1592">
        <f>'All Together'!N77</f>
        <v>0</v>
      </c>
      <c r="O22" s="1592">
        <f>'All Together'!O77</f>
        <v>11517</v>
      </c>
      <c r="P22" s="1592">
        <f>P23*P28</f>
        <v>31512.468200000018</v>
      </c>
      <c r="Q22" s="1592">
        <f t="shared" ref="Q22:AD22" si="13">Q23*Q28</f>
        <v>35326.669134878903</v>
      </c>
      <c r="R22" s="1592">
        <f t="shared" si="13"/>
        <v>39533.099356380066</v>
      </c>
      <c r="S22" s="1592">
        <f t="shared" si="13"/>
        <v>44223.28855604148</v>
      </c>
      <c r="T22" s="1592">
        <f t="shared" si="13"/>
        <v>49386.245378477426</v>
      </c>
      <c r="U22" s="976">
        <f t="shared" si="13"/>
        <v>55092.028599412239</v>
      </c>
      <c r="V22" s="976">
        <f t="shared" si="13"/>
        <v>61468.435843217885</v>
      </c>
      <c r="W22" s="976">
        <f t="shared" si="13"/>
        <v>68626.336049009289</v>
      </c>
      <c r="X22" s="976">
        <f t="shared" si="13"/>
        <v>76717.465582013305</v>
      </c>
      <c r="Y22" s="976">
        <f t="shared" si="13"/>
        <v>85681.046094001998</v>
      </c>
      <c r="Z22" s="976">
        <f t="shared" si="13"/>
        <v>95697.017533273072</v>
      </c>
      <c r="AA22" s="976">
        <f t="shared" si="13"/>
        <v>106906.46605556345</v>
      </c>
      <c r="AB22" s="976">
        <f t="shared" si="13"/>
        <v>119457.85350815445</v>
      </c>
      <c r="AC22" s="976">
        <f t="shared" si="13"/>
        <v>133514.83751995029</v>
      </c>
      <c r="AD22" s="979">
        <f t="shared" si="13"/>
        <v>149261.27122201174</v>
      </c>
      <c r="AE22" s="188"/>
      <c r="AF22" s="188"/>
      <c r="AJ22" s="1346"/>
      <c r="AK22" s="235"/>
      <c r="AL22" s="235"/>
      <c r="AM22" s="235"/>
      <c r="AN22" s="235"/>
      <c r="AO22" s="235"/>
      <c r="AP22" s="618"/>
      <c r="AQ22" s="618"/>
      <c r="AR22" s="976"/>
      <c r="AS22" s="976"/>
      <c r="AT22" s="976"/>
      <c r="AU22" s="976"/>
      <c r="AV22" s="976"/>
      <c r="AW22" s="976"/>
      <c r="AX22" s="976"/>
      <c r="AY22" s="976"/>
      <c r="AZ22" s="976"/>
    </row>
    <row r="23" spans="1:52" s="20" customFormat="1">
      <c r="A23" s="4"/>
      <c r="B23" s="4"/>
      <c r="D23" s="726" t="s">
        <v>103</v>
      </c>
      <c r="E23" s="109"/>
      <c r="F23" s="109"/>
      <c r="G23" s="109"/>
      <c r="H23" s="109"/>
      <c r="I23" s="109"/>
      <c r="J23" s="290"/>
      <c r="K23" s="290"/>
      <c r="L23" s="974">
        <f>SUM(L19:L22)</f>
        <v>69746</v>
      </c>
      <c r="M23" s="974">
        <f t="shared" ref="M23:O23" si="14">SUM(M19:M22)</f>
        <v>127172</v>
      </c>
      <c r="N23" s="974">
        <f t="shared" si="14"/>
        <v>163386</v>
      </c>
      <c r="O23" s="974">
        <f t="shared" si="14"/>
        <v>164042</v>
      </c>
      <c r="P23" s="974">
        <f t="shared" ref="P23:AD23" si="15">P6</f>
        <v>185367.46</v>
      </c>
      <c r="Q23" s="974">
        <f t="shared" si="15"/>
        <v>207803.93608752283</v>
      </c>
      <c r="R23" s="974">
        <f t="shared" si="15"/>
        <v>232547.6432728238</v>
      </c>
      <c r="S23" s="974">
        <f t="shared" si="15"/>
        <v>260136.99150612621</v>
      </c>
      <c r="T23" s="974">
        <f t="shared" si="15"/>
        <v>290507.32575574942</v>
      </c>
      <c r="U23" s="975">
        <f t="shared" si="15"/>
        <v>324070.75646713062</v>
      </c>
      <c r="V23" s="975">
        <f t="shared" si="15"/>
        <v>361579.0343718697</v>
      </c>
      <c r="W23" s="975">
        <f t="shared" si="15"/>
        <v>403684.32970005443</v>
      </c>
      <c r="X23" s="975">
        <f t="shared" si="15"/>
        <v>451279.20930596034</v>
      </c>
      <c r="Y23" s="975">
        <f t="shared" si="15"/>
        <v>504006.15349412913</v>
      </c>
      <c r="Z23" s="975">
        <f t="shared" si="15"/>
        <v>562923.63254866481</v>
      </c>
      <c r="AA23" s="975">
        <f t="shared" si="15"/>
        <v>628861.5650327258</v>
      </c>
      <c r="AB23" s="975">
        <f t="shared" si="15"/>
        <v>702693.25593031989</v>
      </c>
      <c r="AC23" s="975">
        <f t="shared" si="15"/>
        <v>785381.39717617771</v>
      </c>
      <c r="AD23" s="980">
        <f t="shared" si="15"/>
        <v>878007.47777653916</v>
      </c>
      <c r="AE23" s="188"/>
      <c r="AF23" s="188"/>
      <c r="AJ23" s="235"/>
      <c r="AK23" s="235"/>
      <c r="AL23" s="235"/>
      <c r="AM23" s="235"/>
      <c r="AN23" s="235"/>
      <c r="AO23" s="235"/>
      <c r="AP23" s="618"/>
      <c r="AQ23" s="618"/>
      <c r="AR23" s="975"/>
      <c r="AS23" s="975"/>
      <c r="AT23" s="975"/>
      <c r="AU23" s="975"/>
      <c r="AV23" s="975"/>
      <c r="AW23" s="975"/>
      <c r="AX23" s="975"/>
      <c r="AY23" s="975"/>
      <c r="AZ23" s="975"/>
    </row>
    <row r="24" spans="1:52" s="20" customFormat="1">
      <c r="A24" s="4"/>
      <c r="B24" s="4"/>
      <c r="D24" s="652" t="s">
        <v>1611</v>
      </c>
      <c r="E24" s="109"/>
      <c r="F24" s="109"/>
      <c r="G24" s="109"/>
      <c r="H24" s="109"/>
      <c r="I24" s="109"/>
      <c r="J24" s="290"/>
      <c r="K24" s="290"/>
      <c r="L24" s="1592"/>
      <c r="M24" s="1592"/>
      <c r="N24" s="1592"/>
      <c r="O24" s="1592"/>
      <c r="P24" s="1592"/>
      <c r="Q24" s="1592"/>
      <c r="R24" s="1592"/>
      <c r="S24" s="1592"/>
      <c r="T24" s="1592"/>
      <c r="U24" s="976"/>
      <c r="V24" s="976"/>
      <c r="W24" s="976"/>
      <c r="X24" s="976"/>
      <c r="Y24" s="976"/>
      <c r="Z24" s="976"/>
      <c r="AA24" s="976"/>
      <c r="AB24" s="976"/>
      <c r="AC24" s="976"/>
      <c r="AD24" s="979"/>
      <c r="AE24" s="188"/>
      <c r="AF24" s="188"/>
      <c r="AJ24" s="1345"/>
      <c r="AK24" s="169"/>
      <c r="AL24" s="169"/>
      <c r="AM24" s="169"/>
      <c r="AN24" s="169"/>
      <c r="AO24" s="169"/>
      <c r="AP24" s="216"/>
      <c r="AQ24" s="216"/>
      <c r="AR24" s="975"/>
      <c r="AS24" s="975"/>
      <c r="AT24" s="975"/>
      <c r="AU24" s="975"/>
      <c r="AV24" s="975"/>
      <c r="AW24" s="975"/>
      <c r="AX24" s="975"/>
      <c r="AY24" s="975"/>
      <c r="AZ24" s="975"/>
    </row>
    <row r="25" spans="1:52" s="20" customFormat="1">
      <c r="A25" s="4"/>
      <c r="B25" s="4"/>
      <c r="D25" s="1591" t="s">
        <v>506</v>
      </c>
      <c r="E25" s="109"/>
      <c r="F25" s="109"/>
      <c r="G25" s="109"/>
      <c r="H25" s="109"/>
      <c r="I25" s="109"/>
      <c r="J25" s="290"/>
      <c r="K25" s="290"/>
      <c r="L25" s="1593">
        <f>L19/$L$23</f>
        <v>0.31155908582571046</v>
      </c>
      <c r="M25" s="1593">
        <f>M19/$M$23</f>
        <v>0.64325480451671757</v>
      </c>
      <c r="N25" s="1593">
        <f>N19/$N$23</f>
        <v>0.18278799897176012</v>
      </c>
      <c r="O25" s="1593">
        <f>O19/$O$23</f>
        <v>0.46649028907231077</v>
      </c>
      <c r="P25" s="1593">
        <v>0.45</v>
      </c>
      <c r="Q25" s="1593">
        <f>P25</f>
        <v>0.45</v>
      </c>
      <c r="R25" s="1593">
        <f t="shared" ref="R25:AD25" si="16">Q25</f>
        <v>0.45</v>
      </c>
      <c r="S25" s="1593">
        <f t="shared" si="16"/>
        <v>0.45</v>
      </c>
      <c r="T25" s="1593">
        <f t="shared" si="16"/>
        <v>0.45</v>
      </c>
      <c r="U25" s="978">
        <f t="shared" si="16"/>
        <v>0.45</v>
      </c>
      <c r="V25" s="978">
        <f t="shared" si="16"/>
        <v>0.45</v>
      </c>
      <c r="W25" s="978">
        <f t="shared" si="16"/>
        <v>0.45</v>
      </c>
      <c r="X25" s="978">
        <f t="shared" si="16"/>
        <v>0.45</v>
      </c>
      <c r="Y25" s="978">
        <f t="shared" si="16"/>
        <v>0.45</v>
      </c>
      <c r="Z25" s="978">
        <f t="shared" si="16"/>
        <v>0.45</v>
      </c>
      <c r="AA25" s="978">
        <f t="shared" si="16"/>
        <v>0.45</v>
      </c>
      <c r="AB25" s="978">
        <f t="shared" si="16"/>
        <v>0.45</v>
      </c>
      <c r="AC25" s="978">
        <f t="shared" si="16"/>
        <v>0.45</v>
      </c>
      <c r="AD25" s="986">
        <f t="shared" si="16"/>
        <v>0.45</v>
      </c>
      <c r="AE25" s="188"/>
      <c r="AF25" s="188"/>
      <c r="AJ25" s="1346"/>
      <c r="AK25" s="169"/>
      <c r="AL25" s="169"/>
      <c r="AM25" s="169"/>
      <c r="AN25" s="169"/>
      <c r="AO25" s="169"/>
      <c r="AP25" s="216"/>
      <c r="AQ25" s="216"/>
      <c r="AR25" s="215"/>
      <c r="AS25" s="215"/>
      <c r="AT25" s="215"/>
      <c r="AU25" s="215"/>
      <c r="AV25" s="215"/>
      <c r="AW25" s="215"/>
      <c r="AX25" s="215"/>
      <c r="AY25" s="215"/>
      <c r="AZ25" s="215"/>
    </row>
    <row r="26" spans="1:52" s="20" customFormat="1">
      <c r="A26" s="4"/>
      <c r="B26" s="4"/>
      <c r="D26" s="1591" t="s">
        <v>1218</v>
      </c>
      <c r="E26" s="109"/>
      <c r="F26" s="109"/>
      <c r="G26" s="109"/>
      <c r="H26" s="109"/>
      <c r="I26" s="109"/>
      <c r="J26" s="290"/>
      <c r="K26" s="290"/>
      <c r="L26" s="1593">
        <f t="shared" ref="L26:L29" si="17">L20/$L$23</f>
        <v>0.24321108020531643</v>
      </c>
      <c r="M26" s="1593">
        <f t="shared" ref="M26:M29" si="18">M20/$M$23</f>
        <v>0.2507627465165288</v>
      </c>
      <c r="N26" s="1593">
        <f t="shared" ref="N26:N29" si="19">N20/$N$23</f>
        <v>0.59684428286389291</v>
      </c>
      <c r="O26" s="1593">
        <f t="shared" ref="O26:O29" si="20">O20/$O$23</f>
        <v>0.22035210494873264</v>
      </c>
      <c r="P26" s="1593">
        <v>0.18</v>
      </c>
      <c r="Q26" s="1593">
        <f>P26</f>
        <v>0.18</v>
      </c>
      <c r="R26" s="1593">
        <f t="shared" ref="R26:AD26" si="21">Q26</f>
        <v>0.18</v>
      </c>
      <c r="S26" s="1593">
        <f t="shared" si="21"/>
        <v>0.18</v>
      </c>
      <c r="T26" s="1593">
        <f t="shared" si="21"/>
        <v>0.18</v>
      </c>
      <c r="U26" s="978">
        <f t="shared" si="21"/>
        <v>0.18</v>
      </c>
      <c r="V26" s="978">
        <f t="shared" si="21"/>
        <v>0.18</v>
      </c>
      <c r="W26" s="978">
        <f t="shared" si="21"/>
        <v>0.18</v>
      </c>
      <c r="X26" s="978">
        <f t="shared" si="21"/>
        <v>0.18</v>
      </c>
      <c r="Y26" s="978">
        <f t="shared" si="21"/>
        <v>0.18</v>
      </c>
      <c r="Z26" s="978">
        <f t="shared" si="21"/>
        <v>0.18</v>
      </c>
      <c r="AA26" s="978">
        <f t="shared" si="21"/>
        <v>0.18</v>
      </c>
      <c r="AB26" s="978">
        <f t="shared" si="21"/>
        <v>0.18</v>
      </c>
      <c r="AC26" s="978">
        <f t="shared" si="21"/>
        <v>0.18</v>
      </c>
      <c r="AD26" s="986">
        <f t="shared" si="21"/>
        <v>0.18</v>
      </c>
      <c r="AE26" s="188"/>
      <c r="AF26" s="188"/>
      <c r="AJ26" s="1346"/>
      <c r="AK26" s="169"/>
      <c r="AL26" s="169"/>
      <c r="AM26" s="169"/>
      <c r="AN26" s="169"/>
      <c r="AO26" s="169"/>
      <c r="AP26" s="216"/>
      <c r="AQ26" s="216"/>
      <c r="AR26" s="215"/>
      <c r="AS26" s="215"/>
      <c r="AT26" s="215"/>
      <c r="AU26" s="215"/>
      <c r="AV26" s="215"/>
      <c r="AW26" s="215"/>
      <c r="AX26" s="215"/>
      <c r="AY26" s="215"/>
      <c r="AZ26" s="215"/>
    </row>
    <row r="27" spans="1:52" s="20" customFormat="1">
      <c r="A27" s="4"/>
      <c r="B27" s="4"/>
      <c r="D27" s="1591" t="s">
        <v>508</v>
      </c>
      <c r="E27" s="109"/>
      <c r="F27" s="109"/>
      <c r="G27" s="109"/>
      <c r="H27" s="109"/>
      <c r="I27" s="109"/>
      <c r="J27" s="290"/>
      <c r="K27" s="290"/>
      <c r="L27" s="1593">
        <f t="shared" si="17"/>
        <v>0.44522983396897314</v>
      </c>
      <c r="M27" s="1593">
        <f t="shared" si="18"/>
        <v>0.10598244896675368</v>
      </c>
      <c r="N27" s="1593">
        <f t="shared" si="19"/>
        <v>0.220367718164347</v>
      </c>
      <c r="O27" s="1593">
        <f t="shared" si="20"/>
        <v>0.24294997622560077</v>
      </c>
      <c r="P27" s="1593">
        <v>0.2</v>
      </c>
      <c r="Q27" s="1593">
        <f>P27</f>
        <v>0.2</v>
      </c>
      <c r="R27" s="1593">
        <f t="shared" ref="R27:AD27" si="22">Q27</f>
        <v>0.2</v>
      </c>
      <c r="S27" s="1593">
        <f t="shared" si="22"/>
        <v>0.2</v>
      </c>
      <c r="T27" s="1593">
        <f t="shared" si="22"/>
        <v>0.2</v>
      </c>
      <c r="U27" s="978">
        <f t="shared" si="22"/>
        <v>0.2</v>
      </c>
      <c r="V27" s="978">
        <f t="shared" si="22"/>
        <v>0.2</v>
      </c>
      <c r="W27" s="978">
        <f t="shared" si="22"/>
        <v>0.2</v>
      </c>
      <c r="X27" s="978">
        <f t="shared" si="22"/>
        <v>0.2</v>
      </c>
      <c r="Y27" s="978">
        <f t="shared" si="22"/>
        <v>0.2</v>
      </c>
      <c r="Z27" s="978">
        <f t="shared" si="22"/>
        <v>0.2</v>
      </c>
      <c r="AA27" s="978">
        <f t="shared" si="22"/>
        <v>0.2</v>
      </c>
      <c r="AB27" s="978">
        <f t="shared" si="22"/>
        <v>0.2</v>
      </c>
      <c r="AC27" s="978">
        <f t="shared" si="22"/>
        <v>0.2</v>
      </c>
      <c r="AD27" s="986">
        <f t="shared" si="22"/>
        <v>0.2</v>
      </c>
      <c r="AE27" s="188"/>
      <c r="AF27" s="188"/>
      <c r="AJ27" s="1346"/>
      <c r="AK27" s="169"/>
      <c r="AL27" s="169"/>
      <c r="AM27" s="169"/>
      <c r="AN27" s="169"/>
      <c r="AO27" s="169"/>
      <c r="AP27" s="216"/>
      <c r="AQ27" s="216"/>
      <c r="AR27" s="215"/>
      <c r="AS27" s="215"/>
      <c r="AT27" s="215"/>
      <c r="AU27" s="215"/>
      <c r="AV27" s="215"/>
      <c r="AW27" s="215"/>
      <c r="AX27" s="215"/>
      <c r="AY27" s="215"/>
      <c r="AZ27" s="215"/>
    </row>
    <row r="28" spans="1:52" s="20" customFormat="1">
      <c r="A28" s="4"/>
      <c r="B28" s="4"/>
      <c r="D28" s="1591" t="s">
        <v>692</v>
      </c>
      <c r="E28" s="109"/>
      <c r="F28" s="109"/>
      <c r="G28" s="109"/>
      <c r="H28" s="109"/>
      <c r="I28" s="109"/>
      <c r="J28" s="290"/>
      <c r="K28" s="290"/>
      <c r="L28" s="1593">
        <f t="shared" si="17"/>
        <v>0</v>
      </c>
      <c r="M28" s="1593">
        <f t="shared" si="18"/>
        <v>0</v>
      </c>
      <c r="N28" s="1593">
        <f t="shared" si="19"/>
        <v>0</v>
      </c>
      <c r="O28" s="1593">
        <f t="shared" si="20"/>
        <v>7.0207629753355844E-2</v>
      </c>
      <c r="P28" s="1593">
        <f>1-P27-P26-P25</f>
        <v>0.1700000000000001</v>
      </c>
      <c r="Q28" s="1593">
        <f>P28</f>
        <v>0.1700000000000001</v>
      </c>
      <c r="R28" s="1593">
        <f t="shared" ref="R28:AD28" si="23">Q28</f>
        <v>0.1700000000000001</v>
      </c>
      <c r="S28" s="1593">
        <f t="shared" si="23"/>
        <v>0.1700000000000001</v>
      </c>
      <c r="T28" s="1593">
        <f t="shared" si="23"/>
        <v>0.1700000000000001</v>
      </c>
      <c r="U28" s="978">
        <f t="shared" si="23"/>
        <v>0.1700000000000001</v>
      </c>
      <c r="V28" s="978">
        <f t="shared" si="23"/>
        <v>0.1700000000000001</v>
      </c>
      <c r="W28" s="978">
        <f t="shared" si="23"/>
        <v>0.1700000000000001</v>
      </c>
      <c r="X28" s="978">
        <f t="shared" si="23"/>
        <v>0.1700000000000001</v>
      </c>
      <c r="Y28" s="978">
        <f t="shared" si="23"/>
        <v>0.1700000000000001</v>
      </c>
      <c r="Z28" s="978">
        <f t="shared" si="23"/>
        <v>0.1700000000000001</v>
      </c>
      <c r="AA28" s="978">
        <f t="shared" si="23"/>
        <v>0.1700000000000001</v>
      </c>
      <c r="AB28" s="978">
        <f t="shared" si="23"/>
        <v>0.1700000000000001</v>
      </c>
      <c r="AC28" s="978">
        <f t="shared" si="23"/>
        <v>0.1700000000000001</v>
      </c>
      <c r="AD28" s="986">
        <f t="shared" si="23"/>
        <v>0.1700000000000001</v>
      </c>
      <c r="AE28" s="188"/>
      <c r="AF28" s="188"/>
      <c r="AJ28" s="1346"/>
      <c r="AK28" s="235"/>
      <c r="AL28" s="235"/>
      <c r="AM28" s="235"/>
      <c r="AN28" s="235"/>
      <c r="AO28" s="235"/>
      <c r="AP28" s="737"/>
      <c r="AQ28" s="737"/>
      <c r="AR28" s="215"/>
      <c r="AS28" s="215"/>
      <c r="AT28" s="215"/>
      <c r="AU28" s="215"/>
      <c r="AV28" s="215"/>
      <c r="AW28" s="215"/>
      <c r="AX28" s="215"/>
      <c r="AY28" s="215"/>
      <c r="AZ28" s="215"/>
    </row>
    <row r="29" spans="1:52" s="20" customFormat="1" ht="16" thickBot="1">
      <c r="A29" s="4"/>
      <c r="B29" s="4"/>
      <c r="D29" s="746" t="s">
        <v>103</v>
      </c>
      <c r="E29" s="418"/>
      <c r="F29" s="418"/>
      <c r="G29" s="418"/>
      <c r="H29" s="418"/>
      <c r="I29" s="418"/>
      <c r="J29" s="738"/>
      <c r="K29" s="738"/>
      <c r="L29" s="1594">
        <f t="shared" si="17"/>
        <v>1</v>
      </c>
      <c r="M29" s="1594">
        <f t="shared" si="18"/>
        <v>1</v>
      </c>
      <c r="N29" s="1594">
        <f t="shared" si="19"/>
        <v>1</v>
      </c>
      <c r="O29" s="1594">
        <f t="shared" si="20"/>
        <v>1</v>
      </c>
      <c r="P29" s="1595">
        <f>SUM(P25:P28)</f>
        <v>1.0000000000000002</v>
      </c>
      <c r="Q29" s="1595">
        <f>SUM(Q25:Q28)</f>
        <v>1.0000000000000002</v>
      </c>
      <c r="R29" s="1595">
        <f t="shared" ref="R29:AD29" si="24">SUM(R25:R28)</f>
        <v>1.0000000000000002</v>
      </c>
      <c r="S29" s="1595">
        <f t="shared" si="24"/>
        <v>1.0000000000000002</v>
      </c>
      <c r="T29" s="1595">
        <f t="shared" si="24"/>
        <v>1.0000000000000002</v>
      </c>
      <c r="U29" s="987">
        <f t="shared" si="24"/>
        <v>1.0000000000000002</v>
      </c>
      <c r="V29" s="987">
        <f t="shared" si="24"/>
        <v>1.0000000000000002</v>
      </c>
      <c r="W29" s="987">
        <f t="shared" si="24"/>
        <v>1.0000000000000002</v>
      </c>
      <c r="X29" s="987">
        <f t="shared" si="24"/>
        <v>1.0000000000000002</v>
      </c>
      <c r="Y29" s="987">
        <f t="shared" si="24"/>
        <v>1.0000000000000002</v>
      </c>
      <c r="Z29" s="987">
        <f t="shared" si="24"/>
        <v>1.0000000000000002</v>
      </c>
      <c r="AA29" s="987">
        <f t="shared" si="24"/>
        <v>1.0000000000000002</v>
      </c>
      <c r="AB29" s="987">
        <f t="shared" si="24"/>
        <v>1.0000000000000002</v>
      </c>
      <c r="AC29" s="987">
        <f t="shared" si="24"/>
        <v>1.0000000000000002</v>
      </c>
      <c r="AD29" s="988">
        <f t="shared" si="24"/>
        <v>1.0000000000000002</v>
      </c>
      <c r="AE29" s="188"/>
      <c r="AF29" s="188"/>
      <c r="AJ29" s="235"/>
      <c r="AK29" s="109"/>
      <c r="AL29" s="109"/>
      <c r="AM29" s="109"/>
      <c r="AN29" s="109"/>
      <c r="AO29" s="109"/>
      <c r="AP29" s="290"/>
      <c r="AQ29" s="290"/>
      <c r="AR29" s="1220"/>
      <c r="AS29" s="1220"/>
      <c r="AT29" s="1220"/>
      <c r="AU29" s="1220"/>
      <c r="AV29" s="1220"/>
      <c r="AW29" s="1220"/>
      <c r="AX29" s="1220"/>
      <c r="AY29" s="1220"/>
      <c r="AZ29" s="1220"/>
    </row>
    <row r="30" spans="1:52" s="20" customFormat="1">
      <c r="A30" s="4"/>
      <c r="B30" s="4"/>
      <c r="E30" s="109"/>
      <c r="F30" s="109"/>
      <c r="G30" s="109"/>
      <c r="H30" s="109"/>
      <c r="I30" s="109"/>
      <c r="J30" s="290"/>
      <c r="K30" s="290"/>
      <c r="L30" s="290"/>
      <c r="M30" s="290"/>
      <c r="N30" s="290"/>
      <c r="O30" s="290"/>
      <c r="P30" s="290"/>
      <c r="Q30" s="290"/>
      <c r="R30" s="290"/>
      <c r="S30" s="290"/>
      <c r="T30" s="290"/>
      <c r="U30" s="290"/>
      <c r="V30" s="290"/>
      <c r="W30" s="290"/>
      <c r="X30" s="290"/>
      <c r="Y30" s="290"/>
      <c r="Z30" s="290"/>
      <c r="AA30" s="290"/>
      <c r="AB30" s="290"/>
      <c r="AC30" s="290"/>
      <c r="AD30" s="290"/>
      <c r="AJ30" s="50" t="s">
        <v>1658</v>
      </c>
    </row>
    <row r="31" spans="1:52" s="20" customFormat="1" ht="16" thickBot="1">
      <c r="A31" s="4"/>
      <c r="B31" s="4"/>
      <c r="E31" s="109"/>
      <c r="F31" s="109"/>
      <c r="G31" s="109"/>
      <c r="H31" s="109"/>
      <c r="I31" s="109"/>
      <c r="J31" s="290"/>
      <c r="K31" s="290"/>
      <c r="L31" s="290"/>
      <c r="M31" s="290"/>
      <c r="N31" s="290"/>
      <c r="O31" s="290"/>
      <c r="P31" s="290"/>
      <c r="Q31" s="290"/>
      <c r="R31" s="290"/>
      <c r="S31" s="290"/>
      <c r="T31" s="290"/>
      <c r="U31" s="290"/>
      <c r="V31" s="290"/>
      <c r="W31" s="290"/>
      <c r="X31" s="290"/>
      <c r="Y31" s="290"/>
      <c r="Z31" s="290"/>
      <c r="AA31" s="290"/>
      <c r="AB31" s="290"/>
      <c r="AC31" s="290"/>
      <c r="AD31" s="290"/>
    </row>
    <row r="32" spans="1:52" s="124" customFormat="1" ht="16" thickBot="1">
      <c r="A32" s="6"/>
      <c r="B32" s="6"/>
      <c r="D32" s="172" t="s">
        <v>1596</v>
      </c>
      <c r="E32" s="406"/>
      <c r="F32" s="406"/>
      <c r="G32" s="406"/>
      <c r="H32" s="406"/>
      <c r="I32" s="406"/>
      <c r="J32" s="985"/>
      <c r="K32" s="985"/>
      <c r="L32" s="695" t="s">
        <v>20</v>
      </c>
      <c r="M32" s="695" t="s">
        <v>21</v>
      </c>
      <c r="N32" s="695" t="s">
        <v>22</v>
      </c>
      <c r="O32" s="695" t="s">
        <v>23</v>
      </c>
      <c r="P32" s="404" t="s">
        <v>24</v>
      </c>
      <c r="Q32" s="404" t="s">
        <v>25</v>
      </c>
      <c r="R32" s="404" t="s">
        <v>26</v>
      </c>
      <c r="S32" s="404" t="s">
        <v>27</v>
      </c>
      <c r="T32" s="404" t="s">
        <v>712</v>
      </c>
      <c r="U32" s="404" t="s">
        <v>713</v>
      </c>
      <c r="V32" s="404" t="s">
        <v>714</v>
      </c>
      <c r="W32" s="404" t="s">
        <v>715</v>
      </c>
      <c r="X32" s="404" t="s">
        <v>716</v>
      </c>
      <c r="Y32" s="404" t="s">
        <v>717</v>
      </c>
      <c r="Z32" s="404" t="s">
        <v>718</v>
      </c>
      <c r="AA32" s="404" t="s">
        <v>719</v>
      </c>
      <c r="AB32" s="404" t="s">
        <v>720</v>
      </c>
      <c r="AC32" s="404" t="s">
        <v>721</v>
      </c>
      <c r="AD32" s="404" t="s">
        <v>722</v>
      </c>
    </row>
    <row r="33" spans="1:36" s="160" customFormat="1">
      <c r="A33" s="7"/>
      <c r="B33" s="7"/>
      <c r="D33" s="652" t="s">
        <v>1496</v>
      </c>
      <c r="E33" s="190"/>
      <c r="F33" s="190"/>
      <c r="G33" s="190"/>
      <c r="H33" s="190"/>
      <c r="I33" s="190"/>
      <c r="J33" s="1455">
        <f>'All Together'!J89</f>
        <v>23488</v>
      </c>
      <c r="K33" s="1455">
        <f>'All Together'!K89</f>
        <v>24530</v>
      </c>
      <c r="L33" s="1415"/>
      <c r="M33" s="1415"/>
      <c r="N33" s="1415"/>
      <c r="O33" s="1415"/>
      <c r="P33" s="1415"/>
      <c r="Q33" s="1415"/>
      <c r="R33" s="1415"/>
      <c r="S33" s="1415"/>
      <c r="T33" s="1415"/>
      <c r="U33" s="811"/>
      <c r="V33" s="811"/>
      <c r="W33" s="811"/>
      <c r="X33" s="811"/>
      <c r="Y33" s="811"/>
      <c r="Z33" s="811"/>
      <c r="AA33" s="811"/>
      <c r="AB33" s="811"/>
      <c r="AC33" s="811"/>
      <c r="AD33" s="945"/>
    </row>
    <row r="34" spans="1:36" s="160" customFormat="1" ht="20">
      <c r="A34" s="7"/>
      <c r="B34" s="7"/>
      <c r="D34" s="1591" t="s">
        <v>506</v>
      </c>
      <c r="E34" s="190"/>
      <c r="F34" s="190"/>
      <c r="G34" s="190"/>
      <c r="H34" s="190"/>
      <c r="I34" s="190"/>
      <c r="J34" s="1455">
        <f>'All Together'!J93</f>
        <v>29053</v>
      </c>
      <c r="K34" s="1455">
        <f>'All Together'!K93</f>
        <v>25201</v>
      </c>
      <c r="L34" s="1592">
        <f>'All Together'!L89</f>
        <v>26094</v>
      </c>
      <c r="M34" s="1592">
        <f>'All Together'!M89</f>
        <v>27294</v>
      </c>
      <c r="N34" s="1592">
        <f>'All Together'!N89</f>
        <v>37581</v>
      </c>
      <c r="O34" s="1592">
        <f>'All Together'!O89</f>
        <v>60611</v>
      </c>
      <c r="P34" s="1592">
        <f>'All Together'!P89</f>
        <v>63224.163659999998</v>
      </c>
      <c r="Q34" s="1592">
        <f>'All Together'!Q89</f>
        <v>68794.975716370798</v>
      </c>
      <c r="R34" s="1592">
        <f>'All Together'!R89</f>
        <v>75059.81635608754</v>
      </c>
      <c r="S34" s="1592">
        <f>'All Together'!S89</f>
        <v>80717.795921345794</v>
      </c>
      <c r="T34" s="1592">
        <f>'All Together'!T89</f>
        <v>87036.330256533343</v>
      </c>
      <c r="U34" s="976">
        <f>'All Together'!U89</f>
        <v>94084.869209693439</v>
      </c>
      <c r="V34" s="976">
        <f>'All Together'!V89</f>
        <v>101949.2132072816</v>
      </c>
      <c r="W34" s="976">
        <f>'All Together'!W89</f>
        <v>110729.34737825778</v>
      </c>
      <c r="X34" s="976">
        <f>'All Together'!X89</f>
        <v>120544.67018066243</v>
      </c>
      <c r="Y34" s="976">
        <f>'All Together'!Y89</f>
        <v>131506.80401915975</v>
      </c>
      <c r="Z34" s="976">
        <f>'All Together'!Z89</f>
        <v>143750.3930270932</v>
      </c>
      <c r="AA34" s="976">
        <f>'All Together'!AA89</f>
        <v>157428.13206655497</v>
      </c>
      <c r="AB34" s="976">
        <f>'All Together'!AB89</f>
        <v>172711.71038303946</v>
      </c>
      <c r="AC34" s="976">
        <f>'All Together'!AC89</f>
        <v>189793.75577162133</v>
      </c>
      <c r="AD34" s="979">
        <f>'All Together'!AD89</f>
        <v>208890.41841326107</v>
      </c>
      <c r="AJ34" s="1210" t="s">
        <v>1757</v>
      </c>
    </row>
    <row r="35" spans="1:36" s="160" customFormat="1">
      <c r="A35" s="7"/>
      <c r="B35" s="7"/>
      <c r="D35" s="1591" t="s">
        <v>1218</v>
      </c>
      <c r="E35" s="190"/>
      <c r="F35" s="190"/>
      <c r="G35" s="190"/>
      <c r="H35" s="190"/>
      <c r="I35" s="190"/>
      <c r="J35" s="1455">
        <f>'All Together'!J97</f>
        <v>24333</v>
      </c>
      <c r="K35" s="1455">
        <f>'All Together'!K97</f>
        <v>27478</v>
      </c>
      <c r="L35" s="1592">
        <f>'All Together'!L93</f>
        <v>27940</v>
      </c>
      <c r="M35" s="1592">
        <f>'All Together'!M93</f>
        <v>29414</v>
      </c>
      <c r="N35" s="1592">
        <f>'All Together'!N93</f>
        <v>49304</v>
      </c>
      <c r="O35" s="1592">
        <f>'All Together'!O93</f>
        <v>67769</v>
      </c>
      <c r="P35" s="1592">
        <f>'All Together'!P93</f>
        <v>67439.107904000004</v>
      </c>
      <c r="Q35" s="1592">
        <f>'All Together'!Q93</f>
        <v>73381.307430795525</v>
      </c>
      <c r="R35" s="1592">
        <f>'All Together'!R93</f>
        <v>80063.804113160048</v>
      </c>
      <c r="S35" s="1592">
        <f>'All Together'!S93</f>
        <v>86098.982316102178</v>
      </c>
      <c r="T35" s="1592">
        <f>'All Together'!T93</f>
        <v>92838.752273635575</v>
      </c>
      <c r="U35" s="976">
        <f>'All Together'!U93</f>
        <v>100357.19382367301</v>
      </c>
      <c r="V35" s="976">
        <f>'All Together'!V93</f>
        <v>108745.82742110039</v>
      </c>
      <c r="W35" s="976">
        <f>'All Together'!W93</f>
        <v>118111.30387014164</v>
      </c>
      <c r="X35" s="976">
        <f>'All Together'!X93</f>
        <v>128580.98152603993</v>
      </c>
      <c r="Y35" s="976">
        <f>'All Together'!Y93</f>
        <v>140273.92428710373</v>
      </c>
      <c r="Z35" s="976">
        <f>'All Together'!Z93</f>
        <v>153333.75256223275</v>
      </c>
      <c r="AA35" s="976">
        <f>'All Together'!AA93</f>
        <v>167923.34087099199</v>
      </c>
      <c r="AB35" s="976">
        <f>'All Together'!AB93</f>
        <v>184225.82440857546</v>
      </c>
      <c r="AC35" s="976">
        <f>'All Together'!AC93</f>
        <v>202446.67282306278</v>
      </c>
      <c r="AD35" s="979">
        <f>'All Together'!AD93</f>
        <v>222816.44630747847</v>
      </c>
    </row>
    <row r="36" spans="1:36" s="160" customFormat="1">
      <c r="A36" s="7"/>
      <c r="B36" s="7"/>
      <c r="D36" s="1591" t="s">
        <v>508</v>
      </c>
      <c r="E36" s="190"/>
      <c r="F36" s="190"/>
      <c r="G36" s="190"/>
      <c r="H36" s="190"/>
      <c r="I36" s="190"/>
      <c r="J36" s="1455">
        <f>'All Together'!J101</f>
        <v>0</v>
      </c>
      <c r="K36" s="1455">
        <f>'All Together'!K101</f>
        <v>0</v>
      </c>
      <c r="L36" s="1592">
        <f>'All Together'!L97</f>
        <v>32305</v>
      </c>
      <c r="M36" s="1592">
        <f>'All Together'!M97</f>
        <v>30485</v>
      </c>
      <c r="N36" s="1592">
        <f>'All Together'!N97</f>
        <v>26738</v>
      </c>
      <c r="O36" s="1592">
        <f>'All Together'!O97</f>
        <v>27012</v>
      </c>
      <c r="P36" s="1592">
        <f>'All Together'!P97</f>
        <v>29504.609708000004</v>
      </c>
      <c r="Q36" s="1592">
        <f>'All Together'!Q97</f>
        <v>32104.322000973047</v>
      </c>
      <c r="R36" s="1592">
        <f>'All Together'!R97</f>
        <v>35027.914299507524</v>
      </c>
      <c r="S36" s="1592">
        <f>'All Together'!S97</f>
        <v>37668.304763294705</v>
      </c>
      <c r="T36" s="1592">
        <f>'All Together'!T97</f>
        <v>40616.954119715563</v>
      </c>
      <c r="U36" s="976">
        <f>'All Together'!U97</f>
        <v>43906.272297856944</v>
      </c>
      <c r="V36" s="976">
        <f>'All Together'!V97</f>
        <v>47576.299496731423</v>
      </c>
      <c r="W36" s="976">
        <f>'All Together'!W97</f>
        <v>51673.695443186974</v>
      </c>
      <c r="X36" s="976">
        <f>'All Together'!X97</f>
        <v>56254.179417642474</v>
      </c>
      <c r="Y36" s="976">
        <f>'All Together'!Y97</f>
        <v>61369.84187560789</v>
      </c>
      <c r="Z36" s="976">
        <f>'All Together'!Z97</f>
        <v>67083.516745976827</v>
      </c>
      <c r="AA36" s="976">
        <f>'All Together'!AA97</f>
        <v>73466.461631059006</v>
      </c>
      <c r="AB36" s="976">
        <f>'All Together'!AB97</f>
        <v>80598.798178751764</v>
      </c>
      <c r="AC36" s="976">
        <f>'All Together'!AC97</f>
        <v>88570.41936008996</v>
      </c>
      <c r="AD36" s="979">
        <f>'All Together'!AD97</f>
        <v>97482.195259521846</v>
      </c>
    </row>
    <row r="37" spans="1:36" s="124" customFormat="1">
      <c r="A37" s="6"/>
      <c r="B37" s="6"/>
      <c r="D37" s="1591" t="s">
        <v>692</v>
      </c>
      <c r="E37" s="109"/>
      <c r="F37" s="109"/>
      <c r="G37" s="109"/>
      <c r="H37" s="109"/>
      <c r="I37" s="109"/>
      <c r="J37" s="290">
        <f>SUM(J33:J36)</f>
        <v>76874</v>
      </c>
      <c r="K37" s="290">
        <f t="shared" ref="K37" si="25">SUM(K33:K36)</f>
        <v>77209</v>
      </c>
      <c r="L37" s="1592">
        <f>'All Together'!L101</f>
        <v>0</v>
      </c>
      <c r="M37" s="1592">
        <f>'All Together'!M101</f>
        <v>0</v>
      </c>
      <c r="N37" s="1592">
        <f>'All Together'!N101</f>
        <v>0</v>
      </c>
      <c r="O37" s="1592">
        <f>'All Together'!O101</f>
        <v>21779</v>
      </c>
      <c r="P37" s="1592">
        <f>'All Together'!P101</f>
        <v>50579.330928000003</v>
      </c>
      <c r="Q37" s="1592">
        <f>'All Together'!Q101</f>
        <v>55035.98057309664</v>
      </c>
      <c r="R37" s="1592">
        <f>'All Together'!R101</f>
        <v>60047.853084870032</v>
      </c>
      <c r="S37" s="1592">
        <f>'All Together'!S101</f>
        <v>64574.23673707663</v>
      </c>
      <c r="T37" s="1592">
        <f>'All Together'!T101</f>
        <v>69629.064205226678</v>
      </c>
      <c r="U37" s="976">
        <f>'All Together'!U101</f>
        <v>75267.89536775474</v>
      </c>
      <c r="V37" s="976">
        <f>'All Together'!V101</f>
        <v>81559.370565825287</v>
      </c>
      <c r="W37" s="976">
        <f>'All Together'!W101</f>
        <v>88583.477902606217</v>
      </c>
      <c r="X37" s="976">
        <f>'All Together'!X101</f>
        <v>96435.736144529947</v>
      </c>
      <c r="Y37" s="976">
        <f>'All Together'!Y101</f>
        <v>105205.44321532779</v>
      </c>
      <c r="Z37" s="976">
        <f>'All Together'!Z101</f>
        <v>115000.31442167456</v>
      </c>
      <c r="AA37" s="976">
        <f>'All Together'!AA101</f>
        <v>125942.50565324398</v>
      </c>
      <c r="AB37" s="976">
        <f>'All Together'!AB101</f>
        <v>138169.36830643157</v>
      </c>
      <c r="AC37" s="976">
        <f>'All Together'!AC101</f>
        <v>151835.00461729706</v>
      </c>
      <c r="AD37" s="979">
        <f>'All Together'!AD101</f>
        <v>167112.33473060885</v>
      </c>
    </row>
    <row r="38" spans="1:36" s="124" customFormat="1">
      <c r="A38" s="6"/>
      <c r="B38" s="6"/>
      <c r="D38" s="726" t="s">
        <v>103</v>
      </c>
      <c r="E38" s="109"/>
      <c r="F38" s="109"/>
      <c r="G38" s="109"/>
      <c r="H38" s="109"/>
      <c r="I38" s="109"/>
      <c r="J38" s="290"/>
      <c r="K38" s="290"/>
      <c r="L38" s="974">
        <f>SUM(L34:L37)</f>
        <v>86339</v>
      </c>
      <c r="M38" s="974">
        <f>SUM(M34:M37)</f>
        <v>87193</v>
      </c>
      <c r="N38" s="974">
        <f>SUM(N34:N37)</f>
        <v>113623</v>
      </c>
      <c r="O38" s="974">
        <f>SUM(O34:O37)</f>
        <v>177171</v>
      </c>
      <c r="P38" s="974">
        <f t="shared" ref="P38" si="26">SUM(P34:P37)</f>
        <v>210747.21220000001</v>
      </c>
      <c r="Q38" s="974">
        <f t="shared" ref="Q38" si="27">SUM(Q34:Q37)</f>
        <v>229316.58572123598</v>
      </c>
      <c r="R38" s="974">
        <f t="shared" ref="R38" si="28">SUM(R34:R37)</f>
        <v>250199.38785362511</v>
      </c>
      <c r="S38" s="974">
        <f t="shared" ref="S38" si="29">SUM(S34:S37)</f>
        <v>269059.31973781926</v>
      </c>
      <c r="T38" s="974">
        <f t="shared" ref="T38" si="30">SUM(T34:T37)</f>
        <v>290121.10085511114</v>
      </c>
      <c r="U38" s="975">
        <f t="shared" ref="U38" si="31">SUM(U34:U37)</f>
        <v>313616.23069897818</v>
      </c>
      <c r="V38" s="975">
        <f t="shared" ref="V38" si="32">SUM(V34:V37)</f>
        <v>339830.71069093875</v>
      </c>
      <c r="W38" s="975">
        <f t="shared" ref="W38" si="33">SUM(W34:W37)</f>
        <v>369097.82459419256</v>
      </c>
      <c r="X38" s="975">
        <f t="shared" ref="X38" si="34">SUM(X34:X37)</f>
        <v>401815.56726887479</v>
      </c>
      <c r="Y38" s="975">
        <f t="shared" ref="Y38" si="35">SUM(Y34:Y37)</f>
        <v>438356.01339719916</v>
      </c>
      <c r="Z38" s="975">
        <f t="shared" ref="Z38" si="36">SUM(Z34:Z37)</f>
        <v>479167.97675697727</v>
      </c>
      <c r="AA38" s="975">
        <f t="shared" ref="AA38" si="37">SUM(AA34:AA37)</f>
        <v>524760.44022184995</v>
      </c>
      <c r="AB38" s="975">
        <f t="shared" ref="AB38" si="38">SUM(AB34:AB37)</f>
        <v>575705.70127679827</v>
      </c>
      <c r="AC38" s="975">
        <f t="shared" ref="AC38" si="39">SUM(AC34:AC37)</f>
        <v>632645.85257207113</v>
      </c>
      <c r="AD38" s="980">
        <f t="shared" ref="AD38" si="40">SUM(AD34:AD37)</f>
        <v>696301.39471087023</v>
      </c>
    </row>
    <row r="39" spans="1:36" s="160" customFormat="1">
      <c r="A39" s="7"/>
      <c r="B39" s="7"/>
      <c r="D39" s="652" t="s">
        <v>1497</v>
      </c>
      <c r="E39" s="190"/>
      <c r="F39" s="190"/>
      <c r="G39" s="190"/>
      <c r="H39" s="190"/>
      <c r="I39" s="190"/>
      <c r="J39" s="219">
        <f>J33/$J$37</f>
        <v>0.30553893383978981</v>
      </c>
      <c r="K39" s="219">
        <f>K33/$K$37</f>
        <v>0.31770907536686138</v>
      </c>
      <c r="L39" s="974"/>
      <c r="M39" s="974"/>
      <c r="N39" s="974"/>
      <c r="O39" s="974"/>
      <c r="P39" s="974"/>
      <c r="Q39" s="974"/>
      <c r="R39" s="974"/>
      <c r="S39" s="974"/>
      <c r="T39" s="974"/>
      <c r="U39" s="981"/>
      <c r="V39" s="981"/>
      <c r="W39" s="981"/>
      <c r="X39" s="981"/>
      <c r="Y39" s="981"/>
      <c r="Z39" s="981"/>
      <c r="AA39" s="981"/>
      <c r="AB39" s="981"/>
      <c r="AC39" s="981"/>
      <c r="AD39" s="982"/>
    </row>
    <row r="40" spans="1:36" s="160" customFormat="1">
      <c r="A40" s="7"/>
      <c r="B40" s="7"/>
      <c r="D40" s="1591" t="s">
        <v>506</v>
      </c>
      <c r="E40" s="190"/>
      <c r="F40" s="190"/>
      <c r="G40" s="190"/>
      <c r="H40" s="190"/>
      <c r="I40" s="190"/>
      <c r="J40" s="219">
        <f>J34/$J$37</f>
        <v>0.37793011941618754</v>
      </c>
      <c r="K40" s="219">
        <f>K34/$K$37</f>
        <v>0.3263997720473002</v>
      </c>
      <c r="L40" s="1596">
        <f>L34/$L$38</f>
        <v>0.30222726693614704</v>
      </c>
      <c r="M40" s="1596">
        <f>M34/$M$38</f>
        <v>0.31302971568818599</v>
      </c>
      <c r="N40" s="1596">
        <f>N34/$N$38</f>
        <v>0.33075169639949659</v>
      </c>
      <c r="O40" s="1596">
        <f>O34/$O$38</f>
        <v>0.34210452049150258</v>
      </c>
      <c r="P40" s="1596">
        <v>0.3</v>
      </c>
      <c r="Q40" s="1596">
        <v>0.3</v>
      </c>
      <c r="R40" s="1596">
        <v>0.3</v>
      </c>
      <c r="S40" s="1596">
        <v>0.3</v>
      </c>
      <c r="T40" s="1596">
        <v>0.3</v>
      </c>
      <c r="U40" s="215">
        <v>0.3</v>
      </c>
      <c r="V40" s="215">
        <v>0.3</v>
      </c>
      <c r="W40" s="215">
        <v>0.3</v>
      </c>
      <c r="X40" s="215">
        <v>0.3</v>
      </c>
      <c r="Y40" s="215">
        <v>0.3</v>
      </c>
      <c r="Z40" s="215">
        <v>0.3</v>
      </c>
      <c r="AA40" s="215">
        <v>0.3</v>
      </c>
      <c r="AB40" s="215">
        <v>0.3</v>
      </c>
      <c r="AC40" s="215">
        <v>0.3</v>
      </c>
      <c r="AD40" s="983">
        <v>0.3</v>
      </c>
    </row>
    <row r="41" spans="1:36" s="160" customFormat="1">
      <c r="A41" s="7"/>
      <c r="B41" s="7"/>
      <c r="D41" s="1591" t="s">
        <v>1218</v>
      </c>
      <c r="E41" s="190"/>
      <c r="F41" s="190"/>
      <c r="G41" s="190"/>
      <c r="H41" s="190"/>
      <c r="I41" s="190"/>
      <c r="J41" s="219">
        <f>J35/$J$37</f>
        <v>0.31653094674402271</v>
      </c>
      <c r="K41" s="219">
        <f>K35/$K$37</f>
        <v>0.35589115258583842</v>
      </c>
      <c r="L41" s="1596">
        <f>L35/$L$38</f>
        <v>0.32360810294305009</v>
      </c>
      <c r="M41" s="1596">
        <f>M35/$M$38</f>
        <v>0.33734359409585629</v>
      </c>
      <c r="N41" s="1596">
        <f>N35/$N$38</f>
        <v>0.43392622972461564</v>
      </c>
      <c r="O41" s="1596">
        <f>O35/$O$38</f>
        <v>0.38250616635905427</v>
      </c>
      <c r="P41" s="1596">
        <v>0.32</v>
      </c>
      <c r="Q41" s="1596">
        <v>0.32</v>
      </c>
      <c r="R41" s="1596">
        <v>0.32</v>
      </c>
      <c r="S41" s="1596">
        <v>0.32</v>
      </c>
      <c r="T41" s="1596">
        <v>0.32</v>
      </c>
      <c r="U41" s="215">
        <v>0.32</v>
      </c>
      <c r="V41" s="215">
        <v>0.32</v>
      </c>
      <c r="W41" s="215">
        <v>0.32</v>
      </c>
      <c r="X41" s="215">
        <v>0.32</v>
      </c>
      <c r="Y41" s="215">
        <v>0.32</v>
      </c>
      <c r="Z41" s="215">
        <v>0.32</v>
      </c>
      <c r="AA41" s="215">
        <v>0.32</v>
      </c>
      <c r="AB41" s="215">
        <v>0.32</v>
      </c>
      <c r="AC41" s="215">
        <v>0.32</v>
      </c>
      <c r="AD41" s="983">
        <v>0.32</v>
      </c>
    </row>
    <row r="42" spans="1:36" s="160" customFormat="1">
      <c r="A42" s="7"/>
      <c r="B42" s="7"/>
      <c r="D42" s="1591" t="s">
        <v>508</v>
      </c>
      <c r="E42" s="190"/>
      <c r="F42" s="190"/>
      <c r="G42" s="190"/>
      <c r="H42" s="190"/>
      <c r="I42" s="190"/>
      <c r="J42" s="219">
        <f>J36/$J$37</f>
        <v>0</v>
      </c>
      <c r="K42" s="219">
        <f>K36/$K$37</f>
        <v>0</v>
      </c>
      <c r="L42" s="1596">
        <f>L36/$L$38</f>
        <v>0.37416463012080287</v>
      </c>
      <c r="M42" s="1596">
        <f>M36/$M$38</f>
        <v>0.34962669021595771</v>
      </c>
      <c r="N42" s="1596">
        <f>N36/$N$38</f>
        <v>0.2353220738758878</v>
      </c>
      <c r="O42" s="1596">
        <f>O36/$O$38</f>
        <v>0.15246287484972146</v>
      </c>
      <c r="P42" s="1596">
        <v>0.14000000000000001</v>
      </c>
      <c r="Q42" s="1596">
        <v>0.14000000000000001</v>
      </c>
      <c r="R42" s="1596">
        <v>0.14000000000000001</v>
      </c>
      <c r="S42" s="1596">
        <v>0.14000000000000001</v>
      </c>
      <c r="T42" s="1596">
        <v>0.14000000000000001</v>
      </c>
      <c r="U42" s="215">
        <v>0.14000000000000001</v>
      </c>
      <c r="V42" s="215">
        <v>0.14000000000000001</v>
      </c>
      <c r="W42" s="215">
        <v>0.14000000000000001</v>
      </c>
      <c r="X42" s="215">
        <v>0.14000000000000001</v>
      </c>
      <c r="Y42" s="215">
        <v>0.14000000000000001</v>
      </c>
      <c r="Z42" s="215">
        <v>0.14000000000000001</v>
      </c>
      <c r="AA42" s="215">
        <v>0.14000000000000001</v>
      </c>
      <c r="AB42" s="215">
        <v>0.14000000000000001</v>
      </c>
      <c r="AC42" s="215">
        <v>0.14000000000000001</v>
      </c>
      <c r="AD42" s="983">
        <v>0.14000000000000001</v>
      </c>
    </row>
    <row r="43" spans="1:36" s="124" customFormat="1">
      <c r="A43" s="6"/>
      <c r="B43" s="6"/>
      <c r="D43" s="1591" t="s">
        <v>692</v>
      </c>
      <c r="E43" s="109"/>
      <c r="F43" s="109"/>
      <c r="G43" s="109"/>
      <c r="H43" s="109"/>
      <c r="I43" s="109"/>
      <c r="J43" s="237">
        <f>SUM(J39:J42)</f>
        <v>1</v>
      </c>
      <c r="K43" s="237">
        <f>SUM(K39:K42)</f>
        <v>1</v>
      </c>
      <c r="L43" s="1596">
        <f>L37/$L$38</f>
        <v>0</v>
      </c>
      <c r="M43" s="1596">
        <f>M37/$M$38</f>
        <v>0</v>
      </c>
      <c r="N43" s="1596">
        <f>N37/$N$38</f>
        <v>0</v>
      </c>
      <c r="O43" s="1596">
        <f>O37/$O$38</f>
        <v>0.12292643829972173</v>
      </c>
      <c r="P43" s="1596">
        <v>0.24</v>
      </c>
      <c r="Q43" s="1596">
        <v>0.24</v>
      </c>
      <c r="R43" s="1596">
        <v>0.24</v>
      </c>
      <c r="S43" s="1596">
        <v>0.24</v>
      </c>
      <c r="T43" s="1596">
        <v>0.24</v>
      </c>
      <c r="U43" s="215">
        <v>0.24</v>
      </c>
      <c r="V43" s="215">
        <v>0.24</v>
      </c>
      <c r="W43" s="215">
        <v>0.24</v>
      </c>
      <c r="X43" s="215">
        <v>0.24</v>
      </c>
      <c r="Y43" s="215">
        <v>0.24</v>
      </c>
      <c r="Z43" s="215">
        <v>0.24</v>
      </c>
      <c r="AA43" s="215">
        <v>0.24</v>
      </c>
      <c r="AB43" s="215">
        <v>0.24</v>
      </c>
      <c r="AC43" s="215">
        <v>0.24</v>
      </c>
      <c r="AD43" s="983">
        <v>0.24</v>
      </c>
    </row>
    <row r="44" spans="1:36" s="20" customFormat="1" ht="16" thickBot="1">
      <c r="A44" s="4"/>
      <c r="B44" s="4"/>
      <c r="D44" s="746" t="s">
        <v>103</v>
      </c>
      <c r="E44" s="418"/>
      <c r="F44" s="418"/>
      <c r="G44" s="418"/>
      <c r="H44" s="418"/>
      <c r="I44" s="418"/>
      <c r="J44" s="738"/>
      <c r="K44" s="738"/>
      <c r="L44" s="1597">
        <f t="shared" ref="L44:P44" si="41">SUM(L40:L43)</f>
        <v>1</v>
      </c>
      <c r="M44" s="1597">
        <f t="shared" si="41"/>
        <v>1</v>
      </c>
      <c r="N44" s="1597">
        <f t="shared" si="41"/>
        <v>1</v>
      </c>
      <c r="O44" s="1597">
        <f t="shared" si="41"/>
        <v>1</v>
      </c>
      <c r="P44" s="1597">
        <f t="shared" si="41"/>
        <v>1</v>
      </c>
      <c r="Q44" s="1597">
        <f t="shared" ref="Q44" si="42">SUM(Q40:Q43)</f>
        <v>1</v>
      </c>
      <c r="R44" s="1597">
        <f t="shared" ref="R44" si="43">SUM(R40:R43)</f>
        <v>1</v>
      </c>
      <c r="S44" s="1597">
        <f t="shared" ref="S44" si="44">SUM(S40:S43)</f>
        <v>1</v>
      </c>
      <c r="T44" s="1597">
        <f t="shared" ref="T44" si="45">SUM(T40:T43)</f>
        <v>1</v>
      </c>
      <c r="U44" s="984">
        <f t="shared" ref="U44" si="46">SUM(U40:U43)</f>
        <v>1</v>
      </c>
      <c r="V44" s="984">
        <f t="shared" ref="V44" si="47">SUM(V40:V43)</f>
        <v>1</v>
      </c>
      <c r="W44" s="984">
        <f t="shared" ref="W44" si="48">SUM(W40:W43)</f>
        <v>1</v>
      </c>
      <c r="X44" s="984">
        <f t="shared" ref="X44" si="49">SUM(X40:X43)</f>
        <v>1</v>
      </c>
      <c r="Y44" s="984">
        <f t="shared" ref="Y44" si="50">SUM(Y40:Y43)</f>
        <v>1</v>
      </c>
      <c r="Z44" s="984">
        <f t="shared" ref="Z44" si="51">SUM(Z40:Z43)</f>
        <v>1</v>
      </c>
      <c r="AA44" s="984">
        <f t="shared" ref="AA44" si="52">SUM(AA40:AA43)</f>
        <v>1</v>
      </c>
      <c r="AB44" s="984">
        <f t="shared" ref="AB44" si="53">SUM(AB40:AB43)</f>
        <v>1</v>
      </c>
      <c r="AC44" s="984">
        <f t="shared" ref="AC44" si="54">SUM(AC40:AC43)</f>
        <v>1</v>
      </c>
      <c r="AD44" s="792">
        <f t="shared" ref="AD44" si="55">SUM(AD40:AD43)</f>
        <v>1</v>
      </c>
    </row>
    <row r="45" spans="1:36" s="20" customFormat="1">
      <c r="A45" s="4"/>
      <c r="B45" s="4"/>
      <c r="E45" s="109"/>
      <c r="F45" s="109"/>
      <c r="G45" s="109"/>
      <c r="H45" s="109"/>
      <c r="I45" s="109"/>
      <c r="J45" s="290"/>
      <c r="K45" s="290"/>
      <c r="L45" s="290"/>
      <c r="M45" s="290"/>
      <c r="N45" s="290"/>
      <c r="O45" s="290"/>
      <c r="P45" s="290"/>
      <c r="Q45" s="290"/>
      <c r="R45" s="290"/>
      <c r="S45" s="290"/>
      <c r="T45" s="290"/>
      <c r="U45" s="290"/>
      <c r="V45" s="290"/>
      <c r="W45" s="290"/>
      <c r="X45" s="290"/>
      <c r="Y45" s="290"/>
      <c r="Z45" s="290"/>
      <c r="AA45" s="290"/>
      <c r="AB45" s="290"/>
      <c r="AC45" s="290"/>
      <c r="AD45" s="290"/>
    </row>
    <row r="46" spans="1:36" s="20" customFormat="1" ht="16" thickBot="1">
      <c r="A46" s="4"/>
      <c r="B46" s="4"/>
      <c r="E46" s="109"/>
      <c r="F46" s="109"/>
      <c r="G46" s="109"/>
      <c r="H46" s="109"/>
      <c r="I46" s="109"/>
      <c r="J46" s="290"/>
      <c r="K46" s="290"/>
      <c r="L46" s="290"/>
      <c r="M46" s="290"/>
      <c r="N46" s="290"/>
      <c r="O46" s="290"/>
      <c r="P46" s="290"/>
      <c r="Q46" s="290"/>
      <c r="R46" s="290"/>
      <c r="S46" s="290"/>
      <c r="T46" s="290"/>
      <c r="U46" s="290"/>
      <c r="V46" s="290"/>
      <c r="W46" s="290"/>
      <c r="X46" s="290"/>
      <c r="Y46" s="290"/>
      <c r="Z46" s="290"/>
      <c r="AA46" s="290"/>
      <c r="AB46" s="290"/>
      <c r="AC46" s="290"/>
      <c r="AD46" s="290"/>
    </row>
    <row r="47" spans="1:36" ht="16" thickBot="1">
      <c r="A47" s="408"/>
      <c r="B47" s="408"/>
      <c r="C47" s="278"/>
      <c r="D47" s="1606" t="s">
        <v>986</v>
      </c>
      <c r="E47" s="741" t="s">
        <v>216</v>
      </c>
      <c r="F47" s="741" t="s">
        <v>217</v>
      </c>
      <c r="G47" s="741" t="s">
        <v>218</v>
      </c>
      <c r="H47" s="741" t="s">
        <v>28</v>
      </c>
      <c r="I47" s="741" t="s">
        <v>17</v>
      </c>
      <c r="J47" s="741" t="s">
        <v>18</v>
      </c>
      <c r="K47" s="741" t="s">
        <v>19</v>
      </c>
      <c r="L47" s="741" t="s">
        <v>20</v>
      </c>
      <c r="M47" s="741" t="s">
        <v>21</v>
      </c>
      <c r="N47" s="741" t="s">
        <v>22</v>
      </c>
      <c r="O47" s="741" t="s">
        <v>23</v>
      </c>
      <c r="P47" s="404" t="s">
        <v>24</v>
      </c>
      <c r="Q47" s="404" t="s">
        <v>25</v>
      </c>
      <c r="R47" s="404" t="s">
        <v>26</v>
      </c>
      <c r="S47" s="404" t="s">
        <v>27</v>
      </c>
      <c r="T47" s="404" t="s">
        <v>712</v>
      </c>
      <c r="U47" s="404" t="s">
        <v>713</v>
      </c>
      <c r="V47" s="404" t="s">
        <v>714</v>
      </c>
      <c r="W47" s="404" t="s">
        <v>715</v>
      </c>
      <c r="X47" s="404" t="s">
        <v>716</v>
      </c>
      <c r="Y47" s="404" t="s">
        <v>717</v>
      </c>
      <c r="Z47" s="404" t="s">
        <v>718</v>
      </c>
      <c r="AA47" s="404" t="s">
        <v>719</v>
      </c>
      <c r="AB47" s="404" t="s">
        <v>720</v>
      </c>
      <c r="AC47" s="404" t="s">
        <v>721</v>
      </c>
      <c r="AD47" s="776" t="s">
        <v>722</v>
      </c>
    </row>
    <row r="48" spans="1:36" s="124" customFormat="1">
      <c r="A48" s="6"/>
      <c r="B48" s="6"/>
      <c r="D48" s="1130" t="s">
        <v>0</v>
      </c>
      <c r="E48" s="109">
        <f>'2a. Income Statement'!E6</f>
        <v>2576513</v>
      </c>
      <c r="F48" s="109">
        <f>'2a. Income Statement'!F6</f>
        <v>2544558</v>
      </c>
      <c r="G48" s="109">
        <f>'2a. Income Statement'!G6</f>
        <v>2608894</v>
      </c>
      <c r="H48" s="109">
        <f>'2a. Income Statement'!H6</f>
        <v>3002476</v>
      </c>
      <c r="I48" s="109">
        <f>'2a. Income Statement'!I6</f>
        <v>3301288</v>
      </c>
      <c r="J48" s="109">
        <f>'2a. Income Statement'!J6</f>
        <v>3423219</v>
      </c>
      <c r="K48" s="109">
        <f>'2a. Income Statement'!K6</f>
        <v>3657196</v>
      </c>
      <c r="L48" s="1052">
        <f>'2a. Income Statement'!L6</f>
        <v>4647951</v>
      </c>
      <c r="M48" s="1052">
        <f>'2a. Income Statement'!M6</f>
        <v>4701224</v>
      </c>
      <c r="N48" s="1052">
        <f>'2a. Income Statement'!N6</f>
        <v>5039134</v>
      </c>
      <c r="O48" s="1052">
        <f>'2a. Income Statement'!O6</f>
        <v>6168777</v>
      </c>
      <c r="P48" s="1052">
        <f>'2a. Income Statement'!P6</f>
        <v>8453950.3387853839</v>
      </c>
      <c r="Q48" s="1052">
        <f>'2a. Income Statement'!Q6</f>
        <v>9241127.2927219532</v>
      </c>
      <c r="R48" s="1052">
        <f>'2a. Income Statement'!R6</f>
        <v>10047111.711007658</v>
      </c>
      <c r="S48" s="1052">
        <f>'2a. Income Statement'!S6</f>
        <v>10910346.048071465</v>
      </c>
      <c r="T48" s="1052">
        <f>'2a. Income Statement'!T6</f>
        <v>11785818.337516539</v>
      </c>
      <c r="U48" s="925">
        <f>'2a. Income Statement'!U6</f>
        <v>12688630.401384242</v>
      </c>
      <c r="V48" s="925">
        <f>'2a. Income Statement'!V6</f>
        <v>13668485.033154622</v>
      </c>
      <c r="W48" s="925">
        <f>'2a. Income Statement'!W6</f>
        <v>14753013.179027023</v>
      </c>
      <c r="X48" s="925">
        <f>'2a. Income Statement'!X6</f>
        <v>15987894.886791775</v>
      </c>
      <c r="Y48" s="925">
        <f>'2a. Income Statement'!Y6</f>
        <v>17275185.061395328</v>
      </c>
      <c r="Z48" s="925">
        <f>'2a. Income Statement'!Z6</f>
        <v>18669206.091269538</v>
      </c>
      <c r="AA48" s="925">
        <f>'2a. Income Statement'!AA6</f>
        <v>20188960.156025864</v>
      </c>
      <c r="AB48" s="925">
        <f>'2a. Income Statement'!AB6</f>
        <v>21848814.667358316</v>
      </c>
      <c r="AC48" s="925">
        <f>'2a. Income Statement'!AC6</f>
        <v>23662692.39495552</v>
      </c>
      <c r="AD48" s="935">
        <f>'2a. Income Statement'!AD6</f>
        <v>25645936.450370364</v>
      </c>
    </row>
    <row r="49" spans="1:52" s="124" customFormat="1">
      <c r="A49" s="6"/>
      <c r="B49" s="6"/>
      <c r="D49" s="1130" t="s">
        <v>1128</v>
      </c>
      <c r="E49" s="109">
        <f>'2a. Income Statement'!E8</f>
        <v>1813926</v>
      </c>
      <c r="F49" s="109">
        <f>'2a. Income Statement'!F8</f>
        <v>1805035</v>
      </c>
      <c r="G49" s="109">
        <f>'2a. Income Statement'!G8</f>
        <v>1773442</v>
      </c>
      <c r="H49" s="109">
        <f>'2a. Income Statement'!H8</f>
        <v>2131946</v>
      </c>
      <c r="I49" s="109">
        <f>'2a. Income Statement'!I8</f>
        <v>2231648</v>
      </c>
      <c r="J49" s="109">
        <f>'2a. Income Statement'!J8</f>
        <v>2160639</v>
      </c>
      <c r="K49" s="109">
        <f>'2a. Income Statement'!K8</f>
        <v>2299778</v>
      </c>
      <c r="L49" s="1598">
        <f>'2a. Income Statement'!L8</f>
        <v>2875765</v>
      </c>
      <c r="M49" s="1598">
        <f>'2a. Income Statement'!M8</f>
        <v>2833604</v>
      </c>
      <c r="N49" s="1598">
        <f>'2a. Income Statement'!N8</f>
        <v>3062606</v>
      </c>
      <c r="O49" s="1598">
        <f>'2a. Income Statement'!O8</f>
        <v>3832997</v>
      </c>
      <c r="P49" s="1598">
        <f>'2a. Income Statement'!P8</f>
        <v>5252899.608255147</v>
      </c>
      <c r="Q49" s="1598">
        <f>'2a. Income Statement'!Q8</f>
        <v>5742015.5064158374</v>
      </c>
      <c r="R49" s="1598">
        <f>'2a. Income Statement'!R8</f>
        <v>6242817.5061211037</v>
      </c>
      <c r="S49" s="1598">
        <f>'2a. Income Statement'!S8</f>
        <v>6779191.997249987</v>
      </c>
      <c r="T49" s="1598">
        <f>'2a. Income Statement'!T8</f>
        <v>7323170.5944704898</v>
      </c>
      <c r="U49" s="952">
        <f>'2a. Income Statement'!U8</f>
        <v>7884136.8820131775</v>
      </c>
      <c r="V49" s="952">
        <f>'2a. Income Statement'!V8</f>
        <v>8492973.9114619605</v>
      </c>
      <c r="W49" s="952">
        <f>'2a. Income Statement'!W8</f>
        <v>9166850.2940163109</v>
      </c>
      <c r="X49" s="952">
        <f>'2a. Income Statement'!X8</f>
        <v>9934149.5303507056</v>
      </c>
      <c r="Y49" s="952">
        <f>'2a. Income Statement'!Y8</f>
        <v>10734013.000433171</v>
      </c>
      <c r="Z49" s="952">
        <f>'2a. Income Statement'!Z8</f>
        <v>11600194.161698161</v>
      </c>
      <c r="AA49" s="952">
        <f>'2a. Income Statement'!AA8</f>
        <v>12544500.102883717</v>
      </c>
      <c r="AB49" s="952">
        <f>'2a. Income Statement'!AB8</f>
        <v>13575858.079087712</v>
      </c>
      <c r="AC49" s="952">
        <f>'2a. Income Statement'!AC8</f>
        <v>14702919.065122204</v>
      </c>
      <c r="AD49" s="953">
        <f>'2a. Income Statement'!AD8</f>
        <v>15935216.571527919</v>
      </c>
      <c r="AJ49" s="50" t="s">
        <v>1658</v>
      </c>
    </row>
    <row r="50" spans="1:52" s="160" customFormat="1">
      <c r="A50" s="7"/>
      <c r="B50" s="7"/>
      <c r="D50" s="1599" t="s">
        <v>1130</v>
      </c>
      <c r="E50" s="1600">
        <f>'2b. Balance Sheet'!E19</f>
        <v>242413</v>
      </c>
      <c r="F50" s="1600">
        <f>'2b. Balance Sheet'!F19</f>
        <v>219224</v>
      </c>
      <c r="G50" s="1600">
        <f>'2b. Balance Sheet'!G19</f>
        <v>312470</v>
      </c>
      <c r="H50" s="1600">
        <f>'2b. Balance Sheet'!H19</f>
        <v>344458</v>
      </c>
      <c r="I50" s="1600">
        <f>'2b. Balance Sheet'!I19</f>
        <v>589814</v>
      </c>
      <c r="J50" s="1600">
        <f>'2b. Balance Sheet'!J19</f>
        <v>574838</v>
      </c>
      <c r="K50" s="1600">
        <f>'2b. Balance Sheet'!K19</f>
        <v>489850</v>
      </c>
      <c r="L50" s="1390">
        <f>'2b. Balance Sheet'!L19</f>
        <v>777979</v>
      </c>
      <c r="M50" s="1390">
        <f>'2b. Balance Sheet'!M19</f>
        <v>1213169</v>
      </c>
      <c r="N50" s="1390">
        <f>'2b. Balance Sheet'!N19</f>
        <v>838615</v>
      </c>
      <c r="O50" s="1390">
        <f>'2b. Balance Sheet'!O19</f>
        <v>1316266</v>
      </c>
      <c r="P50" s="1390">
        <f>P49*P52</f>
        <v>1803866.0494019613</v>
      </c>
      <c r="Q50" s="1390">
        <f t="shared" ref="Q50:AD50" si="56">Q49*Q52</f>
        <v>1971830.3412624502</v>
      </c>
      <c r="R50" s="1390">
        <f t="shared" si="56"/>
        <v>2143807.6856078939</v>
      </c>
      <c r="S50" s="1390">
        <f t="shared" si="56"/>
        <v>2328000.761141282</v>
      </c>
      <c r="T50" s="1390">
        <f t="shared" si="56"/>
        <v>2514805.1161274826</v>
      </c>
      <c r="U50" s="807">
        <f t="shared" si="56"/>
        <v>2707443.1096971785</v>
      </c>
      <c r="V50" s="807">
        <f t="shared" si="56"/>
        <v>2916520.1012535067</v>
      </c>
      <c r="W50" s="807">
        <f t="shared" si="56"/>
        <v>3147931.8583092219</v>
      </c>
      <c r="X50" s="807">
        <f t="shared" si="56"/>
        <v>3411425.3848141809</v>
      </c>
      <c r="Y50" s="807">
        <f t="shared" si="56"/>
        <v>3686101.5951820905</v>
      </c>
      <c r="Z50" s="807">
        <f t="shared" si="56"/>
        <v>3983551.5572910155</v>
      </c>
      <c r="AA50" s="807">
        <f t="shared" si="56"/>
        <v>4307829.8710962562</v>
      </c>
      <c r="AB50" s="807">
        <f t="shared" si="56"/>
        <v>4662002.1905387519</v>
      </c>
      <c r="AC50" s="807">
        <f t="shared" si="56"/>
        <v>5049039.2938403403</v>
      </c>
      <c r="AD50" s="808">
        <f t="shared" si="56"/>
        <v>5472215.0254066903</v>
      </c>
    </row>
    <row r="51" spans="1:52" s="443" customFormat="1">
      <c r="A51" s="126"/>
      <c r="B51" s="126"/>
      <c r="D51" s="180" t="s">
        <v>938</v>
      </c>
      <c r="E51" s="243"/>
      <c r="F51" s="243">
        <f>-(F50-E50)</f>
        <v>23189</v>
      </c>
      <c r="G51" s="243">
        <f t="shared" ref="G51:O51" si="57">-(G50-F50)</f>
        <v>-93246</v>
      </c>
      <c r="H51" s="243">
        <f t="shared" si="57"/>
        <v>-31988</v>
      </c>
      <c r="I51" s="243">
        <f t="shared" si="57"/>
        <v>-245356</v>
      </c>
      <c r="J51" s="243">
        <f t="shared" si="57"/>
        <v>14976</v>
      </c>
      <c r="K51" s="243">
        <f t="shared" si="57"/>
        <v>84988</v>
      </c>
      <c r="L51" s="852">
        <f t="shared" si="57"/>
        <v>-288129</v>
      </c>
      <c r="M51" s="852">
        <f t="shared" si="57"/>
        <v>-435190</v>
      </c>
      <c r="N51" s="852">
        <f t="shared" si="57"/>
        <v>374554</v>
      </c>
      <c r="O51" s="852">
        <f t="shared" si="57"/>
        <v>-477651</v>
      </c>
      <c r="P51" s="852">
        <f t="shared" ref="P51" si="58">-(P50-O50)</f>
        <v>-487600.04940196127</v>
      </c>
      <c r="Q51" s="852">
        <f t="shared" ref="Q51" si="59">-(Q50-P50)</f>
        <v>-167964.29186048894</v>
      </c>
      <c r="R51" s="852">
        <f t="shared" ref="R51" si="60">-(R50-Q50)</f>
        <v>-171977.34434544365</v>
      </c>
      <c r="S51" s="852">
        <f t="shared" ref="S51" si="61">-(S50-R50)</f>
        <v>-184193.07553338818</v>
      </c>
      <c r="T51" s="852">
        <f t="shared" ref="T51" si="62">-(T50-S50)</f>
        <v>-186804.35498620057</v>
      </c>
      <c r="U51" s="915">
        <f t="shared" ref="U51" si="63">-(U50-T50)</f>
        <v>-192637.99356969586</v>
      </c>
      <c r="V51" s="915">
        <f t="shared" ref="V51" si="64">-(V50-U50)</f>
        <v>-209076.99155632826</v>
      </c>
      <c r="W51" s="915">
        <f t="shared" ref="W51" si="65">-(W50-V50)</f>
        <v>-231411.75705571519</v>
      </c>
      <c r="X51" s="915">
        <f t="shared" ref="X51" si="66">-(X50-W50)</f>
        <v>-263493.52650495898</v>
      </c>
      <c r="Y51" s="915">
        <f t="shared" ref="Y51" si="67">-(Y50-X50)</f>
        <v>-274676.21036790963</v>
      </c>
      <c r="Z51" s="915">
        <f t="shared" ref="Z51" si="68">-(Z50-Y50)</f>
        <v>-297449.96210892498</v>
      </c>
      <c r="AA51" s="915">
        <f t="shared" ref="AA51" si="69">-(AA50-Z50)</f>
        <v>-324278.31380524067</v>
      </c>
      <c r="AB51" s="915">
        <f t="shared" ref="AB51" si="70">-(AB50-AA50)</f>
        <v>-354172.3194424957</v>
      </c>
      <c r="AC51" s="915">
        <f t="shared" ref="AC51" si="71">-(AC50-AB50)</f>
        <v>-387037.10330158845</v>
      </c>
      <c r="AD51" s="916">
        <f t="shared" ref="AD51" si="72">-(AD50-AC50)</f>
        <v>-423175.73156634998</v>
      </c>
    </row>
    <row r="52" spans="1:52" s="414" customFormat="1" ht="14">
      <c r="A52" s="118"/>
      <c r="B52" s="118"/>
      <c r="D52" s="1602" t="s">
        <v>1132</v>
      </c>
      <c r="E52" s="1553">
        <f>E50/E49</f>
        <v>0.13363996105684575</v>
      </c>
      <c r="F52" s="1553">
        <f t="shared" ref="F52:O52" si="73">F50/F49</f>
        <v>0.1214513845991906</v>
      </c>
      <c r="G52" s="1553">
        <f t="shared" si="73"/>
        <v>0.17619409036213193</v>
      </c>
      <c r="H52" s="1553">
        <f t="shared" si="73"/>
        <v>0.16156975833346623</v>
      </c>
      <c r="I52" s="1553">
        <f t="shared" si="73"/>
        <v>0.26429526520311447</v>
      </c>
      <c r="J52" s="1553">
        <f t="shared" si="73"/>
        <v>0.26604999724618505</v>
      </c>
      <c r="K52" s="1553">
        <f t="shared" si="73"/>
        <v>0.21299881988609334</v>
      </c>
      <c r="L52" s="1553">
        <f t="shared" si="73"/>
        <v>0.27052940695780081</v>
      </c>
      <c r="M52" s="1553">
        <f t="shared" si="73"/>
        <v>0.42813639449972546</v>
      </c>
      <c r="N52" s="1553">
        <f t="shared" si="73"/>
        <v>0.27382399172469457</v>
      </c>
      <c r="O52" s="1553">
        <f t="shared" si="73"/>
        <v>0.34340386908729642</v>
      </c>
      <c r="P52" s="1553">
        <f t="shared" ref="P52:U52" si="74">O52</f>
        <v>0.34340386908729642</v>
      </c>
      <c r="Q52" s="1553">
        <f t="shared" si="74"/>
        <v>0.34340386908729642</v>
      </c>
      <c r="R52" s="1553">
        <f t="shared" si="74"/>
        <v>0.34340386908729642</v>
      </c>
      <c r="S52" s="1553">
        <f t="shared" si="74"/>
        <v>0.34340386908729642</v>
      </c>
      <c r="T52" s="1553">
        <f t="shared" si="74"/>
        <v>0.34340386908729642</v>
      </c>
      <c r="U52" s="1553">
        <f t="shared" si="74"/>
        <v>0.34340386908729642</v>
      </c>
      <c r="V52" s="1553">
        <f t="shared" ref="V52:AD52" si="75">U52</f>
        <v>0.34340386908729642</v>
      </c>
      <c r="W52" s="1553">
        <f t="shared" si="75"/>
        <v>0.34340386908729642</v>
      </c>
      <c r="X52" s="1553">
        <f t="shared" si="75"/>
        <v>0.34340386908729642</v>
      </c>
      <c r="Y52" s="1553">
        <f t="shared" si="75"/>
        <v>0.34340386908729642</v>
      </c>
      <c r="Z52" s="1553">
        <f t="shared" si="75"/>
        <v>0.34340386908729642</v>
      </c>
      <c r="AA52" s="1553">
        <f t="shared" si="75"/>
        <v>0.34340386908729642</v>
      </c>
      <c r="AB52" s="1553">
        <f t="shared" si="75"/>
        <v>0.34340386908729642</v>
      </c>
      <c r="AC52" s="1553">
        <f t="shared" si="75"/>
        <v>0.34340386908729642</v>
      </c>
      <c r="AD52" s="1554">
        <f t="shared" si="75"/>
        <v>0.34340386908729642</v>
      </c>
    </row>
    <row r="53" spans="1:52" s="160" customFormat="1" ht="20">
      <c r="A53" s="7"/>
      <c r="B53" s="7"/>
      <c r="D53" s="180" t="s">
        <v>1129</v>
      </c>
      <c r="E53" s="190">
        <f>'2b. Balance Sheet'!E20</f>
        <v>457996</v>
      </c>
      <c r="F53" s="190">
        <f>'2b. Balance Sheet'!F20</f>
        <v>403486</v>
      </c>
      <c r="G53" s="190">
        <f>'2b. Balance Sheet'!G20</f>
        <v>412073</v>
      </c>
      <c r="H53" s="190">
        <f>'2b. Balance Sheet'!H20</f>
        <v>424405</v>
      </c>
      <c r="I53" s="190">
        <f>'2b. Balance Sheet'!I20</f>
        <v>408793</v>
      </c>
      <c r="J53" s="190">
        <f>'2b. Balance Sheet'!J20</f>
        <v>545515</v>
      </c>
      <c r="K53" s="190">
        <f>'2b. Balance Sheet'!K20</f>
        <v>536913</v>
      </c>
      <c r="L53" s="1390">
        <f>'2b. Balance Sheet'!L20</f>
        <v>819164</v>
      </c>
      <c r="M53" s="1390">
        <f>'2b. Balance Sheet'!M20+'2b. Balance Sheet'!M21</f>
        <v>694920</v>
      </c>
      <c r="N53" s="1390">
        <f>'2b. Balance Sheet'!N20+'2b. Balance Sheet'!N21</f>
        <v>933039</v>
      </c>
      <c r="O53" s="1390">
        <f>'2b. Balance Sheet'!O20+'2b. Balance Sheet'!O21</f>
        <v>1473161</v>
      </c>
      <c r="P53" s="1390">
        <f>P55*P48</f>
        <v>2018881.527900168</v>
      </c>
      <c r="Q53" s="1390">
        <f t="shared" ref="Q53:AD53" si="76">Q55*Q48</f>
        <v>2206866.6647657333</v>
      </c>
      <c r="R53" s="1390">
        <f t="shared" si="76"/>
        <v>2399343.1980601265</v>
      </c>
      <c r="S53" s="1390">
        <f t="shared" si="76"/>
        <v>2605491.5414389279</v>
      </c>
      <c r="T53" s="1390">
        <f t="shared" si="76"/>
        <v>2814562.4210300036</v>
      </c>
      <c r="U53" s="807">
        <f t="shared" si="76"/>
        <v>3030162.2916071713</v>
      </c>
      <c r="V53" s="807">
        <f t="shared" si="76"/>
        <v>3264160.6399335065</v>
      </c>
      <c r="W53" s="807">
        <f t="shared" si="76"/>
        <v>3523155.9915083051</v>
      </c>
      <c r="X53" s="807">
        <f t="shared" si="76"/>
        <v>3818057.1642192705</v>
      </c>
      <c r="Y53" s="807">
        <f t="shared" si="76"/>
        <v>4125473.9635150051</v>
      </c>
      <c r="Z53" s="807">
        <f t="shared" si="76"/>
        <v>4458379.078157749</v>
      </c>
      <c r="AA53" s="807">
        <f t="shared" si="76"/>
        <v>4821310.4043818116</v>
      </c>
      <c r="AB53" s="807">
        <f t="shared" si="76"/>
        <v>5217699.0129778143</v>
      </c>
      <c r="AC53" s="807">
        <f t="shared" si="76"/>
        <v>5650869.7901131893</v>
      </c>
      <c r="AD53" s="808">
        <f t="shared" si="76"/>
        <v>6124486.8127286909</v>
      </c>
      <c r="AJ53" s="1210" t="s">
        <v>1758</v>
      </c>
    </row>
    <row r="54" spans="1:52" s="443" customFormat="1">
      <c r="A54" s="126"/>
      <c r="B54" s="126"/>
      <c r="D54" s="180" t="s">
        <v>941</v>
      </c>
      <c r="E54" s="243"/>
      <c r="F54" s="243">
        <f>-(F53-E53)</f>
        <v>54510</v>
      </c>
      <c r="G54" s="243">
        <f t="shared" ref="G54:O54" si="77">-(G53-F53)</f>
        <v>-8587</v>
      </c>
      <c r="H54" s="243">
        <f t="shared" si="77"/>
        <v>-12332</v>
      </c>
      <c r="I54" s="243">
        <f t="shared" si="77"/>
        <v>15612</v>
      </c>
      <c r="J54" s="243">
        <f t="shared" si="77"/>
        <v>-136722</v>
      </c>
      <c r="K54" s="243">
        <f t="shared" si="77"/>
        <v>8602</v>
      </c>
      <c r="L54" s="852">
        <f t="shared" si="77"/>
        <v>-282251</v>
      </c>
      <c r="M54" s="852">
        <f t="shared" si="77"/>
        <v>124244</v>
      </c>
      <c r="N54" s="852">
        <f t="shared" si="77"/>
        <v>-238119</v>
      </c>
      <c r="O54" s="852">
        <f t="shared" si="77"/>
        <v>-540122</v>
      </c>
      <c r="P54" s="852">
        <f>-(P53-O53)</f>
        <v>-545720.52790016797</v>
      </c>
      <c r="Q54" s="852">
        <f t="shared" ref="Q54" si="78">-(Q53-P53)</f>
        <v>-187985.13686556532</v>
      </c>
      <c r="R54" s="852">
        <f t="shared" ref="R54" si="79">-(R53-Q53)</f>
        <v>-192476.53329439322</v>
      </c>
      <c r="S54" s="852">
        <f t="shared" ref="S54" si="80">-(S53-R53)</f>
        <v>-206148.34337880136</v>
      </c>
      <c r="T54" s="852">
        <f t="shared" ref="T54" si="81">-(T53-S53)</f>
        <v>-209070.8795910757</v>
      </c>
      <c r="U54" s="915">
        <f t="shared" ref="U54" si="82">-(U53-T53)</f>
        <v>-215599.87057716772</v>
      </c>
      <c r="V54" s="915">
        <f t="shared" ref="V54" si="83">-(V53-U53)</f>
        <v>-233998.3483263352</v>
      </c>
      <c r="W54" s="915">
        <f t="shared" ref="W54" si="84">-(W53-V53)</f>
        <v>-258995.35157479858</v>
      </c>
      <c r="X54" s="915">
        <f t="shared" ref="X54" si="85">-(X53-W53)</f>
        <v>-294901.17271096539</v>
      </c>
      <c r="Y54" s="915">
        <f t="shared" ref="Y54" si="86">-(Y53-X53)</f>
        <v>-307416.79929573461</v>
      </c>
      <c r="Z54" s="915">
        <f t="shared" ref="Z54" si="87">-(Z53-Y53)</f>
        <v>-332905.11464274395</v>
      </c>
      <c r="AA54" s="915">
        <f t="shared" ref="AA54" si="88">-(AA53-Z53)</f>
        <v>-362931.32622406259</v>
      </c>
      <c r="AB54" s="915">
        <f t="shared" ref="AB54" si="89">-(AB53-AA53)</f>
        <v>-396388.60859600268</v>
      </c>
      <c r="AC54" s="915">
        <f t="shared" ref="AC54" si="90">-(AC53-AB53)</f>
        <v>-433170.77713537496</v>
      </c>
      <c r="AD54" s="916">
        <f t="shared" ref="AD54" si="91">-(AD53-AC53)</f>
        <v>-473617.02261550166</v>
      </c>
      <c r="AJ54" s="1347"/>
      <c r="AK54" s="1347"/>
      <c r="AL54" s="1347"/>
      <c r="AM54" s="1347"/>
      <c r="AN54" s="1347"/>
      <c r="AO54" s="1347"/>
      <c r="AP54" s="1347"/>
      <c r="AQ54" s="1347"/>
      <c r="AR54" s="1347"/>
      <c r="AS54" s="1347"/>
      <c r="AT54" s="1347"/>
      <c r="AU54" s="1347"/>
      <c r="AV54" s="620"/>
      <c r="AW54" s="620"/>
      <c r="AX54" s="620"/>
      <c r="AY54" s="620"/>
      <c r="AZ54" s="620"/>
    </row>
    <row r="55" spans="1:52" s="414" customFormat="1" ht="14">
      <c r="A55" s="118"/>
      <c r="B55" s="118"/>
      <c r="D55" s="1602" t="s">
        <v>940</v>
      </c>
      <c r="E55" s="1553">
        <f>E53/E48</f>
        <v>0.17775807845720165</v>
      </c>
      <c r="F55" s="1553">
        <f>F53/F48</f>
        <v>0.15856820713066866</v>
      </c>
      <c r="G55" s="1553">
        <f t="shared" ref="G55:O55" si="92">G53/G48</f>
        <v>0.15794930725433842</v>
      </c>
      <c r="H55" s="1553">
        <f t="shared" si="92"/>
        <v>0.14135167108746249</v>
      </c>
      <c r="I55" s="1553">
        <f t="shared" si="92"/>
        <v>0.12382833609185263</v>
      </c>
      <c r="J55" s="1553">
        <f t="shared" si="92"/>
        <v>0.15935731836029188</v>
      </c>
      <c r="K55" s="1553">
        <f t="shared" si="92"/>
        <v>0.14681001510446801</v>
      </c>
      <c r="L55" s="1553">
        <f t="shared" si="92"/>
        <v>0.17624196124270675</v>
      </c>
      <c r="M55" s="1553">
        <f t="shared" si="92"/>
        <v>0.14781682387395281</v>
      </c>
      <c r="N55" s="1553">
        <f t="shared" si="92"/>
        <v>0.18515860066432049</v>
      </c>
      <c r="O55" s="1553">
        <f t="shared" si="92"/>
        <v>0.23880924857552802</v>
      </c>
      <c r="P55" s="1553">
        <f t="shared" ref="P55:U55" si="93">O55</f>
        <v>0.23880924857552802</v>
      </c>
      <c r="Q55" s="1553">
        <f t="shared" si="93"/>
        <v>0.23880924857552802</v>
      </c>
      <c r="R55" s="1553">
        <f t="shared" si="93"/>
        <v>0.23880924857552802</v>
      </c>
      <c r="S55" s="1553">
        <f t="shared" si="93"/>
        <v>0.23880924857552802</v>
      </c>
      <c r="T55" s="1553">
        <f t="shared" si="93"/>
        <v>0.23880924857552802</v>
      </c>
      <c r="U55" s="1553">
        <f t="shared" si="93"/>
        <v>0.23880924857552802</v>
      </c>
      <c r="V55" s="1553">
        <f t="shared" ref="V55:AD55" si="94">U55</f>
        <v>0.23880924857552802</v>
      </c>
      <c r="W55" s="1553">
        <f t="shared" si="94"/>
        <v>0.23880924857552802</v>
      </c>
      <c r="X55" s="1553">
        <f t="shared" si="94"/>
        <v>0.23880924857552802</v>
      </c>
      <c r="Y55" s="1553">
        <f t="shared" si="94"/>
        <v>0.23880924857552802</v>
      </c>
      <c r="Z55" s="1553">
        <f t="shared" si="94"/>
        <v>0.23880924857552802</v>
      </c>
      <c r="AA55" s="1553">
        <f t="shared" si="94"/>
        <v>0.23880924857552802</v>
      </c>
      <c r="AB55" s="1553">
        <f t="shared" si="94"/>
        <v>0.23880924857552802</v>
      </c>
      <c r="AC55" s="1553">
        <f t="shared" si="94"/>
        <v>0.23880924857552802</v>
      </c>
      <c r="AD55" s="1554">
        <f t="shared" si="94"/>
        <v>0.23880924857552802</v>
      </c>
      <c r="AJ55" s="244"/>
      <c r="AK55" s="235"/>
      <c r="AL55" s="235"/>
      <c r="AM55" s="235"/>
      <c r="AN55" s="235"/>
      <c r="AO55" s="235"/>
      <c r="AP55" s="235"/>
      <c r="AQ55" s="235"/>
      <c r="AR55" s="816"/>
      <c r="AS55" s="816"/>
      <c r="AT55" s="816"/>
      <c r="AU55" s="816"/>
      <c r="AV55" s="816"/>
      <c r="AW55" s="816"/>
      <c r="AX55" s="816"/>
      <c r="AY55" s="816"/>
      <c r="AZ55" s="816"/>
    </row>
    <row r="56" spans="1:52" s="160" customFormat="1">
      <c r="A56" s="7"/>
      <c r="B56" s="7"/>
      <c r="D56" s="180" t="s">
        <v>1131</v>
      </c>
      <c r="E56" s="190">
        <f>'2b. Balance Sheet'!E49</f>
        <v>394389</v>
      </c>
      <c r="F56" s="190">
        <f>'2b. Balance Sheet'!F49</f>
        <v>361609</v>
      </c>
      <c r="G56" s="190">
        <f>'2b. Balance Sheet'!G49</f>
        <v>398506</v>
      </c>
      <c r="H56" s="190">
        <f>'2b. Balance Sheet'!H49</f>
        <v>366817</v>
      </c>
      <c r="I56" s="190">
        <f>'2b. Balance Sheet'!I49</f>
        <v>426094</v>
      </c>
      <c r="J56" s="190">
        <f>'2b. Balance Sheet'!J49</f>
        <v>387949</v>
      </c>
      <c r="K56" s="190">
        <f>'2b. Balance Sheet'!K49</f>
        <v>516966</v>
      </c>
      <c r="L56" s="1390">
        <f>'2b. Balance Sheet'!L49</f>
        <v>751642</v>
      </c>
      <c r="M56" s="1390">
        <f>'2b. Balance Sheet'!M49+'2b. Balance Sheet'!M51+'2b. Balance Sheet'!M52</f>
        <v>606621</v>
      </c>
      <c r="N56" s="1390">
        <f>'2b. Balance Sheet'!N49+'2b. Balance Sheet'!N51+'2b. Balance Sheet'!N52</f>
        <v>788988</v>
      </c>
      <c r="O56" s="1390">
        <f>'2b. Balance Sheet'!O49+'2b. Balance Sheet'!O51</f>
        <v>1625574</v>
      </c>
      <c r="P56" s="1390">
        <f>P58*P49</f>
        <v>2227754.685899768</v>
      </c>
      <c r="Q56" s="1390">
        <f t="shared" ref="Q56:AD56" si="95">Q58*Q49</f>
        <v>2435188.7347750124</v>
      </c>
      <c r="R56" s="1390">
        <f t="shared" si="95"/>
        <v>2647578.8592308597</v>
      </c>
      <c r="S56" s="1390">
        <f t="shared" si="95"/>
        <v>2875055.2770423903</v>
      </c>
      <c r="T56" s="1390">
        <f t="shared" si="95"/>
        <v>3105756.5961924237</v>
      </c>
      <c r="U56" s="807">
        <f t="shared" si="95"/>
        <v>3343662.3946853308</v>
      </c>
      <c r="V56" s="807">
        <f t="shared" si="95"/>
        <v>3601870.1744746645</v>
      </c>
      <c r="W56" s="807">
        <f t="shared" si="95"/>
        <v>3887661.1434460478</v>
      </c>
      <c r="X56" s="807">
        <f t="shared" si="95"/>
        <v>4213072.7440304067</v>
      </c>
      <c r="Y56" s="807">
        <f t="shared" si="95"/>
        <v>4552294.8359119901</v>
      </c>
      <c r="Z56" s="807">
        <f t="shared" si="95"/>
        <v>4919642.2601448232</v>
      </c>
      <c r="AA56" s="807">
        <f t="shared" si="95"/>
        <v>5320122.4029773818</v>
      </c>
      <c r="AB56" s="807">
        <f t="shared" si="95"/>
        <v>5757521.3132321592</v>
      </c>
      <c r="AC56" s="807">
        <f t="shared" si="95"/>
        <v>6235507.8692644322</v>
      </c>
      <c r="AD56" s="808">
        <f t="shared" si="95"/>
        <v>6758125.2328256257</v>
      </c>
      <c r="AJ56" s="244"/>
      <c r="AK56" s="235"/>
      <c r="AL56" s="235"/>
      <c r="AM56" s="235"/>
      <c r="AN56" s="235"/>
      <c r="AO56" s="235"/>
      <c r="AP56" s="235"/>
      <c r="AQ56" s="235"/>
      <c r="AR56" s="816"/>
      <c r="AS56" s="816"/>
      <c r="AT56" s="816"/>
      <c r="AU56" s="816"/>
      <c r="AV56" s="816"/>
      <c r="AW56" s="816"/>
      <c r="AX56" s="816"/>
      <c r="AY56" s="816"/>
      <c r="AZ56" s="816"/>
    </row>
    <row r="57" spans="1:52" s="443" customFormat="1">
      <c r="A57" s="126"/>
      <c r="B57" s="126"/>
      <c r="D57" s="180" t="s">
        <v>942</v>
      </c>
      <c r="E57" s="243"/>
      <c r="F57" s="243">
        <f>(F56-E56)</f>
        <v>-32780</v>
      </c>
      <c r="G57" s="243">
        <f t="shared" ref="G57:O57" si="96">(G56-F56)</f>
        <v>36897</v>
      </c>
      <c r="H57" s="243">
        <f t="shared" si="96"/>
        <v>-31689</v>
      </c>
      <c r="I57" s="243">
        <f t="shared" si="96"/>
        <v>59277</v>
      </c>
      <c r="J57" s="243">
        <f t="shared" si="96"/>
        <v>-38145</v>
      </c>
      <c r="K57" s="243">
        <f t="shared" si="96"/>
        <v>129017</v>
      </c>
      <c r="L57" s="852">
        <f t="shared" si="96"/>
        <v>234676</v>
      </c>
      <c r="M57" s="852">
        <f t="shared" si="96"/>
        <v>-145021</v>
      </c>
      <c r="N57" s="852">
        <f t="shared" si="96"/>
        <v>182367</v>
      </c>
      <c r="O57" s="852">
        <f t="shared" si="96"/>
        <v>836586</v>
      </c>
      <c r="P57" s="852">
        <f>(P56-O56)</f>
        <v>602180.68589976802</v>
      </c>
      <c r="Q57" s="852">
        <f t="shared" ref="Q57" si="97">(Q56-P56)</f>
        <v>207434.04887524433</v>
      </c>
      <c r="R57" s="852">
        <f t="shared" ref="R57" si="98">(R56-Q56)</f>
        <v>212390.12445584731</v>
      </c>
      <c r="S57" s="852">
        <f t="shared" ref="S57" si="99">(S56-R56)</f>
        <v>227476.41781153064</v>
      </c>
      <c r="T57" s="852">
        <f t="shared" ref="T57" si="100">(T56-S56)</f>
        <v>230701.31915003341</v>
      </c>
      <c r="U57" s="915">
        <f t="shared" ref="U57" si="101">(U56-T56)</f>
        <v>237905.79849290708</v>
      </c>
      <c r="V57" s="915">
        <f t="shared" ref="V57" si="102">(V56-U56)</f>
        <v>258207.7797893337</v>
      </c>
      <c r="W57" s="915">
        <f t="shared" ref="W57" si="103">(W56-V56)</f>
        <v>285790.96897138329</v>
      </c>
      <c r="X57" s="915">
        <f t="shared" ref="X57" si="104">(X56-W56)</f>
        <v>325411.60058435891</v>
      </c>
      <c r="Y57" s="915">
        <f t="shared" ref="Y57" si="105">(Y56-X56)</f>
        <v>339222.09188158344</v>
      </c>
      <c r="Z57" s="915">
        <f t="shared" ref="Z57" si="106">(Z56-Y56)</f>
        <v>367347.42423283309</v>
      </c>
      <c r="AA57" s="915">
        <f t="shared" ref="AA57" si="107">(AA56-Z56)</f>
        <v>400480.1428325586</v>
      </c>
      <c r="AB57" s="915">
        <f t="shared" ref="AB57" si="108">(AB56-AA56)</f>
        <v>437398.91025477741</v>
      </c>
      <c r="AC57" s="915">
        <f t="shared" ref="AC57" si="109">(AC56-AB56)</f>
        <v>477986.55603227299</v>
      </c>
      <c r="AD57" s="916">
        <f t="shared" ref="AD57" si="110">(AD56-AC56)</f>
        <v>522617.36356119346</v>
      </c>
      <c r="AJ57" s="234"/>
      <c r="AK57" s="169"/>
      <c r="AL57" s="169"/>
      <c r="AM57" s="169"/>
      <c r="AN57" s="169"/>
      <c r="AO57" s="169"/>
      <c r="AP57" s="169"/>
      <c r="AQ57" s="169"/>
      <c r="AR57" s="807"/>
      <c r="AS57" s="807"/>
      <c r="AT57" s="807"/>
      <c r="AU57" s="807"/>
      <c r="AV57" s="807"/>
      <c r="AW57" s="807"/>
      <c r="AX57" s="807"/>
      <c r="AY57" s="807"/>
      <c r="AZ57" s="807"/>
    </row>
    <row r="58" spans="1:52" s="414" customFormat="1" ht="14">
      <c r="A58" s="118"/>
      <c r="B58" s="118"/>
      <c r="D58" s="1602" t="s">
        <v>1133</v>
      </c>
      <c r="E58" s="1553">
        <f>E56/E49</f>
        <v>0.21742287171582522</v>
      </c>
      <c r="F58" s="1553">
        <f t="shared" ref="F58:O58" si="111">F56/F49</f>
        <v>0.20033351153855741</v>
      </c>
      <c r="G58" s="1553">
        <f t="shared" si="111"/>
        <v>0.2247076588915792</v>
      </c>
      <c r="H58" s="1553">
        <f t="shared" si="111"/>
        <v>0.17205735980179609</v>
      </c>
      <c r="I58" s="1553">
        <f t="shared" si="111"/>
        <v>0.19093244095843073</v>
      </c>
      <c r="J58" s="1553">
        <f t="shared" si="111"/>
        <v>0.17955290078536951</v>
      </c>
      <c r="K58" s="1553">
        <f t="shared" si="111"/>
        <v>0.22478952316267048</v>
      </c>
      <c r="L58" s="1553">
        <f t="shared" si="111"/>
        <v>0.26137114819882712</v>
      </c>
      <c r="M58" s="1553">
        <f t="shared" si="111"/>
        <v>0.21408107837227786</v>
      </c>
      <c r="N58" s="1553">
        <f t="shared" si="111"/>
        <v>0.25761981789365007</v>
      </c>
      <c r="O58" s="1553">
        <f t="shared" si="111"/>
        <v>0.42409999277327898</v>
      </c>
      <c r="P58" s="1553">
        <f t="shared" ref="P58:U58" si="112">O58</f>
        <v>0.42409999277327898</v>
      </c>
      <c r="Q58" s="1553">
        <f t="shared" si="112"/>
        <v>0.42409999277327898</v>
      </c>
      <c r="R58" s="1553">
        <f t="shared" si="112"/>
        <v>0.42409999277327898</v>
      </c>
      <c r="S58" s="1553">
        <f t="shared" si="112"/>
        <v>0.42409999277327898</v>
      </c>
      <c r="T58" s="1553">
        <f t="shared" si="112"/>
        <v>0.42409999277327898</v>
      </c>
      <c r="U58" s="1553">
        <f t="shared" si="112"/>
        <v>0.42409999277327898</v>
      </c>
      <c r="V58" s="1553">
        <f t="shared" ref="V58:AD58" si="113">U58</f>
        <v>0.42409999277327898</v>
      </c>
      <c r="W58" s="1553">
        <f t="shared" si="113"/>
        <v>0.42409999277327898</v>
      </c>
      <c r="X58" s="1553">
        <f t="shared" si="113"/>
        <v>0.42409999277327898</v>
      </c>
      <c r="Y58" s="1553">
        <f t="shared" si="113"/>
        <v>0.42409999277327898</v>
      </c>
      <c r="Z58" s="1553">
        <f t="shared" si="113"/>
        <v>0.42409999277327898</v>
      </c>
      <c r="AA58" s="1553">
        <f t="shared" si="113"/>
        <v>0.42409999277327898</v>
      </c>
      <c r="AB58" s="1553">
        <f t="shared" si="113"/>
        <v>0.42409999277327898</v>
      </c>
      <c r="AC58" s="1553">
        <f t="shared" si="113"/>
        <v>0.42409999277327898</v>
      </c>
      <c r="AD58" s="1554">
        <f t="shared" si="113"/>
        <v>0.42409999277327898</v>
      </c>
      <c r="AJ58" s="234"/>
      <c r="AK58" s="234"/>
      <c r="AL58" s="234"/>
      <c r="AM58" s="234"/>
      <c r="AN58" s="234"/>
      <c r="AO58" s="234"/>
      <c r="AP58" s="234"/>
      <c r="AQ58" s="234"/>
      <c r="AR58" s="915"/>
      <c r="AS58" s="915"/>
      <c r="AT58" s="915"/>
      <c r="AU58" s="915"/>
      <c r="AV58" s="915"/>
      <c r="AW58" s="915"/>
      <c r="AX58" s="915"/>
      <c r="AY58" s="915"/>
      <c r="AZ58" s="915"/>
    </row>
    <row r="59" spans="1:52" s="160" customFormat="1" ht="16" thickBot="1">
      <c r="A59" s="7"/>
      <c r="B59" s="7"/>
      <c r="D59" s="180" t="s">
        <v>542</v>
      </c>
      <c r="E59" s="190">
        <f>E50+E53-E56</f>
        <v>306020</v>
      </c>
      <c r="F59" s="190">
        <f t="shared" ref="F59:AD59" si="114">F50+F53-F56</f>
        <v>261101</v>
      </c>
      <c r="G59" s="190">
        <f t="shared" si="114"/>
        <v>326037</v>
      </c>
      <c r="H59" s="190">
        <f t="shared" si="114"/>
        <v>402046</v>
      </c>
      <c r="I59" s="190">
        <f t="shared" si="114"/>
        <v>572513</v>
      </c>
      <c r="J59" s="190">
        <f t="shared" si="114"/>
        <v>732404</v>
      </c>
      <c r="K59" s="190">
        <f t="shared" si="114"/>
        <v>509797</v>
      </c>
      <c r="L59" s="1390">
        <f t="shared" si="114"/>
        <v>845501</v>
      </c>
      <c r="M59" s="1390">
        <f t="shared" si="114"/>
        <v>1301468</v>
      </c>
      <c r="N59" s="1390">
        <f t="shared" si="114"/>
        <v>982666</v>
      </c>
      <c r="O59" s="1390">
        <f t="shared" si="114"/>
        <v>1163853</v>
      </c>
      <c r="P59" s="1390">
        <f>P50+P53-P56</f>
        <v>1594992.891402361</v>
      </c>
      <c r="Q59" s="1390">
        <f t="shared" si="114"/>
        <v>1743508.2712531714</v>
      </c>
      <c r="R59" s="1390">
        <f t="shared" si="114"/>
        <v>1895572.0244371607</v>
      </c>
      <c r="S59" s="1390">
        <f t="shared" si="114"/>
        <v>2058437.0255378191</v>
      </c>
      <c r="T59" s="1390">
        <f t="shared" si="114"/>
        <v>2223610.9409650625</v>
      </c>
      <c r="U59" s="807">
        <f t="shared" si="114"/>
        <v>2393943.0066190185</v>
      </c>
      <c r="V59" s="807">
        <f t="shared" si="114"/>
        <v>2578810.5667123492</v>
      </c>
      <c r="W59" s="807">
        <f t="shared" si="114"/>
        <v>2783426.7063714797</v>
      </c>
      <c r="X59" s="807">
        <f t="shared" si="114"/>
        <v>3016409.8050030451</v>
      </c>
      <c r="Y59" s="807">
        <f t="shared" si="114"/>
        <v>3259280.722785105</v>
      </c>
      <c r="Z59" s="807">
        <f t="shared" si="114"/>
        <v>3522288.3753039418</v>
      </c>
      <c r="AA59" s="807">
        <f t="shared" si="114"/>
        <v>3809017.8725006869</v>
      </c>
      <c r="AB59" s="807">
        <f t="shared" si="114"/>
        <v>4122179.890284406</v>
      </c>
      <c r="AC59" s="807">
        <f t="shared" si="114"/>
        <v>4464401.2146890974</v>
      </c>
      <c r="AD59" s="808">
        <f t="shared" si="114"/>
        <v>4838576.6053097546</v>
      </c>
      <c r="AJ59" s="314"/>
      <c r="AK59" s="314"/>
      <c r="AL59" s="314"/>
      <c r="AM59" s="314"/>
      <c r="AN59" s="314"/>
      <c r="AO59" s="314"/>
      <c r="AP59" s="314"/>
      <c r="AQ59" s="314"/>
      <c r="AR59" s="314"/>
      <c r="AS59" s="314"/>
      <c r="AT59" s="314"/>
      <c r="AU59" s="314"/>
      <c r="AV59" s="314"/>
      <c r="AW59" s="314"/>
      <c r="AX59" s="314"/>
      <c r="AY59" s="314"/>
      <c r="AZ59" s="314"/>
    </row>
    <row r="60" spans="1:52" s="124" customFormat="1" ht="16" thickBot="1">
      <c r="A60" s="6"/>
      <c r="B60" s="6"/>
      <c r="D60" s="740" t="s">
        <v>990</v>
      </c>
      <c r="E60" s="174"/>
      <c r="F60" s="174">
        <f>-F59+E59</f>
        <v>44919</v>
      </c>
      <c r="G60" s="174">
        <f t="shared" ref="G60:AD60" si="115">-G59+F59</f>
        <v>-64936</v>
      </c>
      <c r="H60" s="174">
        <f t="shared" si="115"/>
        <v>-76009</v>
      </c>
      <c r="I60" s="174">
        <f t="shared" si="115"/>
        <v>-170467</v>
      </c>
      <c r="J60" s="174">
        <f t="shared" si="115"/>
        <v>-159891</v>
      </c>
      <c r="K60" s="174">
        <f t="shared" si="115"/>
        <v>222607</v>
      </c>
      <c r="L60" s="843">
        <f t="shared" si="115"/>
        <v>-335704</v>
      </c>
      <c r="M60" s="843">
        <f t="shared" si="115"/>
        <v>-455967</v>
      </c>
      <c r="N60" s="843">
        <f t="shared" si="115"/>
        <v>318802</v>
      </c>
      <c r="O60" s="843">
        <f t="shared" si="115"/>
        <v>-181187</v>
      </c>
      <c r="P60" s="843">
        <f>-P59+O59</f>
        <v>-431139.89140236098</v>
      </c>
      <c r="Q60" s="843">
        <f t="shared" si="115"/>
        <v>-148515.37985081039</v>
      </c>
      <c r="R60" s="843">
        <f t="shared" si="115"/>
        <v>-152063.75318398932</v>
      </c>
      <c r="S60" s="843">
        <f t="shared" si="115"/>
        <v>-162865.00110065844</v>
      </c>
      <c r="T60" s="843">
        <f>-T59+S59</f>
        <v>-165173.91542724334</v>
      </c>
      <c r="U60" s="815">
        <f t="shared" si="115"/>
        <v>-170332.06565395603</v>
      </c>
      <c r="V60" s="815">
        <f t="shared" si="115"/>
        <v>-184867.56009333069</v>
      </c>
      <c r="W60" s="815">
        <f t="shared" si="115"/>
        <v>-204616.13965913048</v>
      </c>
      <c r="X60" s="815">
        <f t="shared" si="115"/>
        <v>-232983.09863156546</v>
      </c>
      <c r="Y60" s="815">
        <f t="shared" si="115"/>
        <v>-242870.91778205987</v>
      </c>
      <c r="Z60" s="815">
        <f t="shared" si="115"/>
        <v>-263007.65251883678</v>
      </c>
      <c r="AA60" s="815">
        <f t="shared" si="115"/>
        <v>-286729.49719674513</v>
      </c>
      <c r="AB60" s="815">
        <f t="shared" si="115"/>
        <v>-313162.01778371911</v>
      </c>
      <c r="AC60" s="815">
        <f t="shared" si="115"/>
        <v>-342221.32440469135</v>
      </c>
      <c r="AD60" s="943">
        <f t="shared" si="115"/>
        <v>-374175.39062065724</v>
      </c>
      <c r="AJ60" s="234"/>
      <c r="AK60" s="169"/>
      <c r="AL60" s="169"/>
      <c r="AM60" s="169"/>
      <c r="AN60" s="169"/>
      <c r="AO60" s="169"/>
      <c r="AP60" s="169"/>
      <c r="AQ60" s="169"/>
      <c r="AR60" s="807"/>
      <c r="AS60" s="807"/>
      <c r="AT60" s="807"/>
      <c r="AU60" s="807"/>
      <c r="AV60" s="807"/>
      <c r="AW60" s="807"/>
      <c r="AX60" s="807"/>
      <c r="AY60" s="807"/>
      <c r="AZ60" s="807"/>
    </row>
    <row r="61" spans="1:52" s="414" customFormat="1" thickBot="1">
      <c r="A61" s="118"/>
      <c r="B61" s="118"/>
      <c r="D61" s="1603" t="s">
        <v>989</v>
      </c>
      <c r="E61" s="1604">
        <f>E59/E48</f>
        <v>0.11877293070130056</v>
      </c>
      <c r="F61" s="1604">
        <f t="shared" ref="F61:AD61" si="116">F59/F48</f>
        <v>0.10261153410533382</v>
      </c>
      <c r="G61" s="1604">
        <f t="shared" si="116"/>
        <v>0.1249713480118395</v>
      </c>
      <c r="H61" s="1604">
        <f t="shared" si="116"/>
        <v>0.13390481722418432</v>
      </c>
      <c r="I61" s="1604">
        <f t="shared" si="116"/>
        <v>0.17342110109751102</v>
      </c>
      <c r="J61" s="1604">
        <f t="shared" si="116"/>
        <v>0.2139518388978327</v>
      </c>
      <c r="K61" s="1604">
        <f t="shared" si="116"/>
        <v>0.13939559159530962</v>
      </c>
      <c r="L61" s="1604">
        <f t="shared" si="116"/>
        <v>0.18190832906801299</v>
      </c>
      <c r="M61" s="1604">
        <f t="shared" si="116"/>
        <v>0.27683598994644798</v>
      </c>
      <c r="N61" s="1604">
        <f t="shared" si="116"/>
        <v>0.19500691983979787</v>
      </c>
      <c r="O61" s="1604">
        <f t="shared" si="116"/>
        <v>0.1886683535488477</v>
      </c>
      <c r="P61" s="1604">
        <f>P59/P48</f>
        <v>0.18866835354884762</v>
      </c>
      <c r="Q61" s="1604">
        <f t="shared" si="116"/>
        <v>0.1886683535488477</v>
      </c>
      <c r="R61" s="1604">
        <f t="shared" si="116"/>
        <v>0.18866835354884767</v>
      </c>
      <c r="S61" s="1604">
        <f t="shared" si="116"/>
        <v>0.18866835354884759</v>
      </c>
      <c r="T61" s="1604">
        <f t="shared" si="116"/>
        <v>0.18866835354884767</v>
      </c>
      <c r="U61" s="1604">
        <f t="shared" si="116"/>
        <v>0.18866835354884762</v>
      </c>
      <c r="V61" s="1604">
        <f t="shared" si="116"/>
        <v>0.18866835354884767</v>
      </c>
      <c r="W61" s="1604">
        <f t="shared" si="116"/>
        <v>0.18866835354884767</v>
      </c>
      <c r="X61" s="1604">
        <f t="shared" si="116"/>
        <v>0.1886683535488477</v>
      </c>
      <c r="Y61" s="1604">
        <f t="shared" si="116"/>
        <v>0.18866835354884764</v>
      </c>
      <c r="Z61" s="1604">
        <f t="shared" si="116"/>
        <v>0.18866835354884767</v>
      </c>
      <c r="AA61" s="1604">
        <f t="shared" si="116"/>
        <v>0.1886683535488477</v>
      </c>
      <c r="AB61" s="1604">
        <f t="shared" si="116"/>
        <v>0.18866835354884762</v>
      </c>
      <c r="AC61" s="1604">
        <f t="shared" si="116"/>
        <v>0.1886683535488477</v>
      </c>
      <c r="AD61" s="1605">
        <f t="shared" si="116"/>
        <v>0.18866835354884764</v>
      </c>
      <c r="AJ61" s="234"/>
      <c r="AK61" s="234"/>
      <c r="AL61" s="234"/>
      <c r="AM61" s="234"/>
      <c r="AN61" s="234"/>
      <c r="AO61" s="234"/>
      <c r="AP61" s="234"/>
      <c r="AQ61" s="234"/>
      <c r="AR61" s="915"/>
      <c r="AS61" s="915"/>
      <c r="AT61" s="915"/>
      <c r="AU61" s="915"/>
      <c r="AV61" s="915"/>
      <c r="AW61" s="915"/>
      <c r="AX61" s="915"/>
      <c r="AY61" s="915"/>
      <c r="AZ61" s="915"/>
    </row>
    <row r="62" spans="1:52" s="409" customFormat="1" ht="14">
      <c r="A62" s="179"/>
      <c r="B62" s="179"/>
      <c r="D62" s="179"/>
      <c r="E62" s="299"/>
      <c r="F62" s="299"/>
      <c r="G62" s="299"/>
      <c r="H62" s="299"/>
      <c r="I62" s="299"/>
      <c r="J62" s="299"/>
      <c r="K62" s="299"/>
      <c r="L62" s="299"/>
      <c r="M62" s="299"/>
      <c r="N62" s="299"/>
      <c r="O62" s="299"/>
      <c r="P62" s="299"/>
      <c r="Q62" s="299"/>
      <c r="R62" s="299"/>
      <c r="S62" s="299"/>
      <c r="T62" s="299"/>
      <c r="U62" s="1652"/>
      <c r="V62" s="299"/>
      <c r="W62" s="299"/>
      <c r="X62" s="299"/>
      <c r="Y62" s="299"/>
      <c r="Z62" s="299"/>
      <c r="AA62" s="299"/>
      <c r="AB62" s="299"/>
      <c r="AC62" s="299"/>
      <c r="AD62" s="299"/>
      <c r="AJ62" s="314"/>
      <c r="AK62" s="314"/>
      <c r="AL62" s="314"/>
      <c r="AM62" s="314"/>
      <c r="AN62" s="314"/>
      <c r="AO62" s="314"/>
      <c r="AP62" s="314"/>
      <c r="AQ62" s="314"/>
      <c r="AR62" s="314"/>
      <c r="AS62" s="314"/>
      <c r="AT62" s="314"/>
      <c r="AU62" s="314"/>
      <c r="AV62" s="314"/>
      <c r="AW62" s="314"/>
      <c r="AX62" s="314"/>
      <c r="AY62" s="314"/>
      <c r="AZ62" s="314"/>
    </row>
    <row r="63" spans="1:52" ht="16" thickBot="1">
      <c r="AJ63" s="234"/>
      <c r="AK63" s="169"/>
      <c r="AL63" s="169"/>
      <c r="AM63" s="169"/>
      <c r="AN63" s="169"/>
      <c r="AO63" s="169"/>
      <c r="AP63" s="169"/>
      <c r="AQ63" s="169"/>
      <c r="AR63" s="807"/>
      <c r="AS63" s="807"/>
      <c r="AT63" s="807"/>
      <c r="AU63" s="807"/>
      <c r="AV63" s="807"/>
      <c r="AW63" s="807"/>
      <c r="AX63" s="807"/>
      <c r="AY63" s="807"/>
      <c r="AZ63" s="807"/>
    </row>
    <row r="64" spans="1:52" ht="16" thickBot="1">
      <c r="A64" s="408"/>
      <c r="B64" s="408"/>
      <c r="C64" s="278"/>
      <c r="D64" s="683" t="s">
        <v>987</v>
      </c>
      <c r="E64" s="403" t="s">
        <v>216</v>
      </c>
      <c r="F64" s="403" t="s">
        <v>217</v>
      </c>
      <c r="G64" s="403" t="s">
        <v>218</v>
      </c>
      <c r="H64" s="403" t="s">
        <v>28</v>
      </c>
      <c r="I64" s="403" t="s">
        <v>17</v>
      </c>
      <c r="J64" s="403" t="s">
        <v>18</v>
      </c>
      <c r="K64" s="403" t="s">
        <v>19</v>
      </c>
      <c r="L64" s="403" t="s">
        <v>20</v>
      </c>
      <c r="M64" s="403" t="s">
        <v>21</v>
      </c>
      <c r="N64" s="403" t="s">
        <v>22</v>
      </c>
      <c r="O64" s="403" t="s">
        <v>23</v>
      </c>
      <c r="P64" s="404" t="s">
        <v>24</v>
      </c>
      <c r="Q64" s="404" t="s">
        <v>25</v>
      </c>
      <c r="R64" s="404" t="s">
        <v>26</v>
      </c>
      <c r="S64" s="404" t="s">
        <v>27</v>
      </c>
      <c r="T64" s="404" t="s">
        <v>712</v>
      </c>
      <c r="U64" s="404" t="s">
        <v>713</v>
      </c>
      <c r="V64" s="404" t="s">
        <v>714</v>
      </c>
      <c r="W64" s="404" t="s">
        <v>715</v>
      </c>
      <c r="X64" s="404" t="s">
        <v>716</v>
      </c>
      <c r="Y64" s="404" t="s">
        <v>717</v>
      </c>
      <c r="Z64" s="404" t="s">
        <v>718</v>
      </c>
      <c r="AA64" s="404" t="s">
        <v>719</v>
      </c>
      <c r="AB64" s="404" t="s">
        <v>720</v>
      </c>
      <c r="AC64" s="404" t="s">
        <v>721</v>
      </c>
      <c r="AD64" s="776" t="s">
        <v>722</v>
      </c>
      <c r="AJ64" s="234"/>
      <c r="AK64" s="234"/>
      <c r="AL64" s="234"/>
      <c r="AM64" s="234"/>
      <c r="AN64" s="234"/>
      <c r="AO64" s="234"/>
      <c r="AP64" s="234"/>
      <c r="AQ64" s="234"/>
      <c r="AR64" s="915"/>
      <c r="AS64" s="915"/>
      <c r="AT64" s="915"/>
      <c r="AU64" s="915"/>
      <c r="AV64" s="915"/>
      <c r="AW64" s="915"/>
      <c r="AX64" s="915"/>
      <c r="AY64" s="915"/>
      <c r="AZ64" s="915"/>
    </row>
    <row r="65" spans="1:52" s="50" customFormat="1">
      <c r="A65" s="9"/>
      <c r="B65" s="9"/>
      <c r="D65" s="1540" t="s">
        <v>967</v>
      </c>
      <c r="E65" s="190"/>
      <c r="F65" s="190"/>
      <c r="G65" s="190"/>
      <c r="H65" s="190"/>
      <c r="I65" s="190"/>
      <c r="J65" s="190"/>
      <c r="K65" s="190"/>
      <c r="L65" s="1390"/>
      <c r="M65" s="1390"/>
      <c r="N65" s="1390"/>
      <c r="O65" s="1390"/>
      <c r="P65" s="1390"/>
      <c r="Q65" s="1390"/>
      <c r="R65" s="190"/>
      <c r="S65" s="190"/>
      <c r="T65" s="190"/>
      <c r="U65" s="190"/>
      <c r="V65" s="190"/>
      <c r="W65" s="190"/>
      <c r="X65" s="190"/>
      <c r="Y65" s="190"/>
      <c r="Z65" s="190"/>
      <c r="AA65" s="190"/>
      <c r="AB65" s="190"/>
      <c r="AC65" s="190"/>
      <c r="AD65" s="888"/>
      <c r="AJ65" s="1653"/>
      <c r="AK65" s="1653"/>
      <c r="AL65" s="1653"/>
      <c r="AM65" s="1653"/>
      <c r="AN65" s="1653"/>
      <c r="AO65" s="1653"/>
      <c r="AP65" s="1653"/>
      <c r="AQ65" s="1653"/>
      <c r="AR65" s="1653"/>
      <c r="AS65" s="1653"/>
      <c r="AT65" s="1653"/>
      <c r="AU65" s="1653"/>
      <c r="AV65" s="1653"/>
      <c r="AW65" s="1653"/>
      <c r="AX65" s="1653"/>
      <c r="AY65" s="1653"/>
      <c r="AZ65" s="1653"/>
    </row>
    <row r="66" spans="1:52" s="20" customFormat="1">
      <c r="A66" s="4"/>
      <c r="B66" s="4"/>
      <c r="D66" s="1654" t="s">
        <v>952</v>
      </c>
      <c r="E66" s="109"/>
      <c r="F66" s="109"/>
      <c r="G66" s="109"/>
      <c r="H66" s="109"/>
      <c r="I66" s="109"/>
      <c r="J66" s="290">
        <f t="shared" ref="J66:M66" si="117">I70</f>
        <v>49829</v>
      </c>
      <c r="K66" s="290">
        <f t="shared" si="117"/>
        <v>46900</v>
      </c>
      <c r="L66" s="919">
        <f t="shared" si="117"/>
        <v>41669</v>
      </c>
      <c r="M66" s="919">
        <f t="shared" si="117"/>
        <v>41843</v>
      </c>
      <c r="N66" s="919">
        <f>M70</f>
        <v>36686</v>
      </c>
      <c r="O66" s="919">
        <f t="shared" ref="O66:P66" si="118">N70</f>
        <v>58215</v>
      </c>
      <c r="P66" s="919">
        <f t="shared" si="118"/>
        <v>330105</v>
      </c>
      <c r="Q66" s="919"/>
      <c r="R66" s="109"/>
      <c r="S66" s="109"/>
      <c r="T66" s="109"/>
      <c r="U66" s="109"/>
      <c r="V66" s="109"/>
      <c r="W66" s="109"/>
      <c r="X66" s="109"/>
      <c r="Y66" s="109"/>
      <c r="Z66" s="109"/>
      <c r="AA66" s="109"/>
      <c r="AB66" s="109"/>
      <c r="AC66" s="109"/>
      <c r="AD66" s="367"/>
      <c r="AJ66" s="243"/>
      <c r="AK66" s="190"/>
      <c r="AL66" s="190"/>
      <c r="AM66" s="190"/>
      <c r="AN66" s="190"/>
      <c r="AO66" s="190"/>
      <c r="AP66" s="190"/>
      <c r="AQ66" s="190"/>
      <c r="AR66" s="1390"/>
      <c r="AS66" s="1390"/>
      <c r="AT66" s="1390"/>
      <c r="AU66" s="1390"/>
      <c r="AV66" s="1390"/>
      <c r="AW66" s="1390"/>
      <c r="AX66" s="1390"/>
      <c r="AY66" s="1390"/>
      <c r="AZ66" s="1390"/>
    </row>
    <row r="67" spans="1:52" s="50" customFormat="1">
      <c r="A67" s="9"/>
      <c r="B67" s="9"/>
      <c r="D67" s="1655" t="s">
        <v>968</v>
      </c>
      <c r="E67" s="190"/>
      <c r="F67" s="190"/>
      <c r="G67" s="190"/>
      <c r="H67" s="190"/>
      <c r="I67" s="190"/>
      <c r="J67" s="190">
        <f>'2a. Income Statement'!J46</f>
        <v>175515</v>
      </c>
      <c r="K67" s="190">
        <f>'2a. Income Statement'!K46</f>
        <v>189426</v>
      </c>
      <c r="L67" s="1390">
        <f>'2a. Income Statement'!L46</f>
        <v>232315</v>
      </c>
      <c r="M67" s="1390">
        <f>'2a. Income Statement'!M46</f>
        <v>228135</v>
      </c>
      <c r="N67" s="1390">
        <f>'2a. Income Statement'!N46</f>
        <v>266818</v>
      </c>
      <c r="O67" s="1390">
        <f>'2a. Income Statement'!O46</f>
        <v>286515</v>
      </c>
      <c r="P67" s="1390"/>
      <c r="Q67" s="1390"/>
      <c r="R67" s="190"/>
      <c r="S67" s="190"/>
      <c r="T67" s="190"/>
      <c r="U67" s="190"/>
      <c r="V67" s="190"/>
      <c r="W67" s="190"/>
      <c r="X67" s="190"/>
      <c r="Y67" s="190"/>
      <c r="Z67" s="190"/>
      <c r="AA67" s="190"/>
      <c r="AB67" s="190"/>
      <c r="AC67" s="190"/>
      <c r="AD67" s="888"/>
      <c r="AJ67" s="242"/>
      <c r="AK67" s="109"/>
      <c r="AL67" s="109"/>
      <c r="AM67" s="109"/>
      <c r="AN67" s="109"/>
      <c r="AO67" s="109"/>
      <c r="AP67" s="109"/>
      <c r="AQ67" s="109"/>
      <c r="AR67" s="919"/>
      <c r="AS67" s="919"/>
      <c r="AT67" s="919"/>
      <c r="AU67" s="919"/>
      <c r="AV67" s="919"/>
      <c r="AW67" s="919"/>
      <c r="AX67" s="919"/>
      <c r="AY67" s="919"/>
      <c r="AZ67" s="919"/>
    </row>
    <row r="68" spans="1:52" s="50" customFormat="1">
      <c r="A68" s="9"/>
      <c r="B68" s="9"/>
      <c r="D68" s="1655" t="s">
        <v>969</v>
      </c>
      <c r="E68" s="190"/>
      <c r="F68" s="190"/>
      <c r="G68" s="190"/>
      <c r="H68" s="190"/>
      <c r="I68" s="190"/>
      <c r="J68" s="1455">
        <f>-(J66+J67-J70)</f>
        <v>-178444</v>
      </c>
      <c r="K68" s="1455">
        <f t="shared" ref="K68:O68" si="119">-(K66+K67-K70)</f>
        <v>-194657</v>
      </c>
      <c r="L68" s="1390">
        <f t="shared" si="119"/>
        <v>-232141</v>
      </c>
      <c r="M68" s="1390">
        <f t="shared" si="119"/>
        <v>-233292</v>
      </c>
      <c r="N68" s="1390">
        <f t="shared" si="119"/>
        <v>-245289</v>
      </c>
      <c r="O68" s="1390">
        <f t="shared" si="119"/>
        <v>-14625</v>
      </c>
      <c r="P68" s="1390"/>
      <c r="Q68" s="1390"/>
      <c r="R68" s="190"/>
      <c r="S68" s="190"/>
      <c r="T68" s="190"/>
      <c r="U68" s="190"/>
      <c r="V68" s="190"/>
      <c r="W68" s="190"/>
      <c r="X68" s="190"/>
      <c r="Y68" s="190"/>
      <c r="Z68" s="190"/>
      <c r="AA68" s="190"/>
      <c r="AB68" s="190"/>
      <c r="AC68" s="190"/>
      <c r="AD68" s="888"/>
      <c r="AJ68" s="1653"/>
      <c r="AK68" s="1653"/>
      <c r="AL68" s="1653"/>
      <c r="AM68" s="1653"/>
      <c r="AN68" s="1653"/>
      <c r="AO68" s="1653"/>
      <c r="AP68" s="1653"/>
      <c r="AQ68" s="1653"/>
      <c r="AR68" s="1653"/>
      <c r="AS68" s="1653"/>
      <c r="AT68" s="1653"/>
      <c r="AU68" s="1653"/>
      <c r="AV68" s="1653"/>
      <c r="AW68" s="1653"/>
      <c r="AX68" s="1653"/>
      <c r="AY68" s="1653"/>
      <c r="AZ68" s="1653"/>
    </row>
    <row r="69" spans="1:52" s="50" customFormat="1">
      <c r="A69" s="9"/>
      <c r="B69" s="9"/>
      <c r="D69" s="1655" t="s">
        <v>991</v>
      </c>
      <c r="E69" s="190"/>
      <c r="F69" s="190"/>
      <c r="G69" s="190"/>
      <c r="H69" s="190"/>
      <c r="I69" s="190"/>
      <c r="J69" s="190"/>
      <c r="K69" s="190"/>
      <c r="L69" s="1390"/>
      <c r="M69" s="1390"/>
      <c r="N69" s="1390"/>
      <c r="O69" s="1390"/>
      <c r="P69" s="1390"/>
      <c r="Q69" s="1390"/>
      <c r="R69" s="190"/>
      <c r="S69" s="190"/>
      <c r="T69" s="190"/>
      <c r="U69" s="190"/>
      <c r="V69" s="190"/>
      <c r="W69" s="190"/>
      <c r="X69" s="190"/>
      <c r="Y69" s="190"/>
      <c r="Z69" s="190"/>
      <c r="AA69" s="190"/>
      <c r="AB69" s="190"/>
      <c r="AC69" s="190"/>
      <c r="AD69" s="888"/>
      <c r="AJ69" s="50" t="s">
        <v>1658</v>
      </c>
    </row>
    <row r="70" spans="1:52" s="20" customFormat="1" ht="16" thickBot="1">
      <c r="A70" s="4"/>
      <c r="B70" s="4"/>
      <c r="D70" s="1654" t="s">
        <v>957</v>
      </c>
      <c r="E70" s="109"/>
      <c r="F70" s="109"/>
      <c r="G70" s="109"/>
      <c r="H70" s="109"/>
      <c r="I70" s="290">
        <f>'2b. Balance Sheet'!I46</f>
        <v>49829</v>
      </c>
      <c r="J70" s="290">
        <f>'2b. Balance Sheet'!J46</f>
        <v>46900</v>
      </c>
      <c r="K70" s="290">
        <f>'2b. Balance Sheet'!K46</f>
        <v>41669</v>
      </c>
      <c r="L70" s="919">
        <f>'2b. Balance Sheet'!L46</f>
        <v>41843</v>
      </c>
      <c r="M70" s="919">
        <f>'2b. Balance Sheet'!M46</f>
        <v>36686</v>
      </c>
      <c r="N70" s="919">
        <f>'2b. Balance Sheet'!N46</f>
        <v>58215</v>
      </c>
      <c r="O70" s="919">
        <f>'2b. Balance Sheet'!O46</f>
        <v>330105</v>
      </c>
      <c r="P70" s="919"/>
      <c r="Q70" s="919"/>
      <c r="R70" s="109"/>
      <c r="S70" s="109"/>
      <c r="T70" s="109"/>
      <c r="U70" s="109"/>
      <c r="V70" s="109"/>
      <c r="W70" s="109"/>
      <c r="X70" s="109"/>
      <c r="Y70" s="109"/>
      <c r="Z70" s="109"/>
      <c r="AA70" s="109"/>
      <c r="AB70" s="109"/>
      <c r="AC70" s="109"/>
      <c r="AD70" s="367"/>
    </row>
    <row r="71" spans="1:52" s="50" customFormat="1" ht="16" thickBot="1">
      <c r="A71" s="9"/>
      <c r="B71" s="9"/>
      <c r="D71" s="1656" t="s">
        <v>970</v>
      </c>
      <c r="E71" s="1657"/>
      <c r="F71" s="1657"/>
      <c r="G71" s="1657"/>
      <c r="H71" s="1657"/>
      <c r="I71" s="1657"/>
      <c r="J71" s="1657"/>
      <c r="K71" s="1657"/>
      <c r="L71" s="1658"/>
      <c r="M71" s="1658"/>
      <c r="N71" s="1658"/>
      <c r="O71" s="1658"/>
      <c r="P71" s="1658"/>
      <c r="Q71" s="1658"/>
      <c r="R71" s="1657"/>
      <c r="S71" s="1657"/>
      <c r="T71" s="1657"/>
      <c r="U71" s="1657"/>
      <c r="V71" s="1657"/>
      <c r="W71" s="1657"/>
      <c r="X71" s="1657"/>
      <c r="Y71" s="1657"/>
      <c r="Z71" s="1657"/>
      <c r="AA71" s="1657"/>
      <c r="AB71" s="1657"/>
      <c r="AC71" s="1657"/>
      <c r="AD71" s="1659"/>
    </row>
    <row r="72" spans="1:52" s="50" customFormat="1">
      <c r="A72" s="9"/>
      <c r="B72" s="9"/>
      <c r="D72" s="9"/>
      <c r="E72" s="9"/>
      <c r="F72" s="9"/>
      <c r="G72" s="9"/>
      <c r="H72" s="9"/>
      <c r="I72" s="9"/>
      <c r="J72" s="9"/>
      <c r="K72" s="9"/>
      <c r="L72" s="9"/>
      <c r="M72" s="9"/>
      <c r="N72" s="9"/>
      <c r="O72" s="9"/>
      <c r="P72" s="9"/>
      <c r="Q72" s="9"/>
      <c r="R72" s="9"/>
      <c r="S72" s="9"/>
      <c r="T72" s="9"/>
      <c r="V72" s="9"/>
      <c r="W72" s="9"/>
      <c r="X72" s="9"/>
      <c r="Y72" s="9"/>
      <c r="Z72" s="9"/>
      <c r="AA72" s="9"/>
      <c r="AB72" s="9"/>
      <c r="AC72" s="9"/>
      <c r="AD72" s="9"/>
    </row>
    <row r="73" spans="1:52" s="50" customFormat="1" ht="16" thickBot="1">
      <c r="A73" s="9"/>
      <c r="B73" s="9"/>
      <c r="D73" s="9"/>
      <c r="E73" s="9"/>
      <c r="F73" s="9"/>
      <c r="G73" s="9"/>
      <c r="H73" s="9"/>
      <c r="I73" s="9"/>
      <c r="J73" s="9"/>
      <c r="K73" s="9"/>
      <c r="L73" s="9"/>
      <c r="M73" s="9"/>
      <c r="N73" s="9"/>
      <c r="O73" s="9"/>
      <c r="P73" s="9"/>
      <c r="Q73" s="9"/>
      <c r="R73" s="9"/>
      <c r="S73" s="9"/>
      <c r="T73" s="9"/>
      <c r="V73" s="9"/>
      <c r="W73" s="9"/>
      <c r="X73" s="9"/>
      <c r="Y73" s="9"/>
      <c r="Z73" s="9"/>
      <c r="AA73" s="9"/>
      <c r="AB73" s="9"/>
      <c r="AC73" s="9"/>
      <c r="AD73" s="9"/>
    </row>
    <row r="74" spans="1:52" s="50" customFormat="1" ht="16" thickBot="1">
      <c r="A74" s="1660"/>
      <c r="B74" s="1660"/>
      <c r="C74" s="410"/>
      <c r="D74" s="683" t="s">
        <v>988</v>
      </c>
      <c r="E74" s="403" t="s">
        <v>216</v>
      </c>
      <c r="F74" s="403" t="s">
        <v>217</v>
      </c>
      <c r="G74" s="403" t="s">
        <v>218</v>
      </c>
      <c r="H74" s="403" t="s">
        <v>28</v>
      </c>
      <c r="I74" s="403" t="s">
        <v>17</v>
      </c>
      <c r="J74" s="403" t="s">
        <v>18</v>
      </c>
      <c r="K74" s="403" t="s">
        <v>19</v>
      </c>
      <c r="L74" s="403" t="s">
        <v>20</v>
      </c>
      <c r="M74" s="403" t="s">
        <v>21</v>
      </c>
      <c r="N74" s="403" t="s">
        <v>22</v>
      </c>
      <c r="O74" s="403" t="s">
        <v>23</v>
      </c>
      <c r="P74" s="404" t="s">
        <v>24</v>
      </c>
      <c r="Q74" s="404" t="s">
        <v>25</v>
      </c>
      <c r="R74" s="404" t="s">
        <v>26</v>
      </c>
      <c r="S74" s="404" t="s">
        <v>27</v>
      </c>
      <c r="T74" s="404" t="s">
        <v>712</v>
      </c>
      <c r="U74" s="404" t="s">
        <v>713</v>
      </c>
      <c r="V74" s="404" t="s">
        <v>714</v>
      </c>
      <c r="W74" s="404" t="s">
        <v>715</v>
      </c>
      <c r="X74" s="404" t="s">
        <v>716</v>
      </c>
      <c r="Y74" s="404" t="s">
        <v>717</v>
      </c>
      <c r="Z74" s="404" t="s">
        <v>718</v>
      </c>
      <c r="AA74" s="404" t="s">
        <v>719</v>
      </c>
      <c r="AB74" s="404" t="s">
        <v>720</v>
      </c>
      <c r="AC74" s="404" t="s">
        <v>721</v>
      </c>
      <c r="AD74" s="1383" t="s">
        <v>722</v>
      </c>
    </row>
    <row r="75" spans="1:52" s="20" customFormat="1">
      <c r="A75" s="4"/>
      <c r="B75" s="4"/>
      <c r="D75" s="1654" t="s">
        <v>950</v>
      </c>
      <c r="E75" s="109"/>
      <c r="F75" s="109"/>
      <c r="G75" s="109"/>
      <c r="H75" s="109"/>
      <c r="I75" s="109"/>
      <c r="J75" s="109"/>
      <c r="K75" s="109"/>
      <c r="L75" s="109"/>
      <c r="M75" s="109"/>
      <c r="N75" s="919">
        <f t="shared" ref="N75:AD75" si="120">N88+N93</f>
        <v>317216</v>
      </c>
      <c r="O75" s="919">
        <f t="shared" si="120"/>
        <v>4696989</v>
      </c>
      <c r="P75" s="919">
        <f>P88+P93</f>
        <v>3712133.2</v>
      </c>
      <c r="Q75" s="919">
        <f t="shared" si="120"/>
        <v>3712133.2</v>
      </c>
      <c r="R75" s="919">
        <f t="shared" si="120"/>
        <v>3712133.2</v>
      </c>
      <c r="S75" s="919">
        <f t="shared" si="120"/>
        <v>3712133.2</v>
      </c>
      <c r="T75" s="919">
        <f t="shared" si="120"/>
        <v>3712133.2</v>
      </c>
      <c r="U75" s="919">
        <f t="shared" si="120"/>
        <v>3712133.2</v>
      </c>
      <c r="V75" s="919">
        <f t="shared" si="120"/>
        <v>3712133.2</v>
      </c>
      <c r="W75" s="919">
        <f t="shared" si="120"/>
        <v>3712133.2</v>
      </c>
      <c r="X75" s="919">
        <f t="shared" si="120"/>
        <v>3712133.2</v>
      </c>
      <c r="Y75" s="919">
        <f t="shared" si="120"/>
        <v>3712133.2</v>
      </c>
      <c r="Z75" s="919">
        <f t="shared" si="120"/>
        <v>3712133.2</v>
      </c>
      <c r="AA75" s="919">
        <f t="shared" si="120"/>
        <v>3712133.2</v>
      </c>
      <c r="AB75" s="919">
        <f t="shared" si="120"/>
        <v>3712133.2</v>
      </c>
      <c r="AC75" s="919">
        <f t="shared" si="120"/>
        <v>3712133.2</v>
      </c>
      <c r="AD75" s="920">
        <f t="shared" si="120"/>
        <v>3712133.2</v>
      </c>
    </row>
    <row r="76" spans="1:52" s="50" customFormat="1">
      <c r="A76" s="9"/>
      <c r="B76" s="9"/>
      <c r="D76" s="1655"/>
      <c r="E76" s="190"/>
      <c r="F76" s="190"/>
      <c r="G76" s="190"/>
      <c r="H76" s="190"/>
      <c r="I76" s="190"/>
      <c r="J76" s="190"/>
      <c r="K76" s="190"/>
      <c r="L76" s="190"/>
      <c r="M76" s="190"/>
      <c r="N76" s="1390"/>
      <c r="O76" s="1390"/>
      <c r="P76" s="1390"/>
      <c r="Q76" s="1390"/>
      <c r="R76" s="1390"/>
      <c r="S76" s="1390"/>
      <c r="T76" s="1390"/>
      <c r="U76" s="1390"/>
      <c r="V76" s="1390"/>
      <c r="W76" s="1390"/>
      <c r="X76" s="1390"/>
      <c r="Y76" s="1390"/>
      <c r="Z76" s="1390"/>
      <c r="AA76" s="1390"/>
      <c r="AB76" s="1390"/>
      <c r="AC76" s="1390"/>
      <c r="AD76" s="1547"/>
    </row>
    <row r="77" spans="1:52" s="50" customFormat="1">
      <c r="A77" s="9"/>
      <c r="B77" s="9"/>
      <c r="D77" s="1654" t="s">
        <v>951</v>
      </c>
      <c r="E77" s="190"/>
      <c r="F77" s="190"/>
      <c r="G77" s="190"/>
      <c r="H77" s="190"/>
      <c r="I77" s="190"/>
      <c r="J77" s="190"/>
      <c r="K77" s="190"/>
      <c r="L77" s="190"/>
      <c r="M77" s="190"/>
      <c r="N77" s="1390"/>
      <c r="O77" s="1390"/>
      <c r="P77" s="1390"/>
      <c r="Q77" s="1390"/>
      <c r="R77" s="1390"/>
      <c r="S77" s="1390"/>
      <c r="T77" s="1390"/>
      <c r="U77" s="1390"/>
      <c r="V77" s="1390"/>
      <c r="W77" s="1390"/>
      <c r="X77" s="1390"/>
      <c r="Y77" s="1390"/>
      <c r="Z77" s="1390"/>
      <c r="AA77" s="1390"/>
      <c r="AB77" s="1390"/>
      <c r="AC77" s="1390"/>
      <c r="AD77" s="1547"/>
    </row>
    <row r="78" spans="1:52" s="50" customFormat="1" ht="16" customHeight="1">
      <c r="A78" s="9"/>
      <c r="B78" s="9"/>
      <c r="D78" s="1654" t="s">
        <v>1182</v>
      </c>
      <c r="E78" s="190"/>
      <c r="F78" s="190"/>
      <c r="G78" s="190"/>
      <c r="H78" s="190"/>
      <c r="I78" s="190"/>
      <c r="J78" s="190"/>
      <c r="K78" s="190"/>
      <c r="L78" s="190"/>
      <c r="M78" s="190"/>
      <c r="N78" s="1390"/>
      <c r="O78" s="1390">
        <f>'2b. Balance Sheet'!O44</f>
        <v>4374483</v>
      </c>
      <c r="P78" s="1390">
        <f>SUM(P79,P81)</f>
        <v>3389627.2</v>
      </c>
      <c r="Q78" s="1390">
        <f>P78</f>
        <v>3389627.2</v>
      </c>
      <c r="R78" s="1390">
        <f t="shared" ref="R78:AD78" si="121">Q78</f>
        <v>3389627.2</v>
      </c>
      <c r="S78" s="1390">
        <f t="shared" si="121"/>
        <v>3389627.2</v>
      </c>
      <c r="T78" s="1390">
        <f t="shared" si="121"/>
        <v>3389627.2</v>
      </c>
      <c r="U78" s="1390">
        <f t="shared" si="121"/>
        <v>3389627.2</v>
      </c>
      <c r="V78" s="1390">
        <f t="shared" si="121"/>
        <v>3389627.2</v>
      </c>
      <c r="W78" s="1390">
        <f t="shared" si="121"/>
        <v>3389627.2</v>
      </c>
      <c r="X78" s="1390">
        <f t="shared" si="121"/>
        <v>3389627.2</v>
      </c>
      <c r="Y78" s="1390">
        <f t="shared" si="121"/>
        <v>3389627.2</v>
      </c>
      <c r="Z78" s="1390">
        <f t="shared" si="121"/>
        <v>3389627.2</v>
      </c>
      <c r="AA78" s="1390">
        <f t="shared" si="121"/>
        <v>3389627.2</v>
      </c>
      <c r="AB78" s="1390">
        <f t="shared" si="121"/>
        <v>3389627.2</v>
      </c>
      <c r="AC78" s="1390">
        <f t="shared" si="121"/>
        <v>3389627.2</v>
      </c>
      <c r="AD78" s="1547">
        <f t="shared" si="121"/>
        <v>3389627.2</v>
      </c>
    </row>
    <row r="79" spans="1:52" s="50" customFormat="1">
      <c r="A79" s="9"/>
      <c r="B79" s="9"/>
      <c r="D79" s="1655" t="s">
        <v>1183</v>
      </c>
      <c r="E79" s="190"/>
      <c r="F79" s="190"/>
      <c r="G79" s="190"/>
      <c r="H79" s="190"/>
      <c r="I79" s="190"/>
      <c r="J79" s="190"/>
      <c r="K79" s="190"/>
      <c r="L79" s="190"/>
      <c r="M79" s="190"/>
      <c r="N79" s="1390"/>
      <c r="O79" s="1390">
        <f>O78-O81</f>
        <v>2407087.2000000002</v>
      </c>
      <c r="P79" s="1390">
        <f>O79-1200000</f>
        <v>1207087.2000000002</v>
      </c>
      <c r="Q79" s="1390">
        <f>P79</f>
        <v>1207087.2000000002</v>
      </c>
      <c r="R79" s="1390">
        <f t="shared" ref="R79:AD80" si="122">Q79</f>
        <v>1207087.2000000002</v>
      </c>
      <c r="S79" s="1390">
        <f t="shared" si="122"/>
        <v>1207087.2000000002</v>
      </c>
      <c r="T79" s="1390">
        <f t="shared" si="122"/>
        <v>1207087.2000000002</v>
      </c>
      <c r="U79" s="1390">
        <f t="shared" si="122"/>
        <v>1207087.2000000002</v>
      </c>
      <c r="V79" s="1390">
        <f t="shared" si="122"/>
        <v>1207087.2000000002</v>
      </c>
      <c r="W79" s="1390">
        <f t="shared" si="122"/>
        <v>1207087.2000000002</v>
      </c>
      <c r="X79" s="1390">
        <f t="shared" si="122"/>
        <v>1207087.2000000002</v>
      </c>
      <c r="Y79" s="1390">
        <f t="shared" si="122"/>
        <v>1207087.2000000002</v>
      </c>
      <c r="Z79" s="1390">
        <f t="shared" si="122"/>
        <v>1207087.2000000002</v>
      </c>
      <c r="AA79" s="1390">
        <f t="shared" si="122"/>
        <v>1207087.2000000002</v>
      </c>
      <c r="AB79" s="1390">
        <f t="shared" si="122"/>
        <v>1207087.2000000002</v>
      </c>
      <c r="AC79" s="1390">
        <f t="shared" si="122"/>
        <v>1207087.2000000002</v>
      </c>
      <c r="AD79" s="1547">
        <f t="shared" si="122"/>
        <v>1207087.2000000002</v>
      </c>
    </row>
    <row r="80" spans="1:52" s="50" customFormat="1">
      <c r="A80" s="9"/>
      <c r="B80" s="9"/>
      <c r="D80" s="1655" t="s">
        <v>1849</v>
      </c>
      <c r="E80" s="190"/>
      <c r="F80" s="190"/>
      <c r="G80" s="190"/>
      <c r="H80" s="190"/>
      <c r="I80" s="190"/>
      <c r="J80" s="190"/>
      <c r="K80" s="190"/>
      <c r="L80" s="190"/>
      <c r="M80" s="190"/>
      <c r="N80" s="1390"/>
      <c r="O80" s="1390">
        <v>142000</v>
      </c>
      <c r="P80" s="1390">
        <f>O80</f>
        <v>142000</v>
      </c>
      <c r="Q80" s="1390">
        <f t="shared" ref="Q80" si="123">P80</f>
        <v>142000</v>
      </c>
      <c r="R80" s="1390">
        <f t="shared" si="122"/>
        <v>142000</v>
      </c>
      <c r="S80" s="1390">
        <f t="shared" si="122"/>
        <v>142000</v>
      </c>
      <c r="T80" s="1390">
        <f t="shared" si="122"/>
        <v>142000</v>
      </c>
      <c r="U80" s="1390">
        <f t="shared" ref="U80" si="124">T80</f>
        <v>142000</v>
      </c>
      <c r="V80" s="1390">
        <f t="shared" ref="V80" si="125">U80</f>
        <v>142000</v>
      </c>
      <c r="W80" s="1390">
        <f t="shared" ref="W80" si="126">V80</f>
        <v>142000</v>
      </c>
      <c r="X80" s="1390">
        <f t="shared" ref="X80" si="127">W80</f>
        <v>142000</v>
      </c>
      <c r="Y80" s="1390">
        <f t="shared" ref="Y80" si="128">X80</f>
        <v>142000</v>
      </c>
      <c r="Z80" s="1390">
        <f t="shared" ref="Z80" si="129">Y80</f>
        <v>142000</v>
      </c>
      <c r="AA80" s="1390">
        <f t="shared" ref="AA80" si="130">Z80</f>
        <v>142000</v>
      </c>
      <c r="AB80" s="1390">
        <f t="shared" ref="AB80" si="131">AA80</f>
        <v>142000</v>
      </c>
      <c r="AC80" s="1390">
        <f t="shared" ref="AC80" si="132">AB80</f>
        <v>142000</v>
      </c>
      <c r="AD80" s="1390">
        <f t="shared" ref="AD80" si="133">AC80</f>
        <v>142000</v>
      </c>
    </row>
    <row r="81" spans="1:30" s="50" customFormat="1">
      <c r="A81" s="9"/>
      <c r="B81" s="9"/>
      <c r="D81" s="1655" t="s">
        <v>1850</v>
      </c>
      <c r="E81" s="190"/>
      <c r="F81" s="190"/>
      <c r="G81" s="190"/>
      <c r="H81" s="190"/>
      <c r="I81" s="190"/>
      <c r="J81" s="190"/>
      <c r="K81" s="190"/>
      <c r="L81" s="190"/>
      <c r="M81" s="190"/>
      <c r="N81" s="1390"/>
      <c r="O81" s="1796">
        <f>O80*O82</f>
        <v>1967395.8</v>
      </c>
      <c r="P81" s="1796">
        <f t="shared" ref="P81:AD81" si="134">P80*P82</f>
        <v>2182540</v>
      </c>
      <c r="Q81" s="1796">
        <f t="shared" si="134"/>
        <v>2352940</v>
      </c>
      <c r="R81" s="1796">
        <f t="shared" si="134"/>
        <v>2543930</v>
      </c>
      <c r="S81" s="1796">
        <f t="shared" si="134"/>
        <v>2761190</v>
      </c>
      <c r="T81" s="1796">
        <f t="shared" si="134"/>
        <v>2975609.9999999995</v>
      </c>
      <c r="U81" s="1796">
        <f>U80*U82</f>
        <v>3190740</v>
      </c>
      <c r="V81" s="1796">
        <f t="shared" si="134"/>
        <v>3447050</v>
      </c>
      <c r="W81" s="1796">
        <f t="shared" si="134"/>
        <v>3718979.9999999995</v>
      </c>
      <c r="X81" s="1796">
        <f t="shared" si="134"/>
        <v>4012919.9999999995</v>
      </c>
      <c r="Y81" s="1796">
        <f t="shared" si="134"/>
        <v>4326030</v>
      </c>
      <c r="Z81" s="1796">
        <f t="shared" si="134"/>
        <v>4654760</v>
      </c>
      <c r="AA81" s="1796">
        <f t="shared" si="134"/>
        <v>5013031.8637718195</v>
      </c>
      <c r="AB81" s="1796">
        <f t="shared" si="134"/>
        <v>5398879.5270199878</v>
      </c>
      <c r="AC81" s="1796">
        <f t="shared" si="134"/>
        <v>5814425.4693295741</v>
      </c>
      <c r="AD81" s="1796">
        <f t="shared" si="134"/>
        <v>6261955.5352532817</v>
      </c>
    </row>
    <row r="82" spans="1:30" s="50" customFormat="1">
      <c r="A82" s="9"/>
      <c r="B82" s="9"/>
      <c r="D82" s="1655" t="s">
        <v>1184</v>
      </c>
      <c r="E82" s="190"/>
      <c r="F82" s="190"/>
      <c r="G82" s="190"/>
      <c r="H82" s="190"/>
      <c r="I82" s="190"/>
      <c r="J82" s="190"/>
      <c r="K82" s="190"/>
      <c r="L82" s="190"/>
      <c r="M82" s="190"/>
      <c r="N82" s="1390"/>
      <c r="O82" s="1390">
        <v>13.854900000000001</v>
      </c>
      <c r="P82" s="1390">
        <f>'3f. Exchange Rate USDZAR'!H5</f>
        <v>15.37</v>
      </c>
      <c r="Q82" s="1390">
        <f>'3f. Exchange Rate USDZAR'!I5</f>
        <v>16.57</v>
      </c>
      <c r="R82" s="1390">
        <f>'3f. Exchange Rate USDZAR'!J5</f>
        <v>17.914999999999999</v>
      </c>
      <c r="S82" s="1390">
        <f>'3f. Exchange Rate USDZAR'!K5</f>
        <v>19.445</v>
      </c>
      <c r="T82" s="1390">
        <f>'3f. Exchange Rate USDZAR'!L5</f>
        <v>20.954999999999998</v>
      </c>
      <c r="U82" s="1390">
        <f>'3f. Exchange Rate USDZAR'!M5</f>
        <v>22.47</v>
      </c>
      <c r="V82" s="1390">
        <f>'3f. Exchange Rate USDZAR'!N5</f>
        <v>24.274999999999999</v>
      </c>
      <c r="W82" s="1390">
        <f>'3f. Exchange Rate USDZAR'!O5</f>
        <v>26.189999999999998</v>
      </c>
      <c r="X82" s="1390">
        <f>'3f. Exchange Rate USDZAR'!P5</f>
        <v>28.259999999999998</v>
      </c>
      <c r="Y82" s="1390">
        <f>'3f. Exchange Rate USDZAR'!Q5</f>
        <v>30.465</v>
      </c>
      <c r="Z82" s="1390">
        <f>'3f. Exchange Rate USDZAR'!R5</f>
        <v>32.78</v>
      </c>
      <c r="AA82" s="1390">
        <f>'3f. Exchange Rate USDZAR'!S5</f>
        <v>35.303041294167741</v>
      </c>
      <c r="AB82" s="1390">
        <f>'3f. Exchange Rate USDZAR'!T5</f>
        <v>38.020278359295688</v>
      </c>
      <c r="AC82" s="1390">
        <f>'3f. Exchange Rate USDZAR'!U5</f>
        <v>40.946658234715308</v>
      </c>
      <c r="AD82" s="1547">
        <f>'3f. Exchange Rate USDZAR'!V5</f>
        <v>44.098278417276632</v>
      </c>
    </row>
    <row r="83" spans="1:30" s="449" customFormat="1">
      <c r="A83" s="12"/>
      <c r="B83" s="12"/>
      <c r="D83" s="1570" t="s">
        <v>1185</v>
      </c>
      <c r="E83" s="437"/>
      <c r="F83" s="437"/>
      <c r="G83" s="437"/>
      <c r="H83" s="437"/>
      <c r="I83" s="437"/>
      <c r="J83" s="437"/>
      <c r="K83" s="437"/>
      <c r="L83" s="437"/>
      <c r="M83" s="437"/>
      <c r="N83" s="437"/>
      <c r="O83" s="437">
        <v>7.2499999999999995E-2</v>
      </c>
      <c r="P83" s="437">
        <f>O83+1.7%</f>
        <v>8.9499999999999996E-2</v>
      </c>
      <c r="Q83" s="437">
        <f>P83</f>
        <v>8.9499999999999996E-2</v>
      </c>
      <c r="R83" s="437">
        <f t="shared" ref="R83:AD83" si="135">Q83</f>
        <v>8.9499999999999996E-2</v>
      </c>
      <c r="S83" s="437">
        <f t="shared" si="135"/>
        <v>8.9499999999999996E-2</v>
      </c>
      <c r="T83" s="437">
        <f t="shared" si="135"/>
        <v>8.9499999999999996E-2</v>
      </c>
      <c r="U83" s="437">
        <f t="shared" si="135"/>
        <v>8.9499999999999996E-2</v>
      </c>
      <c r="V83" s="437">
        <f t="shared" si="135"/>
        <v>8.9499999999999996E-2</v>
      </c>
      <c r="W83" s="437">
        <f t="shared" si="135"/>
        <v>8.9499999999999996E-2</v>
      </c>
      <c r="X83" s="437">
        <f t="shared" si="135"/>
        <v>8.9499999999999996E-2</v>
      </c>
      <c r="Y83" s="437">
        <f t="shared" si="135"/>
        <v>8.9499999999999996E-2</v>
      </c>
      <c r="Z83" s="437">
        <f t="shared" si="135"/>
        <v>8.9499999999999996E-2</v>
      </c>
      <c r="AA83" s="437">
        <f t="shared" si="135"/>
        <v>8.9499999999999996E-2</v>
      </c>
      <c r="AB83" s="437">
        <f t="shared" si="135"/>
        <v>8.9499999999999996E-2</v>
      </c>
      <c r="AC83" s="437">
        <f t="shared" si="135"/>
        <v>8.9499999999999996E-2</v>
      </c>
      <c r="AD83" s="1306">
        <f t="shared" si="135"/>
        <v>8.9499999999999996E-2</v>
      </c>
    </row>
    <row r="84" spans="1:30" s="449" customFormat="1">
      <c r="A84" s="12"/>
      <c r="B84" s="12"/>
      <c r="D84" s="1570" t="s">
        <v>1186</v>
      </c>
      <c r="E84" s="437"/>
      <c r="F84" s="437"/>
      <c r="G84" s="437"/>
      <c r="H84" s="437"/>
      <c r="I84" s="437"/>
      <c r="J84" s="437"/>
      <c r="K84" s="437"/>
      <c r="L84" s="437"/>
      <c r="M84" s="437"/>
      <c r="N84" s="437"/>
      <c r="O84" s="437">
        <v>6.3E-3</v>
      </c>
      <c r="P84" s="437">
        <f>O84+2.2%</f>
        <v>2.8300000000000002E-2</v>
      </c>
      <c r="Q84" s="437">
        <f>P84</f>
        <v>2.8300000000000002E-2</v>
      </c>
      <c r="R84" s="437">
        <f t="shared" ref="R84:AD84" si="136">Q84</f>
        <v>2.8300000000000002E-2</v>
      </c>
      <c r="S84" s="437">
        <f t="shared" si="136"/>
        <v>2.8300000000000002E-2</v>
      </c>
      <c r="T84" s="437">
        <f t="shared" si="136"/>
        <v>2.8300000000000002E-2</v>
      </c>
      <c r="U84" s="437">
        <f t="shared" si="136"/>
        <v>2.8300000000000002E-2</v>
      </c>
      <c r="V84" s="437">
        <f t="shared" si="136"/>
        <v>2.8300000000000002E-2</v>
      </c>
      <c r="W84" s="437">
        <f t="shared" si="136"/>
        <v>2.8300000000000002E-2</v>
      </c>
      <c r="X84" s="437">
        <f t="shared" si="136"/>
        <v>2.8300000000000002E-2</v>
      </c>
      <c r="Y84" s="437">
        <f t="shared" si="136"/>
        <v>2.8300000000000002E-2</v>
      </c>
      <c r="Z84" s="437">
        <f t="shared" si="136"/>
        <v>2.8300000000000002E-2</v>
      </c>
      <c r="AA84" s="437">
        <f t="shared" si="136"/>
        <v>2.8300000000000002E-2</v>
      </c>
      <c r="AB84" s="437">
        <f t="shared" si="136"/>
        <v>2.8300000000000002E-2</v>
      </c>
      <c r="AC84" s="437">
        <f t="shared" si="136"/>
        <v>2.8300000000000002E-2</v>
      </c>
      <c r="AD84" s="1306">
        <f t="shared" si="136"/>
        <v>2.8300000000000002E-2</v>
      </c>
    </row>
    <row r="85" spans="1:30" s="50" customFormat="1">
      <c r="A85" s="9"/>
      <c r="B85" s="9"/>
      <c r="D85" s="1655"/>
      <c r="E85" s="190"/>
      <c r="F85" s="190"/>
      <c r="G85" s="190"/>
      <c r="H85" s="190"/>
      <c r="I85" s="190"/>
      <c r="J85" s="190"/>
      <c r="K85" s="190"/>
      <c r="L85" s="190"/>
      <c r="M85" s="190"/>
      <c r="N85" s="1390"/>
      <c r="O85" s="1390"/>
      <c r="P85" s="1390"/>
      <c r="Q85" s="1390"/>
      <c r="R85" s="1390"/>
      <c r="S85" s="1390"/>
      <c r="T85" s="1390"/>
      <c r="U85" s="1390"/>
      <c r="V85" s="1390"/>
      <c r="W85" s="1390"/>
      <c r="X85" s="1390"/>
      <c r="Y85" s="1390"/>
      <c r="Z85" s="1390"/>
      <c r="AA85" s="1390"/>
      <c r="AB85" s="1390"/>
      <c r="AC85" s="1390"/>
      <c r="AD85" s="1547"/>
    </row>
    <row r="86" spans="1:30" s="50" customFormat="1">
      <c r="A86" s="9"/>
      <c r="B86" s="9"/>
      <c r="D86" s="1655" t="s">
        <v>953</v>
      </c>
      <c r="E86" s="190"/>
      <c r="F86" s="190"/>
      <c r="G86" s="190"/>
      <c r="H86" s="190"/>
      <c r="I86" s="190"/>
      <c r="J86" s="190"/>
      <c r="K86" s="190"/>
      <c r="L86" s="190"/>
      <c r="M86" s="190"/>
      <c r="N86" s="1390"/>
      <c r="O86" s="1390"/>
      <c r="P86" s="1390"/>
      <c r="Q86" s="1390"/>
      <c r="R86" s="1390"/>
      <c r="S86" s="1390"/>
      <c r="T86" s="1390"/>
      <c r="U86" s="1390"/>
      <c r="V86" s="1390"/>
      <c r="W86" s="1390"/>
      <c r="X86" s="1390"/>
      <c r="Y86" s="1390"/>
      <c r="Z86" s="1390"/>
      <c r="AA86" s="1390"/>
      <c r="AB86" s="1390"/>
      <c r="AC86" s="1390"/>
      <c r="AD86" s="1547"/>
    </row>
    <row r="87" spans="1:30" s="50" customFormat="1" ht="16" thickBot="1">
      <c r="A87" s="9"/>
      <c r="B87" s="9"/>
      <c r="D87" s="1655" t="s">
        <v>992</v>
      </c>
      <c r="E87" s="190"/>
      <c r="F87" s="190"/>
      <c r="G87" s="190"/>
      <c r="H87" s="190"/>
      <c r="I87" s="190"/>
      <c r="J87" s="190"/>
      <c r="K87" s="190"/>
      <c r="L87" s="190"/>
      <c r="M87" s="190"/>
      <c r="N87" s="1390">
        <f>-'2a. Income Statement'!N42</f>
        <v>17102</v>
      </c>
      <c r="O87" s="1390">
        <f>-'2a. Income Statement'!O42</f>
        <v>158442</v>
      </c>
      <c r="P87" s="1390">
        <f>(((P81/2)+(O81/2))*P84)+(((P79/2)+(O79/2))*P83)</f>
        <v>220455.89597000001</v>
      </c>
      <c r="Q87" s="1390">
        <f t="shared" ref="Q87:AD87" si="137">(((Q81/2)+(P81/2))*Q84)+(((Q79/2)+(P79/2))*Q83)</f>
        <v>172211.34640000001</v>
      </c>
      <c r="R87" s="1390">
        <f t="shared" si="137"/>
        <v>177325.01490000001</v>
      </c>
      <c r="S87" s="1390">
        <f t="shared" si="137"/>
        <v>183101.7524</v>
      </c>
      <c r="T87" s="1390">
        <f t="shared" si="137"/>
        <v>189210.02439999999</v>
      </c>
      <c r="U87" s="1390">
        <f t="shared" si="137"/>
        <v>195288.1569</v>
      </c>
      <c r="V87" s="1390">
        <f t="shared" si="137"/>
        <v>201959.03290000002</v>
      </c>
      <c r="W87" s="1390">
        <f t="shared" si="137"/>
        <v>209433.62890000001</v>
      </c>
      <c r="X87" s="1390">
        <f t="shared" si="137"/>
        <v>217440.6894</v>
      </c>
      <c r="Y87" s="1390">
        <f t="shared" si="137"/>
        <v>226030.44690000004</v>
      </c>
      <c r="Z87" s="1390">
        <f t="shared" si="137"/>
        <v>235112.4829</v>
      </c>
      <c r="AA87" s="1390">
        <f t="shared" si="137"/>
        <v>244833.55927237123</v>
      </c>
      <c r="AB87" s="1390">
        <f t="shared" si="137"/>
        <v>255362.8505797041</v>
      </c>
      <c r="AC87" s="1390">
        <f t="shared" si="137"/>
        <v>266702.57009834633</v>
      </c>
      <c r="AD87" s="1547">
        <f t="shared" si="137"/>
        <v>278915.09561484744</v>
      </c>
    </row>
    <row r="88" spans="1:30" s="20" customFormat="1" ht="16" thickBot="1">
      <c r="A88" s="4"/>
      <c r="B88" s="4"/>
      <c r="D88" s="1656" t="s">
        <v>957</v>
      </c>
      <c r="E88" s="174"/>
      <c r="F88" s="174"/>
      <c r="G88" s="174"/>
      <c r="H88" s="174"/>
      <c r="I88" s="174"/>
      <c r="J88" s="174"/>
      <c r="K88" s="174"/>
      <c r="L88" s="174"/>
      <c r="M88" s="174"/>
      <c r="N88" s="843">
        <f>'2b. Balance Sheet'!N44</f>
        <v>300000</v>
      </c>
      <c r="O88" s="843">
        <f>O78</f>
        <v>4374483</v>
      </c>
      <c r="P88" s="843">
        <f>P78</f>
        <v>3389627.2</v>
      </c>
      <c r="Q88" s="843">
        <f t="shared" ref="Q88:AD88" si="138">Q78</f>
        <v>3389627.2</v>
      </c>
      <c r="R88" s="843">
        <f t="shared" si="138"/>
        <v>3389627.2</v>
      </c>
      <c r="S88" s="843">
        <f t="shared" si="138"/>
        <v>3389627.2</v>
      </c>
      <c r="T88" s="843">
        <f t="shared" si="138"/>
        <v>3389627.2</v>
      </c>
      <c r="U88" s="843">
        <f t="shared" si="138"/>
        <v>3389627.2</v>
      </c>
      <c r="V88" s="843">
        <f t="shared" si="138"/>
        <v>3389627.2</v>
      </c>
      <c r="W88" s="843">
        <f t="shared" si="138"/>
        <v>3389627.2</v>
      </c>
      <c r="X88" s="843">
        <f t="shared" si="138"/>
        <v>3389627.2</v>
      </c>
      <c r="Y88" s="843">
        <f t="shared" si="138"/>
        <v>3389627.2</v>
      </c>
      <c r="Z88" s="843">
        <f t="shared" si="138"/>
        <v>3389627.2</v>
      </c>
      <c r="AA88" s="843">
        <f t="shared" si="138"/>
        <v>3389627.2</v>
      </c>
      <c r="AB88" s="843">
        <f t="shared" si="138"/>
        <v>3389627.2</v>
      </c>
      <c r="AC88" s="843">
        <f t="shared" si="138"/>
        <v>3389627.2</v>
      </c>
      <c r="AD88" s="857">
        <f t="shared" si="138"/>
        <v>3389627.2</v>
      </c>
    </row>
    <row r="89" spans="1:30" s="50" customFormat="1">
      <c r="A89" s="9"/>
      <c r="B89" s="9"/>
      <c r="D89" s="1655"/>
      <c r="E89" s="190"/>
      <c r="F89" s="190"/>
      <c r="G89" s="190"/>
      <c r="H89" s="190"/>
      <c r="I89" s="190"/>
      <c r="J89" s="190"/>
      <c r="K89" s="190"/>
      <c r="L89" s="190"/>
      <c r="M89" s="190"/>
      <c r="N89" s="1390"/>
      <c r="O89" s="1390"/>
      <c r="P89" s="1390"/>
      <c r="Q89" s="1390"/>
      <c r="R89" s="1390"/>
      <c r="S89" s="1390"/>
      <c r="T89" s="1390"/>
      <c r="U89" s="1390"/>
      <c r="V89" s="1390"/>
      <c r="W89" s="1390"/>
      <c r="X89" s="1390"/>
      <c r="Y89" s="1390"/>
      <c r="Z89" s="1390"/>
      <c r="AA89" s="1390"/>
      <c r="AB89" s="1390"/>
      <c r="AC89" s="1390"/>
      <c r="AD89" s="1547"/>
    </row>
    <row r="90" spans="1:30" s="50" customFormat="1">
      <c r="A90" s="9"/>
      <c r="B90" s="9"/>
      <c r="D90" s="1654" t="s">
        <v>958</v>
      </c>
      <c r="E90" s="190"/>
      <c r="F90" s="190"/>
      <c r="G90" s="190"/>
      <c r="H90" s="190"/>
      <c r="I90" s="190"/>
      <c r="J90" s="190"/>
      <c r="K90" s="190"/>
      <c r="L90" s="190"/>
      <c r="M90" s="190"/>
      <c r="N90" s="1390"/>
      <c r="O90" s="1390"/>
      <c r="P90" s="1390"/>
      <c r="Q90" s="1390"/>
      <c r="R90" s="1390"/>
      <c r="S90" s="1390"/>
      <c r="T90" s="1390"/>
      <c r="U90" s="1390"/>
      <c r="V90" s="1390"/>
      <c r="W90" s="1390"/>
      <c r="X90" s="1390"/>
      <c r="Y90" s="1390"/>
      <c r="Z90" s="1390"/>
      <c r="AA90" s="1390"/>
      <c r="AB90" s="1390"/>
      <c r="AC90" s="1390"/>
      <c r="AD90" s="1547"/>
    </row>
    <row r="91" spans="1:30" s="20" customFormat="1">
      <c r="A91" s="4"/>
      <c r="B91" s="4"/>
      <c r="D91" s="1654" t="s">
        <v>952</v>
      </c>
      <c r="E91" s="109"/>
      <c r="F91" s="109"/>
      <c r="G91" s="109"/>
      <c r="H91" s="109"/>
      <c r="I91" s="109"/>
      <c r="J91" s="109"/>
      <c r="K91" s="109"/>
      <c r="L91" s="109"/>
      <c r="M91" s="109"/>
      <c r="N91" s="919"/>
      <c r="O91" s="919"/>
      <c r="P91" s="919"/>
      <c r="Q91" s="919"/>
      <c r="R91" s="919"/>
      <c r="S91" s="919"/>
      <c r="T91" s="919"/>
      <c r="U91" s="919"/>
      <c r="V91" s="919"/>
      <c r="W91" s="919"/>
      <c r="X91" s="919"/>
      <c r="Y91" s="919"/>
      <c r="Z91" s="919"/>
      <c r="AA91" s="919"/>
      <c r="AB91" s="919"/>
      <c r="AC91" s="919"/>
      <c r="AD91" s="920"/>
    </row>
    <row r="92" spans="1:30" s="50" customFormat="1" ht="16" thickBot="1">
      <c r="A92" s="9"/>
      <c r="B92" s="9"/>
      <c r="D92" s="1655" t="s">
        <v>954</v>
      </c>
      <c r="E92" s="190"/>
      <c r="F92" s="190"/>
      <c r="G92" s="190"/>
      <c r="H92" s="190"/>
      <c r="I92" s="190"/>
      <c r="J92" s="190"/>
      <c r="K92" s="190"/>
      <c r="L92" s="190"/>
      <c r="M92" s="190"/>
      <c r="N92" s="1390"/>
      <c r="O92" s="1390"/>
      <c r="P92" s="1390"/>
      <c r="Q92" s="1390"/>
      <c r="R92" s="1390"/>
      <c r="S92" s="1390"/>
      <c r="T92" s="1390"/>
      <c r="U92" s="1390"/>
      <c r="V92" s="1390"/>
      <c r="W92" s="1390"/>
      <c r="X92" s="1390"/>
      <c r="Y92" s="1390"/>
      <c r="Z92" s="1390"/>
      <c r="AA92" s="1390"/>
      <c r="AB92" s="1390"/>
      <c r="AC92" s="1390"/>
      <c r="AD92" s="1547"/>
    </row>
    <row r="93" spans="1:30" s="20" customFormat="1" ht="16" thickBot="1">
      <c r="A93" s="4"/>
      <c r="B93" s="4"/>
      <c r="D93" s="1656" t="s">
        <v>957</v>
      </c>
      <c r="E93" s="174"/>
      <c r="F93" s="174"/>
      <c r="G93" s="174"/>
      <c r="H93" s="174"/>
      <c r="I93" s="174"/>
      <c r="J93" s="174"/>
      <c r="K93" s="174"/>
      <c r="L93" s="174"/>
      <c r="M93" s="174"/>
      <c r="N93" s="843">
        <f>'2b. Balance Sheet'!N52+'2b. Balance Sheet'!N53</f>
        <v>17216</v>
      </c>
      <c r="O93" s="843">
        <f>'2b. Balance Sheet'!O52+'2b. Balance Sheet'!O53</f>
        <v>322506</v>
      </c>
      <c r="P93" s="843">
        <f>O93</f>
        <v>322506</v>
      </c>
      <c r="Q93" s="843">
        <f>P93</f>
        <v>322506</v>
      </c>
      <c r="R93" s="843">
        <f t="shared" ref="R93:AD93" si="139">Q93</f>
        <v>322506</v>
      </c>
      <c r="S93" s="843">
        <f t="shared" si="139"/>
        <v>322506</v>
      </c>
      <c r="T93" s="843">
        <f t="shared" si="139"/>
        <v>322506</v>
      </c>
      <c r="U93" s="843">
        <f t="shared" si="139"/>
        <v>322506</v>
      </c>
      <c r="V93" s="843">
        <f t="shared" si="139"/>
        <v>322506</v>
      </c>
      <c r="W93" s="843">
        <f t="shared" si="139"/>
        <v>322506</v>
      </c>
      <c r="X93" s="843">
        <f t="shared" si="139"/>
        <v>322506</v>
      </c>
      <c r="Y93" s="843">
        <f t="shared" si="139"/>
        <v>322506</v>
      </c>
      <c r="Z93" s="843">
        <f t="shared" si="139"/>
        <v>322506</v>
      </c>
      <c r="AA93" s="843">
        <f t="shared" si="139"/>
        <v>322506</v>
      </c>
      <c r="AB93" s="843">
        <f t="shared" si="139"/>
        <v>322506</v>
      </c>
      <c r="AC93" s="843">
        <f t="shared" si="139"/>
        <v>322506</v>
      </c>
      <c r="AD93" s="857">
        <f t="shared" si="139"/>
        <v>322506</v>
      </c>
    </row>
    <row r="94" spans="1:30" s="50" customFormat="1" ht="16" thickBot="1">
      <c r="A94" s="9"/>
      <c r="B94" s="9"/>
      <c r="D94" s="1655"/>
      <c r="E94" s="190"/>
      <c r="F94" s="190"/>
      <c r="G94" s="190"/>
      <c r="H94" s="190"/>
      <c r="I94" s="190"/>
      <c r="J94" s="190"/>
      <c r="K94" s="190"/>
      <c r="L94" s="190"/>
      <c r="M94" s="190"/>
      <c r="N94" s="1390"/>
      <c r="O94" s="1390"/>
      <c r="P94" s="1390"/>
      <c r="Q94" s="1390"/>
      <c r="R94" s="1390"/>
      <c r="S94" s="1390"/>
      <c r="T94" s="1390"/>
      <c r="U94" s="1390"/>
      <c r="V94" s="1390"/>
      <c r="W94" s="1390"/>
      <c r="X94" s="1390"/>
      <c r="Y94" s="1390"/>
      <c r="Z94" s="1390"/>
      <c r="AA94" s="1390"/>
      <c r="AB94" s="1390"/>
      <c r="AC94" s="1390"/>
      <c r="AD94" s="1547"/>
    </row>
    <row r="95" spans="1:30" s="50" customFormat="1" ht="16" thickBot="1">
      <c r="A95" s="9"/>
      <c r="B95" s="9"/>
      <c r="D95" s="1656" t="s">
        <v>959</v>
      </c>
      <c r="E95" s="1421"/>
      <c r="F95" s="1421"/>
      <c r="G95" s="1421"/>
      <c r="H95" s="1421"/>
      <c r="I95" s="1421"/>
      <c r="J95" s="1421"/>
      <c r="K95" s="1421"/>
      <c r="L95" s="1421"/>
      <c r="M95" s="1421"/>
      <c r="N95" s="1661">
        <f>'2b. Balance Sheet'!N23</f>
        <v>344003</v>
      </c>
      <c r="O95" s="1661">
        <f>'2b. Balance Sheet'!O23</f>
        <v>1181273</v>
      </c>
      <c r="P95" s="1661">
        <f>'2b. Balance Sheet'!P23</f>
        <v>32287.460651942762</v>
      </c>
      <c r="Q95" s="1661">
        <f>'2b. Balance Sheet'!Q23</f>
        <v>117254.31517094703</v>
      </c>
      <c r="R95" s="1661">
        <f>'2b. Balance Sheet'!R23</f>
        <v>152597.49118046032</v>
      </c>
      <c r="S95" s="1661">
        <f>'2b. Balance Sheet'!S23</f>
        <v>185016.0078049443</v>
      </c>
      <c r="T95" s="1661">
        <f>'2b. Balance Sheet'!T23</f>
        <v>222839.83574783057</v>
      </c>
      <c r="U95" s="1661">
        <f>'2b. Balance Sheet'!U23</f>
        <v>262300.39511219464</v>
      </c>
      <c r="V95" s="1661">
        <f>'2b. Balance Sheet'!V23</f>
        <v>294989.15106452134</v>
      </c>
      <c r="W95" s="1661">
        <f>'2b. Balance Sheet'!W23</f>
        <v>316248.31674776116</v>
      </c>
      <c r="X95" s="1661">
        <f>'2b. Balance Sheet'!X23</f>
        <v>318204.56635945162</v>
      </c>
      <c r="Y95" s="1661">
        <f>'2b. Balance Sheet'!Y23</f>
        <v>319234.32217642444</v>
      </c>
      <c r="Z95" s="1661">
        <f>'2b. Balance Sheet'!Z23</f>
        <v>309323.94809926348</v>
      </c>
      <c r="AA95" s="1661">
        <f>'2b. Balance Sheet'!AA23</f>
        <v>285145.08321044152</v>
      </c>
      <c r="AB95" s="1661">
        <f>'2b. Balance Sheet'!AB23</f>
        <v>244227.72970076208</v>
      </c>
      <c r="AC95" s="1661">
        <f>'2b. Balance Sheet'!AC23</f>
        <v>184147.44877778576</v>
      </c>
      <c r="AD95" s="1662">
        <f>'2b. Balance Sheet'!AD23</f>
        <v>102157.41335812071</v>
      </c>
    </row>
    <row r="96" spans="1:30" s="414" customFormat="1" thickBot="1">
      <c r="A96" s="118"/>
      <c r="B96" s="118"/>
      <c r="D96" s="1602" t="s">
        <v>960</v>
      </c>
      <c r="E96" s="1553"/>
      <c r="F96" s="1553"/>
      <c r="G96" s="1553"/>
      <c r="H96" s="1553"/>
      <c r="I96" s="1553"/>
      <c r="J96" s="1553"/>
      <c r="K96" s="1553"/>
      <c r="L96" s="1553"/>
      <c r="M96" s="1553"/>
      <c r="N96" s="1553">
        <f>N97/N95</f>
        <v>3.8583965837507228E-2</v>
      </c>
      <c r="O96" s="1553">
        <f>O97/O95</f>
        <v>5.2111577933297383E-2</v>
      </c>
      <c r="P96" s="1553">
        <f>AVERAGE(N96:O96)</f>
        <v>4.5347771885402302E-2</v>
      </c>
      <c r="Q96" s="1553">
        <f>P96</f>
        <v>4.5347771885402302E-2</v>
      </c>
      <c r="R96" s="1553">
        <f t="shared" ref="R96:AD96" si="140">Q96</f>
        <v>4.5347771885402302E-2</v>
      </c>
      <c r="S96" s="1553">
        <f t="shared" si="140"/>
        <v>4.5347771885402302E-2</v>
      </c>
      <c r="T96" s="1553">
        <f t="shared" si="140"/>
        <v>4.5347771885402302E-2</v>
      </c>
      <c r="U96" s="1553">
        <f t="shared" si="140"/>
        <v>4.5347771885402302E-2</v>
      </c>
      <c r="V96" s="1553">
        <f t="shared" si="140"/>
        <v>4.5347771885402302E-2</v>
      </c>
      <c r="W96" s="1553">
        <f t="shared" si="140"/>
        <v>4.5347771885402302E-2</v>
      </c>
      <c r="X96" s="1553">
        <f t="shared" si="140"/>
        <v>4.5347771885402302E-2</v>
      </c>
      <c r="Y96" s="1553">
        <f t="shared" si="140"/>
        <v>4.5347771885402302E-2</v>
      </c>
      <c r="Z96" s="1553">
        <f t="shared" si="140"/>
        <v>4.5347771885402302E-2</v>
      </c>
      <c r="AA96" s="1553">
        <f t="shared" si="140"/>
        <v>4.5347771885402302E-2</v>
      </c>
      <c r="AB96" s="1553">
        <f t="shared" si="140"/>
        <v>4.5347771885402302E-2</v>
      </c>
      <c r="AC96" s="1553">
        <f t="shared" si="140"/>
        <v>4.5347771885402302E-2</v>
      </c>
      <c r="AD96" s="1554">
        <f t="shared" si="140"/>
        <v>4.5347771885402302E-2</v>
      </c>
    </row>
    <row r="97" spans="1:30" s="50" customFormat="1" ht="16" thickBot="1">
      <c r="A97" s="9"/>
      <c r="B97" s="9"/>
      <c r="D97" s="1656" t="s">
        <v>961</v>
      </c>
      <c r="E97" s="1421"/>
      <c r="F97" s="1421"/>
      <c r="G97" s="1421"/>
      <c r="H97" s="1421"/>
      <c r="I97" s="1421"/>
      <c r="J97" s="1421"/>
      <c r="K97" s="1421"/>
      <c r="L97" s="1421"/>
      <c r="M97" s="1421"/>
      <c r="N97" s="1661">
        <f>'2a. Income Statement'!N41</f>
        <v>13273</v>
      </c>
      <c r="O97" s="1661">
        <f>'2a. Income Statement'!O41</f>
        <v>61558</v>
      </c>
      <c r="P97" s="1661">
        <f>O95*P96</f>
        <v>53568.098538384831</v>
      </c>
      <c r="Q97" s="1661">
        <f t="shared" ref="Q97:AD97" si="141">P95*Q96</f>
        <v>1464.164400403203</v>
      </c>
      <c r="R97" s="1661">
        <f t="shared" si="141"/>
        <v>5317.2219369511722</v>
      </c>
      <c r="S97" s="1661">
        <f t="shared" si="141"/>
        <v>6919.9562203362038</v>
      </c>
      <c r="T97" s="1661">
        <f t="shared" si="141"/>
        <v>8390.0637170864265</v>
      </c>
      <c r="U97" s="1661">
        <f t="shared" si="141"/>
        <v>10105.290038473138</v>
      </c>
      <c r="V97" s="1661">
        <f t="shared" si="141"/>
        <v>11894.738482998695</v>
      </c>
      <c r="W97" s="1661">
        <f t="shared" si="141"/>
        <v>13377.100731142393</v>
      </c>
      <c r="X97" s="1661">
        <f t="shared" si="141"/>
        <v>14341.156527019926</v>
      </c>
      <c r="Y97" s="1661">
        <f t="shared" si="141"/>
        <v>14429.868088161771</v>
      </c>
      <c r="Z97" s="1661">
        <f t="shared" si="141"/>
        <v>14476.565220047522</v>
      </c>
      <c r="AA97" s="1661">
        <f t="shared" si="141"/>
        <v>14027.151837097421</v>
      </c>
      <c r="AB97" s="1661">
        <f t="shared" si="141"/>
        <v>12930.694187671159</v>
      </c>
      <c r="AC97" s="1661">
        <f t="shared" si="141"/>
        <v>11075.183374559851</v>
      </c>
      <c r="AD97" s="1662">
        <f t="shared" si="141"/>
        <v>8350.6765004538338</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499984740745262"/>
  </sheetPr>
  <dimension ref="A1"/>
  <sheetViews>
    <sheetView workbookViewId="0">
      <selection activeCell="O29" sqref="O29"/>
    </sheetView>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1:AK108"/>
  <sheetViews>
    <sheetView showGridLines="0" zoomScale="75" zoomScaleNormal="75" zoomScalePageLayoutView="75" workbookViewId="0">
      <pane xSplit="4" topLeftCell="E1" activePane="topRight" state="frozen"/>
      <selection activeCell="A169" sqref="A169:XFD279"/>
      <selection pane="topRight" activeCell="Q68" sqref="Q68"/>
    </sheetView>
  </sheetViews>
  <sheetFormatPr baseColWidth="10" defaultRowHeight="15" x14ac:dyDescent="0"/>
  <cols>
    <col min="1" max="3" width="0" style="9" hidden="1" customWidth="1"/>
    <col min="4" max="4" width="61" style="9" bestFit="1" customWidth="1"/>
    <col min="5" max="5" width="9.33203125" style="9" hidden="1" customWidth="1"/>
    <col min="6" max="6" width="11.1640625" style="9" hidden="1" customWidth="1"/>
    <col min="7" max="11" width="11.83203125" style="9" hidden="1" customWidth="1"/>
    <col min="12" max="30" width="13" style="9" customWidth="1"/>
    <col min="31" max="32" width="13" style="50" customWidth="1"/>
    <col min="33" max="34" width="24" style="50" bestFit="1" customWidth="1"/>
    <col min="35" max="39" width="10.83203125" style="50"/>
    <col min="40" max="40" width="6.83203125" style="50" customWidth="1"/>
    <col min="41" max="42" width="10.83203125" style="50"/>
    <col min="43" max="43" width="1.6640625" style="50" customWidth="1"/>
    <col min="44" max="16384" width="10.83203125" style="50"/>
  </cols>
  <sheetData>
    <row r="1" spans="1:37" s="39" customFormat="1">
      <c r="A1"/>
      <c r="B1"/>
      <c r="C1"/>
      <c r="D1"/>
      <c r="E1"/>
      <c r="F1"/>
      <c r="G1"/>
      <c r="H1"/>
      <c r="I1"/>
      <c r="J1"/>
      <c r="K1"/>
      <c r="L1"/>
      <c r="M1"/>
      <c r="N1"/>
      <c r="O1"/>
      <c r="P1"/>
      <c r="Q1"/>
      <c r="R1"/>
      <c r="S1"/>
      <c r="T1"/>
      <c r="U1"/>
      <c r="V1"/>
      <c r="W1"/>
      <c r="X1"/>
      <c r="Y1"/>
      <c r="Z1"/>
      <c r="AA1"/>
      <c r="AB1"/>
      <c r="AC1"/>
      <c r="AD1"/>
    </row>
    <row r="2" spans="1:37" s="39" customFormat="1">
      <c r="A2"/>
      <c r="B2"/>
      <c r="C2"/>
      <c r="D2"/>
      <c r="E2"/>
      <c r="F2"/>
      <c r="G2"/>
      <c r="H2"/>
      <c r="I2"/>
      <c r="J2"/>
      <c r="K2"/>
      <c r="L2"/>
      <c r="M2"/>
      <c r="N2"/>
      <c r="O2"/>
      <c r="P2"/>
      <c r="Q2"/>
      <c r="R2"/>
      <c r="S2"/>
      <c r="T2"/>
      <c r="U2"/>
      <c r="V2"/>
      <c r="W2"/>
      <c r="X2"/>
      <c r="Y2"/>
      <c r="Z2"/>
      <c r="AA2"/>
      <c r="AB2"/>
      <c r="AC2"/>
      <c r="AD2"/>
    </row>
    <row r="3" spans="1:37" s="39" customFormat="1" ht="21" thickBot="1">
      <c r="A3"/>
      <c r="B3"/>
      <c r="C3"/>
      <c r="D3"/>
      <c r="E3"/>
      <c r="F3"/>
      <c r="G3"/>
      <c r="H3"/>
      <c r="I3"/>
      <c r="J3"/>
      <c r="K3"/>
      <c r="L3"/>
      <c r="M3"/>
      <c r="N3"/>
      <c r="O3"/>
      <c r="P3"/>
      <c r="Q3"/>
      <c r="R3"/>
      <c r="S3"/>
      <c r="T3"/>
      <c r="U3"/>
      <c r="V3"/>
      <c r="W3"/>
      <c r="X3"/>
      <c r="Y3"/>
      <c r="Z3"/>
      <c r="AA3"/>
      <c r="AB3"/>
      <c r="AC3"/>
      <c r="AD3"/>
      <c r="AK3" s="1210" t="s">
        <v>1779</v>
      </c>
    </row>
    <row r="4" spans="1:37" ht="16" thickBot="1">
      <c r="A4" s="1660"/>
      <c r="B4" s="1660"/>
      <c r="C4" s="1660"/>
      <c r="D4" s="683" t="s">
        <v>1188</v>
      </c>
      <c r="E4" s="403" t="s">
        <v>216</v>
      </c>
      <c r="F4" s="403" t="s">
        <v>217</v>
      </c>
      <c r="G4" s="403" t="s">
        <v>1615</v>
      </c>
      <c r="H4" s="403" t="s">
        <v>28</v>
      </c>
      <c r="I4" s="403" t="s">
        <v>17</v>
      </c>
      <c r="J4" s="403" t="s">
        <v>18</v>
      </c>
      <c r="K4" s="403" t="s">
        <v>19</v>
      </c>
      <c r="L4" s="403" t="s">
        <v>20</v>
      </c>
      <c r="M4" s="403" t="s">
        <v>21</v>
      </c>
      <c r="N4" s="403" t="s">
        <v>22</v>
      </c>
      <c r="O4" s="403" t="s">
        <v>23</v>
      </c>
      <c r="P4" s="404" t="s">
        <v>24</v>
      </c>
      <c r="Q4" s="404" t="s">
        <v>25</v>
      </c>
      <c r="R4" s="404" t="s">
        <v>26</v>
      </c>
      <c r="S4" s="404" t="s">
        <v>27</v>
      </c>
      <c r="T4" s="404" t="s">
        <v>712</v>
      </c>
      <c r="U4" s="404" t="s">
        <v>713</v>
      </c>
      <c r="V4" s="404" t="s">
        <v>714</v>
      </c>
      <c r="W4" s="404" t="s">
        <v>715</v>
      </c>
      <c r="X4" s="404" t="s">
        <v>716</v>
      </c>
      <c r="Y4" s="404" t="s">
        <v>717</v>
      </c>
      <c r="Z4" s="404" t="s">
        <v>718</v>
      </c>
      <c r="AA4" s="404" t="s">
        <v>719</v>
      </c>
      <c r="AB4" s="404" t="s">
        <v>720</v>
      </c>
      <c r="AC4" s="404" t="s">
        <v>721</v>
      </c>
      <c r="AD4" s="404" t="s">
        <v>722</v>
      </c>
      <c r="AE4" s="1384" t="s">
        <v>1445</v>
      </c>
      <c r="AF4" s="1385" t="s">
        <v>1446</v>
      </c>
      <c r="AG4" s="190"/>
      <c r="AH4" s="190"/>
      <c r="AI4" s="190"/>
    </row>
    <row r="5" spans="1:37">
      <c r="D5" s="1228" t="s">
        <v>506</v>
      </c>
      <c r="E5" s="190">
        <v>1470587</v>
      </c>
      <c r="F5" s="190">
        <v>1318949</v>
      </c>
      <c r="G5" s="190">
        <v>1409041</v>
      </c>
      <c r="H5" s="1390">
        <v>1879711</v>
      </c>
      <c r="I5" s="1390">
        <v>2142497</v>
      </c>
      <c r="J5" s="1390">
        <v>2280069</v>
      </c>
      <c r="K5" s="1390">
        <f>1981722+286574</f>
        <v>2268296</v>
      </c>
      <c r="L5" s="1390">
        <f>2582636+350443</f>
        <v>2933079</v>
      </c>
      <c r="M5" s="1390">
        <f>2631686+369394</f>
        <v>3001080</v>
      </c>
      <c r="N5" s="1390">
        <f>3086476+405497</f>
        <v>3491973</v>
      </c>
      <c r="O5" s="1390">
        <f>3408988+412147</f>
        <v>3821135</v>
      </c>
      <c r="P5" s="1390">
        <f>'3a. InShore Fishing Div.'!P5</f>
        <v>4533200.2283846727</v>
      </c>
      <c r="Q5" s="1390">
        <f>'3a. InShore Fishing Div.'!Q5</f>
        <v>4984435.9882698003</v>
      </c>
      <c r="R5" s="1390">
        <f>'3a. InShore Fishing Div.'!R5</f>
        <v>5435226.3518820703</v>
      </c>
      <c r="S5" s="1390">
        <f>'3a. InShore Fishing Div.'!S5</f>
        <v>5880813.9321678523</v>
      </c>
      <c r="T5" s="1390">
        <f>'3a. InShore Fishing Div.'!T5</f>
        <v>6310084.4843171323</v>
      </c>
      <c r="U5" s="1390">
        <f>'3a. InShore Fishing Div.'!U5</f>
        <v>6734834.0079007717</v>
      </c>
      <c r="V5" s="1390">
        <f>'3a. InShore Fishing Div.'!V5</f>
        <v>7192160.1905453997</v>
      </c>
      <c r="W5" s="1390">
        <f>'3a. InShore Fishing Div.'!W5</f>
        <v>7686806.8934169132</v>
      </c>
      <c r="X5" s="1390">
        <f>'3a. InShore Fishing Div.'!X5</f>
        <v>8218300.7783223372</v>
      </c>
      <c r="Y5" s="1390">
        <f>'3a. InShore Fishing Div.'!Y5</f>
        <v>8789825.9199628495</v>
      </c>
      <c r="Z5" s="1390">
        <f>'3a. InShore Fishing Div.'!Z5</f>
        <v>9403013.9357324056</v>
      </c>
      <c r="AA5" s="1390">
        <f>'3a. InShore Fishing Div.'!AA5</f>
        <v>10063485.2389322</v>
      </c>
      <c r="AB5" s="1390">
        <f>'3a. InShore Fishing Div.'!AB5</f>
        <v>10775349.546701992</v>
      </c>
      <c r="AC5" s="1390">
        <f>'3a. InShore Fishing Div.'!AC5</f>
        <v>11543116.939640364</v>
      </c>
      <c r="AD5" s="1390">
        <f>'3a. InShore Fishing Div.'!AD5</f>
        <v>12371740.428807177</v>
      </c>
      <c r="AE5" s="846">
        <f>(O5/L5)^(1/4)-1</f>
        <v>6.8358858145051382E-2</v>
      </c>
      <c r="AF5" s="847">
        <f>(T5/P5)^(1/4)-1</f>
        <v>8.6194421478143379E-2</v>
      </c>
      <c r="AG5" s="190"/>
      <c r="AH5" s="190"/>
      <c r="AI5" s="190"/>
    </row>
    <row r="6" spans="1:37" s="1403" customFormat="1" ht="14">
      <c r="A6" s="1008"/>
      <c r="B6" s="1008"/>
      <c r="C6" s="1008"/>
      <c r="D6" s="1401" t="s">
        <v>511</v>
      </c>
      <c r="E6" s="1402"/>
      <c r="F6" s="1402">
        <f>(F5/E5)-1</f>
        <v>-0.1031139266156984</v>
      </c>
      <c r="G6" s="1402">
        <f t="shared" ref="G6:S6" si="0">(G5/F5)-1</f>
        <v>6.830590113795143E-2</v>
      </c>
      <c r="H6" s="1402">
        <f t="shared" si="0"/>
        <v>0.33403570229681034</v>
      </c>
      <c r="I6" s="1402">
        <f t="shared" si="0"/>
        <v>0.13980127796241026</v>
      </c>
      <c r="J6" s="1402">
        <f t="shared" si="0"/>
        <v>6.4211058405216015E-2</v>
      </c>
      <c r="K6" s="1402">
        <f t="shared" si="0"/>
        <v>-5.1634402292211057E-3</v>
      </c>
      <c r="L6" s="1402">
        <f t="shared" si="0"/>
        <v>0.29307594775990431</v>
      </c>
      <c r="M6" s="1402">
        <f t="shared" si="0"/>
        <v>2.3184169263766874E-2</v>
      </c>
      <c r="N6" s="1402">
        <f t="shared" si="0"/>
        <v>0.16357211403894589</v>
      </c>
      <c r="O6" s="1402">
        <f t="shared" si="0"/>
        <v>9.4262469956096551E-2</v>
      </c>
      <c r="P6" s="1402">
        <f t="shared" si="0"/>
        <v>0.18634914191324636</v>
      </c>
      <c r="Q6" s="1402">
        <f t="shared" si="0"/>
        <v>9.9540222613532681E-2</v>
      </c>
      <c r="R6" s="1402">
        <f t="shared" si="0"/>
        <v>9.0439593300655208E-2</v>
      </c>
      <c r="S6" s="1402">
        <f t="shared" si="0"/>
        <v>8.1981421092331752E-2</v>
      </c>
      <c r="T6" s="1402">
        <f t="shared" ref="T6" si="1">(T5/S5)-1</f>
        <v>7.2995091683003999E-2</v>
      </c>
      <c r="U6" s="1402">
        <f t="shared" ref="U6" si="2">(U5/T5)-1</f>
        <v>6.7312810888554342E-2</v>
      </c>
      <c r="V6" s="1402">
        <f t="shared" ref="V6" si="3">(V5/U5)-1</f>
        <v>6.7904596031339359E-2</v>
      </c>
      <c r="W6" s="1402">
        <f t="shared" ref="W6" si="4">(W5/V5)-1</f>
        <v>6.8775818358684626E-2</v>
      </c>
      <c r="X6" s="1402">
        <f t="shared" ref="X6" si="5">(X5/W5)-1</f>
        <v>6.9143649928373074E-2</v>
      </c>
      <c r="Y6" s="1402">
        <f t="shared" ref="Y6" si="6">(Y5/X5)-1</f>
        <v>6.9542981822719563E-2</v>
      </c>
      <c r="Z6" s="1402">
        <f t="shared" ref="Z6" si="7">(Z5/Y5)-1</f>
        <v>6.9761110328354192E-2</v>
      </c>
      <c r="AA6" s="1402">
        <f t="shared" ref="AA6" si="8">(AA5/Z5)-1</f>
        <v>7.0240383319005506E-2</v>
      </c>
      <c r="AB6" s="1402">
        <f t="shared" ref="AB6" si="9">(AB5/AA5)-1</f>
        <v>7.0737353001307346E-2</v>
      </c>
      <c r="AC6" s="1402">
        <f t="shared" ref="AC6" si="10">(AC5/AB5)-1</f>
        <v>7.1252202966664901E-2</v>
      </c>
      <c r="AD6" s="1402">
        <f t="shared" ref="AD6" si="11">(AD5/AC5)-1</f>
        <v>7.1785072740728095E-2</v>
      </c>
      <c r="AE6" s="1681"/>
      <c r="AF6" s="1682"/>
      <c r="AG6" s="1402"/>
      <c r="AH6" s="1402"/>
      <c r="AI6" s="1402"/>
    </row>
    <row r="7" spans="1:37" s="1403" customFormat="1" ht="14">
      <c r="A7" s="1008"/>
      <c r="B7" s="1008"/>
      <c r="C7" s="1008"/>
      <c r="D7" s="1401" t="s">
        <v>1135</v>
      </c>
      <c r="E7" s="1402">
        <f>E5/E22</f>
        <v>0.5707663807634582</v>
      </c>
      <c r="F7" s="1402">
        <f t="shared" ref="F7:R7" si="12">F5/F22</f>
        <v>0.51834110285558432</v>
      </c>
      <c r="G7" s="1402">
        <f t="shared" si="12"/>
        <v>0.54009131839009172</v>
      </c>
      <c r="H7" s="1402">
        <f t="shared" si="12"/>
        <v>0.62605363040370676</v>
      </c>
      <c r="I7" s="1402">
        <f t="shared" si="12"/>
        <v>0.64898821308531696</v>
      </c>
      <c r="J7" s="1402">
        <f t="shared" si="12"/>
        <v>0.66605992780479428</v>
      </c>
      <c r="K7" s="1402">
        <f t="shared" si="12"/>
        <v>0.62022817480933479</v>
      </c>
      <c r="L7" s="1402">
        <f t="shared" si="12"/>
        <v>0.63104774555497678</v>
      </c>
      <c r="M7" s="1402">
        <f t="shared" si="12"/>
        <v>0.63836141396368262</v>
      </c>
      <c r="N7" s="1402">
        <f t="shared" si="12"/>
        <v>0.69297085570655592</v>
      </c>
      <c r="O7" s="1402">
        <f t="shared" si="12"/>
        <v>0.61943153399774376</v>
      </c>
      <c r="P7" s="1402">
        <f>P5/P22</f>
        <v>0.53622271798629673</v>
      </c>
      <c r="Q7" s="1402">
        <f t="shared" si="12"/>
        <v>0.53937531973998443</v>
      </c>
      <c r="R7" s="1402">
        <f t="shared" si="12"/>
        <v>0.54097401404696366</v>
      </c>
      <c r="S7" s="1402">
        <f>S5/S22</f>
        <v>0.53901259467451601</v>
      </c>
      <c r="T7" s="1402">
        <f t="shared" ref="T7:AD7" si="13">T5/T22</f>
        <v>0.53539638093953246</v>
      </c>
      <c r="U7" s="1402">
        <f t="shared" si="13"/>
        <v>0.53077706536128977</v>
      </c>
      <c r="V7" s="1402">
        <f t="shared" si="13"/>
        <v>0.52618561406768305</v>
      </c>
      <c r="W7" s="1402">
        <f t="shared" si="13"/>
        <v>0.52103301204560204</v>
      </c>
      <c r="X7" s="1402">
        <f t="shared" si="13"/>
        <v>0.5140327001468965</v>
      </c>
      <c r="Y7" s="1402">
        <f t="shared" si="13"/>
        <v>0.50881225808720165</v>
      </c>
      <c r="Z7" s="1402">
        <f t="shared" si="13"/>
        <v>0.50366437060918345</v>
      </c>
      <c r="AA7" s="1402">
        <f t="shared" si="13"/>
        <v>0.49846476297733039</v>
      </c>
      <c r="AB7" s="1402">
        <f t="shared" si="13"/>
        <v>0.49317776322210027</v>
      </c>
      <c r="AC7" s="1402">
        <f t="shared" si="13"/>
        <v>0.48781925348871791</v>
      </c>
      <c r="AD7" s="1402">
        <f t="shared" si="13"/>
        <v>0.48240548567016789</v>
      </c>
      <c r="AE7" s="1681"/>
      <c r="AF7" s="1682"/>
      <c r="AG7" s="1402"/>
      <c r="AH7" s="1402"/>
      <c r="AI7" s="1402"/>
    </row>
    <row r="8" spans="1:37" s="1403" customFormat="1" ht="14">
      <c r="A8" s="1008"/>
      <c r="B8" s="1008"/>
      <c r="C8" s="1008"/>
      <c r="D8" s="1003" t="s">
        <v>1136</v>
      </c>
      <c r="E8" s="1402"/>
      <c r="F8" s="1402"/>
      <c r="G8" s="1402"/>
      <c r="H8" s="1402"/>
      <c r="I8" s="1402"/>
      <c r="J8" s="1402"/>
      <c r="K8" s="1402"/>
      <c r="L8" s="1402">
        <f>L5/L20</f>
        <v>0.63104774555497678</v>
      </c>
      <c r="M8" s="1402">
        <f>M5/M20</f>
        <v>0.63836141396368262</v>
      </c>
      <c r="N8" s="1402">
        <f t="shared" ref="N8:AD8" si="14">N5/N20</f>
        <v>0.69297085570655592</v>
      </c>
      <c r="O8" s="1402">
        <f t="shared" si="14"/>
        <v>0.68302258184854303</v>
      </c>
      <c r="P8" s="1402">
        <f>P5/P20</f>
        <v>0.70613148088045263</v>
      </c>
      <c r="Q8" s="1402">
        <f t="shared" si="14"/>
        <v>0.71605162000123634</v>
      </c>
      <c r="R8" s="1402">
        <f t="shared" si="14"/>
        <v>0.72389833023284322</v>
      </c>
      <c r="S8" s="1402">
        <f t="shared" si="14"/>
        <v>0.72946342180350654</v>
      </c>
      <c r="T8" s="1402">
        <f t="shared" si="14"/>
        <v>0.73308732313288594</v>
      </c>
      <c r="U8" s="1402">
        <f t="shared" si="14"/>
        <v>0.73382383405494589</v>
      </c>
      <c r="V8" s="1402">
        <f t="shared" si="14"/>
        <v>0.73422230930316457</v>
      </c>
      <c r="W8" s="1402">
        <f t="shared" si="14"/>
        <v>0.73418330562788792</v>
      </c>
      <c r="X8" s="1402">
        <f t="shared" si="14"/>
        <v>0.73052121023491501</v>
      </c>
      <c r="Y8" s="1402">
        <f t="shared" si="14"/>
        <v>0.73026767793177827</v>
      </c>
      <c r="Z8" s="1402">
        <f t="shared" si="14"/>
        <v>0.7298373698141537</v>
      </c>
      <c r="AA8" s="1402">
        <f t="shared" si="14"/>
        <v>0.72914459396431819</v>
      </c>
      <c r="AB8" s="1402">
        <f t="shared" si="14"/>
        <v>0.72819453366309084</v>
      </c>
      <c r="AC8" s="1402">
        <f t="shared" si="14"/>
        <v>0.7269940585607001</v>
      </c>
      <c r="AD8" s="1402">
        <f t="shared" si="14"/>
        <v>0.72555205389504163</v>
      </c>
      <c r="AE8" s="1681"/>
      <c r="AF8" s="1682"/>
      <c r="AG8" s="1402"/>
      <c r="AH8" s="1402"/>
      <c r="AI8" s="1402"/>
    </row>
    <row r="9" spans="1:37">
      <c r="D9" s="1228" t="s">
        <v>507</v>
      </c>
      <c r="E9" s="190">
        <v>939091</v>
      </c>
      <c r="F9" s="190">
        <v>1071362</v>
      </c>
      <c r="G9" s="190">
        <v>1023667</v>
      </c>
      <c r="H9" s="1390">
        <v>934384</v>
      </c>
      <c r="I9" s="1390">
        <v>948267</v>
      </c>
      <c r="J9" s="1390">
        <v>909034</v>
      </c>
      <c r="K9" s="1390">
        <v>1170907</v>
      </c>
      <c r="L9" s="1390">
        <v>1435082</v>
      </c>
      <c r="M9" s="1390">
        <v>1373824</v>
      </c>
      <c r="N9" s="1390">
        <v>1203470</v>
      </c>
      <c r="O9" s="1390">
        <v>1314747</v>
      </c>
      <c r="P9" s="1390">
        <f>'3b. Mid Deep Water Fishing Div.'!P5</f>
        <v>1385812.527794118</v>
      </c>
      <c r="Q9" s="1390">
        <f>'3b. Mid Deep Water Fishing Div.'!Q5</f>
        <v>1432369.2609871542</v>
      </c>
      <c r="R9" s="1390">
        <f>'3b. Mid Deep Water Fishing Div.'!R5</f>
        <v>1490104.3303733524</v>
      </c>
      <c r="S9" s="1390">
        <f>'3b. Mid Deep Water Fishing Div.'!S5</f>
        <v>1559604.7189282947</v>
      </c>
      <c r="T9" s="1390">
        <f>'3b. Mid Deep Water Fishing Div.'!T5</f>
        <v>1638265.0020870746</v>
      </c>
      <c r="U9" s="1390">
        <f>'3b. Mid Deep Water Fishing Div.'!U5</f>
        <v>1743613.8741607941</v>
      </c>
      <c r="V9" s="1390">
        <f>'3b. Mid Deep Water Fishing Div.'!V5</f>
        <v>1861662.2190873576</v>
      </c>
      <c r="W9" s="1390">
        <f>'3b. Mid Deep Water Fishing Div.'!W5</f>
        <v>1996172.1620768984</v>
      </c>
      <c r="X9" s="1390">
        <f>'3b. Mid Deep Water Fishing Div.'!X5</f>
        <v>2196874.772746725</v>
      </c>
      <c r="Y9" s="1390">
        <f>'3b. Mid Deep Water Fishing Div.'!Y5</f>
        <v>2361127.426941081</v>
      </c>
      <c r="Z9" s="1390">
        <f>'3b. Mid Deep Water Fishing Div.'!Z5</f>
        <v>2541368.9658013657</v>
      </c>
      <c r="AA9" s="1390">
        <f>'3b. Mid Deep Water Fishing Div.'!AA5</f>
        <v>2741844.2238291511</v>
      </c>
      <c r="AB9" s="1390">
        <f>'3b. Mid Deep Water Fishing Div.'!AB5</f>
        <v>2964977.6385989334</v>
      </c>
      <c r="AC9" s="1390">
        <f>'3b. Mid Deep Water Fishing Div.'!AC5</f>
        <v>3213462.726685076</v>
      </c>
      <c r="AD9" s="1390">
        <f>'3b. Mid Deep Water Fishing Div.'!AD5</f>
        <v>3490280.7369962051</v>
      </c>
      <c r="AE9" s="846">
        <f>(O9/L9)^(1/4)-1</f>
        <v>-2.165649126270297E-2</v>
      </c>
      <c r="AF9" s="847">
        <f>(T9/P9)^(1/4)-1</f>
        <v>4.2725315692242916E-2</v>
      </c>
      <c r="AG9" s="190"/>
      <c r="AH9" s="190"/>
      <c r="AI9" s="190"/>
    </row>
    <row r="10" spans="1:37" s="1403" customFormat="1" ht="14">
      <c r="A10" s="1008"/>
      <c r="B10" s="1008"/>
      <c r="C10" s="1008"/>
      <c r="D10" s="1401" t="s">
        <v>511</v>
      </c>
      <c r="E10" s="1402"/>
      <c r="F10" s="1402">
        <f>(F9/E9)-1</f>
        <v>0.14085003476766356</v>
      </c>
      <c r="G10" s="1402">
        <f t="shared" ref="G10" si="15">(G9/F9)-1</f>
        <v>-4.4518099391242183E-2</v>
      </c>
      <c r="H10" s="1402">
        <f t="shared" ref="H10" si="16">(H9/G9)-1</f>
        <v>-8.7218792830090264E-2</v>
      </c>
      <c r="I10" s="1402">
        <f t="shared" ref="I10" si="17">(I9/H9)-1</f>
        <v>1.4857917087621297E-2</v>
      </c>
      <c r="J10" s="1402">
        <f t="shared" ref="J10" si="18">(J9/I9)-1</f>
        <v>-4.1373368471116279E-2</v>
      </c>
      <c r="K10" s="1402">
        <f t="shared" ref="K10" si="19">(K9/J9)-1</f>
        <v>0.28807833370368985</v>
      </c>
      <c r="L10" s="1402">
        <f t="shared" ref="L10" si="20">(L9/K9)-1</f>
        <v>0.22561569791623071</v>
      </c>
      <c r="M10" s="1402">
        <f t="shared" ref="M10" si="21">(M9/L9)-1</f>
        <v>-4.2686062538586644E-2</v>
      </c>
      <c r="N10" s="1402">
        <f t="shared" ref="N10" si="22">(N9/M9)-1</f>
        <v>-0.12399987189043138</v>
      </c>
      <c r="O10" s="1402">
        <f t="shared" ref="O10" si="23">(O9/N9)-1</f>
        <v>9.246345982866222E-2</v>
      </c>
      <c r="P10" s="1402">
        <f t="shared" ref="P10" si="24">(P9/O9)-1</f>
        <v>5.4052625938007859E-2</v>
      </c>
      <c r="Q10" s="1402">
        <f t="shared" ref="Q10" si="25">(Q9/P9)-1</f>
        <v>3.3595260729200715E-2</v>
      </c>
      <c r="R10" s="1402">
        <f t="shared" ref="R10" si="26">(R9/Q9)-1</f>
        <v>4.0307392066211145E-2</v>
      </c>
      <c r="S10" s="1402">
        <f t="shared" ref="S10" si="27">(S9/R9)-1</f>
        <v>4.6641290236052679E-2</v>
      </c>
      <c r="T10" s="1402">
        <f t="shared" ref="T10" si="28">(T9/S9)-1</f>
        <v>5.0436038185901699E-2</v>
      </c>
      <c r="U10" s="1402">
        <f t="shared" ref="U10" si="29">(U9/T9)-1</f>
        <v>6.4305147176744848E-2</v>
      </c>
      <c r="V10" s="1402">
        <f t="shared" ref="V10" si="30">(V9/U9)-1</f>
        <v>6.7703260840006996E-2</v>
      </c>
      <c r="W10" s="1402">
        <f t="shared" ref="W10" si="31">(W9/V9)-1</f>
        <v>7.2252603942019933E-2</v>
      </c>
      <c r="X10" s="1402">
        <f t="shared" ref="X10" si="32">(X9/W9)-1</f>
        <v>0.10054373790134785</v>
      </c>
      <c r="Y10" s="1402">
        <f t="shared" ref="Y10" si="33">(Y9/X9)-1</f>
        <v>7.4766507509662405E-2</v>
      </c>
      <c r="Z10" s="1402">
        <f t="shared" ref="Z10" si="34">(Z9/Y9)-1</f>
        <v>7.6337065422086736E-2</v>
      </c>
      <c r="AA10" s="1402">
        <f t="shared" ref="AA10" si="35">(AA9/Z9)-1</f>
        <v>7.8884750984818064E-2</v>
      </c>
      <c r="AB10" s="1402">
        <f t="shared" ref="AB10" si="36">(AB9/AA9)-1</f>
        <v>8.1380777518484493E-2</v>
      </c>
      <c r="AC10" s="1402">
        <f t="shared" ref="AC10" si="37">(AC9/AB9)-1</f>
        <v>8.3806732587555555E-2</v>
      </c>
      <c r="AD10" s="1402">
        <f t="shared" ref="AD10" si="38">(AD9/AC9)-1</f>
        <v>8.6143214922765665E-2</v>
      </c>
      <c r="AE10" s="1681"/>
      <c r="AF10" s="1682"/>
      <c r="AG10" s="1402"/>
      <c r="AH10" s="1402"/>
      <c r="AI10" s="1402"/>
    </row>
    <row r="11" spans="1:37" s="1403" customFormat="1" ht="14">
      <c r="A11" s="1008"/>
      <c r="B11" s="1008"/>
      <c r="C11" s="1008"/>
      <c r="D11" s="1401" t="s">
        <v>1135</v>
      </c>
      <c r="E11" s="1402">
        <f>E9/E22</f>
        <v>0.36448137463307967</v>
      </c>
      <c r="F11" s="1402">
        <f t="shared" ref="F11:AD11" si="39">F9/F22</f>
        <v>0.42104051076847138</v>
      </c>
      <c r="G11" s="1402">
        <f t="shared" si="39"/>
        <v>0.39237584968956196</v>
      </c>
      <c r="H11" s="1402">
        <f t="shared" si="39"/>
        <v>0.31120448589763916</v>
      </c>
      <c r="I11" s="1402">
        <f t="shared" si="39"/>
        <v>0.28724152512595086</v>
      </c>
      <c r="J11" s="1402">
        <f t="shared" si="39"/>
        <v>0.26554947258705913</v>
      </c>
      <c r="K11" s="1402">
        <f t="shared" si="39"/>
        <v>0.32016523041149558</v>
      </c>
      <c r="L11" s="1402">
        <f t="shared" si="39"/>
        <v>0.3087558367117037</v>
      </c>
      <c r="M11" s="1402">
        <f t="shared" si="39"/>
        <v>0.29222687538394254</v>
      </c>
      <c r="N11" s="1402">
        <f t="shared" si="39"/>
        <v>0.23882476631897465</v>
      </c>
      <c r="O11" s="1402">
        <f t="shared" si="39"/>
        <v>0.21312927992047695</v>
      </c>
      <c r="P11" s="1402">
        <f>P9/P22</f>
        <v>0.16392484841509297</v>
      </c>
      <c r="Q11" s="1402">
        <f t="shared" si="39"/>
        <v>0.1549994081474505</v>
      </c>
      <c r="R11" s="1402">
        <f t="shared" si="39"/>
        <v>0.14831171118967332</v>
      </c>
      <c r="S11" s="1402">
        <f t="shared" si="39"/>
        <v>0.14294731918278372</v>
      </c>
      <c r="T11" s="1402">
        <f t="shared" si="39"/>
        <v>0.13900307599958164</v>
      </c>
      <c r="U11" s="1402">
        <f t="shared" si="39"/>
        <v>0.13741545139265604</v>
      </c>
      <c r="V11" s="1402">
        <f t="shared" si="39"/>
        <v>0.13620106504646731</v>
      </c>
      <c r="W11" s="1402">
        <f t="shared" si="39"/>
        <v>0.13530606513079441</v>
      </c>
      <c r="X11" s="1402">
        <f t="shared" si="39"/>
        <v>0.1374086324874233</v>
      </c>
      <c r="Y11" s="1402">
        <f t="shared" si="39"/>
        <v>0.13667740279190799</v>
      </c>
      <c r="Z11" s="1402">
        <f t="shared" si="39"/>
        <v>0.13612624732820378</v>
      </c>
      <c r="AA11" s="1402">
        <f t="shared" si="39"/>
        <v>0.13580908588849655</v>
      </c>
      <c r="AB11" s="1402">
        <f t="shared" si="39"/>
        <v>0.13570427887003633</v>
      </c>
      <c r="AC11" s="1402">
        <f t="shared" si="39"/>
        <v>0.13580292018545326</v>
      </c>
      <c r="AD11" s="1402">
        <f t="shared" si="39"/>
        <v>0.13609488363782482</v>
      </c>
      <c r="AE11" s="1681"/>
      <c r="AF11" s="1682"/>
      <c r="AG11" s="1402"/>
      <c r="AH11" s="1402"/>
      <c r="AI11" s="1402"/>
    </row>
    <row r="12" spans="1:37" s="1403" customFormat="1" ht="14">
      <c r="A12" s="1008"/>
      <c r="B12" s="1008"/>
      <c r="C12" s="1008"/>
      <c r="D12" s="1003" t="s">
        <v>1136</v>
      </c>
      <c r="E12" s="1402"/>
      <c r="F12" s="1402"/>
      <c r="G12" s="1402"/>
      <c r="H12" s="1402"/>
      <c r="I12" s="1402"/>
      <c r="J12" s="1402"/>
      <c r="K12" s="1402"/>
      <c r="L12" s="1402">
        <f>L9/L20</f>
        <v>0.3087558367117037</v>
      </c>
      <c r="M12" s="1402">
        <f>M9/M20</f>
        <v>0.29222687538394254</v>
      </c>
      <c r="N12" s="1402">
        <f t="shared" ref="N12:AD12" si="40">N9/N20</f>
        <v>0.23882476631897465</v>
      </c>
      <c r="O12" s="1402">
        <f t="shared" si="40"/>
        <v>0.23500920287234722</v>
      </c>
      <c r="P12" s="1402">
        <f t="shared" si="40"/>
        <v>0.21586645265449458</v>
      </c>
      <c r="Q12" s="1402">
        <f t="shared" si="40"/>
        <v>0.2057705891265442</v>
      </c>
      <c r="R12" s="1402">
        <f t="shared" si="40"/>
        <v>0.19846165859430673</v>
      </c>
      <c r="S12" s="1402">
        <f t="shared" si="40"/>
        <v>0.19345529514329446</v>
      </c>
      <c r="T12" s="1402">
        <f t="shared" si="40"/>
        <v>0.19032887878874014</v>
      </c>
      <c r="U12" s="1402">
        <f t="shared" si="40"/>
        <v>0.18998321513894148</v>
      </c>
      <c r="V12" s="1402">
        <f t="shared" si="40"/>
        <v>0.19005054078712338</v>
      </c>
      <c r="W12" s="1402">
        <f t="shared" si="40"/>
        <v>0.19065865669282103</v>
      </c>
      <c r="X12" s="1402">
        <f t="shared" si="40"/>
        <v>0.19527925066391938</v>
      </c>
      <c r="Y12" s="1402">
        <f t="shared" si="40"/>
        <v>0.19616486823217827</v>
      </c>
      <c r="Z12" s="1402">
        <f t="shared" si="40"/>
        <v>0.19725441804136964</v>
      </c>
      <c r="AA12" s="1402">
        <f t="shared" si="40"/>
        <v>0.19865889856558738</v>
      </c>
      <c r="AB12" s="1402">
        <f t="shared" si="40"/>
        <v>0.20037220133818043</v>
      </c>
      <c r="AC12" s="1402">
        <f t="shared" si="40"/>
        <v>0.20238626377279886</v>
      </c>
      <c r="AD12" s="1402">
        <f t="shared" si="40"/>
        <v>0.2046907120279807</v>
      </c>
      <c r="AE12" s="1681"/>
      <c r="AF12" s="1682"/>
      <c r="AG12" s="1402"/>
      <c r="AH12" s="1402"/>
      <c r="AI12" s="1402"/>
    </row>
    <row r="13" spans="1:37">
      <c r="D13" s="1228" t="s">
        <v>508</v>
      </c>
      <c r="E13" s="190">
        <v>166835</v>
      </c>
      <c r="F13" s="190">
        <v>154247</v>
      </c>
      <c r="G13" s="190">
        <v>176186</v>
      </c>
      <c r="H13" s="190">
        <v>188381</v>
      </c>
      <c r="I13" s="190">
        <v>210524</v>
      </c>
      <c r="J13" s="190">
        <v>234116</v>
      </c>
      <c r="K13" s="190">
        <v>217993</v>
      </c>
      <c r="L13" s="1390">
        <v>279790</v>
      </c>
      <c r="M13" s="1390">
        <v>326320</v>
      </c>
      <c r="N13" s="1390">
        <v>343691</v>
      </c>
      <c r="O13" s="1390">
        <v>458567</v>
      </c>
      <c r="P13" s="1390">
        <f>'3c. Commercial Cold Stor Div.'!P5</f>
        <v>500755.16400000005</v>
      </c>
      <c r="Q13" s="1390">
        <f>'3c. Commercial Cold Stor Div.'!Q5</f>
        <v>544195.67447700002</v>
      </c>
      <c r="R13" s="1390">
        <f>'3c. Commercial Cold Stor Div.'!R5</f>
        <v>582942.40649976255</v>
      </c>
      <c r="S13" s="1390">
        <f>'3c. Commercial Cold Stor Div.'!S5</f>
        <v>621416.60532874684</v>
      </c>
      <c r="T13" s="1390">
        <f>'3c. Commercial Cold Stor Div.'!T5</f>
        <v>659198.73493273463</v>
      </c>
      <c r="U13" s="1390">
        <f>'3c. Commercial Cold Stor Div.'!U5</f>
        <v>699278.01801664487</v>
      </c>
      <c r="V13" s="1390">
        <f>'3c. Commercial Cold Stor Div.'!V5</f>
        <v>741794.12151205691</v>
      </c>
      <c r="W13" s="1390">
        <f>'3c. Commercial Cold Stor Div.'!W5</f>
        <v>786895.20409998996</v>
      </c>
      <c r="X13" s="1390">
        <f>'3c. Commercial Cold Stor Div.'!X5</f>
        <v>834738.43250926933</v>
      </c>
      <c r="Y13" s="1390">
        <f>'3c. Commercial Cold Stor Div.'!Y5</f>
        <v>885490.52920583286</v>
      </c>
      <c r="Z13" s="1390">
        <f>'3c. Commercial Cold Stor Div.'!Z5</f>
        <v>939328.35338154749</v>
      </c>
      <c r="AA13" s="1390">
        <f>'3c. Commercial Cold Stor Div.'!AA5</f>
        <v>996439.51726714557</v>
      </c>
      <c r="AB13" s="1390">
        <f>'3c. Commercial Cold Stor Div.'!AB5</f>
        <v>1057023.039916988</v>
      </c>
      <c r="AC13" s="1390">
        <f>'3c. Commercial Cold Stor Div.'!AC5</f>
        <v>1121290.0407439407</v>
      </c>
      <c r="AD13" s="1390">
        <f>'3c. Commercial Cold Stor Div.'!AD5</f>
        <v>1189464.4752211722</v>
      </c>
      <c r="AE13" s="846">
        <f>(O13/L13)^(1/4)-1</f>
        <v>0.13146898135882812</v>
      </c>
      <c r="AF13" s="847">
        <f>(T13/P13)^(1/4)-1</f>
        <v>7.1143686058077416E-2</v>
      </c>
      <c r="AG13" s="190"/>
      <c r="AH13" s="190"/>
      <c r="AI13" s="190"/>
    </row>
    <row r="14" spans="1:37" s="1403" customFormat="1" ht="14">
      <c r="A14" s="1008"/>
      <c r="B14" s="1008"/>
      <c r="C14" s="1008"/>
      <c r="D14" s="1401" t="s">
        <v>511</v>
      </c>
      <c r="E14" s="1402"/>
      <c r="F14" s="1402">
        <f>(F13/E13)-1</f>
        <v>-7.5451793688374735E-2</v>
      </c>
      <c r="G14" s="1402">
        <f t="shared" ref="G14" si="41">(G13/F13)-1</f>
        <v>0.14223291214739997</v>
      </c>
      <c r="H14" s="1402">
        <f t="shared" ref="H14" si="42">(H13/G13)-1</f>
        <v>6.9216623341241679E-2</v>
      </c>
      <c r="I14" s="1402">
        <f t="shared" ref="I14" si="43">(I13/H13)-1</f>
        <v>0.11754370132869019</v>
      </c>
      <c r="J14" s="1402">
        <f t="shared" ref="J14" si="44">(J13/I13)-1</f>
        <v>0.11206323269555973</v>
      </c>
      <c r="K14" s="1402">
        <f t="shared" ref="K14" si="45">(K13/J13)-1</f>
        <v>-6.8867569922602456E-2</v>
      </c>
      <c r="L14" s="1402">
        <f t="shared" ref="L14" si="46">(L13/K13)-1</f>
        <v>0.28348157968375132</v>
      </c>
      <c r="M14" s="1402">
        <f t="shared" ref="M14" si="47">(M13/L13)-1</f>
        <v>0.16630329890274842</v>
      </c>
      <c r="N14" s="1402">
        <f t="shared" ref="N14" si="48">(N13/M13)-1</f>
        <v>5.3233022799705765E-2</v>
      </c>
      <c r="O14" s="1402">
        <f t="shared" ref="O14" si="49">(O13/N13)-1</f>
        <v>0.33424209537055094</v>
      </c>
      <c r="P14" s="1402">
        <f t="shared" ref="P14" si="50">(P13/O13)-1</f>
        <v>9.2000000000000082E-2</v>
      </c>
      <c r="Q14" s="1402">
        <f t="shared" ref="Q14" si="51">(Q13/P13)-1</f>
        <v>8.6749999999999883E-2</v>
      </c>
      <c r="R14" s="1402">
        <f t="shared" ref="R14" si="52">(R13/Q13)-1</f>
        <v>7.1200000000000152E-2</v>
      </c>
      <c r="S14" s="1402">
        <f>(S13/R13)-1</f>
        <v>6.5999999999999837E-2</v>
      </c>
      <c r="T14" s="1402">
        <f t="shared" ref="T14" si="53">(T13/S13)-1</f>
        <v>6.0799999999999965E-2</v>
      </c>
      <c r="U14" s="1402">
        <f t="shared" ref="U14" si="54">(U13/T13)-1</f>
        <v>6.0799999999999965E-2</v>
      </c>
      <c r="V14" s="1402">
        <f t="shared" ref="V14" si="55">(V13/U13)-1</f>
        <v>6.0799999999999965E-2</v>
      </c>
      <c r="W14" s="1402">
        <f t="shared" ref="W14" si="56">(W13/V13)-1</f>
        <v>6.0799999999999965E-2</v>
      </c>
      <c r="X14" s="1402">
        <f t="shared" ref="X14" si="57">(X13/W13)-1</f>
        <v>6.0799999999999965E-2</v>
      </c>
      <c r="Y14" s="1402">
        <f t="shared" ref="Y14" si="58">(Y13/X13)-1</f>
        <v>6.0799999999999965E-2</v>
      </c>
      <c r="Z14" s="1402">
        <f t="shared" ref="Z14" si="59">(Z13/Y13)-1</f>
        <v>6.0799999999999965E-2</v>
      </c>
      <c r="AA14" s="1402">
        <f t="shared" ref="AA14" si="60">(AA13/Z13)-1</f>
        <v>6.0799999999999965E-2</v>
      </c>
      <c r="AB14" s="1402">
        <f t="shared" ref="AB14" si="61">(AB13/AA13)-1</f>
        <v>6.0799999999999965E-2</v>
      </c>
      <c r="AC14" s="1402">
        <f t="shared" ref="AC14" si="62">(AC13/AB13)-1</f>
        <v>6.0799999999999965E-2</v>
      </c>
      <c r="AD14" s="1402">
        <f t="shared" ref="AD14" si="63">(AD13/AC13)-1</f>
        <v>6.0799999999999965E-2</v>
      </c>
      <c r="AE14" s="1681"/>
      <c r="AF14" s="1682"/>
      <c r="AG14" s="1402"/>
      <c r="AH14" s="1402"/>
      <c r="AI14" s="1402"/>
    </row>
    <row r="15" spans="1:37" s="1403" customFormat="1" ht="14">
      <c r="A15" s="1008"/>
      <c r="B15" s="1008"/>
      <c r="C15" s="1008"/>
      <c r="D15" s="1401" t="s">
        <v>1135</v>
      </c>
      <c r="E15" s="1402">
        <f>E13/E22</f>
        <v>6.4752244603462128E-2</v>
      </c>
      <c r="F15" s="1402">
        <f t="shared" ref="F15:AD15" si="64">F13/F22</f>
        <v>6.0618386375944272E-2</v>
      </c>
      <c r="G15" s="1402">
        <f t="shared" si="64"/>
        <v>6.7532831920346328E-2</v>
      </c>
      <c r="H15" s="1402">
        <f t="shared" si="64"/>
        <v>6.274188369865405E-2</v>
      </c>
      <c r="I15" s="1402">
        <f t="shared" si="64"/>
        <v>6.3770261788732158E-2</v>
      </c>
      <c r="J15" s="1402">
        <f t="shared" si="64"/>
        <v>6.8390599608146599E-2</v>
      </c>
      <c r="K15" s="1402">
        <f t="shared" si="64"/>
        <v>5.9606594779169617E-2</v>
      </c>
      <c r="L15" s="1402">
        <f t="shared" si="64"/>
        <v>6.0196417733319477E-2</v>
      </c>
      <c r="M15" s="1402">
        <f t="shared" si="64"/>
        <v>6.9411710652374781E-2</v>
      </c>
      <c r="N15" s="1402">
        <f t="shared" si="64"/>
        <v>6.8204377974469418E-2</v>
      </c>
      <c r="O15" s="1402">
        <f t="shared" si="64"/>
        <v>7.4336776965677309E-2</v>
      </c>
      <c r="P15" s="1402">
        <f>P13/P22</f>
        <v>5.9233274851712189E-2</v>
      </c>
      <c r="Q15" s="1402">
        <f t="shared" si="64"/>
        <v>5.8888451293771585E-2</v>
      </c>
      <c r="R15" s="1402">
        <f t="shared" si="64"/>
        <v>5.80208942895587E-2</v>
      </c>
      <c r="S15" s="1402">
        <f>S13/S22</f>
        <v>5.6956635709881055E-2</v>
      </c>
      <c r="T15" s="1402">
        <f t="shared" si="64"/>
        <v>5.5931520073950025E-2</v>
      </c>
      <c r="U15" s="1402">
        <f t="shared" si="64"/>
        <v>5.5110598693170108E-2</v>
      </c>
      <c r="V15" s="1402">
        <f t="shared" si="64"/>
        <v>5.4270397905308625E-2</v>
      </c>
      <c r="W15" s="1402">
        <f t="shared" si="64"/>
        <v>5.333793134670585E-2</v>
      </c>
      <c r="X15" s="1402">
        <f t="shared" si="64"/>
        <v>5.2210653023424577E-2</v>
      </c>
      <c r="Y15" s="1402">
        <f t="shared" si="64"/>
        <v>5.1257947515979382E-2</v>
      </c>
      <c r="Z15" s="1402">
        <f t="shared" si="64"/>
        <v>5.0314316998236727E-2</v>
      </c>
      <c r="AA15" s="1402">
        <f t="shared" si="64"/>
        <v>4.9355663172663947E-2</v>
      </c>
      <c r="AB15" s="1402">
        <f t="shared" si="64"/>
        <v>4.8378964992373652E-2</v>
      </c>
      <c r="AC15" s="1402">
        <f t="shared" si="64"/>
        <v>4.7386409882206833E-2</v>
      </c>
      <c r="AD15" s="1402">
        <f t="shared" si="64"/>
        <v>4.6380231719087589E-2</v>
      </c>
      <c r="AE15" s="1681"/>
      <c r="AF15" s="1682"/>
      <c r="AG15" s="1402"/>
      <c r="AH15" s="1402"/>
      <c r="AI15" s="1402"/>
    </row>
    <row r="16" spans="1:37" s="1403" customFormat="1" ht="14">
      <c r="A16" s="1008"/>
      <c r="B16" s="1008"/>
      <c r="C16" s="1008"/>
      <c r="D16" s="1003" t="s">
        <v>1136</v>
      </c>
      <c r="E16" s="1402"/>
      <c r="F16" s="1402"/>
      <c r="G16" s="1402"/>
      <c r="H16" s="1402"/>
      <c r="I16" s="1402"/>
      <c r="J16" s="1402"/>
      <c r="K16" s="1402"/>
      <c r="L16" s="1402">
        <f>L13/L20</f>
        <v>6.0196417733319477E-2</v>
      </c>
      <c r="M16" s="1402">
        <f>M13/M20</f>
        <v>6.9411710652374781E-2</v>
      </c>
      <c r="N16" s="1402">
        <f t="shared" ref="N16:AD16" si="65">N13/N20</f>
        <v>6.8204377974469418E-2</v>
      </c>
      <c r="O16" s="1402">
        <f t="shared" si="65"/>
        <v>8.1968215279109705E-2</v>
      </c>
      <c r="P16" s="1402">
        <f t="shared" si="65"/>
        <v>7.8002066465052838E-2</v>
      </c>
      <c r="Q16" s="1402">
        <f t="shared" si="65"/>
        <v>7.817779087221953E-2</v>
      </c>
      <c r="R16" s="1402">
        <f t="shared" si="65"/>
        <v>7.7640011172850132E-2</v>
      </c>
      <c r="S16" s="1402">
        <f t="shared" si="65"/>
        <v>7.7081283053199057E-2</v>
      </c>
      <c r="T16" s="1402">
        <f t="shared" si="65"/>
        <v>7.6583798078373885E-2</v>
      </c>
      <c r="U16" s="1402">
        <f t="shared" si="65"/>
        <v>7.619295080611263E-2</v>
      </c>
      <c r="V16" s="1402">
        <f t="shared" si="65"/>
        <v>7.5727149909712049E-2</v>
      </c>
      <c r="W16" s="1402">
        <f t="shared" si="65"/>
        <v>7.5158037679291009E-2</v>
      </c>
      <c r="X16" s="1402">
        <f t="shared" si="65"/>
        <v>7.4199539101165529E-2</v>
      </c>
      <c r="Y16" s="1402">
        <f t="shared" si="65"/>
        <v>7.3567453836043448E-2</v>
      </c>
      <c r="Z16" s="1402">
        <f t="shared" si="65"/>
        <v>7.2908212144476639E-2</v>
      </c>
      <c r="AA16" s="1402">
        <f t="shared" si="65"/>
        <v>7.2196507470094484E-2</v>
      </c>
      <c r="AB16" s="1402">
        <f t="shared" si="65"/>
        <v>7.1433264998728624E-2</v>
      </c>
      <c r="AC16" s="1402">
        <f t="shared" si="65"/>
        <v>7.0619677666501027E-2</v>
      </c>
      <c r="AD16" s="1402">
        <f t="shared" si="65"/>
        <v>6.9757234076977592E-2</v>
      </c>
      <c r="AE16" s="1681"/>
      <c r="AF16" s="1682"/>
      <c r="AG16" s="1402"/>
      <c r="AH16" s="1402"/>
      <c r="AI16" s="1402"/>
    </row>
    <row r="17" spans="1:37">
      <c r="D17" s="1228" t="s">
        <v>509</v>
      </c>
      <c r="E17" s="190">
        <v>0</v>
      </c>
      <c r="F17" s="190">
        <v>0</v>
      </c>
      <c r="G17" s="190">
        <v>0</v>
      </c>
      <c r="H17" s="190">
        <v>0</v>
      </c>
      <c r="I17" s="190">
        <v>0</v>
      </c>
      <c r="J17" s="190">
        <v>0</v>
      </c>
      <c r="K17" s="190">
        <v>0</v>
      </c>
      <c r="L17" s="1390"/>
      <c r="M17" s="1390"/>
      <c r="N17" s="1390"/>
      <c r="O17" s="1390">
        <v>574328</v>
      </c>
      <c r="P17" s="1390">
        <f>(0.25*'3e. Daybrook Currency Adjusted'!H6)+(0.75*'3e. Daybrook Currency Adjusted'!I6)</f>
        <v>2034182.418606593</v>
      </c>
      <c r="Q17" s="1390">
        <f>(0.25*'3e. Daybrook Currency Adjusted'!I6)+(0.75*'3e. Daybrook Currency Adjusted'!J6)</f>
        <v>2280126.3689879999</v>
      </c>
      <c r="R17" s="1390">
        <f>(0.25*'3e. Daybrook Currency Adjusted'!J6)+(0.75*'3e. Daybrook Currency Adjusted'!K6)</f>
        <v>2538838.6222524736</v>
      </c>
      <c r="S17" s="1390">
        <f>(0.25*'3e. Daybrook Currency Adjusted'!K6)+(0.75*'3e. Daybrook Currency Adjusted'!L6)</f>
        <v>2848510.7916465714</v>
      </c>
      <c r="T17" s="1390">
        <f>(0.25*'3e. Daybrook Currency Adjusted'!L6)+(0.75*'3e. Daybrook Currency Adjusted'!M6)</f>
        <v>3178270.1161795962</v>
      </c>
      <c r="U17" s="1390">
        <f>(0.25*'3e. Daybrook Currency Adjusted'!M6)+(0.75*'3e. Daybrook Currency Adjusted'!N6)</f>
        <v>3510904.5013060304</v>
      </c>
      <c r="V17" s="1390">
        <f>(0.25*'3e. Daybrook Currency Adjusted'!N6)+(0.75*'3e. Daybrook Currency Adjusted'!O6)</f>
        <v>3872868.5020098076</v>
      </c>
      <c r="W17" s="1390">
        <f>(0.25*'3e. Daybrook Currency Adjusted'!O6)+(0.75*'3e. Daybrook Currency Adjusted'!P6)</f>
        <v>4283138.9194332212</v>
      </c>
      <c r="X17" s="1390">
        <f>(0.25*'3e. Daybrook Currency Adjusted'!P6)+(0.75*'3e. Daybrook Currency Adjusted'!Q6)</f>
        <v>4737980.9032134432</v>
      </c>
      <c r="Y17" s="1390">
        <f>(0.25*'3e. Daybrook Currency Adjusted'!Q6)+(0.75*'3e. Daybrook Currency Adjusted'!R6)</f>
        <v>5238741.1852855645</v>
      </c>
      <c r="Z17" s="1390">
        <f>(0.25*'3e. Daybrook Currency Adjusted'!R6)+(0.75*'3e. Daybrook Currency Adjusted'!S6)</f>
        <v>5785494.8363542166</v>
      </c>
      <c r="AA17" s="1390">
        <f>(0.25*'3e. Daybrook Currency Adjusted'!S6)+(0.75*'3e. Daybrook Currency Adjusted'!T6)</f>
        <v>6387191.1759973709</v>
      </c>
      <c r="AB17" s="1390">
        <f>(0.25*'3e. Daybrook Currency Adjusted'!T6)+(0.75*'3e. Daybrook Currency Adjusted'!U6)</f>
        <v>7051464.4421404032</v>
      </c>
      <c r="AC17" s="1390">
        <f>(0.25*'3e. Daybrook Currency Adjusted'!U6)+(0.75*'3e. Daybrook Currency Adjusted'!V6)</f>
        <v>7784822.6878861394</v>
      </c>
      <c r="AD17" s="1390">
        <f>(0.25*'3e. Daybrook Currency Adjusted'!V6)+(0.75*'3e. Daybrook Currency Adjusted'!W6)</f>
        <v>8594450.809345806</v>
      </c>
      <c r="AE17" s="724"/>
      <c r="AF17" s="847">
        <f>(T17/P17)^(1/4)-1</f>
        <v>0.11802168464572671</v>
      </c>
    </row>
    <row r="18" spans="1:37" s="1403" customFormat="1" ht="14">
      <c r="A18" s="1008"/>
      <c r="B18" s="1008"/>
      <c r="C18" s="1008"/>
      <c r="D18" s="1401" t="s">
        <v>511</v>
      </c>
      <c r="E18" s="1402"/>
      <c r="F18" s="1402" t="e">
        <f>(F17/E17)-1</f>
        <v>#DIV/0!</v>
      </c>
      <c r="G18" s="1402" t="e">
        <f t="shared" ref="G18" si="66">(G17/F17)-1</f>
        <v>#DIV/0!</v>
      </c>
      <c r="H18" s="1402" t="e">
        <f t="shared" ref="H18" si="67">(H17/G17)-1</f>
        <v>#DIV/0!</v>
      </c>
      <c r="I18" s="1402" t="e">
        <f t="shared" ref="I18" si="68">(I17/H17)-1</f>
        <v>#DIV/0!</v>
      </c>
      <c r="J18" s="1402" t="e">
        <f t="shared" ref="J18" si="69">(J17/I17)-1</f>
        <v>#DIV/0!</v>
      </c>
      <c r="K18" s="1402" t="e">
        <f t="shared" ref="K18" si="70">(K17/J17)-1</f>
        <v>#DIV/0!</v>
      </c>
      <c r="L18" s="1402"/>
      <c r="M18" s="1402"/>
      <c r="N18" s="1402"/>
      <c r="O18" s="1402"/>
      <c r="P18" s="1402">
        <f t="shared" ref="P18" si="71">(P17/O17)-1</f>
        <v>2.5418478963355313</v>
      </c>
      <c r="Q18" s="1402">
        <f t="shared" ref="Q18" si="72">(Q17/P17)-1</f>
        <v>0.12090555307713124</v>
      </c>
      <c r="R18" s="1402">
        <f t="shared" ref="R18" si="73">(R17/Q17)-1</f>
        <v>0.11346399777802629</v>
      </c>
      <c r="S18" s="1402">
        <f t="shared" ref="S18:T18" si="74">(S17/R17)-1</f>
        <v>0.12197394772549774</v>
      </c>
      <c r="T18" s="1402">
        <f t="shared" si="74"/>
        <v>0.11576551702035465</v>
      </c>
      <c r="U18" s="1402">
        <v>0.06</v>
      </c>
      <c r="V18" s="1402">
        <f>U18</f>
        <v>0.06</v>
      </c>
      <c r="W18" s="1402">
        <f t="shared" ref="W18:AD18" si="75">V18</f>
        <v>0.06</v>
      </c>
      <c r="X18" s="1402">
        <f t="shared" si="75"/>
        <v>0.06</v>
      </c>
      <c r="Y18" s="1402">
        <f t="shared" si="75"/>
        <v>0.06</v>
      </c>
      <c r="Z18" s="1402">
        <f t="shared" si="75"/>
        <v>0.06</v>
      </c>
      <c r="AA18" s="1402">
        <f t="shared" si="75"/>
        <v>0.06</v>
      </c>
      <c r="AB18" s="1402">
        <f t="shared" si="75"/>
        <v>0.06</v>
      </c>
      <c r="AC18" s="1402">
        <f t="shared" si="75"/>
        <v>0.06</v>
      </c>
      <c r="AD18" s="1402">
        <f t="shared" si="75"/>
        <v>0.06</v>
      </c>
      <c r="AE18" s="1681"/>
      <c r="AF18" s="1682"/>
    </row>
    <row r="19" spans="1:37" s="1403" customFormat="1" thickBot="1">
      <c r="A19" s="1008"/>
      <c r="B19" s="1008"/>
      <c r="C19" s="1008"/>
      <c r="D19" s="1401" t="s">
        <v>1135</v>
      </c>
      <c r="E19" s="1402">
        <f>E17/E22</f>
        <v>0</v>
      </c>
      <c r="F19" s="1402">
        <f t="shared" ref="F19:R19" si="76">F17/F22</f>
        <v>0</v>
      </c>
      <c r="G19" s="1402">
        <f t="shared" si="76"/>
        <v>0</v>
      </c>
      <c r="H19" s="1402">
        <f t="shared" si="76"/>
        <v>0</v>
      </c>
      <c r="I19" s="1402">
        <f t="shared" si="76"/>
        <v>0</v>
      </c>
      <c r="J19" s="1402">
        <f t="shared" si="76"/>
        <v>0</v>
      </c>
      <c r="K19" s="1402">
        <f t="shared" si="76"/>
        <v>0</v>
      </c>
      <c r="L19" s="1402"/>
      <c r="M19" s="1402"/>
      <c r="N19" s="1402"/>
      <c r="O19" s="1402">
        <f t="shared" si="76"/>
        <v>9.3102409116101945E-2</v>
      </c>
      <c r="P19" s="1402">
        <f>P17/P22</f>
        <v>0.24061915874689807</v>
      </c>
      <c r="Q19" s="1402">
        <f t="shared" si="76"/>
        <v>0.24673682081879361</v>
      </c>
      <c r="R19" s="1402">
        <f t="shared" si="76"/>
        <v>0.25269338047380435</v>
      </c>
      <c r="S19" s="1402">
        <f>S17/S22</f>
        <v>0.26108345043281922</v>
      </c>
      <c r="T19" s="1402">
        <f t="shared" ref="T19:AD19" si="77">T17/T22</f>
        <v>0.26966902298693574</v>
      </c>
      <c r="U19" s="1402">
        <f t="shared" si="77"/>
        <v>0.27669688455288405</v>
      </c>
      <c r="V19" s="1402">
        <f t="shared" si="77"/>
        <v>0.28334292298054103</v>
      </c>
      <c r="W19" s="1402">
        <f t="shared" si="77"/>
        <v>0.29032299147689766</v>
      </c>
      <c r="X19" s="1402">
        <f t="shared" si="77"/>
        <v>0.29634801434225555</v>
      </c>
      <c r="Y19" s="1402">
        <f t="shared" si="77"/>
        <v>0.30325239160491102</v>
      </c>
      <c r="Z19" s="1402">
        <f t="shared" si="77"/>
        <v>0.30989506506437592</v>
      </c>
      <c r="AA19" s="1402">
        <f t="shared" si="77"/>
        <v>0.31637048796150924</v>
      </c>
      <c r="AB19" s="1402">
        <f t="shared" si="77"/>
        <v>0.32273899291548969</v>
      </c>
      <c r="AC19" s="1402">
        <f t="shared" si="77"/>
        <v>0.32899141644362201</v>
      </c>
      <c r="AD19" s="1402">
        <f t="shared" si="77"/>
        <v>0.33511939897291954</v>
      </c>
      <c r="AE19" s="1681"/>
      <c r="AF19" s="1682"/>
    </row>
    <row r="20" spans="1:37" s="309" customFormat="1" ht="16" thickBot="1">
      <c r="A20" s="178"/>
      <c r="B20" s="178"/>
      <c r="C20" s="178"/>
      <c r="D20" s="845" t="s">
        <v>973</v>
      </c>
      <c r="E20" s="310">
        <f t="shared" ref="E20:N20" si="78">E5+E9+E13</f>
        <v>2576513</v>
      </c>
      <c r="F20" s="310">
        <f t="shared" si="78"/>
        <v>2544558</v>
      </c>
      <c r="G20" s="310">
        <f t="shared" si="78"/>
        <v>2608894</v>
      </c>
      <c r="H20" s="310">
        <f t="shared" si="78"/>
        <v>3002476</v>
      </c>
      <c r="I20" s="310">
        <f t="shared" si="78"/>
        <v>3301288</v>
      </c>
      <c r="J20" s="310">
        <f t="shared" si="78"/>
        <v>3423219</v>
      </c>
      <c r="K20" s="310">
        <f t="shared" si="78"/>
        <v>3657196</v>
      </c>
      <c r="L20" s="842">
        <f t="shared" si="78"/>
        <v>4647951</v>
      </c>
      <c r="M20" s="842">
        <f t="shared" si="78"/>
        <v>4701224</v>
      </c>
      <c r="N20" s="842">
        <f t="shared" si="78"/>
        <v>5039134</v>
      </c>
      <c r="O20" s="842">
        <f t="shared" ref="O20:AD20" si="79">O5+O9+O13</f>
        <v>5594449</v>
      </c>
      <c r="P20" s="842">
        <f t="shared" si="79"/>
        <v>6419767.9201787906</v>
      </c>
      <c r="Q20" s="842">
        <f t="shared" si="79"/>
        <v>6961000.9237339543</v>
      </c>
      <c r="R20" s="842">
        <f t="shared" si="79"/>
        <v>7508273.0887551848</v>
      </c>
      <c r="S20" s="842">
        <f t="shared" si="79"/>
        <v>8061835.2564248936</v>
      </c>
      <c r="T20" s="842">
        <f t="shared" si="79"/>
        <v>8607548.2213369422</v>
      </c>
      <c r="U20" s="842">
        <f t="shared" si="79"/>
        <v>9177725.900078211</v>
      </c>
      <c r="V20" s="842">
        <f t="shared" si="79"/>
        <v>9795616.5311448146</v>
      </c>
      <c r="W20" s="842">
        <f t="shared" si="79"/>
        <v>10469874.259593802</v>
      </c>
      <c r="X20" s="842">
        <f t="shared" si="79"/>
        <v>11249913.983578332</v>
      </c>
      <c r="Y20" s="842">
        <f t="shared" si="79"/>
        <v>12036443.876109764</v>
      </c>
      <c r="Z20" s="842">
        <f t="shared" si="79"/>
        <v>12883711.254915319</v>
      </c>
      <c r="AA20" s="842">
        <f t="shared" si="79"/>
        <v>13801768.980028495</v>
      </c>
      <c r="AB20" s="842">
        <f t="shared" si="79"/>
        <v>14797350.225217914</v>
      </c>
      <c r="AC20" s="842">
        <f t="shared" si="79"/>
        <v>15877869.70706938</v>
      </c>
      <c r="AD20" s="842">
        <f t="shared" si="79"/>
        <v>17051485.641024556</v>
      </c>
      <c r="AE20" s="846">
        <f>(O20/L20)^(1/4)-1</f>
        <v>4.7427433689748444E-2</v>
      </c>
      <c r="AF20" s="847">
        <f>(T20/P20)^(1/4)-1</f>
        <v>7.6068786563680213E-2</v>
      </c>
    </row>
    <row r="21" spans="1:37" s="1403" customFormat="1" thickBot="1">
      <c r="A21" s="1008"/>
      <c r="B21" s="1008"/>
      <c r="C21" s="1008"/>
      <c r="D21" s="1401" t="s">
        <v>974</v>
      </c>
      <c r="E21" s="1402" t="e">
        <f t="shared" ref="E21:N21" si="80">(E20/D20)-1</f>
        <v>#VALUE!</v>
      </c>
      <c r="F21" s="1402">
        <f t="shared" si="80"/>
        <v>-1.2402421412195497E-2</v>
      </c>
      <c r="G21" s="1402">
        <f t="shared" si="80"/>
        <v>2.528376244518693E-2</v>
      </c>
      <c r="H21" s="1402">
        <f t="shared" si="80"/>
        <v>0.15086162948743786</v>
      </c>
      <c r="I21" s="1402">
        <f t="shared" si="80"/>
        <v>9.9521861290481572E-2</v>
      </c>
      <c r="J21" s="1402">
        <f t="shared" si="80"/>
        <v>3.6934372281364203E-2</v>
      </c>
      <c r="K21" s="1402">
        <f t="shared" si="80"/>
        <v>6.8349994551911486E-2</v>
      </c>
      <c r="L21" s="1402">
        <f t="shared" si="80"/>
        <v>0.27090563371500997</v>
      </c>
      <c r="M21" s="1402">
        <f t="shared" si="80"/>
        <v>1.1461609642614556E-2</v>
      </c>
      <c r="N21" s="1402">
        <f t="shared" si="80"/>
        <v>7.1877026068104755E-2</v>
      </c>
      <c r="O21" s="1402">
        <f>(O20/N20)-1</f>
        <v>0.11020048286074546</v>
      </c>
      <c r="P21" s="1402">
        <f t="shared" ref="P21:AD21" si="81">(P20/O20)-1</f>
        <v>0.14752461237537262</v>
      </c>
      <c r="Q21" s="1402">
        <f t="shared" si="81"/>
        <v>8.4307253826722439E-2</v>
      </c>
      <c r="R21" s="1402">
        <f t="shared" si="81"/>
        <v>7.8619751816908057E-2</v>
      </c>
      <c r="S21" s="1402">
        <f t="shared" si="81"/>
        <v>7.3726962395488149E-2</v>
      </c>
      <c r="T21" s="1402">
        <f t="shared" si="81"/>
        <v>6.7690910016691586E-2</v>
      </c>
      <c r="U21" s="1402">
        <f t="shared" si="81"/>
        <v>6.624158983250017E-2</v>
      </c>
      <c r="V21" s="1402">
        <f t="shared" si="81"/>
        <v>6.7325025588456322E-2</v>
      </c>
      <c r="W21" s="1402">
        <f t="shared" si="81"/>
        <v>6.8832597346497604E-2</v>
      </c>
      <c r="X21" s="1402">
        <f t="shared" si="81"/>
        <v>7.4503256165637355E-2</v>
      </c>
      <c r="Y21" s="1402">
        <f t="shared" si="81"/>
        <v>6.9914302783073978E-2</v>
      </c>
      <c r="Z21" s="1402">
        <f t="shared" si="81"/>
        <v>7.0391835622416021E-2</v>
      </c>
      <c r="AA21" s="1402">
        <f t="shared" si="81"/>
        <v>7.1257241562513673E-2</v>
      </c>
      <c r="AB21" s="1402">
        <f t="shared" si="81"/>
        <v>7.2134321812663993E-2</v>
      </c>
      <c r="AC21" s="1402">
        <f t="shared" si="81"/>
        <v>7.3021146719229879E-2</v>
      </c>
      <c r="AD21" s="1402">
        <f t="shared" si="81"/>
        <v>7.3915201195576152E-2</v>
      </c>
      <c r="AE21" s="1681"/>
      <c r="AF21" s="1682"/>
    </row>
    <row r="22" spans="1:37" s="20" customFormat="1" ht="16" thickBot="1">
      <c r="A22" s="4"/>
      <c r="B22" s="4"/>
      <c r="C22" s="4"/>
      <c r="D22" s="172" t="s">
        <v>972</v>
      </c>
      <c r="E22" s="174">
        <f>E5+E9+E13+E17</f>
        <v>2576513</v>
      </c>
      <c r="F22" s="174">
        <f t="shared" ref="F22:AD22" si="82">F5+F9+F13+F17</f>
        <v>2544558</v>
      </c>
      <c r="G22" s="174">
        <f t="shared" si="82"/>
        <v>2608894</v>
      </c>
      <c r="H22" s="174">
        <f t="shared" si="82"/>
        <v>3002476</v>
      </c>
      <c r="I22" s="174">
        <f t="shared" si="82"/>
        <v>3301288</v>
      </c>
      <c r="J22" s="174">
        <f t="shared" si="82"/>
        <v>3423219</v>
      </c>
      <c r="K22" s="174">
        <f t="shared" si="82"/>
        <v>3657196</v>
      </c>
      <c r="L22" s="843">
        <f>L5+L9+L13+L17</f>
        <v>4647951</v>
      </c>
      <c r="M22" s="843">
        <f t="shared" si="82"/>
        <v>4701224</v>
      </c>
      <c r="N22" s="1098">
        <f t="shared" si="82"/>
        <v>5039134</v>
      </c>
      <c r="O22" s="843">
        <f t="shared" si="82"/>
        <v>6168777</v>
      </c>
      <c r="P22" s="843">
        <f t="shared" si="82"/>
        <v>8453950.3387853839</v>
      </c>
      <c r="Q22" s="843">
        <f t="shared" si="82"/>
        <v>9241127.2927219532</v>
      </c>
      <c r="R22" s="843">
        <f t="shared" si="82"/>
        <v>10047111.711007658</v>
      </c>
      <c r="S22" s="843">
        <f t="shared" si="82"/>
        <v>10910346.048071465</v>
      </c>
      <c r="T22" s="843">
        <f t="shared" si="82"/>
        <v>11785818.337516539</v>
      </c>
      <c r="U22" s="843">
        <f t="shared" si="82"/>
        <v>12688630.401384242</v>
      </c>
      <c r="V22" s="843">
        <f t="shared" si="82"/>
        <v>13668485.033154622</v>
      </c>
      <c r="W22" s="843">
        <f t="shared" si="82"/>
        <v>14753013.179027023</v>
      </c>
      <c r="X22" s="843">
        <f t="shared" si="82"/>
        <v>15987894.886791775</v>
      </c>
      <c r="Y22" s="843">
        <f t="shared" si="82"/>
        <v>17275185.061395328</v>
      </c>
      <c r="Z22" s="843">
        <f t="shared" si="82"/>
        <v>18669206.091269538</v>
      </c>
      <c r="AA22" s="843">
        <f t="shared" si="82"/>
        <v>20188960.156025864</v>
      </c>
      <c r="AB22" s="843">
        <f t="shared" si="82"/>
        <v>21848814.667358316</v>
      </c>
      <c r="AC22" s="843">
        <f t="shared" si="82"/>
        <v>23662692.39495552</v>
      </c>
      <c r="AD22" s="843">
        <f t="shared" si="82"/>
        <v>25645936.450370364</v>
      </c>
      <c r="AE22" s="846">
        <f>(O22/L22)^(1/4)-1</f>
        <v>7.3332753790262828E-2</v>
      </c>
      <c r="AF22" s="847">
        <f>(T22/P22)^(1/4)-1</f>
        <v>8.6613290422170808E-2</v>
      </c>
    </row>
    <row r="23" spans="1:37" s="1403" customFormat="1" ht="14">
      <c r="A23" s="1008"/>
      <c r="B23" s="1008"/>
      <c r="C23" s="1008"/>
      <c r="D23" s="1401" t="s">
        <v>974</v>
      </c>
      <c r="E23" s="1402"/>
      <c r="F23" s="1402"/>
      <c r="G23" s="1402"/>
      <c r="H23" s="1402"/>
      <c r="I23" s="1402"/>
      <c r="J23" s="1402"/>
      <c r="K23" s="1402"/>
      <c r="L23" s="1402">
        <f t="shared" ref="L23" si="83">(L22/K22)-1</f>
        <v>0.27090563371500997</v>
      </c>
      <c r="M23" s="1402">
        <f t="shared" ref="M23" si="84">(M22/L22)-1</f>
        <v>1.1461609642614556E-2</v>
      </c>
      <c r="N23" s="1402">
        <f t="shared" ref="N23" si="85">(N22/M22)-1</f>
        <v>7.1877026068104755E-2</v>
      </c>
      <c r="O23" s="1402">
        <f>(O22/N22)-1</f>
        <v>0.22417403466548014</v>
      </c>
      <c r="P23" s="1402">
        <f t="shared" ref="P23:AD23" si="86">(P22/O22)-1</f>
        <v>0.37044187831483999</v>
      </c>
      <c r="Q23" s="1402">
        <f t="shared" si="86"/>
        <v>9.3113505803922969E-2</v>
      </c>
      <c r="R23" s="1402">
        <f t="shared" si="86"/>
        <v>8.7217110289182553E-2</v>
      </c>
      <c r="S23" s="1402">
        <f t="shared" si="86"/>
        <v>8.5918656216198208E-2</v>
      </c>
      <c r="T23" s="1402">
        <f t="shared" si="86"/>
        <v>8.0242394291409669E-2</v>
      </c>
      <c r="U23" s="1402">
        <f t="shared" si="86"/>
        <v>7.6601559434687605E-2</v>
      </c>
      <c r="V23" s="1402">
        <f t="shared" si="86"/>
        <v>7.7223041476839338E-2</v>
      </c>
      <c r="W23" s="1402">
        <f t="shared" si="86"/>
        <v>7.9345161021264765E-2</v>
      </c>
      <c r="X23" s="1402">
        <f t="shared" si="86"/>
        <v>8.37036944778351E-2</v>
      </c>
      <c r="Y23" s="1402">
        <f t="shared" si="86"/>
        <v>8.0516552286507448E-2</v>
      </c>
      <c r="Z23" s="1402">
        <f t="shared" si="86"/>
        <v>8.0694998341257262E-2</v>
      </c>
      <c r="AA23" s="1402">
        <f t="shared" si="86"/>
        <v>8.1404322033116649E-2</v>
      </c>
      <c r="AB23" s="1402">
        <f t="shared" si="86"/>
        <v>8.2215948642457848E-2</v>
      </c>
      <c r="AC23" s="1402">
        <f t="shared" si="86"/>
        <v>8.3019502669272827E-2</v>
      </c>
      <c r="AD23" s="1402">
        <f t="shared" si="86"/>
        <v>8.381311907843747E-2</v>
      </c>
      <c r="AE23" s="1681"/>
      <c r="AF23" s="1683"/>
    </row>
    <row r="24" spans="1:37" s="1689" customFormat="1" thickBot="1">
      <c r="A24" s="1684"/>
      <c r="B24" s="1684"/>
      <c r="C24" s="1684"/>
      <c r="D24" s="1685" t="s">
        <v>391</v>
      </c>
      <c r="E24" s="1686">
        <f>E22-'2a. Income Statement'!E6</f>
        <v>0</v>
      </c>
      <c r="F24" s="1686">
        <f>F22-'2a. Income Statement'!F6</f>
        <v>0</v>
      </c>
      <c r="G24" s="1686">
        <f>G22-'2a. Income Statement'!G6</f>
        <v>0</v>
      </c>
      <c r="H24" s="1686">
        <f>H22-'2a. Income Statement'!H6</f>
        <v>0</v>
      </c>
      <c r="I24" s="1686">
        <f>I22-'2a. Income Statement'!I6</f>
        <v>0</v>
      </c>
      <c r="J24" s="1686">
        <f>J22-'2a. Income Statement'!J6</f>
        <v>0</v>
      </c>
      <c r="K24" s="1686">
        <f>K22-'2a. Income Statement'!K6</f>
        <v>0</v>
      </c>
      <c r="L24" s="1686">
        <f>L22-'2a. Income Statement'!L6</f>
        <v>0</v>
      </c>
      <c r="M24" s="1686">
        <f>M22-'2a. Income Statement'!M6</f>
        <v>0</v>
      </c>
      <c r="N24" s="1686">
        <f>N22-'2a. Income Statement'!N6</f>
        <v>0</v>
      </c>
      <c r="O24" s="1686">
        <f>O22-'2a. Income Statement'!O6</f>
        <v>0</v>
      </c>
      <c r="P24" s="1686">
        <f>P22-'2a. Income Statement'!P6</f>
        <v>0</v>
      </c>
      <c r="Q24" s="1686">
        <f>Q22-'2a. Income Statement'!Q6</f>
        <v>0</v>
      </c>
      <c r="R24" s="1686">
        <f>R22-'2a. Income Statement'!R6</f>
        <v>0</v>
      </c>
      <c r="S24" s="1686">
        <f>S22-'2a. Income Statement'!S6</f>
        <v>0</v>
      </c>
      <c r="T24" s="1686">
        <f>T22-'2a. Income Statement'!T6</f>
        <v>0</v>
      </c>
      <c r="U24" s="1686">
        <f>U22-'2a. Income Statement'!U6</f>
        <v>0</v>
      </c>
      <c r="V24" s="1686">
        <f>V22-'2a. Income Statement'!V6</f>
        <v>0</v>
      </c>
      <c r="W24" s="1686">
        <f>W22-'2a. Income Statement'!W6</f>
        <v>0</v>
      </c>
      <c r="X24" s="1686">
        <f>X22-'2a. Income Statement'!X6</f>
        <v>0</v>
      </c>
      <c r="Y24" s="1686">
        <f>Y22-'2a. Income Statement'!Y6</f>
        <v>0</v>
      </c>
      <c r="Z24" s="1686">
        <f>Z22-'2a. Income Statement'!Z6</f>
        <v>0</v>
      </c>
      <c r="AA24" s="1686">
        <f>AA22-'2a. Income Statement'!AA6</f>
        <v>0</v>
      </c>
      <c r="AB24" s="1686">
        <f>AB22-'2a. Income Statement'!AB6</f>
        <v>0</v>
      </c>
      <c r="AC24" s="1686">
        <f>AC22-'2a. Income Statement'!AC6</f>
        <v>0</v>
      </c>
      <c r="AD24" s="1686">
        <f>AD22-'2a. Income Statement'!AD6</f>
        <v>0</v>
      </c>
      <c r="AE24" s="1687"/>
      <c r="AF24" s="1688"/>
    </row>
    <row r="25" spans="1:37">
      <c r="P25" s="1632"/>
      <c r="AK25" s="50" t="s">
        <v>1658</v>
      </c>
    </row>
    <row r="27" spans="1:37" ht="16" thickBot="1"/>
    <row r="28" spans="1:37" ht="16" thickBot="1">
      <c r="A28" s="1660"/>
      <c r="B28" s="1660"/>
      <c r="C28" s="1660"/>
      <c r="D28" s="683" t="s">
        <v>1578</v>
      </c>
      <c r="E28" s="403" t="s">
        <v>216</v>
      </c>
      <c r="F28" s="403" t="s">
        <v>217</v>
      </c>
      <c r="G28" s="403" t="s">
        <v>218</v>
      </c>
      <c r="H28" s="403" t="s">
        <v>28</v>
      </c>
      <c r="I28" s="403" t="s">
        <v>17</v>
      </c>
      <c r="J28" s="403" t="s">
        <v>18</v>
      </c>
      <c r="K28" s="403" t="s">
        <v>19</v>
      </c>
      <c r="L28" s="403" t="s">
        <v>20</v>
      </c>
      <c r="M28" s="403" t="s">
        <v>21</v>
      </c>
      <c r="N28" s="403" t="s">
        <v>22</v>
      </c>
      <c r="O28" s="403" t="s">
        <v>23</v>
      </c>
      <c r="P28" s="404" t="s">
        <v>24</v>
      </c>
      <c r="Q28" s="404" t="s">
        <v>25</v>
      </c>
      <c r="R28" s="404" t="s">
        <v>26</v>
      </c>
      <c r="S28" s="404" t="s">
        <v>27</v>
      </c>
      <c r="T28" s="404" t="s">
        <v>712</v>
      </c>
      <c r="U28" s="404" t="s">
        <v>713</v>
      </c>
      <c r="V28" s="404" t="s">
        <v>714</v>
      </c>
      <c r="W28" s="404" t="s">
        <v>715</v>
      </c>
      <c r="X28" s="404" t="s">
        <v>716</v>
      </c>
      <c r="Y28" s="404" t="s">
        <v>717</v>
      </c>
      <c r="Z28" s="404" t="s">
        <v>718</v>
      </c>
      <c r="AA28" s="404" t="s">
        <v>719</v>
      </c>
      <c r="AB28" s="404" t="s">
        <v>720</v>
      </c>
      <c r="AC28" s="404" t="s">
        <v>721</v>
      </c>
      <c r="AD28" s="404" t="s">
        <v>722</v>
      </c>
      <c r="AE28" s="1384" t="s">
        <v>1445</v>
      </c>
      <c r="AF28" s="1385" t="s">
        <v>1446</v>
      </c>
      <c r="AG28" s="1386"/>
      <c r="AH28" s="1386"/>
    </row>
    <row r="29" spans="1:37" ht="20">
      <c r="D29" s="1228" t="s">
        <v>506</v>
      </c>
      <c r="E29" s="190">
        <v>102518</v>
      </c>
      <c r="F29" s="190">
        <v>77939</v>
      </c>
      <c r="G29" s="190">
        <v>105682</v>
      </c>
      <c r="H29" s="1390">
        <v>164345</v>
      </c>
      <c r="I29" s="1390">
        <v>165451</v>
      </c>
      <c r="J29" s="1390">
        <v>211060</v>
      </c>
      <c r="K29" s="1390">
        <f>171761+13399</f>
        <v>185160</v>
      </c>
      <c r="L29" s="1390">
        <f>318941+29538</f>
        <v>348479</v>
      </c>
      <c r="M29" s="1390">
        <f>214914+23343</f>
        <v>238257</v>
      </c>
      <c r="N29" s="1390">
        <f>380931+44870</f>
        <v>425801</v>
      </c>
      <c r="O29" s="1390">
        <f>452504+46574</f>
        <v>499078</v>
      </c>
      <c r="P29" s="1390">
        <f>'3a. InShore Fishing Div.'!P9</f>
        <v>669548.38229873881</v>
      </c>
      <c r="Q29" s="1390">
        <f>'3a. InShore Fishing Div.'!Q9</f>
        <v>736653.62825501838</v>
      </c>
      <c r="R29" s="1390">
        <f>'3a. InShore Fishing Div.'!R9</f>
        <v>754545.05385980697</v>
      </c>
      <c r="S29" s="1390">
        <f>'3a. InShore Fishing Div.'!S9</f>
        <v>815386.22337148292</v>
      </c>
      <c r="T29" s="1390">
        <f>'3a. InShore Fishing Div.'!T9</f>
        <v>873589.9605153976</v>
      </c>
      <c r="U29" s="1390">
        <f>'3a. InShore Fishing Div.'!U9</f>
        <v>931014.84029714961</v>
      </c>
      <c r="V29" s="1390">
        <f>'3a. InShore Fishing Div.'!V9</f>
        <v>992661.3386069542</v>
      </c>
      <c r="W29" s="1390">
        <f>'3a. InShore Fishing Div.'!W9</f>
        <v>1059089.3352061089</v>
      </c>
      <c r="X29" s="1390">
        <f>'3a. InShore Fishing Div.'!X9</f>
        <v>1130287.0871480564</v>
      </c>
      <c r="Y29" s="1390">
        <f>'3a. InShore Fishing Div.'!Y9</f>
        <v>1206647.5714399016</v>
      </c>
      <c r="Z29" s="1390">
        <f>'3a. InShore Fishing Div.'!Z9</f>
        <v>1288395.5427027019</v>
      </c>
      <c r="AA29" s="1390">
        <f>'3a. InShore Fishing Div.'!AA9</f>
        <v>1376197.2229573918</v>
      </c>
      <c r="AB29" s="1390">
        <f>'3a. InShore Fishing Div.'!AB9</f>
        <v>1470555.51848929</v>
      </c>
      <c r="AC29" s="1390">
        <f>'3a. InShore Fishing Div.'!AC9</f>
        <v>1572020.4069983449</v>
      </c>
      <c r="AD29" s="1390">
        <f>'3a. InShore Fishing Div.'!AD9</f>
        <v>1681193.8007338229</v>
      </c>
      <c r="AE29" s="846">
        <f>(O29/L29)^(1/4)-1</f>
        <v>9.3951211430242543E-2</v>
      </c>
      <c r="AF29" s="847">
        <f>(T29/P29)^(1/4)-1</f>
        <v>6.8763017168073315E-2</v>
      </c>
      <c r="AG29" s="246"/>
      <c r="AH29" s="246"/>
      <c r="AK29" s="1210" t="s">
        <v>1780</v>
      </c>
    </row>
    <row r="30" spans="1:37" s="1403" customFormat="1" ht="14">
      <c r="A30" s="1008"/>
      <c r="B30" s="1008"/>
      <c r="C30" s="1008"/>
      <c r="D30" s="1401" t="s">
        <v>511</v>
      </c>
      <c r="E30" s="1402"/>
      <c r="F30" s="1402">
        <f>(F29/E29)-1</f>
        <v>-0.23975301898203238</v>
      </c>
      <c r="G30" s="1402">
        <f t="shared" ref="G30" si="87">(G29/F29)-1</f>
        <v>0.35595786448376288</v>
      </c>
      <c r="H30" s="1402">
        <f t="shared" ref="H30" si="88">(H29/G29)-1</f>
        <v>0.5550897976949718</v>
      </c>
      <c r="I30" s="1402">
        <f t="shared" ref="I30" si="89">(I29/H29)-1</f>
        <v>6.7297453527639384E-3</v>
      </c>
      <c r="J30" s="1402">
        <f t="shared" ref="J30" si="90">(J29/I29)-1</f>
        <v>0.27566469830946927</v>
      </c>
      <c r="K30" s="1402">
        <f t="shared" ref="K30" si="91">(K29/J29)-1</f>
        <v>-0.12271392021226191</v>
      </c>
      <c r="L30" s="1402">
        <f t="shared" ref="L30" si="92">(L29/K29)-1</f>
        <v>0.88204255778785923</v>
      </c>
      <c r="M30" s="1402">
        <f t="shared" ref="M30" si="93">(M29/L29)-1</f>
        <v>-0.31629452563856075</v>
      </c>
      <c r="N30" s="1402">
        <f t="shared" ref="N30" si="94">(N29/M29)-1</f>
        <v>0.78715001028301379</v>
      </c>
      <c r="O30" s="1402">
        <f t="shared" ref="O30" si="95">(O29/N29)-1</f>
        <v>0.17209212754314818</v>
      </c>
      <c r="P30" s="1402">
        <f t="shared" ref="P30" si="96">(P29/O29)-1</f>
        <v>0.34157062082227396</v>
      </c>
      <c r="Q30" s="1402">
        <f t="shared" ref="Q30" si="97">(Q29/P29)-1</f>
        <v>0.10022464056427016</v>
      </c>
      <c r="R30" s="1402">
        <f t="shared" ref="R30" si="98">(R29/Q29)-1</f>
        <v>2.4287432951588972E-2</v>
      </c>
      <c r="S30" s="1402">
        <f t="shared" ref="S30" si="99">(S29/R29)-1</f>
        <v>8.0632918074869719E-2</v>
      </c>
      <c r="T30" s="1402">
        <f t="shared" ref="T30" si="100">(T29/S29)-1</f>
        <v>7.1381801011123569E-2</v>
      </c>
      <c r="U30" s="1402">
        <f t="shared" ref="U30" si="101">(U29/T29)-1</f>
        <v>6.5734363233607596E-2</v>
      </c>
      <c r="V30" s="1402">
        <f t="shared" ref="V30" si="102">(V29/U29)-1</f>
        <v>6.6214302545520187E-2</v>
      </c>
      <c r="W30" s="1402">
        <f t="shared" ref="W30" si="103">(W29/V29)-1</f>
        <v>6.6919093164619525E-2</v>
      </c>
      <c r="X30" s="1402">
        <f t="shared" ref="X30" si="104">(X29/W29)-1</f>
        <v>6.7225445083054947E-2</v>
      </c>
      <c r="Y30" s="1402">
        <f t="shared" ref="Y30" si="105">(Y29/X29)-1</f>
        <v>6.7558485945830027E-2</v>
      </c>
      <c r="Z30" s="1402">
        <f t="shared" ref="Z30" si="106">(Z29/Y29)-1</f>
        <v>6.7748009607519366E-2</v>
      </c>
      <c r="AA30" s="1402">
        <f t="shared" ref="AA30" si="107">(AA29/Z29)-1</f>
        <v>6.814807824505964E-2</v>
      </c>
      <c r="AB30" s="1402">
        <f t="shared" ref="AB30" si="108">(AB29/AA29)-1</f>
        <v>6.8564515287369954E-2</v>
      </c>
      <c r="AC30" s="1402">
        <f t="shared" ref="AC30" si="109">(AC29/AB29)-1</f>
        <v>6.8997659206563311E-2</v>
      </c>
      <c r="AD30" s="1402">
        <f t="shared" ref="AD30" si="110">(AD29/AC29)-1</f>
        <v>6.9447822209850463E-2</v>
      </c>
      <c r="AE30" s="1690"/>
      <c r="AF30" s="1691"/>
      <c r="AG30" s="225"/>
      <c r="AH30" s="225"/>
    </row>
    <row r="31" spans="1:37" s="1403" customFormat="1" ht="14">
      <c r="A31" s="1008"/>
      <c r="B31" s="1008"/>
      <c r="C31" s="1008"/>
      <c r="D31" s="1401" t="s">
        <v>1137</v>
      </c>
      <c r="E31" s="1402">
        <f t="shared" ref="E31:P31" si="111">E29/E51</f>
        <v>0.56742605384342892</v>
      </c>
      <c r="F31" s="1402">
        <f t="shared" si="111"/>
        <v>0.42514114277921722</v>
      </c>
      <c r="G31" s="1402">
        <f t="shared" si="111"/>
        <v>0.4467771187479655</v>
      </c>
      <c r="H31" s="1402">
        <f t="shared" si="111"/>
        <v>0.51797443300008827</v>
      </c>
      <c r="I31" s="1402">
        <f t="shared" si="111"/>
        <v>0.40268846777294787</v>
      </c>
      <c r="J31" s="1402">
        <f t="shared" si="111"/>
        <v>0.43564773341809881</v>
      </c>
      <c r="K31" s="1402">
        <f t="shared" si="111"/>
        <v>0.36115461810181221</v>
      </c>
      <c r="L31" s="1402">
        <f t="shared" si="111"/>
        <v>0.49010794275869346</v>
      </c>
      <c r="M31" s="1402">
        <f>M29/M51</f>
        <v>0.32042783424045707</v>
      </c>
      <c r="N31" s="1402">
        <f t="shared" si="111"/>
        <v>0.48410352378332039</v>
      </c>
      <c r="O31" s="1402">
        <f t="shared" si="111"/>
        <v>0.49548326888424482</v>
      </c>
      <c r="P31" s="1402">
        <f t="shared" si="111"/>
        <v>0.40484370962615585</v>
      </c>
      <c r="Q31" s="1402">
        <f t="shared" ref="Q31:AD31" si="112">Q29/Q51</f>
        <v>0.40896064278094318</v>
      </c>
      <c r="R31" s="1402">
        <f t="shared" si="112"/>
        <v>0.39441238578090504</v>
      </c>
      <c r="S31" s="1402">
        <f t="shared" si="112"/>
        <v>0.39058946996335281</v>
      </c>
      <c r="T31" s="1402">
        <f t="shared" si="112"/>
        <v>0.38538307131967819</v>
      </c>
      <c r="U31" s="1402">
        <f t="shared" si="112"/>
        <v>0.38091901860447347</v>
      </c>
      <c r="V31" s="1402">
        <f t="shared" si="112"/>
        <v>0.37537238743303702</v>
      </c>
      <c r="W31" s="1402">
        <f t="shared" si="112"/>
        <v>0.36934759037080322</v>
      </c>
      <c r="X31" s="1402">
        <f t="shared" si="112"/>
        <v>0.36226531599097217</v>
      </c>
      <c r="Y31" s="1402">
        <f t="shared" si="112"/>
        <v>0.35631313787467472</v>
      </c>
      <c r="Z31" s="1402">
        <f t="shared" si="112"/>
        <v>0.3505325234746115</v>
      </c>
      <c r="AA31" s="1402">
        <f t="shared" si="112"/>
        <v>0.34479602621100136</v>
      </c>
      <c r="AB31" s="1402">
        <f t="shared" si="112"/>
        <v>0.3390625535685039</v>
      </c>
      <c r="AC31" s="1402">
        <f t="shared" si="112"/>
        <v>0.33334472288444239</v>
      </c>
      <c r="AD31" s="1402">
        <f t="shared" si="112"/>
        <v>0.32765489476444548</v>
      </c>
      <c r="AE31" s="1690"/>
      <c r="AF31" s="1691"/>
      <c r="AG31" s="225"/>
      <c r="AH31" s="225"/>
    </row>
    <row r="32" spans="1:37" s="1403" customFormat="1" ht="14">
      <c r="A32" s="1008"/>
      <c r="B32" s="1008"/>
      <c r="C32" s="1008"/>
      <c r="D32" s="1401" t="s">
        <v>1138</v>
      </c>
      <c r="E32" s="1402"/>
      <c r="F32" s="1402"/>
      <c r="G32" s="1402"/>
      <c r="H32" s="1402"/>
      <c r="I32" s="1402"/>
      <c r="J32" s="1402"/>
      <c r="K32" s="1402"/>
      <c r="L32" s="1402">
        <f>L29/L48</f>
        <v>0.49010794275869346</v>
      </c>
      <c r="M32" s="1402">
        <f>M29/M48</f>
        <v>0.32042783424045707</v>
      </c>
      <c r="N32" s="1402">
        <f t="shared" ref="N32:AD32" si="113">N29/N48</f>
        <v>0.48410352378332039</v>
      </c>
      <c r="O32" s="1402">
        <f t="shared" si="113"/>
        <v>0.60301120168961742</v>
      </c>
      <c r="P32" s="1402">
        <f t="shared" si="113"/>
        <v>0.64419358643185565</v>
      </c>
      <c r="Q32" s="1402">
        <f t="shared" si="113"/>
        <v>0.65424497417944771</v>
      </c>
      <c r="R32" s="1402">
        <f t="shared" si="113"/>
        <v>0.64816262965372073</v>
      </c>
      <c r="S32" s="1402">
        <f t="shared" si="113"/>
        <v>0.65373782576468575</v>
      </c>
      <c r="T32" s="1402">
        <f t="shared" si="113"/>
        <v>0.65722014508437954</v>
      </c>
      <c r="U32" s="1402">
        <f t="shared" si="113"/>
        <v>0.66104673222736066</v>
      </c>
      <c r="V32" s="1402">
        <f t="shared" si="113"/>
        <v>0.66092200613703922</v>
      </c>
      <c r="W32" s="1402">
        <f t="shared" si="113"/>
        <v>0.66033559921123208</v>
      </c>
      <c r="X32" s="1402">
        <f t="shared" si="113"/>
        <v>0.65628578543425986</v>
      </c>
      <c r="Y32" s="1402">
        <f t="shared" si="113"/>
        <v>0.65546086862990083</v>
      </c>
      <c r="Z32" s="1402">
        <f t="shared" si="113"/>
        <v>0.65446042211844546</v>
      </c>
      <c r="AA32" s="1402">
        <f t="shared" si="113"/>
        <v>0.65318904614812257</v>
      </c>
      <c r="AB32" s="1402">
        <f t="shared" si="113"/>
        <v>0.65165136971314397</v>
      </c>
      <c r="AC32" s="1402">
        <f t="shared" si="113"/>
        <v>0.64985369919241487</v>
      </c>
      <c r="AD32" s="1402">
        <f t="shared" si="113"/>
        <v>0.64780433660530679</v>
      </c>
      <c r="AE32" s="1690"/>
      <c r="AF32" s="1691"/>
      <c r="AG32" s="225"/>
      <c r="AH32" s="225"/>
    </row>
    <row r="33" spans="1:34" s="1403" customFormat="1" ht="14">
      <c r="A33" s="1008"/>
      <c r="B33" s="1008"/>
      <c r="C33" s="1008"/>
      <c r="D33" s="1401" t="s">
        <v>500</v>
      </c>
      <c r="E33" s="1402">
        <f>E29/E5</f>
        <v>6.971229855833079E-2</v>
      </c>
      <c r="F33" s="1402">
        <f t="shared" ref="F33:O33" si="114">F29/F5</f>
        <v>5.9091746534551376E-2</v>
      </c>
      <c r="G33" s="1402">
        <f t="shared" si="114"/>
        <v>7.5002785582534509E-2</v>
      </c>
      <c r="H33" s="1402">
        <f t="shared" si="114"/>
        <v>8.7430993381429373E-2</v>
      </c>
      <c r="I33" s="1402">
        <f t="shared" si="114"/>
        <v>7.7223445353715781E-2</v>
      </c>
      <c r="J33" s="1402">
        <f t="shared" si="114"/>
        <v>9.2567374057539481E-2</v>
      </c>
      <c r="K33" s="1402">
        <f t="shared" si="114"/>
        <v>8.1629558047097914E-2</v>
      </c>
      <c r="L33" s="1402">
        <f t="shared" si="114"/>
        <v>0.11880996045452577</v>
      </c>
      <c r="M33" s="1402">
        <f t="shared" si="114"/>
        <v>7.9390419448998356E-2</v>
      </c>
      <c r="N33" s="1402">
        <f t="shared" si="114"/>
        <v>0.12193708256048945</v>
      </c>
      <c r="O33" s="1402">
        <f t="shared" si="114"/>
        <v>0.13060988423596653</v>
      </c>
      <c r="P33" s="1402">
        <f>P29/P5</f>
        <v>0.14769883273771051</v>
      </c>
      <c r="Q33" s="1402">
        <f t="shared" ref="Q33:AD33" si="115">Q29/Q5</f>
        <v>0.14779076910379302</v>
      </c>
      <c r="R33" s="1402">
        <f t="shared" si="115"/>
        <v>0.13882495502667128</v>
      </c>
      <c r="S33" s="1402">
        <f t="shared" si="115"/>
        <v>0.13865193369090426</v>
      </c>
      <c r="T33" s="1402">
        <f t="shared" si="115"/>
        <v>0.13844346501011012</v>
      </c>
      <c r="U33" s="1402">
        <f t="shared" si="115"/>
        <v>0.13823872113328362</v>
      </c>
      <c r="V33" s="1402">
        <f t="shared" si="115"/>
        <v>0.1380199150613855</v>
      </c>
      <c r="W33" s="1402">
        <f t="shared" si="115"/>
        <v>0.13778014068665201</v>
      </c>
      <c r="X33" s="1402">
        <f t="shared" si="115"/>
        <v>0.13753294234855082</v>
      </c>
      <c r="Y33" s="1402">
        <f t="shared" si="115"/>
        <v>0.13727775526241612</v>
      </c>
      <c r="Z33" s="1402">
        <f t="shared" si="115"/>
        <v>0.13701942286894506</v>
      </c>
      <c r="AA33" s="1402">
        <f t="shared" si="115"/>
        <v>0.13675155180169124</v>
      </c>
      <c r="AB33" s="1402">
        <f t="shared" si="115"/>
        <v>0.136474043103259</v>
      </c>
      <c r="AC33" s="1402">
        <f t="shared" si="115"/>
        <v>0.13618682156808529</v>
      </c>
      <c r="AD33" s="1402">
        <f t="shared" si="115"/>
        <v>0.1358898378452251</v>
      </c>
      <c r="AE33" s="1690"/>
      <c r="AF33" s="1691"/>
      <c r="AG33" s="225"/>
      <c r="AH33" s="225"/>
    </row>
    <row r="34" spans="1:34">
      <c r="D34" s="1228" t="s">
        <v>507</v>
      </c>
      <c r="E34" s="190">
        <v>16867</v>
      </c>
      <c r="F34" s="190">
        <v>46705</v>
      </c>
      <c r="G34" s="190">
        <v>73587</v>
      </c>
      <c r="H34" s="1390">
        <v>94267</v>
      </c>
      <c r="I34" s="1390">
        <v>177681</v>
      </c>
      <c r="J34" s="1390">
        <v>196993</v>
      </c>
      <c r="K34" s="1390">
        <v>273795</v>
      </c>
      <c r="L34" s="1390">
        <v>296578</v>
      </c>
      <c r="M34" s="1390">
        <v>422504</v>
      </c>
      <c r="N34" s="1390">
        <v>347251</v>
      </c>
      <c r="O34" s="1390">
        <v>211020</v>
      </c>
      <c r="P34" s="1390">
        <f>'3b. Mid Deep Water Fishing Div.'!P9</f>
        <v>241451.44742854711</v>
      </c>
      <c r="Q34" s="1390">
        <f>'3b. Mid Deep Water Fishing Div.'!Q9</f>
        <v>249812.01082089977</v>
      </c>
      <c r="R34" s="1390">
        <f>'3b. Mid Deep Water Fishing Div.'!R9</f>
        <v>260157.87285216263</v>
      </c>
      <c r="S34" s="1390">
        <f>'3b. Mid Deep Water Fishing Div.'!S9</f>
        <v>272593.2802737609</v>
      </c>
      <c r="T34" s="1390">
        <f>'3b. Mid Deep Water Fishing Div.'!T9</f>
        <v>286656.57354172331</v>
      </c>
      <c r="U34" s="1390">
        <f>'3b. Mid Deep Water Fishing Div.'!U9</f>
        <v>298133.32190179499</v>
      </c>
      <c r="V34" s="1390">
        <f>'3b. Mid Deep Water Fishing Div.'!V9</f>
        <v>319127.89236330905</v>
      </c>
      <c r="W34" s="1390">
        <f>'3b. Mid Deep Water Fishing Div.'!W9</f>
        <v>343070.19493174035</v>
      </c>
      <c r="X34" s="1390">
        <f>'3b. Mid Deep Water Fishing Div.'!X9</f>
        <v>377991.77577569423</v>
      </c>
      <c r="Y34" s="1390">
        <f>'3b. Mid Deep Water Fishing Div.'!Y9</f>
        <v>407288.37062185653</v>
      </c>
      <c r="Z34" s="1390">
        <f>'3b. Mid Deep Water Fishing Div.'!Z9</f>
        <v>439463.1796376725</v>
      </c>
      <c r="AA34" s="1390">
        <f>'3b. Mid Deep Water Fishing Div.'!AA9</f>
        <v>475273.92636660411</v>
      </c>
      <c r="AB34" s="1390">
        <f>'3b. Mid Deep Water Fishing Div.'!AB9</f>
        <v>515156.47065113811</v>
      </c>
      <c r="AC34" s="1390">
        <f>'3b. Mid Deep Water Fishing Div.'!AC9</f>
        <v>559595.44952058815</v>
      </c>
      <c r="AD34" s="1390">
        <f>'3b. Mid Deep Water Fishing Div.'!AD9</f>
        <v>609127.9222907346</v>
      </c>
      <c r="AE34" s="846">
        <f>(O34/L34)^(1/4)-1</f>
        <v>-8.1569766600898097E-2</v>
      </c>
      <c r="AF34" s="847">
        <f>(T34/P34)^(1/4)-1</f>
        <v>4.3837808018342361E-2</v>
      </c>
      <c r="AG34" s="246"/>
      <c r="AH34" s="246"/>
    </row>
    <row r="35" spans="1:34" s="1403" customFormat="1" ht="14">
      <c r="A35" s="1008"/>
      <c r="B35" s="1008"/>
      <c r="C35" s="1008"/>
      <c r="D35" s="1401" t="s">
        <v>511</v>
      </c>
      <c r="E35" s="1402"/>
      <c r="F35" s="1402">
        <f>(F34/E34)-1</f>
        <v>1.7690164226003438</v>
      </c>
      <c r="G35" s="1402">
        <f t="shared" ref="G35" si="116">(G34/F34)-1</f>
        <v>0.57557006744459915</v>
      </c>
      <c r="H35" s="1402">
        <f t="shared" ref="H35" si="117">(H34/G34)-1</f>
        <v>0.28102789894954272</v>
      </c>
      <c r="I35" s="1402">
        <f t="shared" ref="I35" si="118">(I34/H34)-1</f>
        <v>0.88486957259698507</v>
      </c>
      <c r="J35" s="1402">
        <f t="shared" ref="J35" si="119">(J34/I34)-1</f>
        <v>0.10868916766564807</v>
      </c>
      <c r="K35" s="1402">
        <f t="shared" ref="K35" si="120">(K34/J34)-1</f>
        <v>0.38987172133019965</v>
      </c>
      <c r="L35" s="1402">
        <f t="shared" ref="L35" si="121">(L34/K34)-1</f>
        <v>8.321189210905966E-2</v>
      </c>
      <c r="M35" s="1402">
        <f t="shared" ref="M35" si="122">(M34/L34)-1</f>
        <v>0.42459656481600128</v>
      </c>
      <c r="N35" s="1402">
        <f t="shared" ref="N35" si="123">(N34/M34)-1</f>
        <v>-0.17811192320072711</v>
      </c>
      <c r="O35" s="1402">
        <f t="shared" ref="O35" si="124">(O34/N34)-1</f>
        <v>-0.39231276511802704</v>
      </c>
      <c r="P35" s="1402">
        <f t="shared" ref="P35" si="125">(P34/O34)-1</f>
        <v>0.1442112000215483</v>
      </c>
      <c r="Q35" s="1402">
        <f t="shared" ref="Q35" si="126">(Q34/P34)-1</f>
        <v>3.4626271581274404E-2</v>
      </c>
      <c r="R35" s="1402">
        <f t="shared" ref="R35" si="127">(R34/Q34)-1</f>
        <v>4.1414590104237314E-2</v>
      </c>
      <c r="S35" s="1402">
        <f t="shared" ref="S35" si="128">(S34/R34)-1</f>
        <v>4.7799466090594933E-2</v>
      </c>
      <c r="T35" s="1402">
        <f t="shared" ref="T35" si="129">(T34/S34)-1</f>
        <v>5.1590755479514749E-2</v>
      </c>
      <c r="U35" s="1402">
        <f t="shared" ref="U35" si="130">(U34/T34)-1</f>
        <v>4.0036578328810579E-2</v>
      </c>
      <c r="V35" s="1402">
        <f t="shared" ref="V35" si="131">(V34/U34)-1</f>
        <v>7.042007356839397E-2</v>
      </c>
      <c r="W35" s="1402">
        <f t="shared" ref="W35" si="132">(W34/V34)-1</f>
        <v>7.5024161602190276E-2</v>
      </c>
      <c r="X35" s="1402">
        <f t="shared" ref="X35" si="133">(X34/W34)-1</f>
        <v>0.10179135745354428</v>
      </c>
      <c r="Y35" s="1402">
        <f t="shared" ref="Y35" si="134">(Y34/X34)-1</f>
        <v>7.7505905481783044E-2</v>
      </c>
      <c r="Z35" s="1402">
        <f t="shared" ref="Z35" si="135">(Z34/Y34)-1</f>
        <v>7.899761283802631E-2</v>
      </c>
      <c r="AA35" s="1402">
        <f t="shared" ref="AA35" si="136">(AA34/Z34)-1</f>
        <v>8.1487479243327554E-2</v>
      </c>
      <c r="AB35" s="1402">
        <f t="shared" ref="AB35" si="137">(AB34/AA34)-1</f>
        <v>8.3914858509975376E-2</v>
      </c>
      <c r="AC35" s="1402">
        <f t="shared" ref="AC35" si="138">(AC34/AB34)-1</f>
        <v>8.6263070350802051E-2</v>
      </c>
      <c r="AD35" s="1402">
        <f t="shared" ref="AD35" si="139">(AD34/AC34)-1</f>
        <v>8.851478833965043E-2</v>
      </c>
      <c r="AE35" s="1690"/>
      <c r="AF35" s="1691"/>
      <c r="AG35" s="225"/>
      <c r="AH35" s="225"/>
    </row>
    <row r="36" spans="1:34" s="1403" customFormat="1" ht="14">
      <c r="A36" s="1008"/>
      <c r="B36" s="1008"/>
      <c r="C36" s="1008"/>
      <c r="D36" s="1401" t="s">
        <v>1137</v>
      </c>
      <c r="E36" s="1402">
        <f t="shared" ref="E36:P36" si="140">E34/E51</f>
        <v>9.3357022670917458E-2</v>
      </c>
      <c r="F36" s="1402">
        <f t="shared" si="140"/>
        <v>0.25476612573298785</v>
      </c>
      <c r="G36" s="1402">
        <f t="shared" si="140"/>
        <v>0.31109354324583693</v>
      </c>
      <c r="H36" s="1402">
        <f t="shared" si="140"/>
        <v>0.29710606270722761</v>
      </c>
      <c r="I36" s="1402">
        <f t="shared" si="140"/>
        <v>0.43245486362950453</v>
      </c>
      <c r="J36" s="1402">
        <f t="shared" si="140"/>
        <v>0.40661211953582649</v>
      </c>
      <c r="K36" s="1402">
        <f t="shared" si="140"/>
        <v>0.53403720384092501</v>
      </c>
      <c r="L36" s="1402">
        <f t="shared" si="140"/>
        <v>0.41711332231637427</v>
      </c>
      <c r="M36" s="1402">
        <f t="shared" si="140"/>
        <v>0.56821852737980438</v>
      </c>
      <c r="N36" s="1402">
        <f t="shared" si="140"/>
        <v>0.39479811634374223</v>
      </c>
      <c r="O36" s="1402">
        <f t="shared" si="140"/>
        <v>0.20950007694178732</v>
      </c>
      <c r="P36" s="1402">
        <f t="shared" si="140"/>
        <v>0.14599407937627373</v>
      </c>
      <c r="Q36" s="1402">
        <f t="shared" ref="Q36:AD36" si="141">Q34/Q51</f>
        <v>0.13868564085093696</v>
      </c>
      <c r="R36" s="1402">
        <f t="shared" si="141"/>
        <v>0.13598854937344995</v>
      </c>
      <c r="S36" s="1402">
        <f t="shared" si="141"/>
        <v>0.13057868995806199</v>
      </c>
      <c r="T36" s="1402">
        <f t="shared" si="141"/>
        <v>0.12645817342075255</v>
      </c>
      <c r="U36" s="1402">
        <f t="shared" si="141"/>
        <v>0.12197942232142851</v>
      </c>
      <c r="V36" s="1402">
        <f t="shared" si="141"/>
        <v>0.1206774094989916</v>
      </c>
      <c r="W36" s="1402">
        <f t="shared" si="141"/>
        <v>0.11964255102372517</v>
      </c>
      <c r="X36" s="1402">
        <f t="shared" si="141"/>
        <v>0.12114914135565424</v>
      </c>
      <c r="Y36" s="1402">
        <f t="shared" si="141"/>
        <v>0.12026891761192687</v>
      </c>
      <c r="Z36" s="1402">
        <f t="shared" si="141"/>
        <v>0.1195643202936135</v>
      </c>
      <c r="AA36" s="1402">
        <f t="shared" si="141"/>
        <v>0.11907636379380981</v>
      </c>
      <c r="AB36" s="1402">
        <f t="shared" si="141"/>
        <v>0.11877842504426672</v>
      </c>
      <c r="AC36" s="1402">
        <f t="shared" si="141"/>
        <v>0.11866143035892016</v>
      </c>
      <c r="AD36" s="1402">
        <f t="shared" si="141"/>
        <v>0.1187154896652247</v>
      </c>
      <c r="AE36" s="1690"/>
      <c r="AF36" s="1691"/>
      <c r="AG36" s="225"/>
      <c r="AH36" s="225"/>
    </row>
    <row r="37" spans="1:34" s="1403" customFormat="1" ht="14">
      <c r="A37" s="1008"/>
      <c r="B37" s="1008"/>
      <c r="C37" s="1008"/>
      <c r="D37" s="1401" t="s">
        <v>1138</v>
      </c>
      <c r="E37" s="1402"/>
      <c r="F37" s="1402"/>
      <c r="G37" s="1402"/>
      <c r="H37" s="1402"/>
      <c r="I37" s="1402"/>
      <c r="J37" s="1402"/>
      <c r="K37" s="1402"/>
      <c r="L37" s="1402">
        <f>L34/L48</f>
        <v>0.41711332231637427</v>
      </c>
      <c r="M37" s="1402">
        <f>M34/M48</f>
        <v>0.56821852737980438</v>
      </c>
      <c r="N37" s="1402">
        <f t="shared" ref="N37:AD37" si="142">N34/N48</f>
        <v>0.39479811634374223</v>
      </c>
      <c r="O37" s="1402">
        <f t="shared" si="142"/>
        <v>0.2549650030266673</v>
      </c>
      <c r="P37" s="1402">
        <f t="shared" si="142"/>
        <v>0.23230804222712464</v>
      </c>
      <c r="Q37" s="1402">
        <f t="shared" si="142"/>
        <v>0.22186580816331175</v>
      </c>
      <c r="R37" s="1402">
        <f t="shared" si="142"/>
        <v>0.22347851878478575</v>
      </c>
      <c r="S37" s="1402">
        <f t="shared" si="142"/>
        <v>0.21855230473159909</v>
      </c>
      <c r="T37" s="1402">
        <f t="shared" si="142"/>
        <v>0.2156577838203784</v>
      </c>
      <c r="U37" s="1402">
        <f t="shared" si="142"/>
        <v>0.21168304701605817</v>
      </c>
      <c r="V37" s="1402">
        <f t="shared" si="142"/>
        <v>0.21247795056774835</v>
      </c>
      <c r="W37" s="1402">
        <f t="shared" si="142"/>
        <v>0.21390212818796617</v>
      </c>
      <c r="X37" s="1402">
        <f t="shared" si="142"/>
        <v>0.21947577060140946</v>
      </c>
      <c r="Y37" s="1402">
        <f t="shared" si="142"/>
        <v>0.22124238718028644</v>
      </c>
      <c r="Z37" s="1402">
        <f t="shared" si="142"/>
        <v>0.2232321119707194</v>
      </c>
      <c r="AA37" s="1402">
        <f t="shared" si="142"/>
        <v>0.22558083786518929</v>
      </c>
      <c r="AB37" s="1402">
        <f t="shared" si="142"/>
        <v>0.22828272411045875</v>
      </c>
      <c r="AC37" s="1402">
        <f t="shared" si="142"/>
        <v>0.2313298041827388</v>
      </c>
      <c r="AD37" s="1402">
        <f t="shared" si="142"/>
        <v>0.23471161351837094</v>
      </c>
      <c r="AE37" s="1690"/>
      <c r="AF37" s="1691"/>
      <c r="AG37" s="225"/>
      <c r="AH37" s="225"/>
    </row>
    <row r="38" spans="1:34" s="1403" customFormat="1" ht="14">
      <c r="A38" s="1008"/>
      <c r="B38" s="1008"/>
      <c r="C38" s="1008"/>
      <c r="D38" s="1401" t="s">
        <v>500</v>
      </c>
      <c r="E38" s="1402">
        <f>E34/E9</f>
        <v>1.7960985676574476E-2</v>
      </c>
      <c r="F38" s="1402">
        <f t="shared" ref="F38:P38" si="143">F34/F9</f>
        <v>4.3594041976474804E-2</v>
      </c>
      <c r="G38" s="1402">
        <f t="shared" si="143"/>
        <v>7.1885681574183791E-2</v>
      </c>
      <c r="H38" s="1402">
        <f t="shared" si="143"/>
        <v>0.10088678744499049</v>
      </c>
      <c r="I38" s="1402">
        <f t="shared" si="143"/>
        <v>0.18737444200842168</v>
      </c>
      <c r="J38" s="1402">
        <f t="shared" si="143"/>
        <v>0.21670586578719828</v>
      </c>
      <c r="K38" s="1402">
        <f t="shared" si="143"/>
        <v>0.23383155109671391</v>
      </c>
      <c r="L38" s="1402">
        <f t="shared" si="143"/>
        <v>0.20666275515963548</v>
      </c>
      <c r="M38" s="1402">
        <f t="shared" si="143"/>
        <v>0.30753866579707445</v>
      </c>
      <c r="N38" s="1402">
        <f t="shared" si="143"/>
        <v>0.28854146758955357</v>
      </c>
      <c r="O38" s="1402">
        <f t="shared" si="143"/>
        <v>0.16050236281200869</v>
      </c>
      <c r="P38" s="1402">
        <f t="shared" si="143"/>
        <v>0.17423096023881385</v>
      </c>
      <c r="Q38" s="1402">
        <f t="shared" ref="Q38:AD38" si="144">Q34/Q9</f>
        <v>0.17440475555076865</v>
      </c>
      <c r="R38" s="1402">
        <f t="shared" si="144"/>
        <v>0.17459037434444533</v>
      </c>
      <c r="S38" s="1402">
        <f t="shared" si="144"/>
        <v>0.17478356981445745</v>
      </c>
      <c r="T38" s="1402">
        <f t="shared" si="144"/>
        <v>0.17497570489300324</v>
      </c>
      <c r="U38" s="1402">
        <f t="shared" si="144"/>
        <v>0.17098586236318367</v>
      </c>
      <c r="V38" s="1402">
        <f t="shared" si="144"/>
        <v>0.171420942580956</v>
      </c>
      <c r="W38" s="1402">
        <f t="shared" si="144"/>
        <v>0.17186403129417266</v>
      </c>
      <c r="X38" s="1402">
        <f t="shared" si="144"/>
        <v>0.17205886310173968</v>
      </c>
      <c r="Y38" s="1402">
        <f t="shared" si="144"/>
        <v>0.17249741203062138</v>
      </c>
      <c r="Z38" s="1402">
        <f t="shared" si="144"/>
        <v>0.17292380034203231</v>
      </c>
      <c r="AA38" s="1402">
        <f t="shared" si="144"/>
        <v>0.17334096599509047</v>
      </c>
      <c r="AB38" s="1402">
        <f t="shared" si="144"/>
        <v>0.17374716893128728</v>
      </c>
      <c r="AC38" s="1402">
        <f t="shared" si="144"/>
        <v>0.17414094922390844</v>
      </c>
      <c r="AD38" s="1402">
        <f t="shared" si="144"/>
        <v>0.17452118273298567</v>
      </c>
      <c r="AE38" s="1690"/>
      <c r="AF38" s="1691"/>
      <c r="AG38" s="225"/>
      <c r="AH38" s="225"/>
    </row>
    <row r="39" spans="1:34">
      <c r="D39" s="1228" t="s">
        <v>508</v>
      </c>
      <c r="E39" s="190">
        <v>61287</v>
      </c>
      <c r="F39" s="190">
        <v>58681</v>
      </c>
      <c r="G39" s="190">
        <v>57274</v>
      </c>
      <c r="H39" s="190">
        <v>58672</v>
      </c>
      <c r="I39" s="190">
        <v>67734</v>
      </c>
      <c r="J39" s="190">
        <v>76421</v>
      </c>
      <c r="K39" s="190">
        <v>53734</v>
      </c>
      <c r="L39" s="1390">
        <v>65968</v>
      </c>
      <c r="M39" s="1390">
        <v>82798</v>
      </c>
      <c r="N39" s="1390">
        <v>106514</v>
      </c>
      <c r="O39" s="1390">
        <v>117545</v>
      </c>
      <c r="P39" s="1390">
        <f>'3c. Commercial Cold Stor Div.'!P11</f>
        <v>128359.14000000001</v>
      </c>
      <c r="Q39" s="1390">
        <f>'3c. Commercial Cold Stor Div.'!Q11</f>
        <v>139494.29539499999</v>
      </c>
      <c r="R39" s="1390">
        <f>'3c. Commercial Cold Stor Div.'!R11</f>
        <v>149426.28922712404</v>
      </c>
      <c r="S39" s="1390">
        <f>'3c. Commercial Cold Stor Div.'!S11</f>
        <v>159288.42431611422</v>
      </c>
      <c r="T39" s="1390">
        <f>'3c. Commercial Cold Stor Div.'!T11</f>
        <v>168973.16051453396</v>
      </c>
      <c r="U39" s="1390">
        <f>'3c. Commercial Cold Stor Div.'!U11</f>
        <v>179246.72867381762</v>
      </c>
      <c r="V39" s="1390">
        <f>'3c. Commercial Cold Stor Div.'!V11</f>
        <v>190144.92977718572</v>
      </c>
      <c r="W39" s="1390">
        <f>'3c. Commercial Cold Stor Div.'!W11</f>
        <v>201705.74150763862</v>
      </c>
      <c r="X39" s="1390">
        <f>'3c. Commercial Cold Stor Div.'!X11</f>
        <v>213969.45059130303</v>
      </c>
      <c r="Y39" s="1390">
        <f>'3c. Commercial Cold Stor Div.'!Y11</f>
        <v>226978.79318725425</v>
      </c>
      <c r="Z39" s="1390">
        <f>'3c. Commercial Cold Stor Div.'!Z11</f>
        <v>240779.10381303931</v>
      </c>
      <c r="AA39" s="1390">
        <f>'3c. Commercial Cold Stor Div.'!AA11</f>
        <v>255418.47332487209</v>
      </c>
      <c r="AB39" s="1390">
        <f>'3c. Commercial Cold Stor Div.'!AB11</f>
        <v>270947.91650302429</v>
      </c>
      <c r="AC39" s="1390">
        <f>'3c. Commercial Cold Stor Div.'!AC11</f>
        <v>287421.54982640815</v>
      </c>
      <c r="AD39" s="1390">
        <f>'3c. Commercial Cold Stor Div.'!AD11</f>
        <v>304896.78005585377</v>
      </c>
      <c r="AE39" s="846">
        <f>(O39/L39)^(1/4)-1</f>
        <v>0.15536101906913014</v>
      </c>
      <c r="AF39" s="847">
        <f>(T39/P39)^(1/4)-1</f>
        <v>7.1143686058077416E-2</v>
      </c>
      <c r="AG39" s="246"/>
      <c r="AH39" s="246"/>
    </row>
    <row r="40" spans="1:34" s="1403" customFormat="1" ht="14">
      <c r="A40" s="1008"/>
      <c r="B40" s="1008"/>
      <c r="C40" s="1008"/>
      <c r="D40" s="1401" t="s">
        <v>511</v>
      </c>
      <c r="E40" s="1402"/>
      <c r="F40" s="1402">
        <f>(F39/E39)-1</f>
        <v>-4.2521252467896953E-2</v>
      </c>
      <c r="G40" s="1402">
        <f t="shared" ref="G40" si="145">(G39/F39)-1</f>
        <v>-2.3977096504831152E-2</v>
      </c>
      <c r="H40" s="1402">
        <f t="shared" ref="H40" si="146">(H39/G39)-1</f>
        <v>2.4408981387715301E-2</v>
      </c>
      <c r="I40" s="1402">
        <f t="shared" ref="I40" si="147">(I39/H39)-1</f>
        <v>0.15445186801199884</v>
      </c>
      <c r="J40" s="1402">
        <f t="shared" ref="J40" si="148">(J39/I39)-1</f>
        <v>0.12825169043611773</v>
      </c>
      <c r="K40" s="1402">
        <f t="shared" ref="K40" si="149">(K39/J39)-1</f>
        <v>-0.29686866175527671</v>
      </c>
      <c r="L40" s="1402">
        <f t="shared" ref="L40" si="150">(L39/K39)-1</f>
        <v>0.22767707596679942</v>
      </c>
      <c r="M40" s="1402">
        <f t="shared" ref="M40" si="151">(M39/L39)-1</f>
        <v>0.25512369633761822</v>
      </c>
      <c r="N40" s="1402">
        <f t="shared" ref="N40" si="152">(N39/M39)-1</f>
        <v>0.28643203942124207</v>
      </c>
      <c r="O40" s="1402">
        <f t="shared" ref="O40" si="153">(O39/N39)-1</f>
        <v>0.10356385076140229</v>
      </c>
      <c r="P40" s="1402">
        <f t="shared" ref="P40" si="154">(P39/O39)-1</f>
        <v>9.2000000000000082E-2</v>
      </c>
      <c r="Q40" s="1402">
        <f t="shared" ref="Q40" si="155">(Q39/P39)-1</f>
        <v>8.6749999999999883E-2</v>
      </c>
      <c r="R40" s="1402">
        <f t="shared" ref="R40" si="156">(R39/Q39)-1</f>
        <v>7.1200000000000374E-2</v>
      </c>
      <c r="S40" s="1402">
        <f t="shared" ref="S40" si="157">(S39/R39)-1</f>
        <v>6.6000000000000059E-2</v>
      </c>
      <c r="T40" s="1402">
        <f t="shared" ref="T40" si="158">(T39/S39)-1</f>
        <v>6.0799999999999965E-2</v>
      </c>
      <c r="U40" s="1402">
        <f t="shared" ref="U40" si="159">(U39/T39)-1</f>
        <v>6.0799999999999965E-2</v>
      </c>
      <c r="V40" s="1402">
        <f t="shared" ref="V40" si="160">(V39/U39)-1</f>
        <v>6.0799999999999965E-2</v>
      </c>
      <c r="W40" s="1402">
        <f t="shared" ref="W40" si="161">(W39/V39)-1</f>
        <v>6.0799999999999965E-2</v>
      </c>
      <c r="X40" s="1402">
        <f t="shared" ref="X40" si="162">(X39/W39)-1</f>
        <v>6.0799999999999965E-2</v>
      </c>
      <c r="Y40" s="1402">
        <f t="shared" ref="Y40" si="163">(Y39/X39)-1</f>
        <v>6.0799999999999965E-2</v>
      </c>
      <c r="Z40" s="1402">
        <f t="shared" ref="Z40" si="164">(Z39/Y39)-1</f>
        <v>6.0799999999999965E-2</v>
      </c>
      <c r="AA40" s="1402">
        <f t="shared" ref="AA40" si="165">(AA39/Z39)-1</f>
        <v>6.0799999999999965E-2</v>
      </c>
      <c r="AB40" s="1402">
        <f t="shared" ref="AB40" si="166">(AB39/AA39)-1</f>
        <v>6.0799999999999965E-2</v>
      </c>
      <c r="AC40" s="1402">
        <f t="shared" ref="AC40" si="167">(AC39/AB39)-1</f>
        <v>6.0799999999999965E-2</v>
      </c>
      <c r="AD40" s="1402">
        <f t="shared" ref="AD40" si="168">(AD39/AC39)-1</f>
        <v>6.0799999999999965E-2</v>
      </c>
      <c r="AE40" s="1690"/>
      <c r="AF40" s="1691"/>
      <c r="AG40" s="225"/>
      <c r="AH40" s="225"/>
    </row>
    <row r="41" spans="1:34" s="1403" customFormat="1" ht="14">
      <c r="A41" s="1008"/>
      <c r="B41" s="1008"/>
      <c r="C41" s="1008"/>
      <c r="D41" s="1401" t="s">
        <v>1137</v>
      </c>
      <c r="E41" s="1402">
        <f t="shared" ref="E41:S41" si="169">E39/E51</f>
        <v>0.33921692348565358</v>
      </c>
      <c r="F41" s="1402">
        <f t="shared" si="169"/>
        <v>0.32009273148779488</v>
      </c>
      <c r="G41" s="1402">
        <f t="shared" si="169"/>
        <v>0.2421293380061976</v>
      </c>
      <c r="H41" s="1402">
        <f t="shared" si="169"/>
        <v>0.18491950429268417</v>
      </c>
      <c r="I41" s="1402">
        <f t="shared" si="169"/>
        <v>0.16485666859754761</v>
      </c>
      <c r="J41" s="1402">
        <f t="shared" si="169"/>
        <v>0.15774014704607472</v>
      </c>
      <c r="K41" s="1402">
        <f t="shared" si="169"/>
        <v>0.10480817805726278</v>
      </c>
      <c r="L41" s="1402">
        <f t="shared" si="169"/>
        <v>9.2778734924932313E-2</v>
      </c>
      <c r="M41" s="1402">
        <f t="shared" si="169"/>
        <v>0.11135363837973852</v>
      </c>
      <c r="N41" s="1402">
        <f t="shared" si="169"/>
        <v>0.12109835987293734</v>
      </c>
      <c r="O41" s="1402">
        <f t="shared" si="169"/>
        <v>0.11669835344575108</v>
      </c>
      <c r="P41" s="1402">
        <f t="shared" si="169"/>
        <v>7.7612599441450367E-2</v>
      </c>
      <c r="Q41" s="1402">
        <f t="shared" si="169"/>
        <v>7.7441655780815508E-2</v>
      </c>
      <c r="R41" s="1402">
        <f t="shared" si="169"/>
        <v>7.8107435640824785E-2</v>
      </c>
      <c r="S41" s="1402">
        <f t="shared" si="169"/>
        <v>7.6302958575476754E-2</v>
      </c>
      <c r="T41" s="1402">
        <f t="shared" ref="T41:AD41" si="170">T39/T51</f>
        <v>7.4542289303857326E-2</v>
      </c>
      <c r="U41" s="1402">
        <f t="shared" si="170"/>
        <v>7.3337700989493007E-2</v>
      </c>
      <c r="V41" s="1402">
        <f t="shared" si="170"/>
        <v>7.1902826747451756E-2</v>
      </c>
      <c r="W41" s="1402">
        <f t="shared" si="170"/>
        <v>7.0343008010088318E-2</v>
      </c>
      <c r="X41" s="1402">
        <f t="shared" si="170"/>
        <v>6.8578781012579651E-2</v>
      </c>
      <c r="Y41" s="1402">
        <f t="shared" si="170"/>
        <v>6.7024977255826262E-2</v>
      </c>
      <c r="Z41" s="1402">
        <f t="shared" si="170"/>
        <v>6.5508536829062658E-2</v>
      </c>
      <c r="AA41" s="1402">
        <f t="shared" si="170"/>
        <v>6.3993207626188611E-2</v>
      </c>
      <c r="AB41" s="1402">
        <f t="shared" si="170"/>
        <v>6.2471828705901566E-2</v>
      </c>
      <c r="AC41" s="1402">
        <f t="shared" si="170"/>
        <v>6.0947336593959275E-2</v>
      </c>
      <c r="AD41" s="1402">
        <f t="shared" si="170"/>
        <v>5.9422609302754614E-2</v>
      </c>
      <c r="AE41" s="1690"/>
      <c r="AF41" s="1691"/>
      <c r="AG41" s="225"/>
      <c r="AH41" s="225"/>
    </row>
    <row r="42" spans="1:34" s="1403" customFormat="1" ht="14">
      <c r="A42" s="1008"/>
      <c r="B42" s="1008"/>
      <c r="C42" s="1008"/>
      <c r="D42" s="1401" t="s">
        <v>1138</v>
      </c>
      <c r="E42" s="1402"/>
      <c r="F42" s="1402"/>
      <c r="G42" s="1402"/>
      <c r="H42" s="1402"/>
      <c r="I42" s="1402"/>
      <c r="J42" s="1402"/>
      <c r="K42" s="1402"/>
      <c r="L42" s="1402">
        <f>L39/L48</f>
        <v>9.2778734924932313E-2</v>
      </c>
      <c r="M42" s="1402">
        <f>M39/M48</f>
        <v>0.11135363837973852</v>
      </c>
      <c r="N42" s="1402">
        <f t="shared" ref="N42:AD42" si="171">N39/N48</f>
        <v>0.12109835987293734</v>
      </c>
      <c r="O42" s="1402">
        <f t="shared" si="171"/>
        <v>0.14202379528371531</v>
      </c>
      <c r="P42" s="1402">
        <f t="shared" si="171"/>
        <v>0.12349837134101971</v>
      </c>
      <c r="Q42" s="1402">
        <f t="shared" si="171"/>
        <v>0.12388921765724066</v>
      </c>
      <c r="R42" s="1402">
        <f t="shared" si="171"/>
        <v>0.1283588515614936</v>
      </c>
      <c r="S42" s="1402">
        <f t="shared" si="171"/>
        <v>0.12770986950371513</v>
      </c>
      <c r="T42" s="1402">
        <f t="shared" si="171"/>
        <v>0.12712207109524215</v>
      </c>
      <c r="U42" s="1402">
        <f t="shared" si="171"/>
        <v>0.12727022075658126</v>
      </c>
      <c r="V42" s="1402">
        <f t="shared" si="171"/>
        <v>0.12660004329521252</v>
      </c>
      <c r="W42" s="1402">
        <f t="shared" si="171"/>
        <v>0.12576227260080164</v>
      </c>
      <c r="X42" s="1402">
        <f t="shared" si="171"/>
        <v>0.12423844396433069</v>
      </c>
      <c r="Y42" s="1402">
        <f t="shared" si="171"/>
        <v>0.12329674418981269</v>
      </c>
      <c r="Z42" s="1402">
        <f t="shared" si="171"/>
        <v>0.12230746591083518</v>
      </c>
      <c r="AA42" s="1402">
        <f t="shared" si="171"/>
        <v>0.12123011598668826</v>
      </c>
      <c r="AB42" s="1402">
        <f t="shared" si="171"/>
        <v>0.12006590617639727</v>
      </c>
      <c r="AC42" s="1402">
        <f t="shared" si="171"/>
        <v>0.11881649662484628</v>
      </c>
      <c r="AD42" s="1402">
        <f t="shared" si="171"/>
        <v>0.11748404987632241</v>
      </c>
      <c r="AE42" s="1298"/>
      <c r="AF42" s="1691"/>
      <c r="AG42" s="225"/>
      <c r="AH42" s="225"/>
    </row>
    <row r="43" spans="1:34" s="1403" customFormat="1" ht="14">
      <c r="A43" s="1008"/>
      <c r="B43" s="1008"/>
      <c r="C43" s="1008"/>
      <c r="D43" s="1401" t="s">
        <v>500</v>
      </c>
      <c r="E43" s="1402">
        <f>E39/E13</f>
        <v>0.36735097551473012</v>
      </c>
      <c r="F43" s="1402">
        <f t="shared" ref="F43:S43" si="172">F39/F13</f>
        <v>0.38043527588867204</v>
      </c>
      <c r="G43" s="1402">
        <f t="shared" si="172"/>
        <v>0.32507690735926803</v>
      </c>
      <c r="H43" s="1402">
        <f t="shared" si="172"/>
        <v>0.31145391520376259</v>
      </c>
      <c r="I43" s="1402">
        <f t="shared" si="172"/>
        <v>0.32174003914043053</v>
      </c>
      <c r="J43" s="1402">
        <f t="shared" si="172"/>
        <v>0.32642365323173128</v>
      </c>
      <c r="K43" s="1402">
        <f t="shared" si="172"/>
        <v>0.24649415348199255</v>
      </c>
      <c r="L43" s="1402">
        <f t="shared" si="172"/>
        <v>0.23577683262446836</v>
      </c>
      <c r="M43" s="1402">
        <f t="shared" si="172"/>
        <v>0.25373253248345184</v>
      </c>
      <c r="N43" s="1402">
        <f t="shared" si="172"/>
        <v>0.30991210127701918</v>
      </c>
      <c r="O43" s="1402">
        <f t="shared" si="172"/>
        <v>0.25633113590816609</v>
      </c>
      <c r="P43" s="1402">
        <f t="shared" si="172"/>
        <v>0.25633113590816609</v>
      </c>
      <c r="Q43" s="1402">
        <f t="shared" si="172"/>
        <v>0.25633113590816609</v>
      </c>
      <c r="R43" s="1402">
        <f t="shared" si="172"/>
        <v>0.25633113590816609</v>
      </c>
      <c r="S43" s="1402">
        <f t="shared" si="172"/>
        <v>0.25633113590816609</v>
      </c>
      <c r="T43" s="1402">
        <f t="shared" ref="T43:AD43" si="173">T39/T13</f>
        <v>0.25633113590816609</v>
      </c>
      <c r="U43" s="1402">
        <f t="shared" si="173"/>
        <v>0.25633113590816609</v>
      </c>
      <c r="V43" s="1402">
        <f t="shared" si="173"/>
        <v>0.25633113590816609</v>
      </c>
      <c r="W43" s="1402">
        <f t="shared" si="173"/>
        <v>0.25633113590816609</v>
      </c>
      <c r="X43" s="1402">
        <f t="shared" si="173"/>
        <v>0.25633113590816609</v>
      </c>
      <c r="Y43" s="1402">
        <f t="shared" si="173"/>
        <v>0.25633113590816609</v>
      </c>
      <c r="Z43" s="1402">
        <f t="shared" si="173"/>
        <v>0.25633113590816609</v>
      </c>
      <c r="AA43" s="1402">
        <f t="shared" si="173"/>
        <v>0.25633113590816609</v>
      </c>
      <c r="AB43" s="1402">
        <f t="shared" si="173"/>
        <v>0.25633113590816609</v>
      </c>
      <c r="AC43" s="1402">
        <f t="shared" si="173"/>
        <v>0.25633113590816609</v>
      </c>
      <c r="AD43" s="1402">
        <f t="shared" si="173"/>
        <v>0.25633113590816609</v>
      </c>
      <c r="AE43" s="1690"/>
      <c r="AF43" s="1691"/>
      <c r="AG43" s="225"/>
      <c r="AH43" s="225"/>
    </row>
    <row r="44" spans="1:34">
      <c r="D44" s="1228" t="s">
        <v>509</v>
      </c>
      <c r="E44" s="190">
        <v>0</v>
      </c>
      <c r="F44" s="190">
        <v>0</v>
      </c>
      <c r="G44" s="190">
        <v>0</v>
      </c>
      <c r="H44" s="1390">
        <v>0</v>
      </c>
      <c r="I44" s="1390">
        <v>0</v>
      </c>
      <c r="J44" s="1390">
        <v>0</v>
      </c>
      <c r="K44" s="1390">
        <v>0</v>
      </c>
      <c r="L44" s="1390"/>
      <c r="M44" s="1390"/>
      <c r="N44" s="1390"/>
      <c r="O44" s="1390">
        <v>179612</v>
      </c>
      <c r="P44" s="1390">
        <f>(0.25*'3e. Daybrook Currency Adjusted'!H12)+(0.75*'3e. Daybrook Currency Adjusted'!I12)</f>
        <v>614485.13450004382</v>
      </c>
      <c r="Q44" s="1390">
        <f>(0.25*'3e. Daybrook Currency Adjusted'!I12)+(0.75*'3e. Daybrook Currency Adjusted'!J12)</f>
        <v>675322.51472945989</v>
      </c>
      <c r="R44" s="1390">
        <f>(0.25*'3e. Daybrook Currency Adjusted'!J12)+(0.75*'3e. Daybrook Currency Adjusted'!K12)</f>
        <v>748957.39356447966</v>
      </c>
      <c r="S44" s="1390">
        <f>(0.25*'3e. Daybrook Currency Adjusted'!K12)+(0.75*'3e. Daybrook Currency Adjusted'!L12)</f>
        <v>840310.6835357385</v>
      </c>
      <c r="T44" s="1390">
        <f>(0.25*'3e. Daybrook Currency Adjusted'!L12)+(0.75*'3e. Daybrook Currency Adjusted'!M12)</f>
        <v>937589.68427298078</v>
      </c>
      <c r="U44" s="1390">
        <f>(0.25*'3e. Daybrook Currency Adjusted'!M12)+(0.75*'3e. Daybrook Currency Adjusted'!N12)</f>
        <v>1035733.112260279</v>
      </c>
      <c r="V44" s="1390">
        <f>(0.25*'3e. Daybrook Currency Adjusted'!N12)+(0.75*'3e. Daybrook Currency Adjusted'!O12)</f>
        <v>1142536.6949678932</v>
      </c>
      <c r="W44" s="1390">
        <f>(0.25*'3e. Daybrook Currency Adjusted'!O12)+(0.75*'3e. Daybrook Currency Adjusted'!P12)</f>
        <v>1263594.4406078006</v>
      </c>
      <c r="X44" s="1390">
        <f>(0.25*'3e. Daybrook Currency Adjusted'!P12)+(0.75*'3e. Daybrook Currency Adjusted'!Q12)</f>
        <v>1397804.9658229654</v>
      </c>
      <c r="Y44" s="1390">
        <f>(0.25*'3e. Daybrook Currency Adjusted'!Q12)+(0.75*'3e. Daybrook Currency Adjusted'!R12)</f>
        <v>1545565.9840342412</v>
      </c>
      <c r="Z44" s="1390">
        <f>(0.25*'3e. Daybrook Currency Adjusted'!R12)+(0.75*'3e. Daybrook Currency Adjusted'!S12)</f>
        <v>1706899.9810994938</v>
      </c>
      <c r="AA44" s="1390">
        <f>(0.25*'3e. Daybrook Currency Adjusted'!S12)+(0.75*'3e. Daybrook Currency Adjusted'!T12)</f>
        <v>1884447.6270304951</v>
      </c>
      <c r="AB44" s="1390">
        <f>(0.25*'3e. Daybrook Currency Adjusted'!T12)+(0.75*'3e. Daybrook Currency Adjusted'!U12)</f>
        <v>2080461.6756466513</v>
      </c>
      <c r="AC44" s="1390">
        <f>(0.25*'3e. Daybrook Currency Adjusted'!U12)+(0.75*'3e. Daybrook Currency Adjusted'!V12)</f>
        <v>2296862.6786945621</v>
      </c>
      <c r="AD44" s="1390">
        <f>(0.25*'3e. Daybrook Currency Adjusted'!V12)+(0.75*'3e. Daybrook Currency Adjusted'!W12)</f>
        <v>2535770.9238971728</v>
      </c>
      <c r="AE44" s="846"/>
      <c r="AF44" s="847">
        <f>(T44/P44)^(1/4)-1</f>
        <v>0.11141271213745751</v>
      </c>
      <c r="AG44" s="246"/>
      <c r="AH44" s="246"/>
    </row>
    <row r="45" spans="1:34" s="1403" customFormat="1" ht="14">
      <c r="A45" s="1008"/>
      <c r="B45" s="1008"/>
      <c r="C45" s="1008"/>
      <c r="D45" s="1401" t="s">
        <v>511</v>
      </c>
      <c r="E45" s="1402"/>
      <c r="F45" s="1402" t="e">
        <f>(F44/E44)-1</f>
        <v>#DIV/0!</v>
      </c>
      <c r="G45" s="1402" t="e">
        <f t="shared" ref="G45" si="174">(G44/F44)-1</f>
        <v>#DIV/0!</v>
      </c>
      <c r="H45" s="1402" t="e">
        <f t="shared" ref="H45" si="175">(H44/G44)-1</f>
        <v>#DIV/0!</v>
      </c>
      <c r="I45" s="1402" t="e">
        <f t="shared" ref="I45" si="176">(I44/H44)-1</f>
        <v>#DIV/0!</v>
      </c>
      <c r="J45" s="1402" t="e">
        <f t="shared" ref="J45" si="177">(J44/I44)-1</f>
        <v>#DIV/0!</v>
      </c>
      <c r="K45" s="1402" t="e">
        <f t="shared" ref="K45" si="178">(K44/J44)-1</f>
        <v>#DIV/0!</v>
      </c>
      <c r="L45" s="1402"/>
      <c r="M45" s="1402"/>
      <c r="N45" s="1402"/>
      <c r="O45" s="1402"/>
      <c r="P45" s="1402">
        <f t="shared" ref="P45" si="179">(P44/O44)-1</f>
        <v>2.4211808481618369</v>
      </c>
      <c r="Q45" s="1402">
        <f t="shared" ref="Q45" si="180">(Q44/P44)-1</f>
        <v>9.9005454833198669E-2</v>
      </c>
      <c r="R45" s="1402">
        <f t="shared" ref="R45" si="181">(R44/Q44)-1</f>
        <v>0.10903661173582901</v>
      </c>
      <c r="S45" s="1402">
        <f t="shared" ref="S45" si="182">(S44/R44)-1</f>
        <v>0.12197394772549774</v>
      </c>
      <c r="T45" s="1402">
        <f t="shared" ref="T45" si="183">(T44/S44)-1</f>
        <v>0.11576551702035442</v>
      </c>
      <c r="U45" s="1402">
        <f t="shared" ref="U45" si="184">(U44/T44)-1</f>
        <v>0.10467630951315332</v>
      </c>
      <c r="V45" s="1402">
        <f t="shared" ref="V45" si="185">(V44/U44)-1</f>
        <v>0.10311882611779866</v>
      </c>
      <c r="W45" s="1402">
        <f t="shared" ref="W45" si="186">(W44/V44)-1</f>
        <v>0.10595523642530291</v>
      </c>
      <c r="X45" s="1402">
        <f t="shared" ref="X45" si="187">(X44/W44)-1</f>
        <v>0.10621329194089224</v>
      </c>
      <c r="Y45" s="1402">
        <f t="shared" ref="Y45" si="188">(Y44/X44)-1</f>
        <v>0.10570932413613265</v>
      </c>
      <c r="Z45" s="1402">
        <f t="shared" ref="Z45" si="189">(Z44/Y44)-1</f>
        <v>0.10438505940984677</v>
      </c>
      <c r="AA45" s="1402">
        <f t="shared" ref="AA45" si="190">(AA44/Z44)-1</f>
        <v>0.1040176037828735</v>
      </c>
      <c r="AB45" s="1402">
        <f t="shared" ref="AB45" si="191">(AB44/AA44)-1</f>
        <v>0.10401671333526763</v>
      </c>
      <c r="AC45" s="1402">
        <f t="shared" ref="AC45" si="192">(AC44/AB44)-1</f>
        <v>0.10401585647120792</v>
      </c>
      <c r="AD45" s="1402">
        <f t="shared" ref="AD45" si="193">(AD44/AC44)-1</f>
        <v>0.10401503207775398</v>
      </c>
      <c r="AE45" s="1690"/>
      <c r="AF45" s="1691"/>
      <c r="AG45" s="225"/>
      <c r="AH45" s="225"/>
    </row>
    <row r="46" spans="1:34" s="1403" customFormat="1" ht="14">
      <c r="A46" s="1008"/>
      <c r="B46" s="1008"/>
      <c r="C46" s="1008"/>
      <c r="D46" s="1401" t="s">
        <v>512</v>
      </c>
      <c r="E46" s="1402">
        <f t="shared" ref="E46:P46" si="194">E44/E51</f>
        <v>0</v>
      </c>
      <c r="F46" s="1402">
        <f t="shared" si="194"/>
        <v>0</v>
      </c>
      <c r="G46" s="1402">
        <f t="shared" si="194"/>
        <v>0</v>
      </c>
      <c r="H46" s="1402">
        <f t="shared" si="194"/>
        <v>0</v>
      </c>
      <c r="I46" s="1402">
        <f t="shared" si="194"/>
        <v>0</v>
      </c>
      <c r="J46" s="1402">
        <f t="shared" si="194"/>
        <v>0</v>
      </c>
      <c r="K46" s="1402">
        <f t="shared" si="194"/>
        <v>0</v>
      </c>
      <c r="L46" s="1402"/>
      <c r="M46" s="1402"/>
      <c r="N46" s="1402"/>
      <c r="O46" s="1402">
        <f t="shared" si="194"/>
        <v>0.17831830072821678</v>
      </c>
      <c r="P46" s="1402">
        <f t="shared" si="194"/>
        <v>0.37154961155612015</v>
      </c>
      <c r="Q46" s="1402">
        <f t="shared" ref="Q46:AD46" si="195">Q44/Q51</f>
        <v>0.3749120605873042</v>
      </c>
      <c r="R46" s="1402">
        <f t="shared" si="195"/>
        <v>0.39149162920482022</v>
      </c>
      <c r="S46" s="1402">
        <f t="shared" si="195"/>
        <v>0.4025288815031085</v>
      </c>
      <c r="T46" s="1402">
        <f t="shared" si="195"/>
        <v>0.41361646595571194</v>
      </c>
      <c r="U46" s="1402">
        <f t="shared" si="195"/>
        <v>0.42376385808460493</v>
      </c>
      <c r="V46" s="1402">
        <f t="shared" si="195"/>
        <v>0.43204737632051976</v>
      </c>
      <c r="W46" s="1402">
        <f t="shared" si="195"/>
        <v>0.4406668505953833</v>
      </c>
      <c r="X46" s="1402">
        <f t="shared" si="195"/>
        <v>0.44800676164079395</v>
      </c>
      <c r="Y46" s="1402">
        <f t="shared" si="195"/>
        <v>0.45639296725757206</v>
      </c>
      <c r="Z46" s="1402">
        <f t="shared" si="195"/>
        <v>0.46439461940271232</v>
      </c>
      <c r="AA46" s="1402">
        <f t="shared" si="195"/>
        <v>0.47213440236900023</v>
      </c>
      <c r="AB46" s="1402">
        <f t="shared" si="195"/>
        <v>0.47968719268132787</v>
      </c>
      <c r="AC46" s="1402">
        <f t="shared" si="195"/>
        <v>0.48704651016267814</v>
      </c>
      <c r="AD46" s="1402">
        <f t="shared" si="195"/>
        <v>0.49420700626757513</v>
      </c>
      <c r="AE46" s="1690"/>
      <c r="AF46" s="1691"/>
      <c r="AG46" s="225"/>
      <c r="AH46" s="225"/>
    </row>
    <row r="47" spans="1:34" s="1403" customFormat="1" thickBot="1">
      <c r="A47" s="1008"/>
      <c r="B47" s="1008"/>
      <c r="C47" s="1008"/>
      <c r="D47" s="1401" t="s">
        <v>500</v>
      </c>
      <c r="E47" s="1402" t="e">
        <f t="shared" ref="E47:P47" si="196">E44/E17</f>
        <v>#DIV/0!</v>
      </c>
      <c r="F47" s="1402" t="e">
        <f t="shared" si="196"/>
        <v>#DIV/0!</v>
      </c>
      <c r="G47" s="1402" t="e">
        <f t="shared" si="196"/>
        <v>#DIV/0!</v>
      </c>
      <c r="H47" s="1402" t="e">
        <f t="shared" si="196"/>
        <v>#DIV/0!</v>
      </c>
      <c r="I47" s="1402" t="e">
        <f t="shared" si="196"/>
        <v>#DIV/0!</v>
      </c>
      <c r="J47" s="1402" t="e">
        <f t="shared" si="196"/>
        <v>#DIV/0!</v>
      </c>
      <c r="K47" s="1402" t="e">
        <f t="shared" si="196"/>
        <v>#DIV/0!</v>
      </c>
      <c r="L47" s="1402"/>
      <c r="M47" s="1402"/>
      <c r="N47" s="1402"/>
      <c r="O47" s="1402">
        <f t="shared" si="196"/>
        <v>0.312734186736499</v>
      </c>
      <c r="P47" s="1402">
        <f t="shared" si="196"/>
        <v>0.30207966054537216</v>
      </c>
      <c r="Q47" s="1402">
        <f t="shared" ref="Q47:T47" si="197">Q44/Q17</f>
        <v>0.29617766976187015</v>
      </c>
      <c r="R47" s="1402">
        <f t="shared" si="197"/>
        <v>0.29499999999999998</v>
      </c>
      <c r="S47" s="1402">
        <f t="shared" si="197"/>
        <v>0.29499999999999998</v>
      </c>
      <c r="T47" s="1402">
        <f t="shared" si="197"/>
        <v>0.29499999999999998</v>
      </c>
      <c r="U47" s="1402">
        <v>0.3</v>
      </c>
      <c r="V47" s="1402">
        <f>U47</f>
        <v>0.3</v>
      </c>
      <c r="W47" s="1402">
        <f t="shared" ref="W47:AD47" si="198">V47</f>
        <v>0.3</v>
      </c>
      <c r="X47" s="1402">
        <f t="shared" si="198"/>
        <v>0.3</v>
      </c>
      <c r="Y47" s="1402">
        <f t="shared" si="198"/>
        <v>0.3</v>
      </c>
      <c r="Z47" s="1402">
        <f t="shared" si="198"/>
        <v>0.3</v>
      </c>
      <c r="AA47" s="1402">
        <f t="shared" si="198"/>
        <v>0.3</v>
      </c>
      <c r="AB47" s="1402">
        <f t="shared" si="198"/>
        <v>0.3</v>
      </c>
      <c r="AC47" s="1402">
        <f t="shared" si="198"/>
        <v>0.3</v>
      </c>
      <c r="AD47" s="1402">
        <f t="shared" si="198"/>
        <v>0.3</v>
      </c>
      <c r="AE47" s="1690"/>
      <c r="AF47" s="1691"/>
      <c r="AG47" s="225"/>
      <c r="AH47" s="225"/>
    </row>
    <row r="48" spans="1:34" s="309" customFormat="1" ht="16" thickBot="1">
      <c r="A48" s="178">
        <v>0.01</v>
      </c>
      <c r="B48" s="178"/>
      <c r="C48" s="178"/>
      <c r="D48" s="845" t="s">
        <v>973</v>
      </c>
      <c r="E48" s="310">
        <f t="shared" ref="E48:N48" si="199">E29+E34+E39</f>
        <v>180672</v>
      </c>
      <c r="F48" s="310">
        <f t="shared" si="199"/>
        <v>183325</v>
      </c>
      <c r="G48" s="310">
        <f t="shared" si="199"/>
        <v>236543</v>
      </c>
      <c r="H48" s="842">
        <f t="shared" si="199"/>
        <v>317284</v>
      </c>
      <c r="I48" s="842">
        <f t="shared" si="199"/>
        <v>410866</v>
      </c>
      <c r="J48" s="842">
        <f t="shared" si="199"/>
        <v>484474</v>
      </c>
      <c r="K48" s="842">
        <f t="shared" si="199"/>
        <v>512689</v>
      </c>
      <c r="L48" s="842">
        <f t="shared" si="199"/>
        <v>711025</v>
      </c>
      <c r="M48" s="842">
        <f t="shared" si="199"/>
        <v>743559</v>
      </c>
      <c r="N48" s="842">
        <f t="shared" si="199"/>
        <v>879566</v>
      </c>
      <c r="O48" s="842">
        <f t="shared" ref="O48:AC48" si="200">O29+O34+O39</f>
        <v>827643</v>
      </c>
      <c r="P48" s="842">
        <f t="shared" si="200"/>
        <v>1039358.9697272859</v>
      </c>
      <c r="Q48" s="842">
        <f t="shared" si="200"/>
        <v>1125959.934470918</v>
      </c>
      <c r="R48" s="842">
        <f t="shared" si="200"/>
        <v>1164129.2159390936</v>
      </c>
      <c r="S48" s="842">
        <f t="shared" si="200"/>
        <v>1247267.9279613581</v>
      </c>
      <c r="T48" s="842">
        <f t="shared" si="200"/>
        <v>1329219.6945716548</v>
      </c>
      <c r="U48" s="842">
        <f t="shared" si="200"/>
        <v>1408394.8908727621</v>
      </c>
      <c r="V48" s="842">
        <f t="shared" si="200"/>
        <v>1501934.1607474489</v>
      </c>
      <c r="W48" s="842">
        <f t="shared" si="200"/>
        <v>1603865.271645488</v>
      </c>
      <c r="X48" s="842">
        <f t="shared" si="200"/>
        <v>1722248.3135150536</v>
      </c>
      <c r="Y48" s="842">
        <f t="shared" si="200"/>
        <v>1840914.7352490125</v>
      </c>
      <c r="Z48" s="842">
        <f t="shared" si="200"/>
        <v>1968637.8261534136</v>
      </c>
      <c r="AA48" s="842">
        <f t="shared" si="200"/>
        <v>2106889.6226488678</v>
      </c>
      <c r="AB48" s="842">
        <f t="shared" si="200"/>
        <v>2256659.9056434524</v>
      </c>
      <c r="AC48" s="842">
        <f t="shared" si="200"/>
        <v>2419037.4063453414</v>
      </c>
      <c r="AD48" s="842">
        <f>AD29+AD34+AD39</f>
        <v>2595218.5030804109</v>
      </c>
      <c r="AE48" s="846">
        <f>(O48/L48)^(1/4)-1</f>
        <v>3.8698594134368713E-2</v>
      </c>
      <c r="AF48" s="847">
        <f>(T48/P48)^(1/4)-1</f>
        <v>6.3427286673920058E-2</v>
      </c>
      <c r="AG48" s="246"/>
      <c r="AH48" s="246"/>
    </row>
    <row r="49" spans="1:37" s="1403" customFormat="1" ht="14">
      <c r="A49" s="1008"/>
      <c r="B49" s="1008"/>
      <c r="C49" s="1008"/>
      <c r="D49" s="1401" t="s">
        <v>511</v>
      </c>
      <c r="E49" s="1402" t="e">
        <f t="shared" ref="E49" si="201">(E48/D48)-1</f>
        <v>#VALUE!</v>
      </c>
      <c r="F49" s="1402">
        <f t="shared" ref="F49" si="202">(F48/E48)-1</f>
        <v>1.4684068366985548E-2</v>
      </c>
      <c r="G49" s="1402">
        <f t="shared" ref="G49" si="203">(G48/F48)-1</f>
        <v>0.29029319514523388</v>
      </c>
      <c r="H49" s="1402">
        <f t="shared" ref="H49" si="204">(H48/G48)-1</f>
        <v>0.34133751580050986</v>
      </c>
      <c r="I49" s="1402">
        <f t="shared" ref="I49" si="205">(I48/H48)-1</f>
        <v>0.2949471136269084</v>
      </c>
      <c r="J49" s="1402">
        <f t="shared" ref="J49" si="206">(J48/I48)-1</f>
        <v>0.17915330058948653</v>
      </c>
      <c r="K49" s="1402">
        <f t="shared" ref="K49" si="207">(K48/J48)-1</f>
        <v>5.8238419399183394E-2</v>
      </c>
      <c r="L49" s="1402">
        <f t="shared" ref="L49" si="208">(L48/K48)-1</f>
        <v>0.38685440881314004</v>
      </c>
      <c r="M49" s="1402">
        <f t="shared" ref="M49" si="209">(M48/L48)-1</f>
        <v>4.5756478323546901E-2</v>
      </c>
      <c r="N49" s="1402">
        <f t="shared" ref="N49" si="210">(N48/M48)-1</f>
        <v>0.18291352804552163</v>
      </c>
      <c r="O49" s="1402">
        <f t="shared" ref="O49" si="211">(O48/N48)-1</f>
        <v>-5.9032522857863978E-2</v>
      </c>
      <c r="P49" s="1402">
        <f t="shared" ref="P49" si="212">(P48/O48)-1</f>
        <v>0.2558059087399831</v>
      </c>
      <c r="Q49" s="1402">
        <f t="shared" ref="Q49" si="213">(Q48/P48)-1</f>
        <v>8.3321515728444595E-2</v>
      </c>
      <c r="R49" s="1402">
        <f t="shared" ref="R49" si="214">(R48/Q48)-1</f>
        <v>3.3899324744722126E-2</v>
      </c>
      <c r="S49" s="1402">
        <f t="shared" ref="S49" si="215">(S48/R48)-1</f>
        <v>7.141708229974908E-2</v>
      </c>
      <c r="T49" s="1402">
        <f t="shared" ref="T49" si="216">(T48/S48)-1</f>
        <v>6.5705021970897448E-2</v>
      </c>
      <c r="U49" s="1402">
        <f t="shared" ref="U49" si="217">(U48/T48)-1</f>
        <v>5.9565169418153818E-2</v>
      </c>
      <c r="V49" s="1402">
        <f t="shared" ref="V49" si="218">(V48/U48)-1</f>
        <v>6.6415513490482692E-2</v>
      </c>
      <c r="W49" s="1402">
        <f t="shared" ref="W49" si="219">(W48/V48)-1</f>
        <v>6.7866564035877763E-2</v>
      </c>
      <c r="X49" s="1402">
        <f t="shared" ref="X49" si="220">(X48/W48)-1</f>
        <v>7.38110887257446E-2</v>
      </c>
      <c r="Y49" s="1402">
        <f t="shared" ref="Y49" si="221">(Y48/X48)-1</f>
        <v>6.890203973651432E-2</v>
      </c>
      <c r="Z49" s="1402">
        <f t="shared" ref="Z49" si="222">(Z48/Y48)-1</f>
        <v>6.9380231717860896E-2</v>
      </c>
      <c r="AA49" s="1402">
        <f t="shared" ref="AA49" si="223">(AA48/Z48)-1</f>
        <v>7.0227136072859464E-2</v>
      </c>
      <c r="AB49" s="1402">
        <f t="shared" ref="AB49" si="224">(AB48/AA48)-1</f>
        <v>7.108596548417534E-2</v>
      </c>
      <c r="AC49" s="1402">
        <f t="shared" ref="AC49" si="225">(AC48/AB48)-1</f>
        <v>7.1954794914295794E-2</v>
      </c>
      <c r="AD49" s="1402">
        <f t="shared" ref="AD49" si="226">(AD48/AC48)-1</f>
        <v>7.2831075812606949E-2</v>
      </c>
      <c r="AE49" s="1690"/>
      <c r="AF49" s="1691"/>
      <c r="AG49" s="225"/>
      <c r="AH49" s="225"/>
    </row>
    <row r="50" spans="1:37" s="1403" customFormat="1" thickBot="1">
      <c r="A50" s="1008"/>
      <c r="B50" s="1008"/>
      <c r="C50" s="1008"/>
      <c r="D50" s="1401" t="s">
        <v>500</v>
      </c>
      <c r="E50" s="1402">
        <f t="shared" ref="E50:N50" si="227">E48/E20</f>
        <v>7.0122681313853255E-2</v>
      </c>
      <c r="F50" s="1402">
        <f t="shared" si="227"/>
        <v>7.2045911313477623E-2</v>
      </c>
      <c r="G50" s="1402">
        <f t="shared" si="227"/>
        <v>9.0667922882263524E-2</v>
      </c>
      <c r="H50" s="1402">
        <f t="shared" si="227"/>
        <v>0.10567411696213391</v>
      </c>
      <c r="I50" s="1402">
        <f t="shared" si="227"/>
        <v>0.1244562728244249</v>
      </c>
      <c r="J50" s="1402">
        <f t="shared" si="227"/>
        <v>0.1415258562189565</v>
      </c>
      <c r="K50" s="1402">
        <f t="shared" si="227"/>
        <v>0.14018636135443657</v>
      </c>
      <c r="L50" s="1402">
        <f t="shared" si="227"/>
        <v>0.15297601028926511</v>
      </c>
      <c r="M50" s="1402">
        <f t="shared" si="227"/>
        <v>0.15816285290809373</v>
      </c>
      <c r="N50" s="1402">
        <f t="shared" si="227"/>
        <v>0.17454705510907231</v>
      </c>
      <c r="O50" s="1402">
        <f>O48/O20</f>
        <v>0.1479400384202269</v>
      </c>
      <c r="P50" s="1402">
        <f>P48/P20</f>
        <v>0.16189977311490408</v>
      </c>
      <c r="Q50" s="1402">
        <f t="shared" ref="Q50:AD50" si="228">Q48/Q20</f>
        <v>0.16175259087121932</v>
      </c>
      <c r="R50" s="1402">
        <f t="shared" si="228"/>
        <v>0.15504620066131578</v>
      </c>
      <c r="S50" s="1402">
        <f t="shared" si="228"/>
        <v>0.15471265391677977</v>
      </c>
      <c r="T50" s="1402">
        <f t="shared" si="228"/>
        <v>0.15442489085064895</v>
      </c>
      <c r="U50" s="1402">
        <f t="shared" si="228"/>
        <v>0.15345793786026668</v>
      </c>
      <c r="V50" s="1402">
        <f t="shared" si="228"/>
        <v>0.15332716996139065</v>
      </c>
      <c r="W50" s="1402">
        <f t="shared" si="228"/>
        <v>0.15318858965052298</v>
      </c>
      <c r="X50" s="1402">
        <f t="shared" si="228"/>
        <v>0.1530899094898899</v>
      </c>
      <c r="Y50" s="1402">
        <f t="shared" si="228"/>
        <v>0.15294506867621477</v>
      </c>
      <c r="Z50" s="1402">
        <f t="shared" si="228"/>
        <v>0.15280052363812099</v>
      </c>
      <c r="AA50" s="1402">
        <f t="shared" si="228"/>
        <v>0.15265359286172589</v>
      </c>
      <c r="AB50" s="1402">
        <f t="shared" si="228"/>
        <v>0.15250432484848614</v>
      </c>
      <c r="AC50" s="1402">
        <f t="shared" si="228"/>
        <v>0.1523527684112625</v>
      </c>
      <c r="AD50" s="1402">
        <f t="shared" si="228"/>
        <v>0.15219896715841086</v>
      </c>
      <c r="AE50" s="1690"/>
      <c r="AF50" s="1691"/>
      <c r="AG50" s="225"/>
      <c r="AH50" s="225"/>
    </row>
    <row r="51" spans="1:37" s="20" customFormat="1" ht="16" thickBot="1">
      <c r="A51" s="4"/>
      <c r="B51" s="4"/>
      <c r="C51" s="4"/>
      <c r="D51" s="172" t="s">
        <v>972</v>
      </c>
      <c r="E51" s="174">
        <f t="shared" ref="E51:P51" si="229">E44+E39+E34+E29</f>
        <v>180672</v>
      </c>
      <c r="F51" s="174">
        <f t="shared" si="229"/>
        <v>183325</v>
      </c>
      <c r="G51" s="174">
        <f t="shared" si="229"/>
        <v>236543</v>
      </c>
      <c r="H51" s="843">
        <f t="shared" si="229"/>
        <v>317284</v>
      </c>
      <c r="I51" s="843">
        <f t="shared" si="229"/>
        <v>410866</v>
      </c>
      <c r="J51" s="843">
        <f t="shared" si="229"/>
        <v>484474</v>
      </c>
      <c r="K51" s="843">
        <f t="shared" si="229"/>
        <v>512689</v>
      </c>
      <c r="L51" s="843">
        <f t="shared" si="229"/>
        <v>711025</v>
      </c>
      <c r="M51" s="843">
        <f t="shared" si="229"/>
        <v>743559</v>
      </c>
      <c r="N51" s="843">
        <f t="shared" si="229"/>
        <v>879566</v>
      </c>
      <c r="O51" s="843">
        <f t="shared" si="229"/>
        <v>1007255</v>
      </c>
      <c r="P51" s="1098">
        <f t="shared" si="229"/>
        <v>1653844.1042273296</v>
      </c>
      <c r="Q51" s="843">
        <f t="shared" ref="Q51:AC51" si="230">Q44+Q39+Q34+Q29</f>
        <v>1801282.4492003783</v>
      </c>
      <c r="R51" s="843">
        <f t="shared" si="230"/>
        <v>1913086.6095035733</v>
      </c>
      <c r="S51" s="843">
        <f t="shared" si="230"/>
        <v>2087578.6114970965</v>
      </c>
      <c r="T51" s="843">
        <f t="shared" si="230"/>
        <v>2266809.3788446356</v>
      </c>
      <c r="U51" s="843">
        <f t="shared" si="230"/>
        <v>2444128.0031330413</v>
      </c>
      <c r="V51" s="843">
        <f t="shared" si="230"/>
        <v>2644470.8557153419</v>
      </c>
      <c r="W51" s="843">
        <f t="shared" si="230"/>
        <v>2867459.7122532884</v>
      </c>
      <c r="X51" s="843">
        <f t="shared" si="230"/>
        <v>3120053.279338019</v>
      </c>
      <c r="Y51" s="843">
        <f t="shared" si="230"/>
        <v>3386480.7192832539</v>
      </c>
      <c r="Z51" s="843">
        <f t="shared" si="230"/>
        <v>3675537.8072529077</v>
      </c>
      <c r="AA51" s="843">
        <f t="shared" si="230"/>
        <v>3991337.2496793629</v>
      </c>
      <c r="AB51" s="843">
        <f t="shared" si="230"/>
        <v>4337121.5812901035</v>
      </c>
      <c r="AC51" s="843">
        <f t="shared" si="230"/>
        <v>4715900.0850399034</v>
      </c>
      <c r="AD51" s="843">
        <f>AD44+AD39+AD34+AD29</f>
        <v>5130989.4269775841</v>
      </c>
      <c r="AE51" s="846">
        <f>(O51/L51)^(1/4)-1</f>
        <v>9.0972089777835219E-2</v>
      </c>
      <c r="AF51" s="847">
        <f>(T51/P51)^(1/4)-1</f>
        <v>8.2007093269793607E-2</v>
      </c>
      <c r="AG51" s="246"/>
      <c r="AH51" s="246"/>
      <c r="AK51" s="50" t="s">
        <v>1658</v>
      </c>
    </row>
    <row r="52" spans="1:37" s="1403" customFormat="1" ht="14">
      <c r="A52" s="1008"/>
      <c r="B52" s="1008"/>
      <c r="C52" s="1008"/>
      <c r="D52" s="1401" t="s">
        <v>511</v>
      </c>
      <c r="E52" s="1402"/>
      <c r="F52" s="1402">
        <f>(F51/E51)-1</f>
        <v>1.4684068366985548E-2</v>
      </c>
      <c r="G52" s="1402">
        <f t="shared" ref="G52" si="231">(G51/F51)-1</f>
        <v>0.29029319514523388</v>
      </c>
      <c r="H52" s="1402">
        <f t="shared" ref="H52" si="232">(H51/G51)-1</f>
        <v>0.34133751580050986</v>
      </c>
      <c r="I52" s="1402">
        <f t="shared" ref="I52" si="233">(I51/H51)-1</f>
        <v>0.2949471136269084</v>
      </c>
      <c r="J52" s="1402">
        <f t="shared" ref="J52" si="234">(J51/I51)-1</f>
        <v>0.17915330058948653</v>
      </c>
      <c r="K52" s="1402">
        <f t="shared" ref="K52" si="235">(K51/J51)-1</f>
        <v>5.8238419399183394E-2</v>
      </c>
      <c r="L52" s="1402">
        <f t="shared" ref="L52" si="236">(L51/K51)-1</f>
        <v>0.38685440881314004</v>
      </c>
      <c r="M52" s="1402">
        <f t="shared" ref="M52" si="237">(M51/L51)-1</f>
        <v>4.5756478323546901E-2</v>
      </c>
      <c r="N52" s="1402">
        <f t="shared" ref="N52" si="238">(N51/M51)-1</f>
        <v>0.18291352804552163</v>
      </c>
      <c r="O52" s="1402">
        <f t="shared" ref="O52" si="239">(O51/N51)-1</f>
        <v>0.14517273291600641</v>
      </c>
      <c r="P52" s="1402">
        <f t="shared" ref="P52" si="240">(P51/O51)-1</f>
        <v>0.64193188837715343</v>
      </c>
      <c r="Q52" s="1402">
        <f t="shared" ref="Q52" si="241">(Q51/P51)-1</f>
        <v>8.9148877210486255E-2</v>
      </c>
      <c r="R52" s="1402">
        <f t="shared" ref="R52" si="242">(R51/Q51)-1</f>
        <v>6.2069199837497369E-2</v>
      </c>
      <c r="S52" s="1402">
        <f t="shared" ref="S52" si="243">(S51/R51)-1</f>
        <v>9.120967191276419E-2</v>
      </c>
      <c r="T52" s="1402">
        <f t="shared" ref="T52" si="244">(T51/S51)-1</f>
        <v>8.5855817050647376E-2</v>
      </c>
      <c r="U52" s="1402">
        <f t="shared" ref="U52" si="245">(U51/T51)-1</f>
        <v>7.822387975948053E-2</v>
      </c>
      <c r="V52" s="1402">
        <f t="shared" ref="V52" si="246">(V51/U51)-1</f>
        <v>8.1969050853919256E-2</v>
      </c>
      <c r="W52" s="1402">
        <f t="shared" ref="W52" si="247">(W51/V51)-1</f>
        <v>8.4322675009260717E-2</v>
      </c>
      <c r="X52" s="1402">
        <f t="shared" ref="X52" si="248">(X51/W51)-1</f>
        <v>8.8089665568915398E-2</v>
      </c>
      <c r="Y52" s="1402">
        <f t="shared" ref="Y52" si="249">(Y51/X51)-1</f>
        <v>8.539195202517913E-2</v>
      </c>
      <c r="Z52" s="1402">
        <f t="shared" ref="Z52" si="250">(Z51/Y51)-1</f>
        <v>8.5356188896546392E-2</v>
      </c>
      <c r="AA52" s="1402">
        <f t="shared" ref="AA52" si="251">(AA51/Z51)-1</f>
        <v>8.5919247464490978E-2</v>
      </c>
      <c r="AB52" s="1402">
        <f t="shared" ref="AB52" si="252">(AB51/AA51)-1</f>
        <v>8.6633704440414849E-2</v>
      </c>
      <c r="AC52" s="1402">
        <f t="shared" ref="AC52" si="253">(AC51/AB51)-1</f>
        <v>8.7334075526914301E-2</v>
      </c>
      <c r="AD52" s="1402">
        <f t="shared" ref="AD52" si="254">(AD51/AC51)-1</f>
        <v>8.8019112884612394E-2</v>
      </c>
      <c r="AE52" s="1690"/>
      <c r="AF52" s="1691"/>
      <c r="AG52" s="225"/>
      <c r="AH52" s="225"/>
    </row>
    <row r="53" spans="1:37" s="1403" customFormat="1" ht="14">
      <c r="A53" s="1008"/>
      <c r="B53" s="1008"/>
      <c r="C53" s="1008"/>
      <c r="D53" s="1401" t="s">
        <v>500</v>
      </c>
      <c r="E53" s="1402">
        <f t="shared" ref="E53:P53" si="255">E51/E22</f>
        <v>7.0122681313853255E-2</v>
      </c>
      <c r="F53" s="1402">
        <f t="shared" si="255"/>
        <v>7.2045911313477623E-2</v>
      </c>
      <c r="G53" s="1402">
        <f t="shared" si="255"/>
        <v>9.0667922882263524E-2</v>
      </c>
      <c r="H53" s="1402">
        <f t="shared" si="255"/>
        <v>0.10567411696213391</v>
      </c>
      <c r="I53" s="1402">
        <f t="shared" si="255"/>
        <v>0.1244562728244249</v>
      </c>
      <c r="J53" s="1402">
        <f t="shared" si="255"/>
        <v>0.1415258562189565</v>
      </c>
      <c r="K53" s="1402">
        <f t="shared" si="255"/>
        <v>0.14018636135443657</v>
      </c>
      <c r="L53" s="1402">
        <f t="shared" si="255"/>
        <v>0.15297601028926511</v>
      </c>
      <c r="M53" s="1402">
        <f t="shared" si="255"/>
        <v>0.15816285290809373</v>
      </c>
      <c r="N53" s="1402">
        <f t="shared" si="255"/>
        <v>0.17454705510907231</v>
      </c>
      <c r="O53" s="1402">
        <f t="shared" si="255"/>
        <v>0.16328277063670804</v>
      </c>
      <c r="P53" s="1402">
        <f t="shared" si="255"/>
        <v>0.19562973970165817</v>
      </c>
      <c r="Q53" s="1402">
        <f t="shared" ref="Q53:AD53" si="256">Q51/Q22</f>
        <v>0.19492020747501407</v>
      </c>
      <c r="R53" s="1402">
        <f t="shared" si="256"/>
        <v>0.19041159932636037</v>
      </c>
      <c r="S53" s="1402">
        <f t="shared" si="256"/>
        <v>0.19133935828424994</v>
      </c>
      <c r="T53" s="1402">
        <f t="shared" si="256"/>
        <v>0.19233364319123628</v>
      </c>
      <c r="U53" s="1402">
        <f t="shared" si="256"/>
        <v>0.19262346887071466</v>
      </c>
      <c r="V53" s="1402">
        <f t="shared" si="256"/>
        <v>0.19347212579161821</v>
      </c>
      <c r="W53" s="1402">
        <f t="shared" si="256"/>
        <v>0.19436434289435106</v>
      </c>
      <c r="X53" s="1402">
        <f t="shared" si="256"/>
        <v>0.19515097524913158</v>
      </c>
      <c r="Y53" s="1402">
        <f t="shared" si="256"/>
        <v>0.19603151614572201</v>
      </c>
      <c r="Z53" s="1402">
        <f t="shared" si="256"/>
        <v>0.19687702783310829</v>
      </c>
      <c r="AA53" s="1402">
        <f t="shared" si="256"/>
        <v>0.1976990007822694</v>
      </c>
      <c r="AB53" s="1402">
        <f t="shared" si="256"/>
        <v>0.19850603555943355</v>
      </c>
      <c r="AC53" s="1402">
        <f t="shared" si="256"/>
        <v>0.19929685119201618</v>
      </c>
      <c r="AD53" s="1402">
        <f t="shared" si="256"/>
        <v>0.2000702698810394</v>
      </c>
      <c r="AE53" s="1690"/>
      <c r="AF53" s="1691"/>
      <c r="AG53" s="225"/>
      <c r="AH53" s="225"/>
    </row>
    <row r="54" spans="1:37" s="1403" customFormat="1" ht="14">
      <c r="A54" s="1008"/>
      <c r="B54" s="1008"/>
      <c r="C54" s="1008"/>
      <c r="D54" s="1401" t="s">
        <v>391</v>
      </c>
      <c r="E54" s="1402">
        <f>E51-'2a. Income Statement'!E32</f>
        <v>0</v>
      </c>
      <c r="F54" s="1402">
        <f>F51-'2a. Income Statement'!F32</f>
        <v>0</v>
      </c>
      <c r="G54" s="1402">
        <f>G51-'2a. Income Statement'!G32</f>
        <v>-180</v>
      </c>
      <c r="H54" s="1402">
        <f>H51-'2a. Income Statement'!H32</f>
        <v>0</v>
      </c>
      <c r="I54" s="1402">
        <f>I51-'2a. Income Statement'!I32</f>
        <v>0</v>
      </c>
      <c r="J54" s="1402">
        <f>J51-'2a. Income Statement'!J32</f>
        <v>0</v>
      </c>
      <c r="K54" s="1402">
        <f>K51-'2a. Income Statement'!K32</f>
        <v>0</v>
      </c>
      <c r="L54" s="1038">
        <f>L51-'2a. Income Statement'!L32</f>
        <v>0</v>
      </c>
      <c r="M54" s="1038">
        <f>M51-'2a. Income Statement'!M32</f>
        <v>-1</v>
      </c>
      <c r="N54" s="1038">
        <f>N51-'2a. Income Statement'!N32</f>
        <v>0</v>
      </c>
      <c r="O54" s="1038">
        <f>O51-'2a. Income Statement'!O32</f>
        <v>0</v>
      </c>
      <c r="P54" s="1038">
        <f>P51-'2a. Income Statement'!P32</f>
        <v>0</v>
      </c>
      <c r="Q54" s="1038">
        <f>Q51-'2a. Income Statement'!Q32</f>
        <v>0</v>
      </c>
      <c r="R54" s="1038">
        <f>R51-'2a. Income Statement'!R32</f>
        <v>0</v>
      </c>
      <c r="S54" s="1038">
        <f>S51-'2a. Income Statement'!S32</f>
        <v>0</v>
      </c>
      <c r="T54" s="1038">
        <f>T51-'2a. Income Statement'!T32</f>
        <v>0</v>
      </c>
      <c r="U54" s="1038">
        <f>U51-'2a. Income Statement'!U32</f>
        <v>0</v>
      </c>
      <c r="V54" s="1038">
        <f>V51-'2a. Income Statement'!V32</f>
        <v>0</v>
      </c>
      <c r="W54" s="1038">
        <f>W51-'2a. Income Statement'!W32</f>
        <v>0</v>
      </c>
      <c r="X54" s="1038">
        <f>X51-'2a. Income Statement'!X32</f>
        <v>0</v>
      </c>
      <c r="Y54" s="1038">
        <f>Y51-'2a. Income Statement'!Y32</f>
        <v>0</v>
      </c>
      <c r="Z54" s="1038">
        <f>Z51-'2a. Income Statement'!Z32</f>
        <v>0</v>
      </c>
      <c r="AA54" s="1038">
        <f>AA51-'2a. Income Statement'!AA32</f>
        <v>0</v>
      </c>
      <c r="AB54" s="1038">
        <f>AB51-'2a. Income Statement'!AB32</f>
        <v>0</v>
      </c>
      <c r="AC54" s="1038">
        <f>AC51-'2a. Income Statement'!AC32</f>
        <v>0</v>
      </c>
      <c r="AD54" s="1038">
        <f>AD51-'2a. Income Statement'!AD32</f>
        <v>0</v>
      </c>
      <c r="AE54" s="1692"/>
      <c r="AF54" s="1693"/>
      <c r="AG54" s="1402"/>
      <c r="AH54" s="1402"/>
    </row>
    <row r="55" spans="1:37" s="1668" customFormat="1" ht="16" thickBot="1">
      <c r="A55" s="1666"/>
      <c r="B55" s="1666"/>
      <c r="C55" s="1666"/>
      <c r="D55" s="1667"/>
      <c r="H55" s="1669"/>
      <c r="I55" s="1669"/>
      <c r="J55" s="1669"/>
      <c r="K55" s="1669"/>
      <c r="L55" s="1669"/>
      <c r="M55" s="1669"/>
      <c r="N55" s="1669"/>
      <c r="O55" s="1669"/>
      <c r="P55" s="1669"/>
      <c r="AE55" s="1670"/>
      <c r="AF55" s="1671"/>
    </row>
    <row r="56" spans="1:37" s="307" customFormat="1">
      <c r="D56" s="853" t="s">
        <v>1118</v>
      </c>
      <c r="E56" s="311">
        <f>'2a. Income Statement'!E125</f>
        <v>1.0548980404356616</v>
      </c>
      <c r="F56" s="311">
        <f>'2a. Income Statement'!F125</f>
        <v>1.1247946437131129</v>
      </c>
      <c r="G56" s="311">
        <f>'2a. Income Statement'!G125</f>
        <v>1.6218706519250627</v>
      </c>
      <c r="H56" s="851">
        <f>'2a. Income Statement'!H125</f>
        <v>2.3429813506029897</v>
      </c>
      <c r="I56" s="851">
        <f>'2a. Income Statement'!I125</f>
        <v>2.714690637782708</v>
      </c>
      <c r="J56" s="851">
        <f>'2a. Income Statement'!J125</f>
        <v>2.9918030497924177</v>
      </c>
      <c r="K56" s="851">
        <f>'2a. Income Statement'!K125</f>
        <v>3.1274291227052129</v>
      </c>
      <c r="L56" s="1190">
        <f>'2a. Income Statement'!L125</f>
        <v>4.19806123008114</v>
      </c>
      <c r="M56" s="1190">
        <f>'2a. Income Statement'!M125</f>
        <v>4.4322098072844467</v>
      </c>
      <c r="N56" s="1190">
        <f>'2a. Income Statement'!N125</f>
        <v>5.1098172733025642</v>
      </c>
      <c r="O56" s="1190">
        <f>'2a. Income Statement'!O125</f>
        <v>5.3216867420412086</v>
      </c>
      <c r="P56" s="1190">
        <f>'2a. Income Statement'!P125</f>
        <v>7.1907244382411459</v>
      </c>
      <c r="Q56" s="1190">
        <f>'2a. Income Statement'!Q125</f>
        <v>7.8850533399603915</v>
      </c>
      <c r="R56" s="1190">
        <f>'2a. Income Statement'!R125</f>
        <v>8.4196273540685347</v>
      </c>
      <c r="S56" s="1190">
        <f>'2a. Income Statement'!S125</f>
        <v>9.2432627161032155</v>
      </c>
      <c r="T56" s="1190">
        <f>'2a. Income Statement'!T125</f>
        <v>10.087569499208337</v>
      </c>
      <c r="U56" s="1190">
        <f>'2a. Income Statement'!U125</f>
        <v>10.923960523787711</v>
      </c>
      <c r="V56" s="1190">
        <f>'2a. Income Statement'!V125</f>
        <v>11.869186176518971</v>
      </c>
      <c r="W56" s="1190">
        <f>'2a. Income Statement'!W125</f>
        <v>12.918553203211371</v>
      </c>
      <c r="X56" s="1190">
        <f>'2a. Income Statement'!X125</f>
        <v>14.106003312985631</v>
      </c>
      <c r="Y56" s="1190">
        <f>'2a. Income Statement'!Y125</f>
        <v>15.353301311032235</v>
      </c>
      <c r="Z56" s="1190">
        <f>'2a. Income Statement'!Z125</f>
        <v>16.707449529981957</v>
      </c>
      <c r="AA56" s="1190">
        <f>'2a. Income Statement'!AA125</f>
        <v>18.185430805532846</v>
      </c>
      <c r="AB56" s="1190">
        <f>'2a. Income Statement'!AB125</f>
        <v>19.801377606092142</v>
      </c>
      <c r="AC56" s="1190">
        <f>'2a. Income Statement'!AC125</f>
        <v>21.569290063482526</v>
      </c>
      <c r="AD56" s="1190">
        <f>'2a. Income Statement'!AD125</f>
        <v>23.50437381687091</v>
      </c>
      <c r="AE56" s="848"/>
      <c r="AF56" s="849"/>
    </row>
    <row r="57" spans="1:37" s="1403" customFormat="1" ht="14">
      <c r="D57" s="1401" t="s">
        <v>511</v>
      </c>
      <c r="E57" s="1402"/>
      <c r="F57" s="1402">
        <f>(F56/E56)-1</f>
        <v>6.6259108082696638E-2</v>
      </c>
      <c r="G57" s="1402">
        <f t="shared" ref="G57" si="257">(G56/F56)-1</f>
        <v>0.44192600933004855</v>
      </c>
      <c r="H57" s="1402">
        <f t="shared" ref="H57" si="258">(H56/G56)-1</f>
        <v>0.4446166516559209</v>
      </c>
      <c r="I57" s="1402">
        <f t="shared" ref="I57" si="259">(I56/H56)-1</f>
        <v>0.15864799226167769</v>
      </c>
      <c r="J57" s="1402">
        <f t="shared" ref="J57" si="260">(J56/I56)-1</f>
        <v>0.10207881817283182</v>
      </c>
      <c r="K57" s="1402">
        <f t="shared" ref="K57" si="261">(K56/J56)-1</f>
        <v>4.5332553866540559E-2</v>
      </c>
      <c r="L57" s="1402">
        <f t="shared" ref="L57" si="262">(L56/K56)-1</f>
        <v>0.34233616986012927</v>
      </c>
      <c r="M57" s="1402">
        <f t="shared" ref="M57" si="263">(M56/L56)-1</f>
        <v>5.5775407830052304E-2</v>
      </c>
      <c r="N57" s="1402">
        <f t="shared" ref="N57" si="264">(N56/M56)-1</f>
        <v>0.15288253387834949</v>
      </c>
      <c r="O57" s="1402">
        <f t="shared" ref="O57" si="265">(O56/N56)-1</f>
        <v>4.1463218233968258E-2</v>
      </c>
      <c r="P57" s="1402">
        <f t="shared" ref="P57" si="266">(P56/O56)-1</f>
        <v>0.35121152123340527</v>
      </c>
      <c r="Q57" s="1402">
        <f t="shared" ref="Q57" si="267">(Q56/P56)-1</f>
        <v>9.6558963937864117E-2</v>
      </c>
      <c r="R57" s="1402">
        <f t="shared" ref="R57" si="268">(R56/Q56)-1</f>
        <v>6.7795865298588831E-2</v>
      </c>
      <c r="S57" s="1402">
        <f t="shared" ref="S57" si="269">(S56/R56)-1</f>
        <v>9.7823255994421654E-2</v>
      </c>
      <c r="T57" s="1402">
        <f t="shared" ref="T57" si="270">(T56/S56)-1</f>
        <v>9.1342939072174945E-2</v>
      </c>
      <c r="U57" s="1402">
        <f t="shared" ref="U57" si="271">(U56/T56)-1</f>
        <v>8.2913037143884205E-2</v>
      </c>
      <c r="V57" s="1402">
        <f t="shared" ref="V57" si="272">(V56/U56)-1</f>
        <v>8.6527743364960275E-2</v>
      </c>
      <c r="W57" s="1402">
        <f t="shared" ref="W57" si="273">(W56/V56)-1</f>
        <v>8.8411034344408668E-2</v>
      </c>
      <c r="X57" s="1402">
        <f t="shared" ref="X57" si="274">(X56/W56)-1</f>
        <v>9.1918196340986302E-2</v>
      </c>
      <c r="Y57" s="1402">
        <f t="shared" ref="Y57" si="275">(Y56/X56)-1</f>
        <v>8.8423203254062166E-2</v>
      </c>
      <c r="Z57" s="1402">
        <f t="shared" ref="Z57" si="276">(Z56/Y56)-1</f>
        <v>8.8199156097893416E-2</v>
      </c>
      <c r="AA57" s="1402">
        <f t="shared" ref="AA57" si="277">(AA56/Z56)-1</f>
        <v>8.8462411506831762E-2</v>
      </c>
      <c r="AB57" s="1402">
        <f t="shared" ref="AB57" si="278">(AB56/AA56)-1</f>
        <v>8.8859418170486926E-2</v>
      </c>
      <c r="AC57" s="1402">
        <f t="shared" ref="AC57" si="279">(AC56/AB56)-1</f>
        <v>8.928229603815363E-2</v>
      </c>
      <c r="AD57" s="1402">
        <f t="shared" ref="AD57" si="280">(AD56/AC56)-1</f>
        <v>8.9714763336811831E-2</v>
      </c>
      <c r="AE57" s="1692"/>
      <c r="AF57" s="1693"/>
    </row>
    <row r="58" spans="1:37" s="307" customFormat="1">
      <c r="D58" s="180" t="s">
        <v>1119</v>
      </c>
      <c r="E58" s="312">
        <f>'2a. Income Statement'!E136</f>
        <v>74</v>
      </c>
      <c r="F58" s="312">
        <f>'2a. Income Statement'!F136</f>
        <v>74</v>
      </c>
      <c r="G58" s="312">
        <f>'2a. Income Statement'!G136</f>
        <v>106</v>
      </c>
      <c r="H58" s="852">
        <f>'2a. Income Statement'!H136</f>
        <v>156</v>
      </c>
      <c r="I58" s="852">
        <f>'2a. Income Statement'!I136</f>
        <v>184</v>
      </c>
      <c r="J58" s="852">
        <f>'2a. Income Statement'!J136</f>
        <v>208</v>
      </c>
      <c r="K58" s="852">
        <f>'2a. Income Statement'!K136</f>
        <v>220</v>
      </c>
      <c r="L58" s="1191">
        <f>'2a. Income Statement'!L136</f>
        <v>2.0143714903307059</v>
      </c>
      <c r="M58" s="1191">
        <f>'2a. Income Statement'!M136</f>
        <v>3.2221500091742961</v>
      </c>
      <c r="N58" s="1191">
        <f>'2a. Income Statement'!N136</f>
        <v>3.7740770857179506</v>
      </c>
      <c r="O58" s="1191">
        <f>'2a. Income Statement'!O136</f>
        <v>3.6433949284937164</v>
      </c>
      <c r="P58" s="1191">
        <f>'2a. Income Statement'!P136</f>
        <v>5.6809655138159156</v>
      </c>
      <c r="Q58" s="1191">
        <f>'2a. Income Statement'!Q136</f>
        <v>6.6448145685298314</v>
      </c>
      <c r="R58" s="1191">
        <f>'2a. Income Statement'!R136</f>
        <v>7.5387621170739783</v>
      </c>
      <c r="S58" s="1191">
        <f>'2a. Income Statement'!S136</f>
        <v>8.2762283735335576</v>
      </c>
      <c r="T58" s="1191">
        <f>'2a. Income Statement'!T136</f>
        <v>9.0322033976046345</v>
      </c>
      <c r="U58" s="1191">
        <f>'2a. Income Statement'!U136</f>
        <v>9.781090813401347</v>
      </c>
      <c r="V58" s="1191">
        <f>'2a. Income Statement'!V136</f>
        <v>10.627426529132705</v>
      </c>
      <c r="W58" s="1191">
        <f>'2a. Income Statement'!W136</f>
        <v>11.567008300992541</v>
      </c>
      <c r="X58" s="1191">
        <f>'2a. Income Statement'!X136</f>
        <v>12.630226841080988</v>
      </c>
      <c r="Y58" s="1191">
        <f>'2a. Income Statement'!Y136</f>
        <v>13.747031956194807</v>
      </c>
      <c r="Z58" s="1191">
        <f>'2a. Income Statement'!Z136</f>
        <v>14.959508573581958</v>
      </c>
      <c r="AA58" s="1191">
        <f>'2a. Income Statement'!AA136</f>
        <v>16.282862776958144</v>
      </c>
      <c r="AB58" s="1191">
        <f>'2a. Income Statement'!AB136</f>
        <v>17.729748489468527</v>
      </c>
      <c r="AC58" s="1191">
        <f>'2a. Income Statement'!AC136</f>
        <v>19.312701142787265</v>
      </c>
      <c r="AD58" s="1191">
        <f>'2a. Income Statement'!AD136</f>
        <v>21.045335555206997</v>
      </c>
      <c r="AE58" s="848"/>
      <c r="AF58" s="849"/>
    </row>
    <row r="59" spans="1:37" s="1403" customFormat="1" ht="14">
      <c r="D59" s="1401" t="s">
        <v>1120</v>
      </c>
      <c r="E59" s="1402">
        <f>'2a. Income Statement'!E139</f>
        <v>1.4347552358241172E-2</v>
      </c>
      <c r="F59" s="1402">
        <f>'2a. Income Statement'!F139</f>
        <v>1.5243826075216965E-2</v>
      </c>
      <c r="G59" s="1402">
        <f>'2a. Income Statement'!G139</f>
        <v>1.5323566469278184E-2</v>
      </c>
      <c r="H59" s="1402">
        <f>'2a. Income Statement'!H139</f>
        <v>1.5235588375238121E-2</v>
      </c>
      <c r="I59" s="1402">
        <f>'2a. Income Statement'!I139</f>
        <v>1.5187157926970061E-2</v>
      </c>
      <c r="J59" s="1402">
        <f>'2a. Income Statement'!J139</f>
        <v>1.5155425689208864E-2</v>
      </c>
      <c r="K59" s="1402">
        <f>'2a. Income Statement'!K139</f>
        <v>1.5165910044735187E-2</v>
      </c>
      <c r="L59" s="1402">
        <f>'2a. Income Statement'!L139</f>
        <v>2.2622620736170767</v>
      </c>
      <c r="M59" s="1402">
        <f>'2a. Income Statement'!M139</f>
        <v>1.514056833793334</v>
      </c>
      <c r="N59" s="1402">
        <f>'2a. Income Statement'!N139</f>
        <v>1.4969901218994035</v>
      </c>
      <c r="O59" s="1402">
        <f>'2a. Income Statement'!O139</f>
        <v>1.6144796427855128</v>
      </c>
      <c r="P59" s="1402">
        <f>'2a. Income Statement'!P139</f>
        <v>1.65</v>
      </c>
      <c r="Q59" s="1402">
        <f>'2a. Income Statement'!Q139</f>
        <v>1.63</v>
      </c>
      <c r="R59" s="1402">
        <f>'2a. Income Statement'!R139</f>
        <v>1.63</v>
      </c>
      <c r="S59" s="1402">
        <f>'2a. Income Statement'!S139</f>
        <v>1.63</v>
      </c>
      <c r="T59" s="1402">
        <f>'2a. Income Statement'!T139</f>
        <v>1.5</v>
      </c>
      <c r="U59" s="1402">
        <f>'2a. Income Statement'!U139</f>
        <v>1.5</v>
      </c>
      <c r="V59" s="1402">
        <f>'2a. Income Statement'!V139</f>
        <v>1.5</v>
      </c>
      <c r="W59" s="1402">
        <f>'2a. Income Statement'!W139</f>
        <v>1.5</v>
      </c>
      <c r="X59" s="1402">
        <f>'2a. Income Statement'!X139</f>
        <v>1.5</v>
      </c>
      <c r="Y59" s="1402">
        <f>'2a. Income Statement'!Y139</f>
        <v>1.5</v>
      </c>
      <c r="Z59" s="1402">
        <f>'2a. Income Statement'!Z139</f>
        <v>1.5</v>
      </c>
      <c r="AA59" s="1402">
        <f>'2a. Income Statement'!AA139</f>
        <v>1.5</v>
      </c>
      <c r="AB59" s="1402">
        <f>'2a. Income Statement'!AB139</f>
        <v>1.5</v>
      </c>
      <c r="AC59" s="1402">
        <f>'2a. Income Statement'!AC139</f>
        <v>1.5</v>
      </c>
      <c r="AD59" s="1402">
        <f>'2a. Income Statement'!AD139</f>
        <v>1.5</v>
      </c>
      <c r="AE59" s="1692"/>
      <c r="AF59" s="1693"/>
    </row>
    <row r="60" spans="1:37" s="1403" customFormat="1" thickBot="1">
      <c r="D60" s="1009" t="s">
        <v>511</v>
      </c>
      <c r="E60" s="1411"/>
      <c r="F60" s="1411">
        <f>(F59/E59)-1</f>
        <v>6.2468753875010385E-2</v>
      </c>
      <c r="G60" s="1411">
        <f t="shared" ref="G60" si="281">(G59/F59)-1</f>
        <v>5.2309960549117296E-3</v>
      </c>
      <c r="H60" s="1411">
        <f t="shared" ref="H60" si="282">(H59/G59)-1</f>
        <v>-5.7413588550973005E-3</v>
      </c>
      <c r="I60" s="1411">
        <f t="shared" ref="I60" si="283">(I59/H59)-1</f>
        <v>-3.1787711163667742E-3</v>
      </c>
      <c r="J60" s="1411">
        <f t="shared" ref="J60" si="284">(J59/I59)-1</f>
        <v>-2.0894125098183114E-3</v>
      </c>
      <c r="K60" s="1411">
        <f t="shared" ref="K60" si="285">(K59/J59)-1</f>
        <v>6.9178891713939095E-4</v>
      </c>
      <c r="L60" s="1411">
        <f>(L58/K58)-1</f>
        <v>-0.99084376595304224</v>
      </c>
      <c r="M60" s="1411">
        <f t="shared" ref="M60:AD60" si="286">(M58/L58)-1</f>
        <v>0.59958082441154148</v>
      </c>
      <c r="N60" s="1411">
        <f t="shared" si="286"/>
        <v>0.17129155221581094</v>
      </c>
      <c r="O60" s="1411">
        <f t="shared" si="286"/>
        <v>-3.4626255441037035E-2</v>
      </c>
      <c r="P60" s="1411">
        <f t="shared" si="286"/>
        <v>0.55925054113323625</v>
      </c>
      <c r="Q60" s="1411">
        <f t="shared" si="286"/>
        <v>0.1696628948670551</v>
      </c>
      <c r="R60" s="1411">
        <f t="shared" si="286"/>
        <v>0.1345331068797504</v>
      </c>
      <c r="S60" s="1411">
        <f t="shared" si="286"/>
        <v>9.7823255994422098E-2</v>
      </c>
      <c r="T60" s="1411">
        <f t="shared" si="286"/>
        <v>9.13429390721745E-2</v>
      </c>
      <c r="U60" s="1411">
        <f t="shared" si="286"/>
        <v>8.2913037143884427E-2</v>
      </c>
      <c r="V60" s="1411">
        <f t="shared" si="286"/>
        <v>8.652774336495983E-2</v>
      </c>
      <c r="W60" s="1411">
        <f t="shared" si="286"/>
        <v>8.8411034344409112E-2</v>
      </c>
      <c r="X60" s="1411">
        <f t="shared" si="286"/>
        <v>9.191819634098608E-2</v>
      </c>
      <c r="Y60" s="1411">
        <f t="shared" si="286"/>
        <v>8.8423203254062388E-2</v>
      </c>
      <c r="Z60" s="1411">
        <f t="shared" si="286"/>
        <v>8.8199156097893194E-2</v>
      </c>
      <c r="AA60" s="1411">
        <f t="shared" si="286"/>
        <v>8.8462411506831762E-2</v>
      </c>
      <c r="AB60" s="1411">
        <f t="shared" si="286"/>
        <v>8.8859418170487148E-2</v>
      </c>
      <c r="AC60" s="1411">
        <f t="shared" si="286"/>
        <v>8.9282296038153852E-2</v>
      </c>
      <c r="AD60" s="1411">
        <f t="shared" si="286"/>
        <v>8.9714763336811609E-2</v>
      </c>
      <c r="AE60" s="1694"/>
      <c r="AF60" s="1695"/>
    </row>
    <row r="61" spans="1:37" s="243" customFormat="1">
      <c r="A61" s="115"/>
      <c r="B61" s="115"/>
      <c r="C61" s="115"/>
      <c r="D61" s="115"/>
      <c r="E61" s="115"/>
      <c r="F61" s="115"/>
      <c r="G61" s="115"/>
      <c r="H61" s="1062"/>
      <c r="I61" s="1062"/>
      <c r="J61" s="1062"/>
      <c r="K61" s="1062"/>
      <c r="L61" s="1062"/>
      <c r="M61" s="1062"/>
      <c r="N61" s="1062"/>
      <c r="O61" s="1062"/>
      <c r="P61" s="1062"/>
      <c r="Q61" s="115"/>
      <c r="R61" s="115"/>
      <c r="S61" s="115"/>
      <c r="T61" s="115"/>
      <c r="U61" s="115"/>
      <c r="V61" s="115"/>
      <c r="W61" s="115"/>
      <c r="X61" s="115"/>
      <c r="Y61" s="115"/>
      <c r="Z61" s="115"/>
      <c r="AA61" s="115"/>
      <c r="AB61" s="115"/>
      <c r="AC61" s="115"/>
      <c r="AD61" s="115"/>
      <c r="AE61" s="850"/>
      <c r="AF61" s="850"/>
    </row>
    <row r="62" spans="1:37" s="1668" customFormat="1">
      <c r="A62" s="1666"/>
      <c r="B62" s="1666"/>
      <c r="C62" s="1666"/>
      <c r="D62" s="1666"/>
      <c r="E62" s="1666"/>
      <c r="F62" s="1666"/>
      <c r="G62" s="1666"/>
      <c r="H62" s="1672"/>
      <c r="I62" s="1672"/>
      <c r="J62" s="1672"/>
      <c r="K62" s="1672"/>
      <c r="L62" s="1672"/>
      <c r="M62" s="1672"/>
      <c r="N62" s="1672"/>
      <c r="O62" s="1672"/>
      <c r="P62" s="1672"/>
      <c r="Q62" s="1666"/>
      <c r="R62" s="1666"/>
      <c r="S62" s="1666"/>
      <c r="T62" s="1666"/>
      <c r="U62" s="1666"/>
      <c r="V62" s="1666"/>
      <c r="W62" s="1666"/>
      <c r="X62" s="1666"/>
      <c r="Y62" s="1666"/>
      <c r="Z62" s="1666"/>
      <c r="AA62" s="1666"/>
      <c r="AB62" s="1666"/>
      <c r="AC62" s="1666"/>
      <c r="AD62" s="1666"/>
    </row>
    <row r="63" spans="1:37" s="1472" customFormat="1" ht="16" thickBo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row>
    <row r="64" spans="1:37" ht="16" thickBot="1">
      <c r="A64" s="1660"/>
      <c r="B64" s="1660"/>
      <c r="C64" s="1660"/>
      <c r="D64" s="683" t="s">
        <v>1189</v>
      </c>
      <c r="E64" s="403" t="s">
        <v>216</v>
      </c>
      <c r="F64" s="403" t="s">
        <v>217</v>
      </c>
      <c r="G64" s="403" t="s">
        <v>218</v>
      </c>
      <c r="H64" s="403" t="s">
        <v>28</v>
      </c>
      <c r="I64" s="403" t="s">
        <v>17</v>
      </c>
      <c r="J64" s="403" t="s">
        <v>18</v>
      </c>
      <c r="K64" s="403" t="s">
        <v>19</v>
      </c>
      <c r="L64" s="403" t="s">
        <v>20</v>
      </c>
      <c r="M64" s="403" t="s">
        <v>21</v>
      </c>
      <c r="N64" s="403" t="s">
        <v>22</v>
      </c>
      <c r="O64" s="403" t="s">
        <v>23</v>
      </c>
      <c r="P64" s="404" t="s">
        <v>24</v>
      </c>
      <c r="Q64" s="404" t="s">
        <v>25</v>
      </c>
      <c r="R64" s="404" t="s">
        <v>26</v>
      </c>
      <c r="S64" s="404" t="s">
        <v>27</v>
      </c>
      <c r="T64" s="404" t="s">
        <v>712</v>
      </c>
      <c r="U64" s="404" t="s">
        <v>713</v>
      </c>
      <c r="V64" s="404" t="s">
        <v>714</v>
      </c>
      <c r="W64" s="404" t="s">
        <v>715</v>
      </c>
      <c r="X64" s="404" t="s">
        <v>716</v>
      </c>
      <c r="Y64" s="404" t="s">
        <v>717</v>
      </c>
      <c r="Z64" s="404" t="s">
        <v>718</v>
      </c>
      <c r="AA64" s="404" t="s">
        <v>719</v>
      </c>
      <c r="AB64" s="404" t="s">
        <v>720</v>
      </c>
      <c r="AC64" s="404" t="s">
        <v>721</v>
      </c>
      <c r="AD64" s="1383" t="s">
        <v>722</v>
      </c>
    </row>
    <row r="65" spans="1:30">
      <c r="D65" s="1228" t="s">
        <v>506</v>
      </c>
      <c r="E65" s="190">
        <v>25809</v>
      </c>
      <c r="F65" s="190">
        <v>11448</v>
      </c>
      <c r="G65" s="190">
        <v>19611</v>
      </c>
      <c r="H65" s="1390">
        <v>28470</v>
      </c>
      <c r="I65" s="1390">
        <v>22921</v>
      </c>
      <c r="J65" s="1390">
        <v>21954</v>
      </c>
      <c r="K65" s="1390">
        <f>47726+7654</f>
        <v>55380</v>
      </c>
      <c r="L65" s="1390">
        <f>16253+5477</f>
        <v>21730</v>
      </c>
      <c r="M65" s="1390">
        <f>75957+5847</f>
        <v>81804</v>
      </c>
      <c r="N65" s="1390">
        <f>23084+6781</f>
        <v>29865</v>
      </c>
      <c r="O65" s="1390">
        <f>68893+7631</f>
        <v>76524</v>
      </c>
      <c r="P65" s="1390">
        <f>'3a. InShore Fishing Div.'!P16</f>
        <v>83415.357000000004</v>
      </c>
      <c r="Q65" s="1390">
        <f>'3a. InShore Fishing Div.'!Q16</f>
        <v>93511.771239385271</v>
      </c>
      <c r="R65" s="1390">
        <f>'3a. InShore Fishing Div.'!R16</f>
        <v>104646.43947277071</v>
      </c>
      <c r="S65" s="1390">
        <f>'3a. InShore Fishing Div.'!S16</f>
        <v>117061.6461777568</v>
      </c>
      <c r="T65" s="1390">
        <f>'3a. InShore Fishing Div.'!T16</f>
        <v>130728.29659008724</v>
      </c>
      <c r="U65" s="1390">
        <f>'3a. InShore Fishing Div.'!U16</f>
        <v>145831.8404102088</v>
      </c>
      <c r="V65" s="1390">
        <f>'3a. InShore Fishing Div.'!V16</f>
        <v>162710.56546734137</v>
      </c>
      <c r="W65" s="1390">
        <f>'3a. InShore Fishing Div.'!W16</f>
        <v>181657.94836502449</v>
      </c>
      <c r="X65" s="1390">
        <f>'3a. InShore Fishing Div.'!X16</f>
        <v>203075.64418768216</v>
      </c>
      <c r="Y65" s="1390">
        <f>'3a. InShore Fishing Div.'!Y16</f>
        <v>226802.76907235812</v>
      </c>
      <c r="Z65" s="1390">
        <f>'3a. InShore Fishing Div.'!Z16</f>
        <v>253315.63464689918</v>
      </c>
      <c r="AA65" s="1390">
        <f>'3a. InShore Fishing Div.'!AA16</f>
        <v>282987.70426472661</v>
      </c>
      <c r="AB65" s="1390">
        <f>'3a. InShore Fishing Div.'!AB16</f>
        <v>316211.96516864398</v>
      </c>
      <c r="AC65" s="1390">
        <f>'3a. InShore Fishing Div.'!AC16</f>
        <v>353421.62872927997</v>
      </c>
      <c r="AD65" s="1547">
        <f>'3a. InShore Fishing Div.'!AD16</f>
        <v>395103.36499944265</v>
      </c>
    </row>
    <row r="66" spans="1:30" s="1403" customFormat="1" ht="14">
      <c r="A66" s="1008"/>
      <c r="B66" s="1008"/>
      <c r="C66" s="1008"/>
      <c r="D66" s="1401" t="s">
        <v>511</v>
      </c>
      <c r="E66" s="1402"/>
      <c r="F66" s="1402">
        <f>(F65/E65)-1</f>
        <v>-0.55643380216203653</v>
      </c>
      <c r="G66" s="1402">
        <f t="shared" ref="G66" si="287">(G65/F65)-1</f>
        <v>0.71305031446540879</v>
      </c>
      <c r="H66" s="1402">
        <f t="shared" ref="H66" si="288">(H65/G65)-1</f>
        <v>0.45173627046045595</v>
      </c>
      <c r="I66" s="1402">
        <f t="shared" ref="I66" si="289">(I65/H65)-1</f>
        <v>-0.19490691956445383</v>
      </c>
      <c r="J66" s="1402">
        <f t="shared" ref="J66" si="290">(J65/I65)-1</f>
        <v>-4.2188386196064798E-2</v>
      </c>
      <c r="K66" s="1402">
        <f t="shared" ref="K66" si="291">(K65/J65)-1</f>
        <v>1.5225471440284233</v>
      </c>
      <c r="L66" s="1402">
        <f t="shared" ref="L66" si="292">(L65/K65)-1</f>
        <v>-0.60762007945106533</v>
      </c>
      <c r="M66" s="1402">
        <f t="shared" ref="M66" si="293">(M65/L65)-1</f>
        <v>2.7645651173492869</v>
      </c>
      <c r="N66" s="1402">
        <f t="shared" ref="N66" si="294">(N65/M65)-1</f>
        <v>-0.63492005280915365</v>
      </c>
      <c r="O66" s="1402">
        <f t="shared" ref="O66" si="295">(O65/N65)-1</f>
        <v>1.5623304871923658</v>
      </c>
      <c r="P66" s="1402">
        <f t="shared" ref="P66" si="296">(P65/O65)-1</f>
        <v>9.0054845538654504E-2</v>
      </c>
      <c r="Q66" s="1402">
        <f t="shared" ref="Q66" si="297">(Q65/P65)-1</f>
        <v>0.1210378352679744</v>
      </c>
      <c r="R66" s="1402">
        <f t="shared" ref="R66" si="298">(R65/Q65)-1</f>
        <v>0.11907237009639426</v>
      </c>
      <c r="S66" s="1402">
        <f t="shared" ref="S66" si="299">(S65/R65)-1</f>
        <v>0.118639552072066</v>
      </c>
      <c r="T66" s="1402">
        <f t="shared" ref="T66" si="300">(T65/S65)-1</f>
        <v>0.11674746476380293</v>
      </c>
      <c r="U66" s="1402">
        <f t="shared" ref="U66" si="301">(U65/T65)-1</f>
        <v>0.11553385314489617</v>
      </c>
      <c r="V66" s="1402">
        <f t="shared" ref="V66" si="302">(V65/U65)-1</f>
        <v>0.11574101382561297</v>
      </c>
      <c r="W66" s="1402">
        <f t="shared" ref="W66" si="303">(W65/V65)-1</f>
        <v>0.11644838700708826</v>
      </c>
      <c r="X66" s="1402">
        <f t="shared" ref="X66" si="304">(X65/W65)-1</f>
        <v>0.11790123149261178</v>
      </c>
      <c r="Y66" s="1402">
        <f t="shared" ref="Y66" si="305">(Y65/X65)-1</f>
        <v>0.11683885076216916</v>
      </c>
      <c r="Z66" s="1402">
        <f t="shared" ref="Z66" si="306">(Z65/Y65)-1</f>
        <v>0.11689833278041917</v>
      </c>
      <c r="AA66" s="1402">
        <f t="shared" ref="AA66" si="307">(AA65/Z65)-1</f>
        <v>0.11713477401103889</v>
      </c>
      <c r="AB66" s="1402">
        <f t="shared" ref="AB66" si="308">(AB65/AA65)-1</f>
        <v>0.11740531621415284</v>
      </c>
      <c r="AC66" s="1402">
        <f t="shared" ref="AC66" si="309">(AC65/AB65)-1</f>
        <v>0.11767316755642421</v>
      </c>
      <c r="AD66" s="1452">
        <f t="shared" ref="AD66" si="310">(AD65/AC65)-1</f>
        <v>0.11793770635947909</v>
      </c>
    </row>
    <row r="67" spans="1:30" s="1697" customFormat="1" ht="14">
      <c r="A67" s="147"/>
      <c r="B67" s="147"/>
      <c r="C67" s="147"/>
      <c r="D67" s="1696" t="s">
        <v>513</v>
      </c>
      <c r="E67" s="317">
        <f t="shared" ref="E67:P67" si="311">E65/E5</f>
        <v>1.7550134742113182E-2</v>
      </c>
      <c r="F67" s="317">
        <f t="shared" si="311"/>
        <v>8.6796381057948416E-3</v>
      </c>
      <c r="G67" s="317">
        <f t="shared" si="311"/>
        <v>1.391797683672796E-2</v>
      </c>
      <c r="H67" s="1038">
        <f t="shared" si="311"/>
        <v>1.5145945307549938E-2</v>
      </c>
      <c r="I67" s="1038">
        <f t="shared" si="311"/>
        <v>1.0698264688351956E-2</v>
      </c>
      <c r="J67" s="1038">
        <f t="shared" si="311"/>
        <v>9.6286559748849712E-3</v>
      </c>
      <c r="K67" s="1038">
        <f t="shared" si="311"/>
        <v>2.4414803006309584E-2</v>
      </c>
      <c r="L67" s="1038">
        <f t="shared" si="311"/>
        <v>7.4085969044816041E-3</v>
      </c>
      <c r="M67" s="1038">
        <f t="shared" si="311"/>
        <v>2.7258187052661042E-2</v>
      </c>
      <c r="N67" s="1038">
        <f t="shared" si="311"/>
        <v>8.5524716256397178E-3</v>
      </c>
      <c r="O67" s="1038">
        <f t="shared" si="311"/>
        <v>2.0026510447811972E-2</v>
      </c>
      <c r="P67" s="1038">
        <f t="shared" si="311"/>
        <v>1.840098667552649E-2</v>
      </c>
      <c r="Q67" s="1410">
        <f t="shared" ref="Q67:AD67" si="312">Q65/Q5</f>
        <v>1.8760752763091481E-2</v>
      </c>
      <c r="R67" s="1410">
        <f t="shared" si="312"/>
        <v>1.9253372849234607E-2</v>
      </c>
      <c r="S67" s="1410">
        <f t="shared" si="312"/>
        <v>1.9905687805804154E-2</v>
      </c>
      <c r="T67" s="1410">
        <f t="shared" si="312"/>
        <v>2.0717360744534383E-2</v>
      </c>
      <c r="U67" s="1410">
        <f t="shared" si="312"/>
        <v>2.1653368180883221E-2</v>
      </c>
      <c r="V67" s="1410">
        <f t="shared" si="312"/>
        <v>2.2623323334932922E-2</v>
      </c>
      <c r="W67" s="1410">
        <f t="shared" si="312"/>
        <v>2.3632432931364369E-2</v>
      </c>
      <c r="X67" s="1410">
        <f t="shared" si="312"/>
        <v>2.4710174239830816E-2</v>
      </c>
      <c r="Y67" s="1410">
        <f t="shared" si="312"/>
        <v>2.580287381542554E-2</v>
      </c>
      <c r="Z67" s="1410">
        <f t="shared" si="312"/>
        <v>2.6939834012611009E-2</v>
      </c>
      <c r="AA67" s="1410">
        <f t="shared" si="312"/>
        <v>2.8120248357889319E-2</v>
      </c>
      <c r="AB67" s="1410">
        <f t="shared" si="312"/>
        <v>2.9345866117672894E-2</v>
      </c>
      <c r="AC67" s="1410">
        <f t="shared" si="312"/>
        <v>3.0617521296660375E-2</v>
      </c>
      <c r="AD67" s="1543">
        <f t="shared" si="312"/>
        <v>3.1935956567554387E-2</v>
      </c>
    </row>
    <row r="68" spans="1:30" s="1403" customFormat="1" ht="14">
      <c r="A68" s="1008"/>
      <c r="B68" s="1008"/>
      <c r="C68" s="1008"/>
      <c r="D68" s="1401" t="s">
        <v>691</v>
      </c>
      <c r="E68" s="1402">
        <f>E65/E89</f>
        <v>0.93005405405405406</v>
      </c>
      <c r="F68" s="1402">
        <f t="shared" ref="F68:AD68" si="313">F65/F89</f>
        <v>0.49743634309550711</v>
      </c>
      <c r="G68" s="1402">
        <f t="shared" si="313"/>
        <v>0.77973042821358995</v>
      </c>
      <c r="H68" s="1402">
        <f t="shared" si="313"/>
        <v>1.1358014840820234</v>
      </c>
      <c r="I68" s="1402">
        <f t="shared" si="313"/>
        <v>1.0527742054014331</v>
      </c>
      <c r="J68" s="1402">
        <f t="shared" si="313"/>
        <v>0.9346900544959128</v>
      </c>
      <c r="K68" s="1402">
        <f t="shared" si="313"/>
        <v>2.25764370158989</v>
      </c>
      <c r="L68" s="1402">
        <f t="shared" si="313"/>
        <v>0.8327584885414272</v>
      </c>
      <c r="M68" s="1402">
        <f t="shared" si="313"/>
        <v>2.9971422290613323</v>
      </c>
      <c r="N68" s="1402">
        <f t="shared" si="313"/>
        <v>0.79468348367526143</v>
      </c>
      <c r="O68" s="1402">
        <f t="shared" si="313"/>
        <v>1.262543102737127</v>
      </c>
      <c r="P68" s="1402">
        <f>P65/P89</f>
        <v>1.3193588047851768</v>
      </c>
      <c r="Q68" s="1402">
        <f t="shared" si="313"/>
        <v>1.3592819863025658</v>
      </c>
      <c r="R68" s="1402">
        <f t="shared" si="313"/>
        <v>1.394173934243627</v>
      </c>
      <c r="S68" s="1402">
        <f t="shared" si="313"/>
        <v>1.4502582093770959</v>
      </c>
      <c r="T68" s="1402">
        <f t="shared" si="313"/>
        <v>1.5019968811273976</v>
      </c>
      <c r="U68" s="1402">
        <f t="shared" si="313"/>
        <v>1.5500031156463991</v>
      </c>
      <c r="V68" s="1402">
        <f t="shared" si="313"/>
        <v>1.5959962843118829</v>
      </c>
      <c r="W68" s="1402">
        <f t="shared" si="313"/>
        <v>1.6405582861828902</v>
      </c>
      <c r="X68" s="1402">
        <f t="shared" si="313"/>
        <v>1.6846505439297241</v>
      </c>
      <c r="Y68" s="1402">
        <f t="shared" si="313"/>
        <v>1.7246466505209443</v>
      </c>
      <c r="Z68" s="1402">
        <f t="shared" si="313"/>
        <v>1.7621909012739589</v>
      </c>
      <c r="AA68" s="1402">
        <f t="shared" si="313"/>
        <v>1.7975675665457909</v>
      </c>
      <c r="AB68" s="1402">
        <f t="shared" si="313"/>
        <v>1.8308658079255316</v>
      </c>
      <c r="AC68" s="1402">
        <f t="shared" si="313"/>
        <v>1.8621351755879256</v>
      </c>
      <c r="AD68" s="1452">
        <f t="shared" si="313"/>
        <v>1.8914384297789322</v>
      </c>
    </row>
    <row r="69" spans="1:30">
      <c r="D69" s="1228" t="s">
        <v>507</v>
      </c>
      <c r="E69" s="190">
        <v>11396</v>
      </c>
      <c r="F69" s="190">
        <v>15987</v>
      </c>
      <c r="G69" s="190">
        <v>2220</v>
      </c>
      <c r="H69" s="190">
        <v>75942</v>
      </c>
      <c r="I69" s="190">
        <v>36480</v>
      </c>
      <c r="J69" s="190">
        <v>29847</v>
      </c>
      <c r="K69" s="190">
        <v>29027</v>
      </c>
      <c r="L69" s="1390">
        <v>16963</v>
      </c>
      <c r="M69" s="1390">
        <v>31890</v>
      </c>
      <c r="N69" s="1390">
        <v>97516</v>
      </c>
      <c r="O69" s="1390">
        <v>36147</v>
      </c>
      <c r="P69" s="1390">
        <f>'3b. Mid Deep Water Fishing Div.'!P16</f>
        <v>33366.142799999994</v>
      </c>
      <c r="Q69" s="1390">
        <f>'3b. Mid Deep Water Fishing Div.'!Q16</f>
        <v>37404.708495754108</v>
      </c>
      <c r="R69" s="1390">
        <f>'3b. Mid Deep Water Fishing Div.'!R16</f>
        <v>41858.575789108283</v>
      </c>
      <c r="S69" s="1390">
        <f>'3b. Mid Deep Water Fishing Div.'!S16</f>
        <v>46824.658471102717</v>
      </c>
      <c r="T69" s="1390">
        <f>'3b. Mid Deep Water Fishing Div.'!T16</f>
        <v>52291.318636034892</v>
      </c>
      <c r="U69" s="1390">
        <f>'3b. Mid Deep Water Fishing Div.'!U16</f>
        <v>58332.736164083508</v>
      </c>
      <c r="V69" s="1390">
        <f>'3b. Mid Deep Water Fishing Div.'!V16</f>
        <v>65084.226186936547</v>
      </c>
      <c r="W69" s="1390">
        <f>'3b. Mid Deep Water Fishing Div.'!W16</f>
        <v>72663.179346009798</v>
      </c>
      <c r="X69" s="1390">
        <f>'3b. Mid Deep Water Fishing Div.'!X16</f>
        <v>81230.257675072862</v>
      </c>
      <c r="Y69" s="1390">
        <f>'3b. Mid Deep Water Fishing Div.'!Y16</f>
        <v>90721.107628943239</v>
      </c>
      <c r="Z69" s="1390">
        <f>'3b. Mid Deep Water Fishing Div.'!Z16</f>
        <v>101326.25385875966</v>
      </c>
      <c r="AA69" s="1390">
        <f>'3b. Mid Deep Water Fishing Div.'!AA16</f>
        <v>113195.08170589064</v>
      </c>
      <c r="AB69" s="1390">
        <f>'3b. Mid Deep Water Fishing Div.'!AB16</f>
        <v>126484.78606745758</v>
      </c>
      <c r="AC69" s="1390">
        <f>'3b. Mid Deep Water Fishing Div.'!AC16</f>
        <v>141368.65149171199</v>
      </c>
      <c r="AD69" s="1547">
        <f>'3b. Mid Deep Water Fishing Div.'!AD16</f>
        <v>158041.34599977706</v>
      </c>
    </row>
    <row r="70" spans="1:30" s="1403" customFormat="1" ht="14">
      <c r="A70" s="1008"/>
      <c r="B70" s="1008"/>
      <c r="C70" s="1008"/>
      <c r="D70" s="1401" t="s">
        <v>511</v>
      </c>
      <c r="E70" s="1402"/>
      <c r="F70" s="1402">
        <f>(F69/E69)-1</f>
        <v>0.40286065286065287</v>
      </c>
      <c r="G70" s="1402">
        <f t="shared" ref="G70" si="314">(G69/F69)-1</f>
        <v>-0.86113717395383749</v>
      </c>
      <c r="H70" s="1402">
        <f t="shared" ref="H70" si="315">(H69/G69)-1</f>
        <v>33.208108108108107</v>
      </c>
      <c r="I70" s="1402">
        <f t="shared" ref="I70" si="316">(I69/H69)-1</f>
        <v>-0.51963340444023065</v>
      </c>
      <c r="J70" s="1402">
        <f t="shared" ref="J70" si="317">(J69/I69)-1</f>
        <v>-0.18182565789473681</v>
      </c>
      <c r="K70" s="1402">
        <f t="shared" ref="K70" si="318">(K69/J69)-1</f>
        <v>-2.7473447917713667E-2</v>
      </c>
      <c r="L70" s="1402">
        <f t="shared" ref="L70" si="319">(L69/K69)-1</f>
        <v>-0.41561304991904091</v>
      </c>
      <c r="M70" s="1402">
        <f t="shared" ref="M70" si="320">(M69/L69)-1</f>
        <v>0.87997406119200616</v>
      </c>
      <c r="N70" s="1402">
        <f t="shared" ref="N70" si="321">(N69/M69)-1</f>
        <v>2.0578864847914708</v>
      </c>
      <c r="O70" s="1402">
        <f t="shared" ref="O70" si="322">(O69/N69)-1</f>
        <v>-0.62932236761146887</v>
      </c>
      <c r="P70" s="1402">
        <f t="shared" ref="P70" si="323">(P69/O69)-1</f>
        <v>-7.6931894763051067E-2</v>
      </c>
      <c r="Q70" s="1402">
        <f t="shared" ref="Q70" si="324">(Q69/P69)-1</f>
        <v>0.12103783526797462</v>
      </c>
      <c r="R70" s="1402">
        <f t="shared" ref="R70" si="325">(R69/Q69)-1</f>
        <v>0.11907237009639426</v>
      </c>
      <c r="S70" s="1402">
        <f t="shared" ref="S70" si="326">(S69/R69)-1</f>
        <v>0.118639552072066</v>
      </c>
      <c r="T70" s="1402">
        <f t="shared" ref="T70" si="327">(T69/S69)-1</f>
        <v>0.11674746476380293</v>
      </c>
      <c r="U70" s="1402">
        <f t="shared" ref="U70" si="328">(U69/T69)-1</f>
        <v>0.11553385314489595</v>
      </c>
      <c r="V70" s="1402">
        <f t="shared" ref="V70" si="329">(V69/U69)-1</f>
        <v>0.11574101382561319</v>
      </c>
      <c r="W70" s="1402">
        <f t="shared" ref="W70" si="330">(W69/V69)-1</f>
        <v>0.11644838700708826</v>
      </c>
      <c r="X70" s="1402">
        <f t="shared" ref="X70" si="331">(X69/W69)-1</f>
        <v>0.11790123149261178</v>
      </c>
      <c r="Y70" s="1402">
        <f t="shared" ref="Y70" si="332">(Y69/X69)-1</f>
        <v>0.11683885076216916</v>
      </c>
      <c r="Z70" s="1402">
        <f t="shared" ref="Z70" si="333">(Z69/Y69)-1</f>
        <v>0.11689833278041917</v>
      </c>
      <c r="AA70" s="1402">
        <f t="shared" ref="AA70" si="334">(AA69/Z69)-1</f>
        <v>0.11713477401103889</v>
      </c>
      <c r="AB70" s="1402">
        <f t="shared" ref="AB70" si="335">(AB69/AA69)-1</f>
        <v>0.11740531621415262</v>
      </c>
      <c r="AC70" s="1402">
        <f t="shared" ref="AC70" si="336">(AC69/AB69)-1</f>
        <v>0.11767316755642421</v>
      </c>
      <c r="AD70" s="1452">
        <f t="shared" ref="AD70" si="337">(AD69/AC69)-1</f>
        <v>0.11793770635947909</v>
      </c>
    </row>
    <row r="71" spans="1:30" s="1403" customFormat="1" ht="14">
      <c r="A71" s="1008"/>
      <c r="B71" s="1008"/>
      <c r="C71" s="1008"/>
      <c r="D71" s="1401" t="s">
        <v>513</v>
      </c>
      <c r="E71" s="1402">
        <f t="shared" ref="E71:P71" si="338">E69/E9</f>
        <v>1.2135139193113341E-2</v>
      </c>
      <c r="F71" s="1402">
        <f t="shared" si="338"/>
        <v>1.4922127161500967E-2</v>
      </c>
      <c r="G71" s="1402">
        <f t="shared" si="338"/>
        <v>2.1686739926167395E-3</v>
      </c>
      <c r="H71" s="1402">
        <f t="shared" si="338"/>
        <v>8.1274936214661211E-2</v>
      </c>
      <c r="I71" s="1402">
        <f t="shared" si="338"/>
        <v>3.8470177703115262E-2</v>
      </c>
      <c r="J71" s="1402">
        <f t="shared" si="338"/>
        <v>3.283375539308761E-2</v>
      </c>
      <c r="K71" s="1402">
        <f t="shared" si="338"/>
        <v>2.4790184019738544E-2</v>
      </c>
      <c r="L71" s="1402">
        <f t="shared" si="338"/>
        <v>1.1820230481603142E-2</v>
      </c>
      <c r="M71" s="1402">
        <f t="shared" si="338"/>
        <v>2.32125803596385E-2</v>
      </c>
      <c r="N71" s="1402">
        <f t="shared" si="338"/>
        <v>8.1029024404430522E-2</v>
      </c>
      <c r="O71" s="1402">
        <f t="shared" si="338"/>
        <v>2.7493502552202058E-2</v>
      </c>
      <c r="P71" s="1402">
        <f t="shared" si="338"/>
        <v>2.4076952784595554E-2</v>
      </c>
      <c r="Q71" s="1402">
        <f t="shared" ref="Q71:AD71" si="339">Q69/Q9</f>
        <v>2.6113872668543366E-2</v>
      </c>
      <c r="R71" s="1402">
        <f t="shared" si="339"/>
        <v>2.8091036940091588E-2</v>
      </c>
      <c r="S71" s="1402">
        <f t="shared" si="339"/>
        <v>3.0023414204131779E-2</v>
      </c>
      <c r="T71" s="1402">
        <f t="shared" si="339"/>
        <v>3.1918718015350477E-2</v>
      </c>
      <c r="U71" s="1402">
        <f t="shared" si="339"/>
        <v>3.3455076854191246E-2</v>
      </c>
      <c r="V71" s="1402">
        <f t="shared" si="339"/>
        <v>3.4960276638606749E-2</v>
      </c>
      <c r="W71" s="1402">
        <f t="shared" si="339"/>
        <v>3.6401258732316998E-2</v>
      </c>
      <c r="X71" s="1402">
        <f t="shared" si="339"/>
        <v>3.6975370049659992E-2</v>
      </c>
      <c r="Y71" s="1402">
        <f t="shared" si="339"/>
        <v>3.8422791838251376E-2</v>
      </c>
      <c r="Z71" s="1402">
        <f t="shared" si="339"/>
        <v>3.9870737080008621E-2</v>
      </c>
      <c r="AA71" s="1402">
        <f t="shared" si="339"/>
        <v>4.1284286219516464E-2</v>
      </c>
      <c r="AB71" s="1402">
        <f t="shared" si="339"/>
        <v>4.2659608767648759E-2</v>
      </c>
      <c r="AC71" s="1402">
        <f t="shared" si="339"/>
        <v>4.3992622138656075E-2</v>
      </c>
      <c r="AD71" s="1452">
        <f t="shared" si="339"/>
        <v>4.528041092069577E-2</v>
      </c>
    </row>
    <row r="72" spans="1:30" s="1403" customFormat="1" thickBot="1">
      <c r="A72" s="1008"/>
      <c r="B72" s="1008"/>
      <c r="C72" s="1008"/>
      <c r="D72" s="1401" t="s">
        <v>691</v>
      </c>
      <c r="E72" s="1402">
        <f>E69/E93</f>
        <v>0.69914110429447851</v>
      </c>
      <c r="F72" s="1402">
        <f t="shared" ref="F72:AD72" si="340">F69/F93</f>
        <v>0.89678577438716556</v>
      </c>
      <c r="G72" s="1402">
        <f t="shared" si="340"/>
        <v>0.11178810614834583</v>
      </c>
      <c r="H72" s="1402">
        <f t="shared" si="340"/>
        <v>3.743013455567056</v>
      </c>
      <c r="I72" s="1402">
        <f t="shared" si="340"/>
        <v>1.3635853922924532</v>
      </c>
      <c r="J72" s="1402">
        <f t="shared" si="340"/>
        <v>1.0273293635769112</v>
      </c>
      <c r="K72" s="1402">
        <f t="shared" si="340"/>
        <v>1.151819372247133</v>
      </c>
      <c r="L72" s="1402">
        <f t="shared" si="340"/>
        <v>0.60712240515390126</v>
      </c>
      <c r="M72" s="1402">
        <f t="shared" si="340"/>
        <v>1.0841776025022098</v>
      </c>
      <c r="N72" s="1402">
        <f t="shared" si="340"/>
        <v>1.9778516956027909</v>
      </c>
      <c r="O72" s="1402">
        <f t="shared" si="340"/>
        <v>0.53338547123315971</v>
      </c>
      <c r="P72" s="1402">
        <f t="shared" si="340"/>
        <v>0.49475955179444114</v>
      </c>
      <c r="Q72" s="1402">
        <f t="shared" si="340"/>
        <v>0.50973074486346204</v>
      </c>
      <c r="R72" s="1402">
        <f t="shared" si="340"/>
        <v>0.52281522534136005</v>
      </c>
      <c r="S72" s="1402">
        <f t="shared" si="340"/>
        <v>0.54384682851641086</v>
      </c>
      <c r="T72" s="1402">
        <f t="shared" si="340"/>
        <v>0.56324883042277407</v>
      </c>
      <c r="U72" s="1402">
        <f t="shared" si="340"/>
        <v>0.58125116836739954</v>
      </c>
      <c r="V72" s="1402">
        <f t="shared" si="340"/>
        <v>0.59849860661695597</v>
      </c>
      <c r="W72" s="1402">
        <f t="shared" si="340"/>
        <v>0.61520935731858384</v>
      </c>
      <c r="X72" s="1402">
        <f t="shared" si="340"/>
        <v>0.63174395397364647</v>
      </c>
      <c r="Y72" s="1402">
        <f t="shared" si="340"/>
        <v>0.6467424939453541</v>
      </c>
      <c r="Z72" s="1402">
        <f t="shared" si="340"/>
        <v>0.66082158797773449</v>
      </c>
      <c r="AA72" s="1402">
        <f t="shared" si="340"/>
        <v>0.67408783745467149</v>
      </c>
      <c r="AB72" s="1402">
        <f t="shared" si="340"/>
        <v>0.68657467797207417</v>
      </c>
      <c r="AC72" s="1402">
        <f t="shared" si="340"/>
        <v>0.69830069084547208</v>
      </c>
      <c r="AD72" s="1452">
        <f t="shared" si="340"/>
        <v>0.70928941116709954</v>
      </c>
    </row>
    <row r="73" spans="1:30">
      <c r="D73" s="1228" t="s">
        <v>508</v>
      </c>
      <c r="E73" s="190">
        <v>8867</v>
      </c>
      <c r="F73" s="190">
        <v>66841</v>
      </c>
      <c r="G73" s="1675">
        <v>6210</v>
      </c>
      <c r="H73" s="1676">
        <v>23099</v>
      </c>
      <c r="I73" s="1676">
        <v>31737</v>
      </c>
      <c r="J73" s="1676">
        <v>40258</v>
      </c>
      <c r="K73" s="1676">
        <v>41581</v>
      </c>
      <c r="L73" s="1390">
        <v>31053</v>
      </c>
      <c r="M73" s="1390">
        <v>13478</v>
      </c>
      <c r="N73" s="1390">
        <v>36005</v>
      </c>
      <c r="O73" s="1390">
        <v>39854</v>
      </c>
      <c r="P73" s="1390">
        <f>'3c. Commercial Cold Stor Div.'!P18</f>
        <v>37073.491999999998</v>
      </c>
      <c r="Q73" s="1390">
        <f>'3c. Commercial Cold Stor Div.'!Q18</f>
        <v>41560.78721750457</v>
      </c>
      <c r="R73" s="1390">
        <f>'3c. Commercial Cold Stor Div.'!R18</f>
        <v>46509.528654564761</v>
      </c>
      <c r="S73" s="1390">
        <f>'3c. Commercial Cold Stor Div.'!S18</f>
        <v>52027.398301225243</v>
      </c>
      <c r="T73" s="1390">
        <f>'3c. Commercial Cold Stor Div.'!T18</f>
        <v>58101.465151149889</v>
      </c>
      <c r="U73" s="1390">
        <f>'3c. Commercial Cold Stor Div.'!U18</f>
        <v>64814.151293426126</v>
      </c>
      <c r="V73" s="1390">
        <f>'3c. Commercial Cold Stor Div.'!V18</f>
        <v>72315.806874373942</v>
      </c>
      <c r="W73" s="1390">
        <f>'3c. Commercial Cold Stor Div.'!W18</f>
        <v>80736.865940010888</v>
      </c>
      <c r="X73" s="1390">
        <f>'3c. Commercial Cold Stor Div.'!X18</f>
        <v>90255.841861192079</v>
      </c>
      <c r="Y73" s="1390">
        <f>'3c. Commercial Cold Stor Div.'!Y18</f>
        <v>100801.23069882584</v>
      </c>
      <c r="Z73" s="1390">
        <f>'3c. Commercial Cold Stor Div.'!Z18</f>
        <v>112584.72650973297</v>
      </c>
      <c r="AA73" s="1390">
        <f>'3c. Commercial Cold Stor Div.'!AA18</f>
        <v>125772.31300654517</v>
      </c>
      <c r="AB73" s="1390">
        <f>'3c. Commercial Cold Stor Div.'!AB18</f>
        <v>140538.65118606397</v>
      </c>
      <c r="AC73" s="1390">
        <f>'3c. Commercial Cold Stor Div.'!AC18</f>
        <v>157076.27943523554</v>
      </c>
      <c r="AD73" s="1547">
        <f>'3c. Commercial Cold Stor Div.'!AD18</f>
        <v>175601.49555530783</v>
      </c>
    </row>
    <row r="74" spans="1:30" s="1403" customFormat="1" ht="14">
      <c r="A74" s="1008"/>
      <c r="B74" s="1008"/>
      <c r="C74" s="1008"/>
      <c r="D74" s="1401" t="s">
        <v>511</v>
      </c>
      <c r="E74" s="1402"/>
      <c r="F74" s="1402">
        <f>(F73/E73)-1</f>
        <v>6.5381752565693017</v>
      </c>
      <c r="G74" s="1447">
        <f t="shared" ref="G74" si="341">(G73/F73)-1</f>
        <v>-0.90709295193070116</v>
      </c>
      <c r="H74" s="1402">
        <f t="shared" ref="H74" si="342">(H73/G73)-1</f>
        <v>2.7196457326892109</v>
      </c>
      <c r="I74" s="1402">
        <f t="shared" ref="I74" si="343">(I73/H73)-1</f>
        <v>0.37395558249274852</v>
      </c>
      <c r="J74" s="1402">
        <f t="shared" ref="J74" si="344">(J73/I73)-1</f>
        <v>0.26848788480322661</v>
      </c>
      <c r="K74" s="1402">
        <f t="shared" ref="K74" si="345">(K73/J73)-1</f>
        <v>3.2863033434348488E-2</v>
      </c>
      <c r="L74" s="1402">
        <f t="shared" ref="L74" si="346">(L73/K73)-1</f>
        <v>-0.25319256391140188</v>
      </c>
      <c r="M74" s="1402">
        <f t="shared" ref="M74" si="347">(M73/L73)-1</f>
        <v>-0.56596786139825461</v>
      </c>
      <c r="N74" s="1402">
        <f t="shared" ref="N74" si="348">(N73/M73)-1</f>
        <v>1.6713904140080129</v>
      </c>
      <c r="O74" s="1402">
        <f t="shared" ref="O74" si="349">(O73/N73)-1</f>
        <v>0.10690181919177899</v>
      </c>
      <c r="P74" s="1402">
        <f t="shared" ref="P74" si="350">(P73/O73)-1</f>
        <v>-6.9767350830531427E-2</v>
      </c>
      <c r="Q74" s="1402">
        <f t="shared" ref="Q74" si="351">(Q73/P73)-1</f>
        <v>0.12103783526797462</v>
      </c>
      <c r="R74" s="1402">
        <f t="shared" ref="R74" si="352">(R73/Q73)-1</f>
        <v>0.11907237009639404</v>
      </c>
      <c r="S74" s="1402">
        <f t="shared" ref="S74" si="353">(S73/R73)-1</f>
        <v>0.118639552072066</v>
      </c>
      <c r="T74" s="1402">
        <f t="shared" ref="T74" si="354">(T73/S73)-1</f>
        <v>0.11674746476380315</v>
      </c>
      <c r="U74" s="1402">
        <f t="shared" ref="U74" si="355">(U73/T73)-1</f>
        <v>0.11553385314489595</v>
      </c>
      <c r="V74" s="1402">
        <f t="shared" ref="V74" si="356">(V73/U73)-1</f>
        <v>0.11574101382561319</v>
      </c>
      <c r="W74" s="1402">
        <f t="shared" ref="W74" si="357">(W73/V73)-1</f>
        <v>0.11644838700708826</v>
      </c>
      <c r="X74" s="1402">
        <f t="shared" ref="X74" si="358">(X73/W73)-1</f>
        <v>0.11790123149261178</v>
      </c>
      <c r="Y74" s="1402">
        <f t="shared" ref="Y74" si="359">(Y73/X73)-1</f>
        <v>0.11683885076216916</v>
      </c>
      <c r="Z74" s="1402">
        <f t="shared" ref="Z74" si="360">(Z73/Y73)-1</f>
        <v>0.11689833278041895</v>
      </c>
      <c r="AA74" s="1402">
        <f t="shared" ref="AA74" si="361">(AA73/Z73)-1</f>
        <v>0.11713477401103911</v>
      </c>
      <c r="AB74" s="1402">
        <f t="shared" ref="AB74" si="362">(AB73/AA73)-1</f>
        <v>0.11740531621415262</v>
      </c>
      <c r="AC74" s="1402">
        <f t="shared" ref="AC74" si="363">(AC73/AB73)-1</f>
        <v>0.11767316755642421</v>
      </c>
      <c r="AD74" s="1452">
        <f t="shared" ref="AD74" si="364">(AD73/AC73)-1</f>
        <v>0.11793770635947909</v>
      </c>
    </row>
    <row r="75" spans="1:30" s="1403" customFormat="1" ht="14">
      <c r="A75" s="1008"/>
      <c r="B75" s="1008"/>
      <c r="C75" s="1008"/>
      <c r="D75" s="1401" t="s">
        <v>513</v>
      </c>
      <c r="E75" s="1402">
        <f t="shared" ref="E75:P75" si="365">E73/E13</f>
        <v>5.3148320196601435E-2</v>
      </c>
      <c r="F75" s="1402">
        <f t="shared" si="365"/>
        <v>0.43333743930189889</v>
      </c>
      <c r="G75" s="1447">
        <f t="shared" si="365"/>
        <v>3.5246841406241132E-2</v>
      </c>
      <c r="H75" s="1402">
        <f t="shared" si="365"/>
        <v>0.12261852309946332</v>
      </c>
      <c r="I75" s="1402">
        <f t="shared" si="365"/>
        <v>0.15075240827649103</v>
      </c>
      <c r="J75" s="1402">
        <f t="shared" si="365"/>
        <v>0.17195749115822925</v>
      </c>
      <c r="K75" s="1402">
        <f t="shared" si="365"/>
        <v>0.19074465693852555</v>
      </c>
      <c r="L75" s="1402">
        <f t="shared" si="365"/>
        <v>0.11098681153722435</v>
      </c>
      <c r="M75" s="1402">
        <f t="shared" si="365"/>
        <v>4.1303015444962003E-2</v>
      </c>
      <c r="N75" s="1402">
        <f t="shared" si="365"/>
        <v>0.10475979877273481</v>
      </c>
      <c r="O75" s="1402">
        <f t="shared" si="365"/>
        <v>8.6909873584448946E-2</v>
      </c>
      <c r="P75" s="1402">
        <f t="shared" si="365"/>
        <v>7.4035166614876871E-2</v>
      </c>
      <c r="Q75" s="1402">
        <f t="shared" ref="Q75:AD75" si="366">Q73/Q13</f>
        <v>7.6371035579153798E-2</v>
      </c>
      <c r="R75" s="1402">
        <f t="shared" si="366"/>
        <v>7.9784088678379078E-2</v>
      </c>
      <c r="S75" s="1402">
        <f t="shared" si="366"/>
        <v>8.3723862309249511E-2</v>
      </c>
      <c r="T75" s="1402">
        <f t="shared" si="366"/>
        <v>8.8139527690505398E-2</v>
      </c>
      <c r="U75" s="1402">
        <f t="shared" si="366"/>
        <v>9.2687242589518035E-2</v>
      </c>
      <c r="V75" s="1402">
        <f t="shared" si="366"/>
        <v>9.7487705519918366E-2</v>
      </c>
      <c r="W75" s="1402">
        <f t="shared" si="366"/>
        <v>0.10260180201803815</v>
      </c>
      <c r="X75" s="1402">
        <f t="shared" si="366"/>
        <v>0.10812469912266778</v>
      </c>
      <c r="Y75" s="1402">
        <f t="shared" si="366"/>
        <v>0.11383659945999774</v>
      </c>
      <c r="Z75" s="1402">
        <f t="shared" si="366"/>
        <v>0.11985662532641764</v>
      </c>
      <c r="AA75" s="1402">
        <f t="shared" si="366"/>
        <v>0.12622172327276898</v>
      </c>
      <c r="AB75" s="1402">
        <f t="shared" si="366"/>
        <v>0.13295703677102536</v>
      </c>
      <c r="AC75" s="1402">
        <f t="shared" si="366"/>
        <v>0.14008532469531287</v>
      </c>
      <c r="AD75" s="1452">
        <f t="shared" si="366"/>
        <v>0.14763071887679202</v>
      </c>
    </row>
    <row r="76" spans="1:30" s="1403" customFormat="1" ht="14">
      <c r="A76" s="1008"/>
      <c r="B76" s="1008"/>
      <c r="C76" s="1008"/>
      <c r="D76" s="1401" t="s">
        <v>691</v>
      </c>
      <c r="E76" s="1402">
        <f>E73/E97</f>
        <v>0.5987979470556456</v>
      </c>
      <c r="F76" s="1402">
        <f t="shared" ref="F76:P76" si="367">F73/F97</f>
        <v>4.0573631176399179</v>
      </c>
      <c r="G76" s="1447">
        <f t="shared" si="367"/>
        <v>0.27736835052927777</v>
      </c>
      <c r="H76" s="1402">
        <f t="shared" si="367"/>
        <v>1.0547488584474887</v>
      </c>
      <c r="I76" s="1402">
        <f t="shared" si="367"/>
        <v>1.3499361973628243</v>
      </c>
      <c r="J76" s="1402">
        <f t="shared" si="367"/>
        <v>1.6544610200139729</v>
      </c>
      <c r="K76" s="1402">
        <f t="shared" si="367"/>
        <v>1.5132469612053279</v>
      </c>
      <c r="L76" s="1402">
        <f t="shared" si="367"/>
        <v>0.96124438941340351</v>
      </c>
      <c r="M76" s="1402">
        <f t="shared" si="367"/>
        <v>0.44211907495489583</v>
      </c>
      <c r="N76" s="1402">
        <f t="shared" si="367"/>
        <v>1.346585384097539</v>
      </c>
      <c r="O76" s="1402">
        <f t="shared" si="367"/>
        <v>1.4754183325929218</v>
      </c>
      <c r="P76" s="1402">
        <f t="shared" si="367"/>
        <v>1.2565321950335013</v>
      </c>
      <c r="Q76" s="1402">
        <f t="shared" ref="Q76:AD76" si="368">Q73/Q97</f>
        <v>1.2945542726691102</v>
      </c>
      <c r="R76" s="1402">
        <f t="shared" si="368"/>
        <v>1.3277846992796447</v>
      </c>
      <c r="S76" s="1402">
        <f t="shared" si="368"/>
        <v>1.3811982946448531</v>
      </c>
      <c r="T76" s="1402">
        <f t="shared" si="368"/>
        <v>1.430473220121331</v>
      </c>
      <c r="U76" s="1402">
        <f t="shared" si="368"/>
        <v>1.4761934434727608</v>
      </c>
      <c r="V76" s="1402">
        <f t="shared" si="368"/>
        <v>1.5199964612494119</v>
      </c>
      <c r="W76" s="1402">
        <f t="shared" si="368"/>
        <v>1.5624364630313237</v>
      </c>
      <c r="X76" s="1402">
        <f t="shared" si="368"/>
        <v>1.60442908945688</v>
      </c>
      <c r="Y76" s="1402">
        <f t="shared" si="368"/>
        <v>1.6425206195437563</v>
      </c>
      <c r="Z76" s="1402">
        <f t="shared" si="368"/>
        <v>1.6782770488323417</v>
      </c>
      <c r="AA76" s="1402">
        <f t="shared" si="368"/>
        <v>1.7119691109959909</v>
      </c>
      <c r="AB76" s="1402">
        <f t="shared" si="368"/>
        <v>1.7436817218338392</v>
      </c>
      <c r="AC76" s="1402">
        <f t="shared" si="368"/>
        <v>1.7734620719885006</v>
      </c>
      <c r="AD76" s="1452">
        <f t="shared" si="368"/>
        <v>1.8013699331227921</v>
      </c>
    </row>
    <row r="77" spans="1:30">
      <c r="D77" s="1228" t="s">
        <v>509</v>
      </c>
      <c r="E77" s="190">
        <v>0</v>
      </c>
      <c r="F77" s="190">
        <v>0</v>
      </c>
      <c r="G77" s="1444"/>
      <c r="H77" s="1390"/>
      <c r="I77" s="1390"/>
      <c r="J77" s="1390"/>
      <c r="K77" s="1390">
        <v>0</v>
      </c>
      <c r="L77" s="1390"/>
      <c r="M77" s="1390"/>
      <c r="N77" s="1390"/>
      <c r="O77" s="1390">
        <v>11517</v>
      </c>
      <c r="P77" s="1390">
        <f>'2e. Notes to the New Fin Stat'!P22</f>
        <v>31512.468200000018</v>
      </c>
      <c r="Q77" s="1390">
        <f>'2e. Notes to the New Fin Stat'!Q22</f>
        <v>35326.669134878903</v>
      </c>
      <c r="R77" s="1390">
        <f>'2e. Notes to the New Fin Stat'!R22</f>
        <v>39533.099356380066</v>
      </c>
      <c r="S77" s="1390">
        <f>'2e. Notes to the New Fin Stat'!S22</f>
        <v>44223.28855604148</v>
      </c>
      <c r="T77" s="1390">
        <f>'2e. Notes to the New Fin Stat'!T22</f>
        <v>49386.245378477426</v>
      </c>
      <c r="U77" s="1390">
        <f>'2e. Notes to the New Fin Stat'!U22</f>
        <v>55092.028599412239</v>
      </c>
      <c r="V77" s="1390">
        <f>'2e. Notes to the New Fin Stat'!V22</f>
        <v>61468.435843217885</v>
      </c>
      <c r="W77" s="1390">
        <f>'2e. Notes to the New Fin Stat'!W22</f>
        <v>68626.336049009289</v>
      </c>
      <c r="X77" s="1390">
        <f>'2e. Notes to the New Fin Stat'!X22</f>
        <v>76717.465582013305</v>
      </c>
      <c r="Y77" s="1390">
        <f>'2e. Notes to the New Fin Stat'!Y22</f>
        <v>85681.046094001998</v>
      </c>
      <c r="Z77" s="1390">
        <f>'2e. Notes to the New Fin Stat'!Z22</f>
        <v>95697.017533273072</v>
      </c>
      <c r="AA77" s="1390">
        <f>'2e. Notes to the New Fin Stat'!AA22</f>
        <v>106906.46605556345</v>
      </c>
      <c r="AB77" s="1390">
        <f>'2e. Notes to the New Fin Stat'!AB22</f>
        <v>119457.85350815445</v>
      </c>
      <c r="AC77" s="1390">
        <f>'2e. Notes to the New Fin Stat'!AC22</f>
        <v>133514.83751995029</v>
      </c>
      <c r="AD77" s="1547">
        <f>'2e. Notes to the New Fin Stat'!AD22</f>
        <v>149261.27122201174</v>
      </c>
    </row>
    <row r="78" spans="1:30" s="1403" customFormat="1" ht="14">
      <c r="A78" s="1008"/>
      <c r="B78" s="1008"/>
      <c r="C78" s="1008"/>
      <c r="D78" s="1401" t="s">
        <v>511</v>
      </c>
      <c r="E78" s="1402"/>
      <c r="F78" s="1402" t="e">
        <f>(F77/E77)-1</f>
        <v>#DIV/0!</v>
      </c>
      <c r="G78" s="1447" t="e">
        <f t="shared" ref="G78" si="369">(G77/F77)-1</f>
        <v>#DIV/0!</v>
      </c>
      <c r="H78" s="1402" t="e">
        <f t="shared" ref="H78" si="370">(H77/G77)-1</f>
        <v>#DIV/0!</v>
      </c>
      <c r="I78" s="1402" t="e">
        <f t="shared" ref="I78" si="371">(I77/H77)-1</f>
        <v>#DIV/0!</v>
      </c>
      <c r="J78" s="1402" t="e">
        <f t="shared" ref="J78" si="372">(J77/I77)-1</f>
        <v>#DIV/0!</v>
      </c>
      <c r="K78" s="1402" t="e">
        <f t="shared" ref="K78" si="373">(K77/J77)-1</f>
        <v>#DIV/0!</v>
      </c>
      <c r="L78" s="1402"/>
      <c r="M78" s="1402"/>
      <c r="N78" s="1402"/>
      <c r="O78" s="1402"/>
      <c r="P78" s="1402">
        <f t="shared" ref="P78" si="374">(P77/O77)-1</f>
        <v>1.7361698532603991</v>
      </c>
      <c r="Q78" s="1402">
        <f t="shared" ref="Q78" si="375">(Q77/P77)-1</f>
        <v>0.1210378352679744</v>
      </c>
      <c r="R78" s="1402">
        <f t="shared" ref="R78" si="376">(R77/Q77)-1</f>
        <v>0.11907237009639404</v>
      </c>
      <c r="S78" s="1402">
        <f t="shared" ref="S78" si="377">(S77/R77)-1</f>
        <v>0.118639552072066</v>
      </c>
      <c r="T78" s="1402">
        <f t="shared" ref="T78" si="378">(T77/S77)-1</f>
        <v>0.11674746476380293</v>
      </c>
      <c r="U78" s="1402">
        <f t="shared" ref="U78" si="379">(U77/T77)-1</f>
        <v>0.11553385314489595</v>
      </c>
      <c r="V78" s="1402">
        <f t="shared" ref="V78" si="380">(V77/U77)-1</f>
        <v>0.11574101382561319</v>
      </c>
      <c r="W78" s="1402">
        <f t="shared" ref="W78" si="381">(W77/V77)-1</f>
        <v>0.11644838700708804</v>
      </c>
      <c r="X78" s="1402">
        <f t="shared" ref="X78" si="382">(X77/W77)-1</f>
        <v>0.11790123149261178</v>
      </c>
      <c r="Y78" s="1402">
        <f t="shared" ref="Y78" si="383">(Y77/X77)-1</f>
        <v>0.11683885076216916</v>
      </c>
      <c r="Z78" s="1402">
        <f t="shared" ref="Z78" si="384">(Z77/Y77)-1</f>
        <v>0.11689833278041917</v>
      </c>
      <c r="AA78" s="1402">
        <f t="shared" ref="AA78" si="385">(AA77/Z77)-1</f>
        <v>0.11713477401103889</v>
      </c>
      <c r="AB78" s="1402">
        <f t="shared" ref="AB78" si="386">(AB77/AA77)-1</f>
        <v>0.11740531621415262</v>
      </c>
      <c r="AC78" s="1402">
        <f t="shared" ref="AC78" si="387">(AC77/AB77)-1</f>
        <v>0.11767316755642421</v>
      </c>
      <c r="AD78" s="1452">
        <f t="shared" ref="AD78" si="388">(AD77/AC77)-1</f>
        <v>0.11793770635947909</v>
      </c>
    </row>
    <row r="79" spans="1:30" s="1403" customFormat="1" ht="14">
      <c r="A79" s="1008"/>
      <c r="B79" s="1008"/>
      <c r="C79" s="1008"/>
      <c r="D79" s="1401" t="s">
        <v>513</v>
      </c>
      <c r="E79" s="1402" t="e">
        <f t="shared" ref="E79:P79" si="389">E77/E17</f>
        <v>#DIV/0!</v>
      </c>
      <c r="F79" s="1402" t="e">
        <f t="shared" si="389"/>
        <v>#DIV/0!</v>
      </c>
      <c r="G79" s="1447" t="e">
        <f t="shared" si="389"/>
        <v>#DIV/0!</v>
      </c>
      <c r="H79" s="1402" t="e">
        <f t="shared" si="389"/>
        <v>#DIV/0!</v>
      </c>
      <c r="I79" s="1402" t="e">
        <f t="shared" si="389"/>
        <v>#DIV/0!</v>
      </c>
      <c r="J79" s="1402" t="e">
        <f t="shared" si="389"/>
        <v>#DIV/0!</v>
      </c>
      <c r="K79" s="1402" t="e">
        <f t="shared" si="389"/>
        <v>#DIV/0!</v>
      </c>
      <c r="L79" s="1402"/>
      <c r="M79" s="1402"/>
      <c r="N79" s="1402"/>
      <c r="O79" s="1402">
        <f t="shared" si="389"/>
        <v>2.0053001072557843E-2</v>
      </c>
      <c r="P79" s="1402">
        <f t="shared" si="389"/>
        <v>1.5491466208613648E-2</v>
      </c>
      <c r="Q79" s="1402">
        <f t="shared" ref="Q79:T79" si="390">Q77/Q17</f>
        <v>1.5493294413571524E-2</v>
      </c>
      <c r="R79" s="1402">
        <f t="shared" si="390"/>
        <v>1.5571332108263759E-2</v>
      </c>
      <c r="S79" s="1402">
        <f t="shared" si="390"/>
        <v>1.5525055648631884E-2</v>
      </c>
      <c r="T79" s="1402">
        <f t="shared" si="390"/>
        <v>1.5538718728489196E-2</v>
      </c>
      <c r="U79" s="1402">
        <f t="shared" ref="U79:AD79" si="391">U77/U17</f>
        <v>1.5691691009800585E-2</v>
      </c>
      <c r="V79" s="1402">
        <f t="shared" si="391"/>
        <v>1.587155252271517E-2</v>
      </c>
      <c r="W79" s="1402">
        <f t="shared" si="391"/>
        <v>1.6022439930127336E-2</v>
      </c>
      <c r="X79" s="1402">
        <f t="shared" si="391"/>
        <v>1.6192016630962185E-2</v>
      </c>
      <c r="Y79" s="1402">
        <f t="shared" si="391"/>
        <v>1.6355273731533181E-2</v>
      </c>
      <c r="Z79" s="1402">
        <f t="shared" si="391"/>
        <v>1.6540852639249339E-2</v>
      </c>
      <c r="AA79" s="1402">
        <f t="shared" si="391"/>
        <v>1.6737633665532145E-2</v>
      </c>
      <c r="AB79" s="1402">
        <f t="shared" si="391"/>
        <v>1.694085739045352E-2</v>
      </c>
      <c r="AC79" s="1402">
        <f t="shared" si="391"/>
        <v>1.7150658771934651E-2</v>
      </c>
      <c r="AD79" s="1452">
        <f t="shared" si="391"/>
        <v>1.7367168017263134E-2</v>
      </c>
    </row>
    <row r="80" spans="1:30" s="1403" customFormat="1" thickBot="1">
      <c r="A80" s="1008"/>
      <c r="B80" s="1008"/>
      <c r="C80" s="1008"/>
      <c r="D80" s="1401" t="s">
        <v>691</v>
      </c>
      <c r="E80" s="1402" t="e">
        <f>E77/E101</f>
        <v>#DIV/0!</v>
      </c>
      <c r="F80" s="1402" t="e">
        <f t="shared" ref="F80:P80" si="392">F77/F101</f>
        <v>#DIV/0!</v>
      </c>
      <c r="G80" s="1698" t="e">
        <f t="shared" si="392"/>
        <v>#DIV/0!</v>
      </c>
      <c r="H80" s="1699" t="e">
        <f t="shared" si="392"/>
        <v>#DIV/0!</v>
      </c>
      <c r="I80" s="1699" t="e">
        <f t="shared" si="392"/>
        <v>#DIV/0!</v>
      </c>
      <c r="J80" s="1699" t="e">
        <f t="shared" si="392"/>
        <v>#DIV/0!</v>
      </c>
      <c r="K80" s="1699" t="e">
        <f t="shared" si="392"/>
        <v>#DIV/0!</v>
      </c>
      <c r="L80" s="1411"/>
      <c r="M80" s="1411"/>
      <c r="N80" s="1411"/>
      <c r="O80" s="1411">
        <f t="shared" si="392"/>
        <v>0.52881215850130858</v>
      </c>
      <c r="P80" s="1411">
        <f t="shared" si="392"/>
        <v>0.62303054670411151</v>
      </c>
      <c r="Q80" s="1411">
        <f t="shared" ref="Q80:T80" si="393">Q77/Q101</f>
        <v>0.64188316019843417</v>
      </c>
      <c r="R80" s="1411">
        <f t="shared" si="393"/>
        <v>0.65835991339282418</v>
      </c>
      <c r="S80" s="1411">
        <f t="shared" si="393"/>
        <v>0.68484415442807345</v>
      </c>
      <c r="T80" s="1411">
        <f t="shared" si="393"/>
        <v>0.70927630497682703</v>
      </c>
      <c r="U80" s="1411">
        <f t="shared" ref="U80:AD80" si="394">U77/U101</f>
        <v>0.73194591572191114</v>
      </c>
      <c r="V80" s="1411">
        <f t="shared" si="394"/>
        <v>0.75366491203616726</v>
      </c>
      <c r="W80" s="1411">
        <f t="shared" si="394"/>
        <v>0.77470807958636534</v>
      </c>
      <c r="X80" s="1411">
        <f t="shared" si="394"/>
        <v>0.79552942352237022</v>
      </c>
      <c r="Y80" s="1411">
        <f t="shared" si="394"/>
        <v>0.81441647385711313</v>
      </c>
      <c r="Z80" s="1411">
        <f t="shared" si="394"/>
        <v>0.83214570337936988</v>
      </c>
      <c r="AA80" s="1402">
        <f t="shared" si="394"/>
        <v>0.84885135086884622</v>
      </c>
      <c r="AB80" s="1402">
        <f t="shared" si="394"/>
        <v>0.86457552040927932</v>
      </c>
      <c r="AC80" s="1402">
        <f t="shared" si="394"/>
        <v>0.87934161069429884</v>
      </c>
      <c r="AD80" s="1452">
        <f t="shared" si="394"/>
        <v>0.89317925850671842</v>
      </c>
    </row>
    <row r="81" spans="1:30" s="20" customFormat="1" ht="16" thickBot="1">
      <c r="A81" s="4"/>
      <c r="B81" s="4"/>
      <c r="C81" s="4"/>
      <c r="D81" s="172" t="s">
        <v>510</v>
      </c>
      <c r="E81" s="174">
        <f>E65+E69+E73+E77</f>
        <v>46072</v>
      </c>
      <c r="F81" s="174">
        <f t="shared" ref="F81:AD81" si="395">F65+F69+F73+F77</f>
        <v>94276</v>
      </c>
      <c r="G81" s="174">
        <f t="shared" si="395"/>
        <v>28041</v>
      </c>
      <c r="H81" s="174">
        <f t="shared" si="395"/>
        <v>127511</v>
      </c>
      <c r="I81" s="174">
        <f t="shared" si="395"/>
        <v>91138</v>
      </c>
      <c r="J81" s="174">
        <f t="shared" si="395"/>
        <v>92059</v>
      </c>
      <c r="K81" s="174">
        <f t="shared" si="395"/>
        <v>125988</v>
      </c>
      <c r="L81" s="843">
        <f t="shared" si="395"/>
        <v>69746</v>
      </c>
      <c r="M81" s="843">
        <f t="shared" si="395"/>
        <v>127172</v>
      </c>
      <c r="N81" s="843">
        <f t="shared" si="395"/>
        <v>163386</v>
      </c>
      <c r="O81" s="843">
        <f t="shared" si="395"/>
        <v>164042</v>
      </c>
      <c r="P81" s="843">
        <f t="shared" si="395"/>
        <v>185367.46000000002</v>
      </c>
      <c r="Q81" s="843">
        <f t="shared" si="395"/>
        <v>207803.93608752286</v>
      </c>
      <c r="R81" s="843">
        <f t="shared" si="395"/>
        <v>232547.6432728238</v>
      </c>
      <c r="S81" s="843">
        <f t="shared" si="395"/>
        <v>260136.99150612624</v>
      </c>
      <c r="T81" s="843">
        <f t="shared" si="395"/>
        <v>290507.32575574948</v>
      </c>
      <c r="U81" s="843">
        <f t="shared" si="395"/>
        <v>324070.75646713068</v>
      </c>
      <c r="V81" s="843">
        <f t="shared" si="395"/>
        <v>361579.03437186975</v>
      </c>
      <c r="W81" s="843">
        <f t="shared" si="395"/>
        <v>403684.32970005448</v>
      </c>
      <c r="X81" s="843">
        <f>X65+X69+X73+X77</f>
        <v>451279.20930596039</v>
      </c>
      <c r="Y81" s="843">
        <f t="shared" si="395"/>
        <v>504006.15349412919</v>
      </c>
      <c r="Z81" s="843">
        <f t="shared" si="395"/>
        <v>562923.63254866481</v>
      </c>
      <c r="AA81" s="843">
        <f t="shared" si="395"/>
        <v>628861.56503272592</v>
      </c>
      <c r="AB81" s="843">
        <f t="shared" si="395"/>
        <v>702693.25593031989</v>
      </c>
      <c r="AC81" s="843">
        <f t="shared" si="395"/>
        <v>785381.39717617771</v>
      </c>
      <c r="AD81" s="857">
        <f t="shared" si="395"/>
        <v>878007.47777653928</v>
      </c>
    </row>
    <row r="82" spans="1:30" s="1403" customFormat="1" ht="14">
      <c r="A82" s="1008"/>
      <c r="B82" s="1008"/>
      <c r="C82" s="1008"/>
      <c r="D82" s="1401" t="s">
        <v>511</v>
      </c>
      <c r="E82" s="1402"/>
      <c r="F82" s="1402">
        <f>(F81/E81)-1</f>
        <v>1.0462753950338599</v>
      </c>
      <c r="G82" s="1402">
        <f t="shared" ref="G82" si="396">(G81/F81)-1</f>
        <v>-0.70256480970766688</v>
      </c>
      <c r="H82" s="1402">
        <f t="shared" ref="H82" si="397">(H81/G81)-1</f>
        <v>3.5473057308940481</v>
      </c>
      <c r="I82" s="1402">
        <f t="shared" ref="I82" si="398">(I81/H81)-1</f>
        <v>-0.28525382123895193</v>
      </c>
      <c r="J82" s="1402">
        <f t="shared" ref="J82" si="399">(J81/I81)-1</f>
        <v>1.0105554214487888E-2</v>
      </c>
      <c r="K82" s="1402">
        <f t="shared" ref="K82" si="400">(K81/J81)-1</f>
        <v>0.36855712097676485</v>
      </c>
      <c r="L82" s="1402">
        <f t="shared" ref="L82" si="401">(L81/K81)-1</f>
        <v>-0.44640759437406741</v>
      </c>
      <c r="M82" s="1402">
        <f t="shared" ref="M82" si="402">(M81/L81)-1</f>
        <v>0.82335904568003904</v>
      </c>
      <c r="N82" s="1402">
        <f t="shared" ref="N82" si="403">(N81/M81)-1</f>
        <v>0.28476394174818354</v>
      </c>
      <c r="O82" s="1402">
        <f t="shared" ref="O82" si="404">(O81/N81)-1</f>
        <v>4.0150318876770452E-3</v>
      </c>
      <c r="P82" s="1402">
        <f t="shared" ref="P82" si="405">(P81/O81)-1</f>
        <v>0.13000000000000012</v>
      </c>
      <c r="Q82" s="1402">
        <f t="shared" ref="Q82" si="406">(Q81/P81)-1</f>
        <v>0.1210378352679744</v>
      </c>
      <c r="R82" s="1402">
        <f t="shared" ref="R82" si="407">(R81/Q81)-1</f>
        <v>0.11907237009639404</v>
      </c>
      <c r="S82" s="1402">
        <f t="shared" ref="S82" si="408">(S81/R81)-1</f>
        <v>0.11863955207206622</v>
      </c>
      <c r="T82" s="1402">
        <f t="shared" ref="T82" si="409">(T81/S81)-1</f>
        <v>0.11674746476380315</v>
      </c>
      <c r="U82" s="1402">
        <f t="shared" ref="U82" si="410">(U81/T81)-1</f>
        <v>0.11553385314489595</v>
      </c>
      <c r="V82" s="1402">
        <f t="shared" ref="V82" si="411">(V81/U81)-1</f>
        <v>0.11574101382561319</v>
      </c>
      <c r="W82" s="1402">
        <f t="shared" ref="W82" si="412">(W81/V81)-1</f>
        <v>0.11644838700708826</v>
      </c>
      <c r="X82" s="1402">
        <f t="shared" ref="X82" si="413">(X81/W81)-1</f>
        <v>0.11790123149261178</v>
      </c>
      <c r="Y82" s="1402">
        <f t="shared" ref="Y82" si="414">(Y81/X81)-1</f>
        <v>0.11683885076216916</v>
      </c>
      <c r="Z82" s="1402">
        <f t="shared" ref="Z82" si="415">(Z81/Y81)-1</f>
        <v>0.11689833278041895</v>
      </c>
      <c r="AA82" s="1402">
        <f t="shared" ref="AA82" si="416">(AA81/Z81)-1</f>
        <v>0.11713477401103911</v>
      </c>
      <c r="AB82" s="1402">
        <f t="shared" ref="AB82" si="417">(AB81/AA81)-1</f>
        <v>0.1174053162141524</v>
      </c>
      <c r="AC82" s="1402">
        <f t="shared" ref="AC82" si="418">(AC81/AB81)-1</f>
        <v>0.11767316755642421</v>
      </c>
      <c r="AD82" s="1452">
        <f t="shared" ref="AD82" si="419">(AD81/AC81)-1</f>
        <v>0.11793770635947931</v>
      </c>
    </row>
    <row r="83" spans="1:30" s="1403" customFormat="1" thickBot="1">
      <c r="A83" s="1008"/>
      <c r="B83" s="1008"/>
      <c r="C83" s="1008"/>
      <c r="D83" s="1401" t="s">
        <v>513</v>
      </c>
      <c r="E83" s="1402">
        <f t="shared" ref="E83:P83" si="420">E81/E22</f>
        <v>1.7881532132770144E-2</v>
      </c>
      <c r="F83" s="1402">
        <f t="shared" si="420"/>
        <v>3.7050049556740308E-2</v>
      </c>
      <c r="G83" s="1402">
        <f t="shared" si="420"/>
        <v>1.0748232776034596E-2</v>
      </c>
      <c r="H83" s="1402">
        <f t="shared" si="420"/>
        <v>4.2468615902341932E-2</v>
      </c>
      <c r="I83" s="1402">
        <f t="shared" si="420"/>
        <v>2.7606800739590123E-2</v>
      </c>
      <c r="J83" s="1402">
        <f t="shared" si="420"/>
        <v>2.6892524258599872E-2</v>
      </c>
      <c r="K83" s="1402">
        <f t="shared" si="420"/>
        <v>3.4449343157982239E-2</v>
      </c>
      <c r="L83" s="1402">
        <f t="shared" si="420"/>
        <v>1.5005751996955217E-2</v>
      </c>
      <c r="M83" s="1402">
        <f t="shared" si="420"/>
        <v>2.7050827614255351E-2</v>
      </c>
      <c r="N83" s="1402">
        <f t="shared" si="420"/>
        <v>3.2423428311293169E-2</v>
      </c>
      <c r="O83" s="1402">
        <f t="shared" si="420"/>
        <v>2.6592305087377935E-2</v>
      </c>
      <c r="P83" s="1402">
        <f t="shared" si="420"/>
        <v>2.1926726863956546E-2</v>
      </c>
      <c r="Q83" s="1402">
        <f t="shared" ref="Q83:AD83" si="421">Q81/Q22</f>
        <v>2.2486860044789479E-2</v>
      </c>
      <c r="R83" s="1402">
        <f t="shared" si="421"/>
        <v>2.3145720875985046E-2</v>
      </c>
      <c r="S83" s="1402">
        <f t="shared" si="421"/>
        <v>2.3843147628860827E-2</v>
      </c>
      <c r="T83" s="1402">
        <f t="shared" si="421"/>
        <v>2.4648888811649887E-2</v>
      </c>
      <c r="U83" s="1402">
        <f t="shared" si="421"/>
        <v>2.554024715163717E-2</v>
      </c>
      <c r="V83" s="1402">
        <f t="shared" si="421"/>
        <v>2.6453482847207613E-2</v>
      </c>
      <c r="W83" s="1402">
        <f t="shared" si="421"/>
        <v>2.7362839360432125E-2</v>
      </c>
      <c r="X83" s="1402">
        <f t="shared" si="421"/>
        <v>2.8226305745778939E-2</v>
      </c>
      <c r="Y83" s="1402">
        <f t="shared" si="421"/>
        <v>2.9175152202590659E-2</v>
      </c>
      <c r="Z83" s="1402">
        <f t="shared" si="421"/>
        <v>3.0152521205061327E-2</v>
      </c>
      <c r="AA83" s="1402">
        <f t="shared" si="421"/>
        <v>3.1148784294619928E-2</v>
      </c>
      <c r="AB83" s="1402">
        <f t="shared" si="421"/>
        <v>3.2161619137175863E-2</v>
      </c>
      <c r="AC83" s="1402">
        <f t="shared" si="421"/>
        <v>3.3190703072470636E-2</v>
      </c>
      <c r="AD83" s="1452">
        <f t="shared" si="421"/>
        <v>3.4235734751805469E-2</v>
      </c>
    </row>
    <row r="84" spans="1:30" s="1403" customFormat="1" thickBot="1">
      <c r="A84" s="1008"/>
      <c r="B84" s="1008"/>
      <c r="C84" s="1008"/>
      <c r="D84" s="1009" t="s">
        <v>691</v>
      </c>
      <c r="E84" s="1411">
        <f>E81/E105</f>
        <v>0.78276529953447282</v>
      </c>
      <c r="F84" s="1411">
        <f t="shared" ref="F84:O84" si="422">F81/F105</f>
        <v>1.6448748146209544</v>
      </c>
      <c r="G84" s="1448" t="s">
        <v>1616</v>
      </c>
      <c r="H84" s="1449">
        <f t="shared" si="422"/>
        <v>1.8959333878522042</v>
      </c>
      <c r="I84" s="1449">
        <f t="shared" si="422"/>
        <v>1.2651905323800929</v>
      </c>
      <c r="J84" s="1449">
        <f t="shared" si="422"/>
        <v>1.1975310247938185</v>
      </c>
      <c r="K84" s="1449">
        <f t="shared" si="422"/>
        <v>1.6317786786514525</v>
      </c>
      <c r="L84" s="1411">
        <f t="shared" si="422"/>
        <v>0.80781570321639118</v>
      </c>
      <c r="M84" s="1411">
        <f t="shared" si="422"/>
        <v>1.4585115777642701</v>
      </c>
      <c r="N84" s="1411">
        <f t="shared" si="422"/>
        <v>1.4379659047904034</v>
      </c>
      <c r="O84" s="1411">
        <f t="shared" si="422"/>
        <v>0.92589645032200529</v>
      </c>
      <c r="P84" s="1411">
        <f>P81/P105</f>
        <v>0.87957253652345113</v>
      </c>
      <c r="Q84" s="1411">
        <f t="shared" ref="Q84:AD84" si="423">Q81/Q105</f>
        <v>0.90618799086837731</v>
      </c>
      <c r="R84" s="1411">
        <f t="shared" si="423"/>
        <v>0.92944928949575145</v>
      </c>
      <c r="S84" s="1411">
        <f t="shared" si="423"/>
        <v>0.96683880625139751</v>
      </c>
      <c r="T84" s="1411">
        <f t="shared" si="423"/>
        <v>1.001331254084932</v>
      </c>
      <c r="U84" s="1411">
        <f t="shared" si="423"/>
        <v>1.0333354104309327</v>
      </c>
      <c r="V84" s="1411">
        <f t="shared" si="423"/>
        <v>1.0639975228745884</v>
      </c>
      <c r="W84" s="1411">
        <f t="shared" si="423"/>
        <v>1.0937055241219271</v>
      </c>
      <c r="X84" s="1411">
        <f t="shared" si="423"/>
        <v>1.1231003626198162</v>
      </c>
      <c r="Y84" s="1411">
        <f t="shared" si="423"/>
        <v>1.1497644336806296</v>
      </c>
      <c r="Z84" s="1411">
        <f t="shared" si="423"/>
        <v>1.1747939341826394</v>
      </c>
      <c r="AA84" s="1411">
        <f t="shared" si="423"/>
        <v>1.1983783776971941</v>
      </c>
      <c r="AB84" s="1411">
        <f t="shared" si="423"/>
        <v>1.2205772052836876</v>
      </c>
      <c r="AC84" s="1411">
        <f t="shared" si="423"/>
        <v>1.2414234503919503</v>
      </c>
      <c r="AD84" s="1443">
        <f t="shared" si="423"/>
        <v>1.2609589531859549</v>
      </c>
    </row>
    <row r="85" spans="1:30" s="1403" customFormat="1" ht="14">
      <c r="A85" s="1008"/>
      <c r="B85" s="1008"/>
      <c r="C85" s="1008"/>
      <c r="D85" s="1008" t="s">
        <v>391</v>
      </c>
      <c r="E85" s="1700"/>
      <c r="F85" s="1700"/>
      <c r="G85" s="1701"/>
      <c r="H85" s="1702"/>
      <c r="I85" s="1702"/>
      <c r="J85" s="1702"/>
      <c r="K85" s="1702"/>
      <c r="L85" s="1038">
        <f>L81-'2e. Notes to the New Fin Stat'!L6</f>
        <v>0</v>
      </c>
      <c r="M85" s="1038">
        <f>M81-'2e. Notes to the New Fin Stat'!M6</f>
        <v>0</v>
      </c>
      <c r="N85" s="1038">
        <f>N81-'2e. Notes to the New Fin Stat'!N6</f>
        <v>0</v>
      </c>
      <c r="O85" s="1703" t="s">
        <v>707</v>
      </c>
      <c r="P85" s="1704">
        <f>P81-'2e. Notes to the New Fin Stat'!P6</f>
        <v>0</v>
      </c>
      <c r="Q85" s="1705">
        <f>Q81-'2e. Notes to the New Fin Stat'!Q6</f>
        <v>0</v>
      </c>
      <c r="R85" s="1705">
        <f>R81-'2e. Notes to the New Fin Stat'!R6</f>
        <v>0</v>
      </c>
      <c r="S85" s="1705">
        <f>S81-'2e. Notes to the New Fin Stat'!S6</f>
        <v>0</v>
      </c>
      <c r="T85" s="1705">
        <f>T81-'2e. Notes to the New Fin Stat'!T6</f>
        <v>0</v>
      </c>
      <c r="U85" s="1705">
        <f>U81-'2e. Notes to the New Fin Stat'!U6</f>
        <v>0</v>
      </c>
      <c r="V85" s="1705">
        <f>V81-'2e. Notes to the New Fin Stat'!V6</f>
        <v>0</v>
      </c>
      <c r="W85" s="1705">
        <f>W81-'2e. Notes to the New Fin Stat'!W6</f>
        <v>0</v>
      </c>
      <c r="X85" s="1705">
        <f>X81-'2e. Notes to the New Fin Stat'!X6</f>
        <v>0</v>
      </c>
      <c r="Y85" s="1705">
        <f>Y81-'2e. Notes to the New Fin Stat'!Y6</f>
        <v>0</v>
      </c>
      <c r="Z85" s="1705">
        <f>Z81-'2e. Notes to the New Fin Stat'!Z6</f>
        <v>0</v>
      </c>
      <c r="AA85" s="1705">
        <f>AA81-'2e. Notes to the New Fin Stat'!AA6</f>
        <v>0</v>
      </c>
      <c r="AB85" s="1705">
        <f>AB81-'2e. Notes to the New Fin Stat'!AB6</f>
        <v>0</v>
      </c>
      <c r="AC85" s="1705">
        <f>AC81-'2e. Notes to the New Fin Stat'!AC6</f>
        <v>0</v>
      </c>
      <c r="AD85" s="1705">
        <f>AD81-'2e. Notes to the New Fin Stat'!AD6</f>
        <v>0</v>
      </c>
    </row>
    <row r="86" spans="1:30" s="1674" customFormat="1">
      <c r="A86" s="1673"/>
      <c r="B86" s="1673"/>
      <c r="C86" s="1673"/>
      <c r="D86" s="1673"/>
      <c r="E86" s="1677"/>
      <c r="F86" s="1677"/>
      <c r="G86" s="1678"/>
      <c r="H86" s="1679"/>
      <c r="I86" s="1679"/>
      <c r="J86" s="1679"/>
      <c r="K86" s="1679"/>
      <c r="L86" s="1394"/>
      <c r="M86" s="1394"/>
      <c r="N86" s="1394"/>
      <c r="O86" s="1394"/>
      <c r="P86" s="1394"/>
      <c r="Q86" s="1680"/>
      <c r="R86" s="1680"/>
      <c r="S86" s="1680"/>
      <c r="T86" s="1680"/>
      <c r="U86" s="1680"/>
      <c r="V86" s="1680"/>
      <c r="W86" s="1680"/>
      <c r="X86" s="1680"/>
      <c r="Y86" s="1680"/>
      <c r="Z86" s="1680"/>
      <c r="AA86" s="1680"/>
      <c r="AB86" s="1680"/>
      <c r="AC86" s="1680"/>
      <c r="AD86" s="1680"/>
    </row>
    <row r="87" spans="1:30" s="190" customFormat="1" ht="16" thickBot="1">
      <c r="A87" s="110"/>
      <c r="B87" s="110"/>
      <c r="C87" s="110"/>
      <c r="D87" s="110"/>
      <c r="E87" s="110"/>
      <c r="F87" s="110"/>
      <c r="G87" s="874"/>
      <c r="H87" s="1390"/>
      <c r="I87" s="1390"/>
      <c r="J87" s="1390"/>
      <c r="K87" s="1390"/>
      <c r="L87" s="1390"/>
      <c r="M87" s="1390"/>
      <c r="N87" s="1390"/>
      <c r="O87" s="1390"/>
      <c r="P87" s="1390"/>
      <c r="Q87" s="110"/>
      <c r="R87" s="110"/>
      <c r="S87" s="110"/>
      <c r="T87" s="110"/>
      <c r="U87" s="110"/>
      <c r="V87" s="110"/>
      <c r="W87" s="110"/>
      <c r="X87" s="110"/>
      <c r="Y87" s="110"/>
      <c r="Z87" s="110"/>
      <c r="AA87" s="110"/>
      <c r="AB87" s="110"/>
      <c r="AC87" s="110"/>
      <c r="AD87" s="110"/>
    </row>
    <row r="88" spans="1:30" ht="16" thickBot="1">
      <c r="A88" s="1660"/>
      <c r="B88" s="1660"/>
      <c r="C88" s="1660"/>
      <c r="D88" s="683" t="s">
        <v>1579</v>
      </c>
      <c r="E88" s="403" t="s">
        <v>216</v>
      </c>
      <c r="F88" s="403" t="s">
        <v>217</v>
      </c>
      <c r="G88" s="683" t="s">
        <v>218</v>
      </c>
      <c r="H88" s="1100" t="s">
        <v>28</v>
      </c>
      <c r="I88" s="1100" t="s">
        <v>17</v>
      </c>
      <c r="J88" s="1100" t="s">
        <v>18</v>
      </c>
      <c r="K88" s="1100" t="s">
        <v>19</v>
      </c>
      <c r="L88" s="1100" t="s">
        <v>20</v>
      </c>
      <c r="M88" s="1100" t="s">
        <v>21</v>
      </c>
      <c r="N88" s="1100" t="s">
        <v>22</v>
      </c>
      <c r="O88" s="1100" t="s">
        <v>23</v>
      </c>
      <c r="P88" s="1028" t="s">
        <v>24</v>
      </c>
      <c r="Q88" s="404" t="s">
        <v>25</v>
      </c>
      <c r="R88" s="404" t="s">
        <v>26</v>
      </c>
      <c r="S88" s="404" t="s">
        <v>27</v>
      </c>
      <c r="T88" s="404" t="s">
        <v>712</v>
      </c>
      <c r="U88" s="404" t="s">
        <v>713</v>
      </c>
      <c r="V88" s="404" t="s">
        <v>714</v>
      </c>
      <c r="W88" s="404" t="s">
        <v>715</v>
      </c>
      <c r="X88" s="404" t="s">
        <v>716</v>
      </c>
      <c r="Y88" s="404" t="s">
        <v>717</v>
      </c>
      <c r="Z88" s="404" t="s">
        <v>718</v>
      </c>
      <c r="AA88" s="404" t="s">
        <v>719</v>
      </c>
      <c r="AB88" s="404" t="s">
        <v>720</v>
      </c>
      <c r="AC88" s="404" t="s">
        <v>721</v>
      </c>
      <c r="AD88" s="1383" t="s">
        <v>722</v>
      </c>
    </row>
    <row r="89" spans="1:30">
      <c r="D89" s="1228" t="s">
        <v>506</v>
      </c>
      <c r="E89" s="190">
        <v>27750</v>
      </c>
      <c r="F89" s="190">
        <v>23014</v>
      </c>
      <c r="G89" s="874">
        <v>25151</v>
      </c>
      <c r="H89" s="1390">
        <v>25066</v>
      </c>
      <c r="I89" s="1390">
        <v>21772</v>
      </c>
      <c r="J89" s="1390">
        <v>23488</v>
      </c>
      <c r="K89" s="1390">
        <f>20160+4370</f>
        <v>24530</v>
      </c>
      <c r="L89" s="1390">
        <f>20587+5507</f>
        <v>26094</v>
      </c>
      <c r="M89" s="1390">
        <f>21451+5843</f>
        <v>27294</v>
      </c>
      <c r="N89" s="1390">
        <f>33007+4574</f>
        <v>37581</v>
      </c>
      <c r="O89" s="1390">
        <f>55035+5576</f>
        <v>60611</v>
      </c>
      <c r="P89" s="1390">
        <f>'3a. InShore Fishing Div.'!P12</f>
        <v>63224.163659999998</v>
      </c>
      <c r="Q89" s="1390">
        <f>'3a. InShore Fishing Div.'!Q12</f>
        <v>68794.975716370798</v>
      </c>
      <c r="R89" s="1390">
        <f>'3a. InShore Fishing Div.'!R12</f>
        <v>75059.81635608754</v>
      </c>
      <c r="S89" s="1390">
        <f>'3a. InShore Fishing Div.'!S12</f>
        <v>80717.795921345794</v>
      </c>
      <c r="T89" s="1390">
        <f>'3a. InShore Fishing Div.'!T12</f>
        <v>87036.330256533343</v>
      </c>
      <c r="U89" s="1390">
        <f>'3a. InShore Fishing Div.'!U12</f>
        <v>94084.869209693439</v>
      </c>
      <c r="V89" s="1390">
        <f>'3a. InShore Fishing Div.'!V12</f>
        <v>101949.2132072816</v>
      </c>
      <c r="W89" s="1390">
        <f>'3a. InShore Fishing Div.'!W12</f>
        <v>110729.34737825778</v>
      </c>
      <c r="X89" s="1390">
        <f>'3a. InShore Fishing Div.'!X12</f>
        <v>120544.67018066243</v>
      </c>
      <c r="Y89" s="1390">
        <f>'3a. InShore Fishing Div.'!Y12</f>
        <v>131506.80401915975</v>
      </c>
      <c r="Z89" s="1390">
        <f>'3a. InShore Fishing Div.'!Z12</f>
        <v>143750.3930270932</v>
      </c>
      <c r="AA89" s="1390">
        <f>'3a. InShore Fishing Div.'!AA12</f>
        <v>157428.13206655497</v>
      </c>
      <c r="AB89" s="1390">
        <f>'3a. InShore Fishing Div.'!AB12</f>
        <v>172711.71038303946</v>
      </c>
      <c r="AC89" s="1390">
        <f>'3a. InShore Fishing Div.'!AC12</f>
        <v>189793.75577162133</v>
      </c>
      <c r="AD89" s="1547">
        <f>'3a. InShore Fishing Div.'!AD12</f>
        <v>208890.41841326107</v>
      </c>
    </row>
    <row r="90" spans="1:30" s="1403" customFormat="1" ht="14">
      <c r="A90" s="1008"/>
      <c r="B90" s="1008"/>
      <c r="C90" s="1008"/>
      <c r="D90" s="1401" t="s">
        <v>511</v>
      </c>
      <c r="E90" s="1402"/>
      <c r="F90" s="1402">
        <f>(F89/E89)-1</f>
        <v>-0.17066666666666663</v>
      </c>
      <c r="G90" s="1418">
        <f t="shared" ref="G90:W90" si="424">(G89/F89)-1</f>
        <v>9.2856522116972373E-2</v>
      </c>
      <c r="H90" s="1402">
        <f t="shared" si="424"/>
        <v>-3.3795872927517845E-3</v>
      </c>
      <c r="I90" s="1402">
        <f t="shared" si="424"/>
        <v>-0.1314130694965292</v>
      </c>
      <c r="J90" s="1402">
        <f t="shared" si="424"/>
        <v>7.8816828954620721E-2</v>
      </c>
      <c r="K90" s="1402">
        <f t="shared" si="424"/>
        <v>4.4363079019073659E-2</v>
      </c>
      <c r="L90" s="1402">
        <f t="shared" si="424"/>
        <v>6.3758662861801874E-2</v>
      </c>
      <c r="M90" s="1402">
        <f t="shared" si="424"/>
        <v>4.5987583352494754E-2</v>
      </c>
      <c r="N90" s="1402">
        <f t="shared" si="424"/>
        <v>0.37689602110353926</v>
      </c>
      <c r="O90" s="1402">
        <f t="shared" si="424"/>
        <v>0.61280966445810381</v>
      </c>
      <c r="P90" s="1402">
        <f t="shared" si="424"/>
        <v>4.3113686624540071E-2</v>
      </c>
      <c r="Q90" s="1402">
        <f t="shared" si="424"/>
        <v>8.8112071933903469E-2</v>
      </c>
      <c r="R90" s="1402">
        <f t="shared" si="424"/>
        <v>9.1065380494435244E-2</v>
      </c>
      <c r="S90" s="1402">
        <f t="shared" si="424"/>
        <v>7.5379608423454147E-2</v>
      </c>
      <c r="T90" s="1402">
        <f t="shared" si="424"/>
        <v>7.8279321964446869E-2</v>
      </c>
      <c r="U90" s="1402">
        <f t="shared" si="424"/>
        <v>8.0983871130423823E-2</v>
      </c>
      <c r="V90" s="1402">
        <f t="shared" si="424"/>
        <v>8.3587765638068356E-2</v>
      </c>
      <c r="W90" s="1402">
        <f t="shared" si="424"/>
        <v>8.6122628068983076E-2</v>
      </c>
      <c r="X90" s="1402">
        <f>(X89/W89)-1</f>
        <v>8.8642469542197899E-2</v>
      </c>
      <c r="Y90" s="1402">
        <f t="shared" ref="Y90:AD90" si="425">(Y89/X89)-1</f>
        <v>9.0938353575219733E-2</v>
      </c>
      <c r="Z90" s="1402">
        <f t="shared" si="425"/>
        <v>9.3102323482438409E-2</v>
      </c>
      <c r="AA90" s="1402">
        <f t="shared" si="425"/>
        <v>9.5149228822517973E-2</v>
      </c>
      <c r="AB90" s="1402">
        <f t="shared" si="425"/>
        <v>9.7082891830433171E-2</v>
      </c>
      <c r="AC90" s="1402">
        <f t="shared" si="425"/>
        <v>9.8904963367552501E-2</v>
      </c>
      <c r="AD90" s="1452">
        <f t="shared" si="425"/>
        <v>0.10061797114452342</v>
      </c>
    </row>
    <row r="91" spans="1:30" s="1403" customFormat="1" ht="14">
      <c r="A91" s="1008"/>
      <c r="B91" s="1008"/>
      <c r="C91" s="1008"/>
      <c r="D91" s="1401" t="s">
        <v>504</v>
      </c>
      <c r="E91" s="1402">
        <f t="shared" ref="E91:W91" si="426">E89/E5</f>
        <v>1.8870015850813316E-2</v>
      </c>
      <c r="F91" s="1402">
        <f t="shared" si="426"/>
        <v>1.7448741384238513E-2</v>
      </c>
      <c r="G91" s="1418">
        <f t="shared" si="426"/>
        <v>1.7849729000078775E-2</v>
      </c>
      <c r="H91" s="1402">
        <f t="shared" si="426"/>
        <v>1.3335028629401009E-2</v>
      </c>
      <c r="I91" s="1402">
        <f t="shared" si="426"/>
        <v>1.0161974555857021E-2</v>
      </c>
      <c r="J91" s="1402">
        <f t="shared" si="426"/>
        <v>1.0301442631780003E-2</v>
      </c>
      <c r="K91" s="1402">
        <f t="shared" si="426"/>
        <v>1.0814285260830156E-2</v>
      </c>
      <c r="L91" s="1402">
        <f t="shared" si="426"/>
        <v>8.8964531811110449E-3</v>
      </c>
      <c r="M91" s="1402">
        <f t="shared" si="426"/>
        <v>9.0947258986764767E-3</v>
      </c>
      <c r="N91" s="1402">
        <f t="shared" si="426"/>
        <v>1.0762110703605096E-2</v>
      </c>
      <c r="O91" s="1402">
        <f t="shared" si="426"/>
        <v>1.5862040990438704E-2</v>
      </c>
      <c r="P91" s="1402">
        <f t="shared" si="426"/>
        <v>1.3946916190491951E-2</v>
      </c>
      <c r="Q91" s="1402">
        <f t="shared" si="426"/>
        <v>1.3801957910237091E-2</v>
      </c>
      <c r="R91" s="1402">
        <f t="shared" si="426"/>
        <v>1.3809878650241747E-2</v>
      </c>
      <c r="S91" s="1402">
        <f t="shared" si="426"/>
        <v>1.3725616360657526E-2</v>
      </c>
      <c r="T91" s="1402">
        <f t="shared" si="426"/>
        <v>1.3793211560455404E-2</v>
      </c>
      <c r="U91" s="1402">
        <f t="shared" si="426"/>
        <v>1.3969886874616443E-2</v>
      </c>
      <c r="V91" s="1402">
        <f t="shared" si="426"/>
        <v>1.4175047622173517E-2</v>
      </c>
      <c r="W91" s="1402">
        <f t="shared" si="426"/>
        <v>1.4405116313392485E-2</v>
      </c>
      <c r="X91" s="1402">
        <f>X89/X5</f>
        <v>1.4667833829911263E-2</v>
      </c>
      <c r="Y91" s="1402">
        <f t="shared" ref="Y91:AD91" si="427">Y89/Y5</f>
        <v>1.4961252386180996E-2</v>
      </c>
      <c r="Z91" s="1402">
        <f t="shared" si="427"/>
        <v>1.5287693287449798E-2</v>
      </c>
      <c r="AA91" s="1402">
        <f t="shared" si="427"/>
        <v>1.5643500072670558E-2</v>
      </c>
      <c r="AB91" s="1402">
        <f t="shared" si="427"/>
        <v>1.6028409067796904E-2</v>
      </c>
      <c r="AC91" s="1402">
        <f t="shared" si="427"/>
        <v>1.6442158280476932E-2</v>
      </c>
      <c r="AD91" s="1452">
        <f t="shared" si="427"/>
        <v>1.6884481178320459E-2</v>
      </c>
    </row>
    <row r="92" spans="1:30" s="1403" customFormat="1" ht="14">
      <c r="A92" s="1008"/>
      <c r="B92" s="1008"/>
      <c r="C92" s="1008"/>
      <c r="D92" s="1401" t="s">
        <v>1357</v>
      </c>
      <c r="E92" s="1402"/>
      <c r="F92" s="1402"/>
      <c r="G92" s="1418"/>
      <c r="H92" s="1402"/>
      <c r="I92" s="1402"/>
      <c r="J92" s="1402"/>
      <c r="K92" s="1402"/>
      <c r="L92" s="1402"/>
      <c r="M92" s="1402"/>
      <c r="N92" s="1402"/>
      <c r="O92" s="1402">
        <f>O89/O105</f>
        <v>0.34210452049150258</v>
      </c>
      <c r="P92" s="1402">
        <f t="shared" ref="P92:AD92" si="428">P89/P105</f>
        <v>0.3</v>
      </c>
      <c r="Q92" s="1402">
        <f t="shared" si="428"/>
        <v>0.3</v>
      </c>
      <c r="R92" s="1402">
        <f t="shared" si="428"/>
        <v>0.30000000000000004</v>
      </c>
      <c r="S92" s="1402">
        <f t="shared" si="428"/>
        <v>0.30000000000000004</v>
      </c>
      <c r="T92" s="1402">
        <f t="shared" si="428"/>
        <v>0.3</v>
      </c>
      <c r="U92" s="1402">
        <f t="shared" si="428"/>
        <v>0.29999999999999993</v>
      </c>
      <c r="V92" s="1402">
        <f t="shared" si="428"/>
        <v>0.29999999999999993</v>
      </c>
      <c r="W92" s="1402">
        <f t="shared" si="428"/>
        <v>0.30000000000000004</v>
      </c>
      <c r="X92" s="1402">
        <f t="shared" si="428"/>
        <v>0.3</v>
      </c>
      <c r="Y92" s="1402">
        <f t="shared" si="428"/>
        <v>0.3</v>
      </c>
      <c r="Z92" s="1402">
        <f t="shared" si="428"/>
        <v>0.30000000000000004</v>
      </c>
      <c r="AA92" s="1402">
        <f t="shared" si="428"/>
        <v>0.3</v>
      </c>
      <c r="AB92" s="1402">
        <f t="shared" si="428"/>
        <v>0.3</v>
      </c>
      <c r="AC92" s="1402">
        <f t="shared" si="428"/>
        <v>0.3</v>
      </c>
      <c r="AD92" s="1452">
        <f t="shared" si="428"/>
        <v>0.3</v>
      </c>
    </row>
    <row r="93" spans="1:30">
      <c r="D93" s="1228" t="s">
        <v>507</v>
      </c>
      <c r="E93" s="190">
        <v>16300</v>
      </c>
      <c r="F93" s="190">
        <v>17827</v>
      </c>
      <c r="G93" s="874">
        <v>19859</v>
      </c>
      <c r="H93" s="1390">
        <v>20289</v>
      </c>
      <c r="I93" s="1390">
        <v>26753</v>
      </c>
      <c r="J93" s="1390">
        <v>29053</v>
      </c>
      <c r="K93" s="1390">
        <v>25201</v>
      </c>
      <c r="L93" s="1390">
        <v>27940</v>
      </c>
      <c r="M93" s="1390">
        <v>29414</v>
      </c>
      <c r="N93" s="1390">
        <v>49304</v>
      </c>
      <c r="O93" s="1390">
        <v>67769</v>
      </c>
      <c r="P93" s="1390">
        <f>'3b. Mid Deep Water Fishing Div.'!P12</f>
        <v>67439.107904000004</v>
      </c>
      <c r="Q93" s="1390">
        <f>'3b. Mid Deep Water Fishing Div.'!Q12</f>
        <v>73381.307430795525</v>
      </c>
      <c r="R93" s="1390">
        <f>'3b. Mid Deep Water Fishing Div.'!R12</f>
        <v>80063.804113160048</v>
      </c>
      <c r="S93" s="1390">
        <f>'3b. Mid Deep Water Fishing Div.'!S12</f>
        <v>86098.982316102178</v>
      </c>
      <c r="T93" s="1390">
        <f>'3b. Mid Deep Water Fishing Div.'!T12</f>
        <v>92838.752273635575</v>
      </c>
      <c r="U93" s="1390">
        <f>'3b. Mid Deep Water Fishing Div.'!U12</f>
        <v>100357.19382367301</v>
      </c>
      <c r="V93" s="1390">
        <f>'3b. Mid Deep Water Fishing Div.'!V12</f>
        <v>108745.82742110039</v>
      </c>
      <c r="W93" s="1390">
        <f>'3b. Mid Deep Water Fishing Div.'!W12</f>
        <v>118111.30387014164</v>
      </c>
      <c r="X93" s="1390">
        <f>'3b. Mid Deep Water Fishing Div.'!X12</f>
        <v>128580.98152603993</v>
      </c>
      <c r="Y93" s="1390">
        <f>'3b. Mid Deep Water Fishing Div.'!Y12</f>
        <v>140273.92428710373</v>
      </c>
      <c r="Z93" s="1390">
        <f>'3b. Mid Deep Water Fishing Div.'!Z12</f>
        <v>153333.75256223275</v>
      </c>
      <c r="AA93" s="1390">
        <f>'3b. Mid Deep Water Fishing Div.'!AA12</f>
        <v>167923.34087099199</v>
      </c>
      <c r="AB93" s="1390">
        <f>'3b. Mid Deep Water Fishing Div.'!AB12</f>
        <v>184225.82440857546</v>
      </c>
      <c r="AC93" s="1390">
        <f>'3b. Mid Deep Water Fishing Div.'!AC12</f>
        <v>202446.67282306278</v>
      </c>
      <c r="AD93" s="1547">
        <f>'3b. Mid Deep Water Fishing Div.'!AD12</f>
        <v>222816.44630747847</v>
      </c>
    </row>
    <row r="94" spans="1:30" s="1403" customFormat="1" ht="14">
      <c r="A94" s="1008"/>
      <c r="B94" s="1008"/>
      <c r="C94" s="1008"/>
      <c r="D94" s="1401" t="s">
        <v>511</v>
      </c>
      <c r="E94" s="1402"/>
      <c r="F94" s="1402">
        <f>(F93/E93)-1</f>
        <v>9.3680981595092083E-2</v>
      </c>
      <c r="G94" s="1418">
        <f t="shared" ref="G94" si="429">(G93/F93)-1</f>
        <v>0.11398440567678247</v>
      </c>
      <c r="H94" s="1402">
        <f t="shared" ref="H94" si="430">(H93/G93)-1</f>
        <v>2.1652651190895877E-2</v>
      </c>
      <c r="I94" s="1402">
        <f t="shared" ref="I94" si="431">(I93/H93)-1</f>
        <v>0.31859628370052739</v>
      </c>
      <c r="J94" s="1402">
        <f t="shared" ref="J94" si="432">(J93/I93)-1</f>
        <v>8.5971666728964946E-2</v>
      </c>
      <c r="K94" s="1402">
        <f t="shared" ref="K94" si="433">(K93/J93)-1</f>
        <v>-0.13258527518672769</v>
      </c>
      <c r="L94" s="1402">
        <f t="shared" ref="L94" si="434">(L93/K93)-1</f>
        <v>0.10868616324749025</v>
      </c>
      <c r="M94" s="1402">
        <f t="shared" ref="M94" si="435">(M93/L93)-1</f>
        <v>5.2755905511810974E-2</v>
      </c>
      <c r="N94" s="1402">
        <f t="shared" ref="N94" si="436">(N93/M93)-1</f>
        <v>0.67620860814578099</v>
      </c>
      <c r="O94" s="1402">
        <f t="shared" ref="O94" si="437">(O93/N93)-1</f>
        <v>0.37451322407918219</v>
      </c>
      <c r="P94" s="1402">
        <f t="shared" ref="P94" si="438">(P93/O93)-1</f>
        <v>-4.8678908645545249E-3</v>
      </c>
      <c r="Q94" s="1402">
        <f t="shared" ref="Q94" si="439">(Q93/P93)-1</f>
        <v>8.8112071933903469E-2</v>
      </c>
      <c r="R94" s="1402">
        <f t="shared" ref="R94" si="440">(R93/Q93)-1</f>
        <v>9.1065380494435244E-2</v>
      </c>
      <c r="S94" s="1402">
        <f t="shared" ref="S94" si="441">(S93/R93)-1</f>
        <v>7.5379608423453925E-2</v>
      </c>
      <c r="T94" s="1402">
        <f t="shared" ref="T94" si="442">(T93/S93)-1</f>
        <v>7.8279321964447091E-2</v>
      </c>
      <c r="U94" s="1402">
        <f t="shared" ref="U94" si="443">(U93/T93)-1</f>
        <v>8.0983871130423601E-2</v>
      </c>
      <c r="V94" s="1402">
        <f t="shared" ref="V94" si="444">(V93/U93)-1</f>
        <v>8.3587765638068356E-2</v>
      </c>
      <c r="W94" s="1402">
        <f t="shared" ref="W94" si="445">(W93/V93)-1</f>
        <v>8.6122628068983076E-2</v>
      </c>
      <c r="X94" s="1402">
        <f t="shared" ref="X94" si="446">(X93/W93)-1</f>
        <v>8.8642469542197677E-2</v>
      </c>
      <c r="Y94" s="1402">
        <f t="shared" ref="Y94" si="447">(Y93/X93)-1</f>
        <v>9.093835357521951E-2</v>
      </c>
      <c r="Z94" s="1402">
        <f t="shared" ref="Z94" si="448">(Z93/Y93)-1</f>
        <v>9.3102323482438631E-2</v>
      </c>
      <c r="AA94" s="1402">
        <f t="shared" ref="AA94" si="449">(AA93/Z93)-1</f>
        <v>9.5149228822517973E-2</v>
      </c>
      <c r="AB94" s="1402">
        <f t="shared" ref="AB94" si="450">(AB93/AA93)-1</f>
        <v>9.7082891830433171E-2</v>
      </c>
      <c r="AC94" s="1402">
        <f t="shared" ref="AC94" si="451">(AC93/AB93)-1</f>
        <v>9.8904963367552501E-2</v>
      </c>
      <c r="AD94" s="1452">
        <f t="shared" ref="AD94" si="452">(AD93/AC93)-1</f>
        <v>0.10061797114452342</v>
      </c>
    </row>
    <row r="95" spans="1:30" s="1403" customFormat="1" ht="14">
      <c r="A95" s="1008"/>
      <c r="B95" s="1008"/>
      <c r="C95" s="1008"/>
      <c r="D95" s="1401" t="s">
        <v>504</v>
      </c>
      <c r="E95" s="1402">
        <f t="shared" ref="E95:X95" si="453">E93/E9</f>
        <v>1.7357210323600162E-2</v>
      </c>
      <c r="F95" s="1402">
        <f t="shared" si="453"/>
        <v>1.6639567205109011E-2</v>
      </c>
      <c r="G95" s="1418">
        <f t="shared" si="453"/>
        <v>1.9399863432151276E-2</v>
      </c>
      <c r="H95" s="1402">
        <f t="shared" si="453"/>
        <v>2.1713770783746297E-2</v>
      </c>
      <c r="I95" s="1402">
        <f t="shared" si="453"/>
        <v>2.8212518204261038E-2</v>
      </c>
      <c r="J95" s="1402">
        <f t="shared" si="453"/>
        <v>3.1960300714824745E-2</v>
      </c>
      <c r="K95" s="1402">
        <f t="shared" si="453"/>
        <v>2.1522631600972578E-2</v>
      </c>
      <c r="L95" s="1402">
        <f t="shared" si="453"/>
        <v>1.946927074550444E-2</v>
      </c>
      <c r="M95" s="1402">
        <f t="shared" si="453"/>
        <v>2.141031165564148E-2</v>
      </c>
      <c r="N95" s="1402">
        <f t="shared" si="453"/>
        <v>4.0968200287501977E-2</v>
      </c>
      <c r="O95" s="1402">
        <f t="shared" si="453"/>
        <v>5.1545278293086048E-2</v>
      </c>
      <c r="P95" s="1402">
        <f t="shared" si="453"/>
        <v>4.8663947360431885E-2</v>
      </c>
      <c r="Q95" s="1402">
        <f t="shared" si="453"/>
        <v>5.1230719221259262E-2</v>
      </c>
      <c r="R95" s="1402">
        <f t="shared" si="453"/>
        <v>5.3730334501544401E-2</v>
      </c>
      <c r="S95" s="1402">
        <f t="shared" si="453"/>
        <v>5.5205643629538614E-2</v>
      </c>
      <c r="T95" s="1402">
        <f t="shared" si="453"/>
        <v>5.6668946815907839E-2</v>
      </c>
      <c r="U95" s="1402">
        <f t="shared" si="453"/>
        <v>5.7557005774558419E-2</v>
      </c>
      <c r="V95" s="1402">
        <f t="shared" si="453"/>
        <v>5.8413296626071531E-2</v>
      </c>
      <c r="W95" s="1402">
        <f t="shared" si="453"/>
        <v>5.9168896407839816E-2</v>
      </c>
      <c r="X95" s="1402">
        <f t="shared" si="453"/>
        <v>5.8529044586950553E-2</v>
      </c>
      <c r="Y95" s="1402">
        <f t="shared" ref="Y95:AD95" si="454">Y93/Y9</f>
        <v>5.9409722104170067E-2</v>
      </c>
      <c r="Z95" s="1402">
        <f t="shared" si="454"/>
        <v>6.0335100737284035E-2</v>
      </c>
      <c r="AA95" s="1402">
        <f t="shared" si="454"/>
        <v>6.1244668610850872E-2</v>
      </c>
      <c r="AB95" s="1402">
        <f t="shared" si="454"/>
        <v>6.2133967558564554E-2</v>
      </c>
      <c r="AC95" s="1402">
        <f t="shared" si="454"/>
        <v>6.299953976186351E-2</v>
      </c>
      <c r="AD95" s="1452">
        <f t="shared" si="454"/>
        <v>6.3839118712048962E-2</v>
      </c>
    </row>
    <row r="96" spans="1:30" s="1403" customFormat="1" ht="14">
      <c r="A96" s="1008"/>
      <c r="B96" s="1008"/>
      <c r="C96" s="1008"/>
      <c r="D96" s="1401" t="s">
        <v>1357</v>
      </c>
      <c r="E96" s="1402"/>
      <c r="F96" s="1402"/>
      <c r="G96" s="1418"/>
      <c r="H96" s="1402"/>
      <c r="I96" s="1402"/>
      <c r="J96" s="1402"/>
      <c r="K96" s="1402"/>
      <c r="L96" s="1402"/>
      <c r="M96" s="1402"/>
      <c r="N96" s="1402"/>
      <c r="O96" s="1402">
        <f>O93/O105</f>
        <v>0.38250616635905427</v>
      </c>
      <c r="P96" s="1402">
        <f t="shared" ref="P96:AD96" si="455">P93/P105</f>
        <v>0.32</v>
      </c>
      <c r="Q96" s="1402">
        <f t="shared" si="455"/>
        <v>0.32000000000000006</v>
      </c>
      <c r="R96" s="1402">
        <f t="shared" si="455"/>
        <v>0.32000000000000006</v>
      </c>
      <c r="S96" s="1402">
        <f t="shared" si="455"/>
        <v>0.32000000000000006</v>
      </c>
      <c r="T96" s="1402">
        <f t="shared" si="455"/>
        <v>0.32</v>
      </c>
      <c r="U96" s="1402">
        <f t="shared" si="455"/>
        <v>0.31999999999999995</v>
      </c>
      <c r="V96" s="1402">
        <f t="shared" si="455"/>
        <v>0.31999999999999995</v>
      </c>
      <c r="W96" s="1402">
        <f t="shared" si="455"/>
        <v>0.32000000000000006</v>
      </c>
      <c r="X96" s="1402">
        <f t="shared" si="455"/>
        <v>0.32</v>
      </c>
      <c r="Y96" s="1402">
        <f t="shared" si="455"/>
        <v>0.32</v>
      </c>
      <c r="Z96" s="1402">
        <f t="shared" si="455"/>
        <v>0.32000000000000006</v>
      </c>
      <c r="AA96" s="1402">
        <f t="shared" si="455"/>
        <v>0.32</v>
      </c>
      <c r="AB96" s="1402">
        <f t="shared" si="455"/>
        <v>0.32</v>
      </c>
      <c r="AC96" s="1402">
        <f t="shared" si="455"/>
        <v>0.32</v>
      </c>
      <c r="AD96" s="1452">
        <f t="shared" si="455"/>
        <v>0.32</v>
      </c>
    </row>
    <row r="97" spans="1:30">
      <c r="D97" s="1228" t="s">
        <v>508</v>
      </c>
      <c r="E97" s="190">
        <v>14808</v>
      </c>
      <c r="F97" s="190">
        <v>16474</v>
      </c>
      <c r="G97" s="874">
        <v>22389</v>
      </c>
      <c r="H97" s="1390">
        <v>21900</v>
      </c>
      <c r="I97" s="1390">
        <v>23510</v>
      </c>
      <c r="J97" s="1390">
        <v>24333</v>
      </c>
      <c r="K97" s="1390">
        <v>27478</v>
      </c>
      <c r="L97" s="1390">
        <v>32305</v>
      </c>
      <c r="M97" s="1390">
        <v>30485</v>
      </c>
      <c r="N97" s="1390">
        <v>26738</v>
      </c>
      <c r="O97" s="1390">
        <v>27012</v>
      </c>
      <c r="P97" s="1390">
        <f>'3c. Commercial Cold Stor Div.'!P14</f>
        <v>29504.609708000004</v>
      </c>
      <c r="Q97" s="1390">
        <f>'3c. Commercial Cold Stor Div.'!Q14</f>
        <v>32104.322000973047</v>
      </c>
      <c r="R97" s="1390">
        <f>'3c. Commercial Cold Stor Div.'!R14</f>
        <v>35027.914299507524</v>
      </c>
      <c r="S97" s="1390">
        <f>'3c. Commercial Cold Stor Div.'!S14</f>
        <v>37668.304763294705</v>
      </c>
      <c r="T97" s="1390">
        <f>'3c. Commercial Cold Stor Div.'!T14</f>
        <v>40616.954119715563</v>
      </c>
      <c r="U97" s="1390">
        <f>'3c. Commercial Cold Stor Div.'!U14</f>
        <v>43906.272297856944</v>
      </c>
      <c r="V97" s="1390">
        <f>'3c. Commercial Cold Stor Div.'!V14</f>
        <v>47576.299496731423</v>
      </c>
      <c r="W97" s="1390">
        <f>'3c. Commercial Cold Stor Div.'!W14</f>
        <v>51673.695443186974</v>
      </c>
      <c r="X97" s="1390">
        <f>'3c. Commercial Cold Stor Div.'!X14</f>
        <v>56254.179417642474</v>
      </c>
      <c r="Y97" s="1390">
        <f>'3c. Commercial Cold Stor Div.'!Y14</f>
        <v>61369.84187560789</v>
      </c>
      <c r="Z97" s="1390">
        <f>'3c. Commercial Cold Stor Div.'!Z14</f>
        <v>67083.516745976827</v>
      </c>
      <c r="AA97" s="1390">
        <f>'3c. Commercial Cold Stor Div.'!AA14</f>
        <v>73466.461631059006</v>
      </c>
      <c r="AB97" s="1390">
        <f>'3c. Commercial Cold Stor Div.'!AB14</f>
        <v>80598.798178751764</v>
      </c>
      <c r="AC97" s="1390">
        <f>'3c. Commercial Cold Stor Div.'!AC14</f>
        <v>88570.41936008996</v>
      </c>
      <c r="AD97" s="1547">
        <f>'3c. Commercial Cold Stor Div.'!AD14</f>
        <v>97482.195259521846</v>
      </c>
    </row>
    <row r="98" spans="1:30" s="1403" customFormat="1" ht="14">
      <c r="A98" s="1008"/>
      <c r="B98" s="1008"/>
      <c r="C98" s="1008"/>
      <c r="D98" s="1401" t="s">
        <v>511</v>
      </c>
      <c r="E98" s="1402"/>
      <c r="F98" s="1402">
        <f>(F97/E97)-1</f>
        <v>0.11250675310642899</v>
      </c>
      <c r="G98" s="1418">
        <f t="shared" ref="G98" si="456">(G97/F97)-1</f>
        <v>0.35905062522763131</v>
      </c>
      <c r="H98" s="1402">
        <f t="shared" ref="H98" si="457">(H97/G97)-1</f>
        <v>-2.1841082674527668E-2</v>
      </c>
      <c r="I98" s="1402">
        <f t="shared" ref="I98" si="458">(I97/H97)-1</f>
        <v>7.351598173515983E-2</v>
      </c>
      <c r="J98" s="1402">
        <f t="shared" ref="J98" si="459">(J97/I97)-1</f>
        <v>3.5006380263717496E-2</v>
      </c>
      <c r="K98" s="1402">
        <f t="shared" ref="K98" si="460">(K97/J97)-1</f>
        <v>0.12924834586775158</v>
      </c>
      <c r="L98" s="1402">
        <f t="shared" ref="L98" si="461">(L97/K97)-1</f>
        <v>0.175667806972851</v>
      </c>
      <c r="M98" s="1402">
        <f t="shared" ref="M98" si="462">(M97/L97)-1</f>
        <v>-5.633802816901412E-2</v>
      </c>
      <c r="N98" s="1402">
        <f t="shared" ref="N98" si="463">(N97/M97)-1</f>
        <v>-0.12291290798753485</v>
      </c>
      <c r="O98" s="1402">
        <f t="shared" ref="O98" si="464">(O97/N97)-1</f>
        <v>1.0247587702894689E-2</v>
      </c>
      <c r="P98" s="1402">
        <f t="shared" ref="P98" si="465">(P97/O97)-1</f>
        <v>9.2277865689323502E-2</v>
      </c>
      <c r="Q98" s="1402">
        <f t="shared" ref="Q98" si="466">(Q97/P97)-1</f>
        <v>8.8112071933903469E-2</v>
      </c>
      <c r="R98" s="1402">
        <f t="shared" ref="R98" si="467">(R97/Q97)-1</f>
        <v>9.1065380494435244E-2</v>
      </c>
      <c r="S98" s="1402">
        <f t="shared" ref="S98" si="468">(S97/R97)-1</f>
        <v>7.5379608423453925E-2</v>
      </c>
      <c r="T98" s="1402">
        <f t="shared" ref="T98" si="469">(T97/S97)-1</f>
        <v>7.8279321964446869E-2</v>
      </c>
      <c r="U98" s="1402">
        <f t="shared" ref="U98" si="470">(U97/T97)-1</f>
        <v>8.0983871130423823E-2</v>
      </c>
      <c r="V98" s="1402">
        <f t="shared" ref="V98" si="471">(V97/U97)-1</f>
        <v>8.3587765638068356E-2</v>
      </c>
      <c r="W98" s="1402">
        <f t="shared" ref="W98" si="472">(W97/V97)-1</f>
        <v>8.6122628068983076E-2</v>
      </c>
      <c r="X98" s="1402">
        <f t="shared" ref="X98" si="473">(X97/W97)-1</f>
        <v>8.8642469542197677E-2</v>
      </c>
      <c r="Y98" s="1402">
        <f t="shared" ref="Y98" si="474">(Y97/X97)-1</f>
        <v>9.0938353575219733E-2</v>
      </c>
      <c r="Z98" s="1402">
        <f t="shared" ref="Z98" si="475">(Z97/Y97)-1</f>
        <v>9.3102323482438409E-2</v>
      </c>
      <c r="AA98" s="1402">
        <f t="shared" ref="AA98" si="476">(AA97/Z97)-1</f>
        <v>9.5149228822518195E-2</v>
      </c>
      <c r="AB98" s="1402">
        <f t="shared" ref="AB98" si="477">(AB97/AA97)-1</f>
        <v>9.7082891830432949E-2</v>
      </c>
      <c r="AC98" s="1402">
        <f t="shared" ref="AC98" si="478">(AC97/AB97)-1</f>
        <v>9.8904963367552501E-2</v>
      </c>
      <c r="AD98" s="1452">
        <f t="shared" ref="AD98" si="479">(AD97/AC97)-1</f>
        <v>0.10061797114452364</v>
      </c>
    </row>
    <row r="99" spans="1:30" s="1403" customFormat="1" ht="14">
      <c r="A99" s="1008"/>
      <c r="B99" s="1008"/>
      <c r="C99" s="1008"/>
      <c r="D99" s="1401" t="s">
        <v>504</v>
      </c>
      <c r="E99" s="1402">
        <f t="shared" ref="E99:X99" si="480">E97/E13</f>
        <v>8.8758354062396974E-2</v>
      </c>
      <c r="F99" s="1402">
        <f t="shared" si="480"/>
        <v>0.1068027254987131</v>
      </c>
      <c r="G99" s="1418">
        <f t="shared" si="480"/>
        <v>0.12707593111825002</v>
      </c>
      <c r="H99" s="1402">
        <f t="shared" si="480"/>
        <v>0.11625376232210255</v>
      </c>
      <c r="I99" s="1402">
        <f t="shared" si="480"/>
        <v>0.11167372841101252</v>
      </c>
      <c r="J99" s="1402">
        <f t="shared" si="480"/>
        <v>0.10393565582873447</v>
      </c>
      <c r="K99" s="1402">
        <f t="shared" si="480"/>
        <v>0.12604991903409743</v>
      </c>
      <c r="L99" s="1402">
        <f t="shared" si="480"/>
        <v>0.11546159619714787</v>
      </c>
      <c r="M99" s="1402">
        <f t="shared" si="480"/>
        <v>9.3420568766854617E-2</v>
      </c>
      <c r="N99" s="1402">
        <f t="shared" si="480"/>
        <v>7.779662545716938E-2</v>
      </c>
      <c r="O99" s="1402">
        <f t="shared" si="480"/>
        <v>5.8905241764017034E-2</v>
      </c>
      <c r="P99" s="1402">
        <f t="shared" si="480"/>
        <v>5.8920230542045891E-2</v>
      </c>
      <c r="Q99" s="1402">
        <f t="shared" si="480"/>
        <v>5.8994077878011336E-2</v>
      </c>
      <c r="R99" s="1402">
        <f t="shared" si="480"/>
        <v>6.0088121757739699E-2</v>
      </c>
      <c r="S99" s="1402">
        <f t="shared" si="480"/>
        <v>6.0616830062606895E-2</v>
      </c>
      <c r="T99" s="1402">
        <f t="shared" si="480"/>
        <v>6.161564330650629E-2</v>
      </c>
      <c r="U99" s="1402">
        <f t="shared" si="480"/>
        <v>6.2788005866948104E-2</v>
      </c>
      <c r="V99" s="1402">
        <f t="shared" si="480"/>
        <v>6.4136797686874275E-2</v>
      </c>
      <c r="W99" s="1402">
        <f t="shared" si="480"/>
        <v>6.5667823585592533E-2</v>
      </c>
      <c r="X99" s="1402">
        <f t="shared" si="480"/>
        <v>6.7391385405053572E-2</v>
      </c>
      <c r="Y99" s="1402">
        <f t="shared" ref="Y99:AD99" si="481">Y97/Y13</f>
        <v>6.9306039818007398E-2</v>
      </c>
      <c r="Z99" s="1402">
        <f t="shared" si="481"/>
        <v>7.1416471678384497E-2</v>
      </c>
      <c r="AA99" s="1402">
        <f t="shared" si="481"/>
        <v>7.3728972364072387E-2</v>
      </c>
      <c r="AB99" s="1402">
        <f t="shared" si="481"/>
        <v>7.6250748692366713E-2</v>
      </c>
      <c r="AC99" s="1402">
        <f t="shared" si="481"/>
        <v>7.8989749433006878E-2</v>
      </c>
      <c r="AD99" s="1452">
        <f t="shared" si="481"/>
        <v>8.1954692460567802E-2</v>
      </c>
    </row>
    <row r="100" spans="1:30" s="1403" customFormat="1" ht="14">
      <c r="A100" s="1008"/>
      <c r="B100" s="1008"/>
      <c r="C100" s="1008"/>
      <c r="D100" s="1401" t="s">
        <v>1357</v>
      </c>
      <c r="E100" s="1402"/>
      <c r="F100" s="1402"/>
      <c r="G100" s="1418"/>
      <c r="H100" s="1402"/>
      <c r="I100" s="1402"/>
      <c r="J100" s="1402"/>
      <c r="K100" s="1402"/>
      <c r="L100" s="1402"/>
      <c r="M100" s="1402"/>
      <c r="N100" s="1402"/>
      <c r="O100" s="1402">
        <f>O97/O105</f>
        <v>0.15246287484972146</v>
      </c>
      <c r="P100" s="1402">
        <f t="shared" ref="P100:AD100" si="482">P97/P105</f>
        <v>0.14000000000000001</v>
      </c>
      <c r="Q100" s="1402">
        <f t="shared" si="482"/>
        <v>0.14000000000000004</v>
      </c>
      <c r="R100" s="1402">
        <f t="shared" si="482"/>
        <v>0.14000000000000004</v>
      </c>
      <c r="S100" s="1402">
        <f t="shared" si="482"/>
        <v>0.14000000000000004</v>
      </c>
      <c r="T100" s="1402">
        <f t="shared" si="482"/>
        <v>0.14000000000000001</v>
      </c>
      <c r="U100" s="1402">
        <f t="shared" si="482"/>
        <v>0.13999999999999999</v>
      </c>
      <c r="V100" s="1402">
        <f t="shared" si="482"/>
        <v>0.13999999999999999</v>
      </c>
      <c r="W100" s="1402">
        <f t="shared" si="482"/>
        <v>0.14000000000000004</v>
      </c>
      <c r="X100" s="1402">
        <f t="shared" si="482"/>
        <v>0.14000000000000001</v>
      </c>
      <c r="Y100" s="1402">
        <f t="shared" si="482"/>
        <v>0.14000000000000001</v>
      </c>
      <c r="Z100" s="1402">
        <f t="shared" si="482"/>
        <v>0.14000000000000001</v>
      </c>
      <c r="AA100" s="1402">
        <f t="shared" si="482"/>
        <v>0.14000000000000001</v>
      </c>
      <c r="AB100" s="1402">
        <f t="shared" si="482"/>
        <v>0.14000000000000001</v>
      </c>
      <c r="AC100" s="1402">
        <f t="shared" si="482"/>
        <v>0.14000000000000001</v>
      </c>
      <c r="AD100" s="1452">
        <f t="shared" si="482"/>
        <v>0.14000000000000001</v>
      </c>
    </row>
    <row r="101" spans="1:30">
      <c r="D101" s="1228" t="s">
        <v>509</v>
      </c>
      <c r="E101" s="190">
        <v>0</v>
      </c>
      <c r="F101" s="190">
        <v>0</v>
      </c>
      <c r="G101" s="874">
        <v>0</v>
      </c>
      <c r="H101" s="1390">
        <v>0</v>
      </c>
      <c r="I101" s="1390">
        <v>0</v>
      </c>
      <c r="J101" s="1390">
        <v>0</v>
      </c>
      <c r="K101" s="1390">
        <v>0</v>
      </c>
      <c r="L101" s="1390"/>
      <c r="M101" s="1390"/>
      <c r="N101" s="1390"/>
      <c r="O101" s="1390">
        <v>21779</v>
      </c>
      <c r="P101" s="1390">
        <f>P104*'2a. Income Statement'!P59</f>
        <v>50579.330928000003</v>
      </c>
      <c r="Q101" s="1390">
        <f>Q104*'2a. Income Statement'!Q59</f>
        <v>55035.98057309664</v>
      </c>
      <c r="R101" s="1390">
        <f>R104*'2a. Income Statement'!R59</f>
        <v>60047.853084870032</v>
      </c>
      <c r="S101" s="1390">
        <f>S104*'2a. Income Statement'!S59</f>
        <v>64574.23673707663</v>
      </c>
      <c r="T101" s="1390">
        <f>T104*'2a. Income Statement'!T59</f>
        <v>69629.064205226678</v>
      </c>
      <c r="U101" s="1390">
        <f>U104*'2a. Income Statement'!U59</f>
        <v>75267.89536775474</v>
      </c>
      <c r="V101" s="1390">
        <f>V104*'2a. Income Statement'!V59</f>
        <v>81559.370565825287</v>
      </c>
      <c r="W101" s="1390">
        <f>W104*'2a. Income Statement'!W59</f>
        <v>88583.477902606217</v>
      </c>
      <c r="X101" s="1390">
        <f>X104*'2a. Income Statement'!X59</f>
        <v>96435.736144529947</v>
      </c>
      <c r="Y101" s="1390">
        <f>Y104*'2a. Income Statement'!Y59</f>
        <v>105205.44321532779</v>
      </c>
      <c r="Z101" s="1390">
        <f>Z104*'2a. Income Statement'!Z59</f>
        <v>115000.31442167456</v>
      </c>
      <c r="AA101" s="1390">
        <f>AA104*'2a. Income Statement'!AA59</f>
        <v>125942.50565324398</v>
      </c>
      <c r="AB101" s="1390">
        <f>AB104*'2a. Income Statement'!AB59</f>
        <v>138169.36830643157</v>
      </c>
      <c r="AC101" s="1390">
        <f>AC104*'2a. Income Statement'!AC59</f>
        <v>151835.00461729706</v>
      </c>
      <c r="AD101" s="1547">
        <f>AD104*'2a. Income Statement'!AD59</f>
        <v>167112.33473060885</v>
      </c>
    </row>
    <row r="102" spans="1:30" s="1403" customFormat="1" ht="14">
      <c r="A102" s="1008"/>
      <c r="B102" s="1008"/>
      <c r="C102" s="1008"/>
      <c r="D102" s="1401" t="s">
        <v>511</v>
      </c>
      <c r="E102" s="1402"/>
      <c r="F102" s="1402" t="e">
        <f>(F101/E101)-1</f>
        <v>#DIV/0!</v>
      </c>
      <c r="G102" s="1418" t="e">
        <f t="shared" ref="G102" si="483">(G101/F101)-1</f>
        <v>#DIV/0!</v>
      </c>
      <c r="H102" s="1402" t="e">
        <f t="shared" ref="H102" si="484">(H101/G101)-1</f>
        <v>#DIV/0!</v>
      </c>
      <c r="I102" s="1402" t="e">
        <f t="shared" ref="I102" si="485">(I101/H101)-1</f>
        <v>#DIV/0!</v>
      </c>
      <c r="J102" s="1402" t="e">
        <f t="shared" ref="J102" si="486">(J101/I101)-1</f>
        <v>#DIV/0!</v>
      </c>
      <c r="K102" s="1402" t="e">
        <f t="shared" ref="K102" si="487">(K101/J101)-1</f>
        <v>#DIV/0!</v>
      </c>
      <c r="L102" s="1402"/>
      <c r="M102" s="1402"/>
      <c r="N102" s="1402"/>
      <c r="O102" s="1402"/>
      <c r="P102" s="1402">
        <f t="shared" ref="P102" si="488">(P101/O101)-1</f>
        <v>1.322389959502273</v>
      </c>
      <c r="Q102" s="1402">
        <f t="shared" ref="Q102" si="489">(Q101/P101)-1</f>
        <v>8.8112071933903247E-2</v>
      </c>
      <c r="R102" s="1402">
        <f t="shared" ref="R102" si="490">(R101/Q101)-1</f>
        <v>9.1065380494435244E-2</v>
      </c>
      <c r="S102" s="1402">
        <f t="shared" ref="S102" si="491">(S101/R101)-1</f>
        <v>7.5379608423453925E-2</v>
      </c>
      <c r="T102" s="1402">
        <f t="shared" ref="T102" si="492">(T101/S101)-1</f>
        <v>7.8279321964447091E-2</v>
      </c>
      <c r="U102" s="1402">
        <f t="shared" ref="U102" si="493">(U101/T101)-1</f>
        <v>8.0983871130423601E-2</v>
      </c>
      <c r="V102" s="1402">
        <f t="shared" ref="V102" si="494">(V101/U101)-1</f>
        <v>8.3587765638068579E-2</v>
      </c>
      <c r="W102" s="1402">
        <f t="shared" ref="W102" si="495">(W101/V101)-1</f>
        <v>8.6122628068983076E-2</v>
      </c>
      <c r="X102" s="1402">
        <f t="shared" ref="X102" si="496">(X101/W101)-1</f>
        <v>8.8642469542197899E-2</v>
      </c>
      <c r="Y102" s="1402">
        <f t="shared" ref="Y102" si="497">(Y101/X101)-1</f>
        <v>9.093835357521951E-2</v>
      </c>
      <c r="Z102" s="1402">
        <f t="shared" ref="Z102" si="498">(Z101/Y101)-1</f>
        <v>9.3102323482438631E-2</v>
      </c>
      <c r="AA102" s="1402">
        <f t="shared" ref="AA102" si="499">(AA101/Z101)-1</f>
        <v>9.5149228822517973E-2</v>
      </c>
      <c r="AB102" s="1402">
        <f t="shared" ref="AB102" si="500">(AB101/AA101)-1</f>
        <v>9.7082891830433171E-2</v>
      </c>
      <c r="AC102" s="1402">
        <f t="shared" ref="AC102" si="501">(AC101/AB101)-1</f>
        <v>9.8904963367552501E-2</v>
      </c>
      <c r="AD102" s="1452">
        <f t="shared" ref="AD102" si="502">(AD101/AC101)-1</f>
        <v>0.10061797114452342</v>
      </c>
    </row>
    <row r="103" spans="1:30" s="1403" customFormat="1" ht="14">
      <c r="A103" s="1008"/>
      <c r="B103" s="1008"/>
      <c r="C103" s="1008"/>
      <c r="D103" s="1401" t="s">
        <v>504</v>
      </c>
      <c r="E103" s="1402" t="e">
        <f t="shared" ref="E103:X103" si="503">E101/E17</f>
        <v>#DIV/0!</v>
      </c>
      <c r="F103" s="1402" t="e">
        <f t="shared" si="503"/>
        <v>#DIV/0!</v>
      </c>
      <c r="G103" s="1418" t="e">
        <f t="shared" si="503"/>
        <v>#DIV/0!</v>
      </c>
      <c r="H103" s="1402" t="e">
        <f t="shared" si="503"/>
        <v>#DIV/0!</v>
      </c>
      <c r="I103" s="1402" t="e">
        <f t="shared" si="503"/>
        <v>#DIV/0!</v>
      </c>
      <c r="J103" s="1402" t="e">
        <f t="shared" si="503"/>
        <v>#DIV/0!</v>
      </c>
      <c r="K103" s="1402" t="e">
        <f t="shared" si="503"/>
        <v>#DIV/0!</v>
      </c>
      <c r="L103" s="1402"/>
      <c r="M103" s="1402"/>
      <c r="N103" s="1402"/>
      <c r="O103" s="1402">
        <f t="shared" si="503"/>
        <v>3.7920839659567357E-2</v>
      </c>
      <c r="P103" s="1402">
        <f t="shared" si="503"/>
        <v>2.4864697711155445E-2</v>
      </c>
      <c r="Q103" s="1402">
        <f t="shared" si="503"/>
        <v>2.4137250163693138E-2</v>
      </c>
      <c r="R103" s="1402">
        <f t="shared" si="503"/>
        <v>2.36517014348849E-2</v>
      </c>
      <c r="S103" s="1402">
        <f t="shared" si="503"/>
        <v>2.2669472387622489E-2</v>
      </c>
      <c r="T103" s="1402">
        <f t="shared" si="503"/>
        <v>2.190784976102771E-2</v>
      </c>
      <c r="U103" s="1402">
        <f t="shared" si="503"/>
        <v>2.1438320335900804E-2</v>
      </c>
      <c r="V103" s="1402">
        <f t="shared" si="503"/>
        <v>2.1059163388454944E-2</v>
      </c>
      <c r="W103" s="1402">
        <f t="shared" si="503"/>
        <v>2.0681906323582026E-2</v>
      </c>
      <c r="X103" s="1402">
        <f t="shared" si="503"/>
        <v>2.0353762101304438E-2</v>
      </c>
      <c r="Y103" s="1402">
        <f t="shared" ref="Y103:AD103" si="504">Y101/Y17</f>
        <v>2.0082199042553584E-2</v>
      </c>
      <c r="Z103" s="1402">
        <f t="shared" si="504"/>
        <v>1.98773514927451E-2</v>
      </c>
      <c r="AA103" s="1402">
        <f t="shared" si="504"/>
        <v>1.9717979653799518E-2</v>
      </c>
      <c r="AB103" s="1402">
        <f t="shared" si="504"/>
        <v>1.9594421760211218E-2</v>
      </c>
      <c r="AC103" s="1402">
        <f t="shared" si="504"/>
        <v>1.9503977252245647E-2</v>
      </c>
      <c r="AD103" s="1452">
        <f t="shared" si="504"/>
        <v>1.9444213299689494E-2</v>
      </c>
    </row>
    <row r="104" spans="1:30" s="1403" customFormat="1" thickBot="1">
      <c r="A104" s="1008"/>
      <c r="B104" s="1008"/>
      <c r="C104" s="1008"/>
      <c r="D104" s="1401" t="s">
        <v>1357</v>
      </c>
      <c r="E104" s="1402"/>
      <c r="F104" s="1402"/>
      <c r="G104" s="1418"/>
      <c r="H104" s="1402"/>
      <c r="I104" s="1402"/>
      <c r="J104" s="1402"/>
      <c r="K104" s="1402"/>
      <c r="L104" s="1402"/>
      <c r="M104" s="1402"/>
      <c r="N104" s="1402"/>
      <c r="O104" s="1402">
        <f>O101/O105</f>
        <v>0.12292643829972173</v>
      </c>
      <c r="P104" s="1402">
        <f>'2e. Notes to the New Fin Stat'!P43</f>
        <v>0.24</v>
      </c>
      <c r="Q104" s="1402">
        <f>'2e. Notes to the New Fin Stat'!Q43</f>
        <v>0.24</v>
      </c>
      <c r="R104" s="1402">
        <f>'2e. Notes to the New Fin Stat'!R43</f>
        <v>0.24</v>
      </c>
      <c r="S104" s="1402">
        <f>'2e. Notes to the New Fin Stat'!S43</f>
        <v>0.24</v>
      </c>
      <c r="T104" s="1402">
        <f>'2e. Notes to the New Fin Stat'!T43</f>
        <v>0.24</v>
      </c>
      <c r="U104" s="1402">
        <f>'2e. Notes to the New Fin Stat'!U43</f>
        <v>0.24</v>
      </c>
      <c r="V104" s="1402">
        <f>'2e. Notes to the New Fin Stat'!V43</f>
        <v>0.24</v>
      </c>
      <c r="W104" s="1402">
        <f>'2e. Notes to the New Fin Stat'!W43</f>
        <v>0.24</v>
      </c>
      <c r="X104" s="1402">
        <f>'2e. Notes to the New Fin Stat'!X43</f>
        <v>0.24</v>
      </c>
      <c r="Y104" s="1402">
        <f>'2e. Notes to the New Fin Stat'!Y43</f>
        <v>0.24</v>
      </c>
      <c r="Z104" s="1402">
        <f>'2e. Notes to the New Fin Stat'!Z43</f>
        <v>0.24</v>
      </c>
      <c r="AA104" s="1402">
        <f>'2e. Notes to the New Fin Stat'!AA43</f>
        <v>0.24</v>
      </c>
      <c r="AB104" s="1402">
        <f>'2e. Notes to the New Fin Stat'!AB43</f>
        <v>0.24</v>
      </c>
      <c r="AC104" s="1402">
        <f>'2e. Notes to the New Fin Stat'!AC43</f>
        <v>0.24</v>
      </c>
      <c r="AD104" s="1452">
        <f>'2e. Notes to the New Fin Stat'!AD43</f>
        <v>0.24</v>
      </c>
    </row>
    <row r="105" spans="1:30" s="20" customFormat="1" ht="16" thickBot="1">
      <c r="A105" s="4"/>
      <c r="B105" s="4"/>
      <c r="C105" s="4"/>
      <c r="D105" s="172" t="s">
        <v>510</v>
      </c>
      <c r="E105" s="174">
        <f>E89+E93+E97+E101</f>
        <v>58858</v>
      </c>
      <c r="F105" s="174">
        <f t="shared" ref="F105:AD105" si="505">F89+F93+F97+F101</f>
        <v>57315</v>
      </c>
      <c r="G105" s="691">
        <f t="shared" si="505"/>
        <v>67399</v>
      </c>
      <c r="H105" s="843">
        <f t="shared" si="505"/>
        <v>67255</v>
      </c>
      <c r="I105" s="843">
        <f t="shared" si="505"/>
        <v>72035</v>
      </c>
      <c r="J105" s="843">
        <f t="shared" si="505"/>
        <v>76874</v>
      </c>
      <c r="K105" s="843">
        <f t="shared" si="505"/>
        <v>77209</v>
      </c>
      <c r="L105" s="843">
        <f t="shared" si="505"/>
        <v>86339</v>
      </c>
      <c r="M105" s="843">
        <f t="shared" si="505"/>
        <v>87193</v>
      </c>
      <c r="N105" s="843">
        <f t="shared" si="505"/>
        <v>113623</v>
      </c>
      <c r="O105" s="843">
        <f t="shared" si="505"/>
        <v>177171</v>
      </c>
      <c r="P105" s="843">
        <f t="shared" si="505"/>
        <v>210747.21220000001</v>
      </c>
      <c r="Q105" s="843">
        <f t="shared" si="505"/>
        <v>229316.58572123598</v>
      </c>
      <c r="R105" s="843">
        <f t="shared" si="505"/>
        <v>250199.38785362511</v>
      </c>
      <c r="S105" s="843">
        <f t="shared" si="505"/>
        <v>269059.31973781926</v>
      </c>
      <c r="T105" s="843">
        <f t="shared" si="505"/>
        <v>290121.10085511114</v>
      </c>
      <c r="U105" s="843">
        <f t="shared" si="505"/>
        <v>313616.23069897818</v>
      </c>
      <c r="V105" s="843">
        <f t="shared" si="505"/>
        <v>339830.71069093875</v>
      </c>
      <c r="W105" s="843">
        <f t="shared" si="505"/>
        <v>369097.82459419256</v>
      </c>
      <c r="X105" s="843">
        <f t="shared" si="505"/>
        <v>401815.56726887479</v>
      </c>
      <c r="Y105" s="843">
        <f t="shared" si="505"/>
        <v>438356.01339719916</v>
      </c>
      <c r="Z105" s="843">
        <f t="shared" si="505"/>
        <v>479167.97675697727</v>
      </c>
      <c r="AA105" s="843">
        <f t="shared" si="505"/>
        <v>524760.44022184995</v>
      </c>
      <c r="AB105" s="843">
        <f t="shared" si="505"/>
        <v>575705.70127679827</v>
      </c>
      <c r="AC105" s="843">
        <f t="shared" si="505"/>
        <v>632645.85257207113</v>
      </c>
      <c r="AD105" s="857">
        <f t="shared" si="505"/>
        <v>696301.39471087023</v>
      </c>
    </row>
    <row r="106" spans="1:30" s="1403" customFormat="1" ht="14">
      <c r="A106" s="1008"/>
      <c r="B106" s="1008"/>
      <c r="C106" s="1008"/>
      <c r="D106" s="1401" t="s">
        <v>391</v>
      </c>
      <c r="E106" s="1402"/>
      <c r="F106" s="1402">
        <f>F105-'Alternative 1 FCF'!F9</f>
        <v>0</v>
      </c>
      <c r="G106" s="1418">
        <f>G105-'Alternative 1 FCF'!G9</f>
        <v>0</v>
      </c>
      <c r="H106" s="1402">
        <f>H105-'Alternative 1 FCF'!H9</f>
        <v>0</v>
      </c>
      <c r="I106" s="1402">
        <f>I105-'Alternative 1 FCF'!I9</f>
        <v>0</v>
      </c>
      <c r="J106" s="1402">
        <f>J105-'Alternative 1 FCF'!J9</f>
        <v>-1</v>
      </c>
      <c r="K106" s="1402">
        <f>K105-'Alternative 1 FCF'!K9</f>
        <v>0</v>
      </c>
      <c r="L106" s="1038">
        <f>L105-'Alternative 1 FCF'!L9</f>
        <v>0</v>
      </c>
      <c r="M106" s="1038">
        <f>M105-'Alternative 1 FCF'!M9</f>
        <v>0</v>
      </c>
      <c r="N106" s="1038">
        <f>N105-'Alternative 1 FCF'!N9-'Alternative 1 FCF'!N10</f>
        <v>0</v>
      </c>
      <c r="O106" s="1038">
        <f>O105-'Alternative 1 FCF'!O9-'Alternative 1 FCF'!O10</f>
        <v>0</v>
      </c>
      <c r="P106" s="1038">
        <f>P105-'2a. Income Statement'!P59</f>
        <v>0</v>
      </c>
      <c r="Q106" s="1038">
        <f>Q105-'2a. Income Statement'!Q59</f>
        <v>0</v>
      </c>
      <c r="R106" s="1038">
        <f>R105-'2a. Income Statement'!R59</f>
        <v>0</v>
      </c>
      <c r="S106" s="1038">
        <f>S105-'2a. Income Statement'!S59</f>
        <v>0</v>
      </c>
      <c r="T106" s="1038">
        <f>T105-'2a. Income Statement'!T59</f>
        <v>0</v>
      </c>
      <c r="U106" s="1038">
        <f>U105-'2a. Income Statement'!U59</f>
        <v>0</v>
      </c>
      <c r="V106" s="1038">
        <f>V105-'2a. Income Statement'!V59</f>
        <v>0</v>
      </c>
      <c r="W106" s="1038">
        <f>W105-'2a. Income Statement'!W59</f>
        <v>0</v>
      </c>
      <c r="X106" s="1038">
        <f>X105-'2a. Income Statement'!X59</f>
        <v>0</v>
      </c>
      <c r="Y106" s="1038">
        <f>Y105-'2a. Income Statement'!Y59</f>
        <v>0</v>
      </c>
      <c r="Z106" s="1038">
        <f>Z105-'2a. Income Statement'!Z59</f>
        <v>0</v>
      </c>
      <c r="AA106" s="1038">
        <f>AA105-'2a. Income Statement'!AA59</f>
        <v>0</v>
      </c>
      <c r="AB106" s="1038">
        <f>AB105-'2a. Income Statement'!AB59</f>
        <v>0</v>
      </c>
      <c r="AC106" s="1038">
        <f>AC105-'2a. Income Statement'!AC59</f>
        <v>0</v>
      </c>
      <c r="AD106" s="1706">
        <f>AD105-'2a. Income Statement'!AD59</f>
        <v>0</v>
      </c>
    </row>
    <row r="107" spans="1:30" s="1403" customFormat="1" ht="14">
      <c r="A107" s="1008"/>
      <c r="B107" s="1008"/>
      <c r="C107" s="1008"/>
      <c r="D107" s="1401" t="s">
        <v>511</v>
      </c>
      <c r="E107" s="1402"/>
      <c r="F107" s="1402">
        <f>(F105/E105)-1</f>
        <v>-2.6215637636345157E-2</v>
      </c>
      <c r="G107" s="1418">
        <f t="shared" ref="G107" si="506">(G105/F105)-1</f>
        <v>0.17593998080781637</v>
      </c>
      <c r="H107" s="1402">
        <f t="shared" ref="H107" si="507">(H105/G105)-1</f>
        <v>-2.1365302155818E-3</v>
      </c>
      <c r="I107" s="1402">
        <f t="shared" ref="I107" si="508">(I105/H105)-1</f>
        <v>7.1072782692736647E-2</v>
      </c>
      <c r="J107" s="1402">
        <f t="shared" ref="J107" si="509">(J105/I105)-1</f>
        <v>6.7175678489623136E-2</v>
      </c>
      <c r="K107" s="1402">
        <f t="shared" ref="K107" si="510">(K105/J105)-1</f>
        <v>4.3577802638083973E-3</v>
      </c>
      <c r="L107" s="1402">
        <f t="shared" ref="L107" si="511">(L105/K105)-1</f>
        <v>0.11825046302892139</v>
      </c>
      <c r="M107" s="1402">
        <f t="shared" ref="M107" si="512">(M105/L105)-1</f>
        <v>9.8912426597481673E-3</v>
      </c>
      <c r="N107" s="1402">
        <f t="shared" ref="N107" si="513">(N105/M105)-1</f>
        <v>0.30312066335600329</v>
      </c>
      <c r="O107" s="1402">
        <f t="shared" ref="O107" si="514">(O105/N105)-1</f>
        <v>0.55928817228906125</v>
      </c>
      <c r="P107" s="1402">
        <f t="shared" ref="P107" si="515">(P105/O105)-1</f>
        <v>0.18951302526937264</v>
      </c>
      <c r="Q107" s="1402">
        <f t="shared" ref="Q107" si="516">(Q105/P105)-1</f>
        <v>8.8112071933903247E-2</v>
      </c>
      <c r="R107" s="1402">
        <f t="shared" ref="R107" si="517">(R105/Q105)-1</f>
        <v>9.1065380494435244E-2</v>
      </c>
      <c r="S107" s="1402">
        <f t="shared" ref="S107" si="518">(S105/R105)-1</f>
        <v>7.5379608423453925E-2</v>
      </c>
      <c r="T107" s="1402">
        <f t="shared" ref="T107" si="519">(T105/S105)-1</f>
        <v>7.8279321964447091E-2</v>
      </c>
      <c r="U107" s="1402">
        <f t="shared" ref="U107" si="520">(U105/T105)-1</f>
        <v>8.0983871130423823E-2</v>
      </c>
      <c r="V107" s="1402">
        <f t="shared" ref="V107" si="521">(V105/U105)-1</f>
        <v>8.3587765638068356E-2</v>
      </c>
      <c r="W107" s="1402">
        <f t="shared" ref="W107" si="522">(W105/V105)-1</f>
        <v>8.6122628068982854E-2</v>
      </c>
      <c r="X107" s="1402">
        <f t="shared" ref="X107" si="523">(X105/W105)-1</f>
        <v>8.8642469542197899E-2</v>
      </c>
      <c r="Y107" s="1402">
        <f t="shared" ref="Y107" si="524">(Y105/X105)-1</f>
        <v>9.093835357521951E-2</v>
      </c>
      <c r="Z107" s="1402">
        <f t="shared" ref="Z107" si="525">(Z105/Y105)-1</f>
        <v>9.3102323482438409E-2</v>
      </c>
      <c r="AA107" s="1402">
        <f t="shared" ref="AA107" si="526">(AA105/Z105)-1</f>
        <v>9.5149228822518195E-2</v>
      </c>
      <c r="AB107" s="1402">
        <f t="shared" ref="AB107" si="527">(AB105/AA105)-1</f>
        <v>9.7082891830433171E-2</v>
      </c>
      <c r="AC107" s="1402">
        <f t="shared" ref="AC107" si="528">(AC105/AB105)-1</f>
        <v>9.8904963367552501E-2</v>
      </c>
      <c r="AD107" s="1452">
        <f t="shared" ref="AD107" si="529">(AD105/AC105)-1</f>
        <v>0.10061797114452342</v>
      </c>
    </row>
    <row r="108" spans="1:30" s="1403" customFormat="1" thickBot="1">
      <c r="A108" s="1008"/>
      <c r="B108" s="1008"/>
      <c r="C108" s="1008"/>
      <c r="D108" s="1009" t="s">
        <v>504</v>
      </c>
      <c r="E108" s="1411">
        <f t="shared" ref="E108:X108" si="530">E105/E22</f>
        <v>2.2844053183508097E-2</v>
      </c>
      <c r="F108" s="1411">
        <f t="shared" si="530"/>
        <v>2.2524540607838376E-2</v>
      </c>
      <c r="G108" s="1420">
        <f t="shared" si="530"/>
        <v>2.5834319063940504E-2</v>
      </c>
      <c r="H108" s="1411">
        <f t="shared" si="530"/>
        <v>2.2399845993773138E-2</v>
      </c>
      <c r="I108" s="1411">
        <f t="shared" si="530"/>
        <v>2.1820271360753742E-2</v>
      </c>
      <c r="J108" s="1411">
        <f t="shared" si="530"/>
        <v>2.2456640956947247E-2</v>
      </c>
      <c r="K108" s="1411">
        <f t="shared" si="530"/>
        <v>2.1111529160591884E-2</v>
      </c>
      <c r="L108" s="1411">
        <f t="shared" si="530"/>
        <v>1.8575712179409808E-2</v>
      </c>
      <c r="M108" s="1411">
        <f t="shared" si="530"/>
        <v>1.8546872048640951E-2</v>
      </c>
      <c r="N108" s="1411">
        <f t="shared" si="530"/>
        <v>2.2548120371476528E-2</v>
      </c>
      <c r="O108" s="1411">
        <f t="shared" si="530"/>
        <v>2.8720603776080735E-2</v>
      </c>
      <c r="P108" s="1411">
        <f t="shared" si="530"/>
        <v>2.4928844357308938E-2</v>
      </c>
      <c r="Q108" s="1411">
        <f t="shared" si="530"/>
        <v>2.4814784869573125E-2</v>
      </c>
      <c r="R108" s="1411">
        <f t="shared" si="530"/>
        <v>2.4902618289742474E-2</v>
      </c>
      <c r="S108" s="1411">
        <f t="shared" si="530"/>
        <v>2.4660933626883333E-2</v>
      </c>
      <c r="T108" s="1411">
        <f t="shared" si="530"/>
        <v>2.4616118503337149E-2</v>
      </c>
      <c r="U108" s="1411">
        <f t="shared" si="530"/>
        <v>2.4716318529127052E-2</v>
      </c>
      <c r="V108" s="1411">
        <f t="shared" si="530"/>
        <v>2.4862353791706749E-2</v>
      </c>
      <c r="W108" s="1411">
        <f t="shared" si="530"/>
        <v>2.5018470472113748E-2</v>
      </c>
      <c r="X108" s="1411">
        <f t="shared" si="530"/>
        <v>2.5132487429650938E-2</v>
      </c>
      <c r="Y108" s="1411">
        <f t="shared" ref="Y108:AD108" si="531">Y105/Y22</f>
        <v>2.5374895368084287E-2</v>
      </c>
      <c r="Z108" s="1411">
        <f t="shared" si="531"/>
        <v>2.5666221392298801E-2</v>
      </c>
      <c r="AA108" s="1411">
        <f t="shared" si="531"/>
        <v>2.5992445186198608E-2</v>
      </c>
      <c r="AB108" s="1411">
        <f t="shared" si="531"/>
        <v>2.634951644021636E-2</v>
      </c>
      <c r="AC108" s="1411">
        <f t="shared" si="531"/>
        <v>2.6736004593751993E-2</v>
      </c>
      <c r="AD108" s="1443">
        <f t="shared" si="531"/>
        <v>2.7150554477054965E-2</v>
      </c>
    </row>
  </sheetData>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2:BR291"/>
  <sheetViews>
    <sheetView showGridLines="0" topLeftCell="B4" zoomScale="75" zoomScaleNormal="75" zoomScalePageLayoutView="75" workbookViewId="0">
      <pane xSplit="3" topLeftCell="E1" activePane="topRight" state="frozen"/>
      <selection activeCell="A169" sqref="A169:XFD279"/>
      <selection pane="topRight" activeCell="R267" sqref="R267"/>
    </sheetView>
  </sheetViews>
  <sheetFormatPr baseColWidth="10" defaultRowHeight="15" x14ac:dyDescent="0"/>
  <cols>
    <col min="2" max="3" width="0" hidden="1" customWidth="1"/>
    <col min="4" max="4" width="46.6640625" bestFit="1" customWidth="1"/>
    <col min="5" max="7" width="10.83203125" hidden="1" customWidth="1"/>
    <col min="8" max="8" width="11.5" hidden="1" customWidth="1"/>
    <col min="9" max="11" width="10.83203125" hidden="1" customWidth="1"/>
    <col min="12" max="30" width="13" customWidth="1"/>
    <col min="31" max="32" width="13" style="137" customWidth="1"/>
    <col min="33" max="46" width="10.83203125" style="137"/>
    <col min="47" max="47" width="8.6640625" style="137" customWidth="1"/>
    <col min="48" max="48" width="2" style="137" customWidth="1"/>
    <col min="49" max="49" width="3.33203125" style="137" customWidth="1"/>
    <col min="50" max="52" width="10.83203125" style="137"/>
    <col min="53" max="53" width="5.5" style="137" customWidth="1"/>
    <col min="54" max="54" width="8.83203125" style="137" customWidth="1"/>
    <col min="55" max="55" width="3.6640625" style="137" customWidth="1"/>
    <col min="56" max="56" width="5" style="137" customWidth="1"/>
    <col min="57" max="16384" width="10.83203125" style="137"/>
  </cols>
  <sheetData>
    <row r="2" spans="1:70" ht="20">
      <c r="D2" s="1927" t="s">
        <v>1571</v>
      </c>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P2" s="1218" t="s">
        <v>1787</v>
      </c>
    </row>
    <row r="3" spans="1:70" ht="16" thickBot="1">
      <c r="AP3" s="242"/>
      <c r="AQ3" s="336"/>
      <c r="AR3" s="336"/>
      <c r="AS3" s="336"/>
      <c r="AT3" s="1217"/>
      <c r="AU3" s="1217"/>
      <c r="AV3" s="1217"/>
      <c r="AW3" s="1217"/>
      <c r="AX3" s="1217"/>
      <c r="AY3" s="1217"/>
      <c r="AZ3" s="1217"/>
      <c r="BA3" s="1217"/>
      <c r="BB3" s="1097"/>
      <c r="BC3" s="1097"/>
      <c r="BD3" s="1097"/>
      <c r="BE3" s="1097"/>
      <c r="BF3" s="1097"/>
      <c r="BG3" s="1097"/>
      <c r="BH3" s="1097"/>
      <c r="BI3" s="1097"/>
      <c r="BJ3" s="1097"/>
      <c r="BK3" s="1097"/>
      <c r="BL3" s="1097"/>
      <c r="BM3" s="620"/>
      <c r="BN3" s="620"/>
      <c r="BO3" s="620"/>
      <c r="BP3" s="620"/>
      <c r="BQ3" s="620"/>
      <c r="BR3" s="620"/>
    </row>
    <row r="4" spans="1:70" ht="16" thickBot="1">
      <c r="A4" s="408"/>
      <c r="B4" s="408"/>
      <c r="C4" s="408"/>
      <c r="D4" s="403" t="s">
        <v>482</v>
      </c>
      <c r="E4" s="403" t="s">
        <v>216</v>
      </c>
      <c r="F4" s="403" t="s">
        <v>217</v>
      </c>
      <c r="G4" s="403" t="s">
        <v>1615</v>
      </c>
      <c r="H4" s="403" t="s">
        <v>28</v>
      </c>
      <c r="I4" s="403" t="s">
        <v>17</v>
      </c>
      <c r="J4" s="403" t="s">
        <v>18</v>
      </c>
      <c r="K4" s="403" t="s">
        <v>19</v>
      </c>
      <c r="L4" s="403" t="s">
        <v>20</v>
      </c>
      <c r="M4" s="403" t="s">
        <v>21</v>
      </c>
      <c r="N4" s="403" t="s">
        <v>22</v>
      </c>
      <c r="O4" s="403" t="s">
        <v>23</v>
      </c>
      <c r="P4" s="404" t="s">
        <v>24</v>
      </c>
      <c r="Q4" s="404" t="s">
        <v>25</v>
      </c>
      <c r="R4" s="404" t="s">
        <v>26</v>
      </c>
      <c r="S4" s="404" t="s">
        <v>27</v>
      </c>
      <c r="T4" s="404" t="s">
        <v>712</v>
      </c>
      <c r="U4" s="404" t="s">
        <v>713</v>
      </c>
      <c r="V4" s="404" t="s">
        <v>714</v>
      </c>
      <c r="W4" s="404" t="s">
        <v>715</v>
      </c>
      <c r="X4" s="404" t="s">
        <v>716</v>
      </c>
      <c r="Y4" s="404" t="s">
        <v>717</v>
      </c>
      <c r="Z4" s="404" t="s">
        <v>718</v>
      </c>
      <c r="AA4" s="404" t="s">
        <v>719</v>
      </c>
      <c r="AB4" s="404" t="s">
        <v>720</v>
      </c>
      <c r="AC4" s="404" t="s">
        <v>721</v>
      </c>
      <c r="AD4" s="404" t="s">
        <v>722</v>
      </c>
      <c r="AP4" s="235"/>
      <c r="AQ4" s="1219"/>
      <c r="AR4" s="1219"/>
      <c r="AS4" s="1219"/>
      <c r="AT4" s="975"/>
      <c r="AU4" s="975"/>
      <c r="AV4" s="975"/>
      <c r="AW4" s="975"/>
      <c r="AX4" s="976"/>
      <c r="AY4" s="976"/>
      <c r="AZ4" s="976"/>
      <c r="BA4" s="976"/>
      <c r="BB4" s="976"/>
      <c r="BC4" s="976"/>
      <c r="BD4" s="976"/>
      <c r="BE4" s="976"/>
      <c r="BF4" s="976"/>
      <c r="BG4" s="976"/>
      <c r="BH4" s="976"/>
      <c r="BI4" s="976"/>
      <c r="BJ4" s="976"/>
      <c r="BK4" s="976"/>
      <c r="BL4" s="976"/>
      <c r="BM4" s="976"/>
      <c r="BN4" s="976"/>
      <c r="BO4" s="976"/>
      <c r="BP4" s="976"/>
      <c r="BQ4" s="1213"/>
      <c r="BR4" s="1213"/>
    </row>
    <row r="5" spans="1:70" s="109" customFormat="1" ht="16" thickBot="1">
      <c r="A5" s="417"/>
      <c r="B5" s="417"/>
      <c r="C5" s="417"/>
      <c r="D5" s="1710" t="s">
        <v>0</v>
      </c>
      <c r="E5" s="406">
        <v>1470587</v>
      </c>
      <c r="F5" s="406">
        <v>1318949</v>
      </c>
      <c r="G5" s="406">
        <v>1409041</v>
      </c>
      <c r="H5" s="1052">
        <v>1879711</v>
      </c>
      <c r="I5" s="1052">
        <v>2142497</v>
      </c>
      <c r="J5" s="1052">
        <v>2280069</v>
      </c>
      <c r="K5" s="1052">
        <v>2268296</v>
      </c>
      <c r="L5" s="1426">
        <f t="shared" ref="L5:AD5" si="0">L23+L156</f>
        <v>2933079</v>
      </c>
      <c r="M5" s="1426">
        <f t="shared" si="0"/>
        <v>3001080</v>
      </c>
      <c r="N5" s="1426">
        <f t="shared" si="0"/>
        <v>3491973</v>
      </c>
      <c r="O5" s="1426">
        <f t="shared" si="0"/>
        <v>3821135</v>
      </c>
      <c r="P5" s="1426">
        <f t="shared" si="0"/>
        <v>4533200.2283846727</v>
      </c>
      <c r="Q5" s="1426">
        <f t="shared" si="0"/>
        <v>4984435.9882698003</v>
      </c>
      <c r="R5" s="1426">
        <f t="shared" si="0"/>
        <v>5435226.3518820703</v>
      </c>
      <c r="S5" s="1426">
        <f t="shared" si="0"/>
        <v>5880813.9321678523</v>
      </c>
      <c r="T5" s="1426">
        <f t="shared" si="0"/>
        <v>6310084.4843171323</v>
      </c>
      <c r="U5" s="1426">
        <f t="shared" si="0"/>
        <v>6734834.0079007717</v>
      </c>
      <c r="V5" s="1426">
        <f t="shared" si="0"/>
        <v>7192160.1905453997</v>
      </c>
      <c r="W5" s="1426">
        <f t="shared" si="0"/>
        <v>7686806.8934169132</v>
      </c>
      <c r="X5" s="1426">
        <f t="shared" si="0"/>
        <v>8218300.7783223372</v>
      </c>
      <c r="Y5" s="1426">
        <f t="shared" si="0"/>
        <v>8789825.9199628495</v>
      </c>
      <c r="Z5" s="1426">
        <f t="shared" si="0"/>
        <v>9403013.9357324056</v>
      </c>
      <c r="AA5" s="1426">
        <f t="shared" si="0"/>
        <v>10063485.2389322</v>
      </c>
      <c r="AB5" s="1426">
        <f t="shared" si="0"/>
        <v>10775349.546701992</v>
      </c>
      <c r="AC5" s="1426">
        <f t="shared" si="0"/>
        <v>11543116.939640364</v>
      </c>
      <c r="AD5" s="1545">
        <f t="shared" si="0"/>
        <v>12371740.428807177</v>
      </c>
      <c r="AP5" s="1395"/>
      <c r="AQ5" s="1416"/>
      <c r="AR5" s="1416"/>
      <c r="AS5" s="1416"/>
      <c r="AT5" s="1416"/>
      <c r="AU5" s="1416"/>
      <c r="AV5" s="1416"/>
      <c r="AW5" s="1416"/>
      <c r="AX5" s="1416"/>
      <c r="AY5" s="1416"/>
      <c r="AZ5" s="1416"/>
      <c r="BA5" s="1416"/>
      <c r="BB5" s="1416"/>
      <c r="BC5" s="1416"/>
      <c r="BD5" s="1416"/>
      <c r="BE5" s="1416"/>
      <c r="BF5" s="1416"/>
      <c r="BG5" s="1416"/>
      <c r="BH5" s="1416"/>
      <c r="BI5" s="1416"/>
      <c r="BJ5" s="1416"/>
      <c r="BK5" s="1416"/>
      <c r="BL5" s="1416"/>
      <c r="BM5" s="1416"/>
      <c r="BN5" s="1416"/>
      <c r="BO5" s="1416"/>
      <c r="BP5" s="1416"/>
      <c r="BQ5" s="1711"/>
      <c r="BR5" s="1711"/>
    </row>
    <row r="6" spans="1:70" s="1553" customFormat="1" thickBot="1">
      <c r="A6" s="400"/>
      <c r="B6" s="400"/>
      <c r="C6" s="400"/>
      <c r="D6" s="1553" t="s">
        <v>1576</v>
      </c>
      <c r="F6" s="1553">
        <f t="shared" ref="F6:O6" si="1">(F5/E5)-1</f>
        <v>-0.1031139266156984</v>
      </c>
      <c r="G6" s="1553">
        <f t="shared" si="1"/>
        <v>6.830590113795143E-2</v>
      </c>
      <c r="H6" s="1553">
        <f t="shared" si="1"/>
        <v>0.33403570229681034</v>
      </c>
      <c r="I6" s="1553">
        <f t="shared" si="1"/>
        <v>0.13980127796241026</v>
      </c>
      <c r="J6" s="1553">
        <f t="shared" si="1"/>
        <v>6.4211058405216015E-2</v>
      </c>
      <c r="K6" s="1553">
        <f t="shared" si="1"/>
        <v>-5.1634402292211057E-3</v>
      </c>
      <c r="L6" s="1553">
        <f t="shared" si="1"/>
        <v>0.29307594775990431</v>
      </c>
      <c r="M6" s="1553">
        <f t="shared" si="1"/>
        <v>2.3184169263766874E-2</v>
      </c>
      <c r="N6" s="1553">
        <f t="shared" si="1"/>
        <v>0.16357211403894589</v>
      </c>
      <c r="O6" s="1553">
        <f t="shared" si="1"/>
        <v>9.4262469956096551E-2</v>
      </c>
      <c r="P6" s="1553">
        <f>(P5/O5)-1</f>
        <v>0.18634914191324636</v>
      </c>
      <c r="Q6" s="1553">
        <f>(Q5/P5)-1</f>
        <v>9.9540222613532681E-2</v>
      </c>
      <c r="R6" s="1553">
        <f>(R5/Q5)-1</f>
        <v>9.0439593300655208E-2</v>
      </c>
      <c r="S6" s="1553">
        <f t="shared" ref="S6:AD6" si="2">(S5/R5)-1</f>
        <v>8.1981421092331752E-2</v>
      </c>
      <c r="T6" s="1553">
        <f t="shared" si="2"/>
        <v>7.2995091683003999E-2</v>
      </c>
      <c r="U6" s="1553">
        <f t="shared" si="2"/>
        <v>6.7312810888554342E-2</v>
      </c>
      <c r="V6" s="1553">
        <f t="shared" si="2"/>
        <v>6.7904596031339359E-2</v>
      </c>
      <c r="W6" s="1553">
        <f t="shared" si="2"/>
        <v>6.8775818358684626E-2</v>
      </c>
      <c r="X6" s="1553">
        <f t="shared" si="2"/>
        <v>6.9143649928373074E-2</v>
      </c>
      <c r="Y6" s="1553">
        <f t="shared" si="2"/>
        <v>6.9542981822719563E-2</v>
      </c>
      <c r="Z6" s="1553">
        <f t="shared" si="2"/>
        <v>6.9761110328354192E-2</v>
      </c>
      <c r="AA6" s="1553">
        <f t="shared" si="2"/>
        <v>7.0240383319005506E-2</v>
      </c>
      <c r="AB6" s="1553">
        <f t="shared" si="2"/>
        <v>7.0737353001307346E-2</v>
      </c>
      <c r="AC6" s="1553">
        <f t="shared" si="2"/>
        <v>7.1252202966664901E-2</v>
      </c>
      <c r="AD6" s="1554">
        <f t="shared" si="2"/>
        <v>7.1785072740728095E-2</v>
      </c>
      <c r="AP6" s="1402"/>
      <c r="AQ6" s="1435"/>
      <c r="AR6" s="1435"/>
      <c r="AS6" s="1435"/>
      <c r="AT6" s="1435"/>
      <c r="AU6" s="1435"/>
      <c r="AV6" s="1435"/>
      <c r="AW6" s="1435"/>
      <c r="AX6" s="1435"/>
      <c r="AY6" s="1435"/>
      <c r="AZ6" s="1435"/>
      <c r="BA6" s="1435"/>
      <c r="BB6" s="1435"/>
      <c r="BC6" s="1435"/>
      <c r="BD6" s="1435"/>
      <c r="BE6" s="1435"/>
      <c r="BF6" s="1435"/>
      <c r="BG6" s="1435"/>
      <c r="BH6" s="1435"/>
      <c r="BI6" s="1435"/>
      <c r="BJ6" s="1435"/>
      <c r="BK6" s="1435"/>
      <c r="BL6" s="1435"/>
      <c r="BM6" s="1435"/>
      <c r="BN6" s="1435"/>
      <c r="BO6" s="1435"/>
      <c r="BP6" s="1435"/>
      <c r="BQ6" s="1220"/>
      <c r="BR6" s="1220"/>
    </row>
    <row r="7" spans="1:70" s="109" customFormat="1" hidden="1">
      <c r="A7" s="4"/>
      <c r="B7" s="4"/>
      <c r="C7" s="4"/>
      <c r="D7" s="20" t="s">
        <v>502</v>
      </c>
      <c r="E7" s="109">
        <f t="shared" ref="E7:AD7" si="3">E5-E9-E12</f>
        <v>1340319</v>
      </c>
      <c r="F7" s="109">
        <f t="shared" si="3"/>
        <v>1217996</v>
      </c>
      <c r="G7" s="109">
        <f t="shared" si="3"/>
        <v>1278028</v>
      </c>
      <c r="H7" s="109">
        <f t="shared" si="3"/>
        <v>1690300</v>
      </c>
      <c r="I7" s="109">
        <f t="shared" si="3"/>
        <v>1955274</v>
      </c>
      <c r="J7" s="109">
        <f t="shared" si="3"/>
        <v>2045520</v>
      </c>
      <c r="K7" s="109">
        <f t="shared" si="3"/>
        <v>2058606</v>
      </c>
      <c r="L7" s="109">
        <f t="shared" si="3"/>
        <v>2558236</v>
      </c>
      <c r="M7" s="109">
        <f t="shared" si="3"/>
        <v>2735529</v>
      </c>
      <c r="N7" s="109">
        <f t="shared" si="3"/>
        <v>3028591</v>
      </c>
      <c r="O7" s="109">
        <f t="shared" si="3"/>
        <v>3261446</v>
      </c>
      <c r="P7" s="109">
        <f t="shared" si="3"/>
        <v>3800427.6824259339</v>
      </c>
      <c r="Q7" s="109">
        <f t="shared" si="3"/>
        <v>4178987.3842984117</v>
      </c>
      <c r="R7" s="109">
        <f t="shared" si="3"/>
        <v>4605621.4816661766</v>
      </c>
      <c r="S7" s="109">
        <f t="shared" si="3"/>
        <v>4984709.9128750227</v>
      </c>
      <c r="T7" s="109">
        <f t="shared" si="3"/>
        <v>5349458.1935452018</v>
      </c>
      <c r="U7" s="109">
        <f t="shared" si="3"/>
        <v>5709734.2983939284</v>
      </c>
      <c r="V7" s="109">
        <f t="shared" si="3"/>
        <v>6097549.6387311639</v>
      </c>
      <c r="W7" s="109">
        <f t="shared" si="3"/>
        <v>6516988.2108325465</v>
      </c>
      <c r="X7" s="109">
        <f t="shared" si="3"/>
        <v>6967469.0209936183</v>
      </c>
      <c r="Y7" s="109">
        <f t="shared" si="3"/>
        <v>7451671.5445037885</v>
      </c>
      <c r="Z7" s="109">
        <f t="shared" si="3"/>
        <v>7970868.0000026105</v>
      </c>
      <c r="AA7" s="109">
        <f t="shared" si="3"/>
        <v>8529859.8839082532</v>
      </c>
      <c r="AB7" s="109">
        <f t="shared" si="3"/>
        <v>9132082.3178296629</v>
      </c>
      <c r="AC7" s="109">
        <f t="shared" si="3"/>
        <v>9781302.776870396</v>
      </c>
      <c r="AD7" s="367">
        <f t="shared" si="3"/>
        <v>10481656.209660092</v>
      </c>
      <c r="AP7" s="241"/>
      <c r="AQ7" s="1083"/>
      <c r="AR7" s="1083"/>
      <c r="AS7" s="1083"/>
      <c r="AT7" s="1083"/>
      <c r="AU7" s="1083"/>
      <c r="AV7" s="1083"/>
      <c r="AW7" s="1083"/>
      <c r="AX7" s="1083"/>
      <c r="AY7" s="1083"/>
      <c r="AZ7" s="1083"/>
      <c r="BA7" s="1083"/>
      <c r="BB7" s="1083"/>
      <c r="BC7" s="1083"/>
      <c r="BD7" s="1083"/>
      <c r="BE7" s="1083"/>
      <c r="BF7" s="1083"/>
      <c r="BG7" s="1083"/>
      <c r="BH7" s="1083"/>
      <c r="BI7" s="1083"/>
      <c r="BJ7" s="1083"/>
      <c r="BK7" s="1083"/>
      <c r="BL7" s="1083"/>
      <c r="BM7" s="1083"/>
      <c r="BN7" s="1083"/>
      <c r="BO7" s="1083"/>
      <c r="BP7" s="1083"/>
      <c r="BQ7" s="1083"/>
      <c r="BR7" s="1083"/>
    </row>
    <row r="8" spans="1:70" s="232" customFormat="1" ht="12" hidden="1" thickBot="1">
      <c r="A8" s="105"/>
      <c r="B8" s="105"/>
      <c r="C8" s="105"/>
      <c r="D8" s="106" t="s">
        <v>469</v>
      </c>
      <c r="F8" s="232">
        <f>(F7/E7)-1</f>
        <v>-9.1264094592406697E-2</v>
      </c>
      <c r="G8" s="232">
        <f t="shared" ref="G8:K8" si="4">(G7/F7)-1</f>
        <v>4.9287518185609835E-2</v>
      </c>
      <c r="H8" s="232">
        <f t="shared" si="4"/>
        <v>0.32258448171714549</v>
      </c>
      <c r="I8" s="232">
        <f t="shared" si="4"/>
        <v>0.15676152162338042</v>
      </c>
      <c r="J8" s="232">
        <f t="shared" si="4"/>
        <v>4.6155168022486981E-2</v>
      </c>
      <c r="K8" s="232">
        <f t="shared" si="4"/>
        <v>6.3973952833509262E-3</v>
      </c>
      <c r="AD8" s="251"/>
      <c r="AP8" s="241"/>
      <c r="AQ8" s="1083"/>
      <c r="AR8" s="1083"/>
      <c r="AS8" s="1083"/>
      <c r="AT8" s="1083"/>
      <c r="AU8" s="1083"/>
      <c r="AV8" s="1083"/>
      <c r="AW8" s="1083"/>
      <c r="AX8" s="1083"/>
      <c r="AY8" s="1083"/>
      <c r="AZ8" s="1083"/>
      <c r="BA8" s="1083"/>
      <c r="BB8" s="1083"/>
      <c r="BC8" s="1083"/>
      <c r="BD8" s="1083"/>
      <c r="BE8" s="1083"/>
      <c r="BF8" s="1083"/>
      <c r="BG8" s="1083"/>
      <c r="BH8" s="1083"/>
      <c r="BI8" s="1083"/>
      <c r="BJ8" s="1083"/>
      <c r="BK8" s="1083"/>
      <c r="BL8" s="1083"/>
      <c r="BM8" s="1083"/>
      <c r="BN8" s="1083"/>
      <c r="BO8" s="1083"/>
      <c r="BP8" s="1083"/>
      <c r="BQ8" s="1083"/>
      <c r="BR8" s="1083"/>
    </row>
    <row r="9" spans="1:70" s="109" customFormat="1" ht="16" thickBot="1">
      <c r="A9" s="103"/>
      <c r="B9" s="103"/>
      <c r="C9" s="103"/>
      <c r="D9" s="20" t="s">
        <v>451</v>
      </c>
      <c r="E9" s="109">
        <v>102518</v>
      </c>
      <c r="F9" s="109">
        <v>77939</v>
      </c>
      <c r="G9" s="109">
        <v>105862</v>
      </c>
      <c r="H9" s="109">
        <v>164345</v>
      </c>
      <c r="I9" s="109">
        <v>165451</v>
      </c>
      <c r="J9" s="109">
        <v>211060</v>
      </c>
      <c r="K9" s="109">
        <v>185160</v>
      </c>
      <c r="L9" s="1390">
        <f t="shared" ref="L9:AD9" si="5">L27+L162</f>
        <v>348479</v>
      </c>
      <c r="M9" s="1390">
        <f t="shared" si="5"/>
        <v>238257</v>
      </c>
      <c r="N9" s="1390">
        <f t="shared" si="5"/>
        <v>425801</v>
      </c>
      <c r="O9" s="1390">
        <f t="shared" si="5"/>
        <v>499078</v>
      </c>
      <c r="P9" s="1390">
        <f t="shared" si="5"/>
        <v>669548.38229873881</v>
      </c>
      <c r="Q9" s="1390">
        <f t="shared" si="5"/>
        <v>736653.62825501838</v>
      </c>
      <c r="R9" s="1390">
        <f t="shared" si="5"/>
        <v>754545.05385980697</v>
      </c>
      <c r="S9" s="1390">
        <f t="shared" si="5"/>
        <v>815386.22337148292</v>
      </c>
      <c r="T9" s="1390">
        <f t="shared" si="5"/>
        <v>873589.9605153976</v>
      </c>
      <c r="U9" s="1390">
        <f t="shared" si="5"/>
        <v>931014.84029714961</v>
      </c>
      <c r="V9" s="1390">
        <f t="shared" si="5"/>
        <v>992661.3386069542</v>
      </c>
      <c r="W9" s="1390">
        <f t="shared" si="5"/>
        <v>1059089.3352061089</v>
      </c>
      <c r="X9" s="1390">
        <f t="shared" si="5"/>
        <v>1130287.0871480564</v>
      </c>
      <c r="Y9" s="1390">
        <f t="shared" si="5"/>
        <v>1206647.5714399016</v>
      </c>
      <c r="Z9" s="1390">
        <f t="shared" si="5"/>
        <v>1288395.5427027019</v>
      </c>
      <c r="AA9" s="1390">
        <f t="shared" si="5"/>
        <v>1376197.2229573918</v>
      </c>
      <c r="AB9" s="1390">
        <f t="shared" si="5"/>
        <v>1470555.51848929</v>
      </c>
      <c r="AC9" s="1390">
        <f t="shared" si="5"/>
        <v>1572020.4069983449</v>
      </c>
      <c r="AD9" s="1547">
        <f t="shared" si="5"/>
        <v>1681193.8007338229</v>
      </c>
    </row>
    <row r="10" spans="1:70" s="1402" customFormat="1" ht="14">
      <c r="A10" s="562"/>
      <c r="B10" s="562"/>
      <c r="C10" s="562"/>
      <c r="D10" s="1402" t="s">
        <v>1576</v>
      </c>
      <c r="L10" s="1402">
        <f t="shared" ref="L10:N10" si="6">(L9/K9)-1</f>
        <v>0.88204255778785923</v>
      </c>
      <c r="M10" s="1402">
        <f t="shared" si="6"/>
        <v>-0.31629452563856075</v>
      </c>
      <c r="N10" s="1402">
        <f t="shared" si="6"/>
        <v>0.78715001028301379</v>
      </c>
      <c r="O10" s="1402">
        <f>(O9/N9)-1</f>
        <v>0.17209212754314818</v>
      </c>
      <c r="P10" s="1402">
        <f>(P9/O9)-1</f>
        <v>0.34157062082227396</v>
      </c>
      <c r="Q10" s="1402">
        <f t="shared" ref="Q10:AD10" si="7">(Q9/P9)-1</f>
        <v>0.10022464056427016</v>
      </c>
      <c r="R10" s="1402">
        <f t="shared" si="7"/>
        <v>2.4287432951588972E-2</v>
      </c>
      <c r="S10" s="1402">
        <f t="shared" si="7"/>
        <v>8.0632918074869719E-2</v>
      </c>
      <c r="T10" s="1402">
        <f t="shared" si="7"/>
        <v>7.1381801011123569E-2</v>
      </c>
      <c r="U10" s="1402">
        <f t="shared" si="7"/>
        <v>6.5734363233607596E-2</v>
      </c>
      <c r="V10" s="1402">
        <f t="shared" si="7"/>
        <v>6.6214302545520187E-2</v>
      </c>
      <c r="W10" s="1402">
        <f t="shared" si="7"/>
        <v>6.6919093164619525E-2</v>
      </c>
      <c r="X10" s="1402">
        <f t="shared" si="7"/>
        <v>6.7225445083054947E-2</v>
      </c>
      <c r="Y10" s="1402">
        <f t="shared" si="7"/>
        <v>6.7558485945830027E-2</v>
      </c>
      <c r="Z10" s="1402">
        <f t="shared" si="7"/>
        <v>6.7748009607519366E-2</v>
      </c>
      <c r="AA10" s="1402">
        <f t="shared" si="7"/>
        <v>6.814807824505964E-2</v>
      </c>
      <c r="AB10" s="1402">
        <f t="shared" si="7"/>
        <v>6.8564515287369954E-2</v>
      </c>
      <c r="AC10" s="1402">
        <f t="shared" si="7"/>
        <v>6.8997659206563311E-2</v>
      </c>
      <c r="AD10" s="1452">
        <f t="shared" si="7"/>
        <v>6.9447822209850463E-2</v>
      </c>
    </row>
    <row r="11" spans="1:70" s="1402" customFormat="1" thickBot="1">
      <c r="A11" s="562"/>
      <c r="B11" s="562"/>
      <c r="C11" s="562"/>
      <c r="D11" s="1402" t="s">
        <v>978</v>
      </c>
      <c r="L11" s="1402">
        <f t="shared" ref="L11:AD11" si="8">L9/L5</f>
        <v>0.11880996045452577</v>
      </c>
      <c r="M11" s="1402">
        <f t="shared" si="8"/>
        <v>7.9390419448998356E-2</v>
      </c>
      <c r="N11" s="1402">
        <f t="shared" si="8"/>
        <v>0.12193708256048945</v>
      </c>
      <c r="O11" s="1402">
        <f t="shared" si="8"/>
        <v>0.13060988423596653</v>
      </c>
      <c r="P11" s="1402">
        <f t="shared" si="8"/>
        <v>0.14769883273771051</v>
      </c>
      <c r="Q11" s="1402">
        <f t="shared" si="8"/>
        <v>0.14779076910379302</v>
      </c>
      <c r="R11" s="1402">
        <f t="shared" si="8"/>
        <v>0.13882495502667128</v>
      </c>
      <c r="S11" s="1402">
        <f t="shared" si="8"/>
        <v>0.13865193369090426</v>
      </c>
      <c r="T11" s="1402">
        <f t="shared" si="8"/>
        <v>0.13844346501011012</v>
      </c>
      <c r="U11" s="1402">
        <f t="shared" si="8"/>
        <v>0.13823872113328362</v>
      </c>
      <c r="V11" s="1402">
        <f t="shared" si="8"/>
        <v>0.1380199150613855</v>
      </c>
      <c r="W11" s="1402">
        <f t="shared" si="8"/>
        <v>0.13778014068665201</v>
      </c>
      <c r="X11" s="1402">
        <f t="shared" si="8"/>
        <v>0.13753294234855082</v>
      </c>
      <c r="Y11" s="1402">
        <f t="shared" si="8"/>
        <v>0.13727775526241612</v>
      </c>
      <c r="Z11" s="1402">
        <f t="shared" si="8"/>
        <v>0.13701942286894506</v>
      </c>
      <c r="AA11" s="1402">
        <f t="shared" si="8"/>
        <v>0.13675155180169124</v>
      </c>
      <c r="AB11" s="1402">
        <f t="shared" si="8"/>
        <v>0.136474043103259</v>
      </c>
      <c r="AC11" s="1402">
        <f t="shared" si="8"/>
        <v>0.13618682156808529</v>
      </c>
      <c r="AD11" s="1452">
        <f t="shared" si="8"/>
        <v>0.1358898378452251</v>
      </c>
    </row>
    <row r="12" spans="1:70" s="109" customFormat="1" ht="16" thickBot="1">
      <c r="A12" s="103"/>
      <c r="B12" s="103"/>
      <c r="C12" s="103"/>
      <c r="D12" s="20" t="s">
        <v>497</v>
      </c>
      <c r="E12" s="109">
        <v>27750</v>
      </c>
      <c r="F12" s="109">
        <v>23014</v>
      </c>
      <c r="G12" s="109">
        <v>25151</v>
      </c>
      <c r="H12" s="109">
        <v>25066</v>
      </c>
      <c r="I12" s="109">
        <v>21772</v>
      </c>
      <c r="J12" s="109">
        <v>23489</v>
      </c>
      <c r="K12" s="109">
        <v>24530</v>
      </c>
      <c r="L12" s="1390">
        <f>L31+L165</f>
        <v>26364</v>
      </c>
      <c r="M12" s="1390">
        <f>M31+M165</f>
        <v>27294</v>
      </c>
      <c r="N12" s="1390">
        <f>N31+N165</f>
        <v>37581</v>
      </c>
      <c r="O12" s="1390">
        <v>60611</v>
      </c>
      <c r="P12" s="1390">
        <f>P15*'2a. Income Statement'!P59</f>
        <v>63224.163659999998</v>
      </c>
      <c r="Q12" s="1390">
        <f>Q15*'2a. Income Statement'!Q59</f>
        <v>68794.975716370798</v>
      </c>
      <c r="R12" s="1390">
        <f>R15*'2a. Income Statement'!R59</f>
        <v>75059.81635608754</v>
      </c>
      <c r="S12" s="1390">
        <f>S15*'2a. Income Statement'!S59</f>
        <v>80717.795921345794</v>
      </c>
      <c r="T12" s="1390">
        <f>T15*'2a. Income Statement'!T59</f>
        <v>87036.330256533343</v>
      </c>
      <c r="U12" s="1390">
        <f>U15*'2a. Income Statement'!U59</f>
        <v>94084.869209693439</v>
      </c>
      <c r="V12" s="1390">
        <f>V15*'2a. Income Statement'!V59</f>
        <v>101949.2132072816</v>
      </c>
      <c r="W12" s="1390">
        <f>W15*'2a. Income Statement'!W59</f>
        <v>110729.34737825778</v>
      </c>
      <c r="X12" s="1390">
        <f>X15*'2a. Income Statement'!X59</f>
        <v>120544.67018066243</v>
      </c>
      <c r="Y12" s="1390">
        <f>Y15*'2a. Income Statement'!Y59</f>
        <v>131506.80401915975</v>
      </c>
      <c r="Z12" s="1390">
        <f>Z15*'2a. Income Statement'!Z59</f>
        <v>143750.3930270932</v>
      </c>
      <c r="AA12" s="1390">
        <f>AA15*'2a. Income Statement'!AA59</f>
        <v>157428.13206655497</v>
      </c>
      <c r="AB12" s="1390">
        <f>AB15*'2a. Income Statement'!AB59</f>
        <v>172711.71038303946</v>
      </c>
      <c r="AC12" s="1390">
        <f>AC15*'2a. Income Statement'!AC59</f>
        <v>189793.75577162133</v>
      </c>
      <c r="AD12" s="1547">
        <f>AD15*'2a. Income Statement'!AD59</f>
        <v>208890.41841326107</v>
      </c>
    </row>
    <row r="13" spans="1:70" s="1402" customFormat="1" ht="14">
      <c r="A13" s="1008"/>
      <c r="B13" s="1008"/>
      <c r="C13" s="1008"/>
      <c r="D13" s="1403" t="s">
        <v>469</v>
      </c>
      <c r="F13" s="1402">
        <f>(F12/E12)-1</f>
        <v>-0.17066666666666663</v>
      </c>
      <c r="G13" s="1402">
        <f>(G12/F12)-1</f>
        <v>9.2856522116972373E-2</v>
      </c>
      <c r="H13" s="1402">
        <f t="shared" ref="H13:K13" si="9">(H12/G12)-1</f>
        <v>-3.3795872927517845E-3</v>
      </c>
      <c r="I13" s="1402">
        <f t="shared" si="9"/>
        <v>-0.1314130694965292</v>
      </c>
      <c r="J13" s="1402">
        <f t="shared" si="9"/>
        <v>7.8862759507624558E-2</v>
      </c>
      <c r="K13" s="1402">
        <f t="shared" si="9"/>
        <v>4.4318617225084012E-2</v>
      </c>
      <c r="L13" s="1402">
        <f t="shared" ref="L13" si="10">(L12/K12)-1</f>
        <v>7.4765593151243426E-2</v>
      </c>
      <c r="M13" s="1402">
        <f t="shared" ref="M13" si="11">(M12/L12)-1</f>
        <v>3.5275375512061835E-2</v>
      </c>
      <c r="N13" s="1402">
        <f t="shared" ref="N13" si="12">(N12/M12)-1</f>
        <v>0.37689602110353926</v>
      </c>
      <c r="O13" s="1402">
        <f t="shared" ref="O13" si="13">(O12/N12)-1</f>
        <v>0.61280966445810381</v>
      </c>
      <c r="P13" s="1402">
        <f t="shared" ref="P13" si="14">(P12/O12)-1</f>
        <v>4.3113686624540071E-2</v>
      </c>
      <c r="Q13" s="1402">
        <f t="shared" ref="Q13" si="15">(Q12/P12)-1</f>
        <v>8.8112071933903469E-2</v>
      </c>
      <c r="R13" s="1402">
        <f t="shared" ref="R13" si="16">(R12/Q12)-1</f>
        <v>9.1065380494435244E-2</v>
      </c>
      <c r="S13" s="1402">
        <f t="shared" ref="S13" si="17">(S12/R12)-1</f>
        <v>7.5379608423454147E-2</v>
      </c>
      <c r="T13" s="1402">
        <f t="shared" ref="T13" si="18">(T12/S12)-1</f>
        <v>7.8279321964446869E-2</v>
      </c>
      <c r="U13" s="1402">
        <f t="shared" ref="U13" si="19">(U12/T12)-1</f>
        <v>8.0983871130423823E-2</v>
      </c>
      <c r="V13" s="1402">
        <f t="shared" ref="V13" si="20">(V12/U12)-1</f>
        <v>8.3587765638068356E-2</v>
      </c>
      <c r="W13" s="1402">
        <f t="shared" ref="W13" si="21">(W12/V12)-1</f>
        <v>8.6122628068983076E-2</v>
      </c>
      <c r="X13" s="1402">
        <f t="shared" ref="X13" si="22">(X12/W12)-1</f>
        <v>8.8642469542197899E-2</v>
      </c>
      <c r="Y13" s="1402">
        <f t="shared" ref="Y13" si="23">(Y12/X12)-1</f>
        <v>9.0938353575219733E-2</v>
      </c>
      <c r="Z13" s="1402">
        <f t="shared" ref="Z13" si="24">(Z12/Y12)-1</f>
        <v>9.3102323482438409E-2</v>
      </c>
      <c r="AA13" s="1402">
        <f t="shared" ref="AA13" si="25">(AA12/Z12)-1</f>
        <v>9.5149228822517973E-2</v>
      </c>
      <c r="AB13" s="1402">
        <f t="shared" ref="AB13" si="26">(AB12/AA12)-1</f>
        <v>9.7082891830433171E-2</v>
      </c>
      <c r="AC13" s="1402">
        <f t="shared" ref="AC13" si="27">(AC12/AB12)-1</f>
        <v>9.8904963367552501E-2</v>
      </c>
      <c r="AD13" s="1452">
        <f t="shared" ref="AD13" si="28">(AD12/AC12)-1</f>
        <v>0.10061797114452342</v>
      </c>
    </row>
    <row r="14" spans="1:70" s="1402" customFormat="1" ht="14">
      <c r="A14" s="1008"/>
      <c r="B14" s="1008"/>
      <c r="C14" s="1008"/>
      <c r="D14" s="1403" t="s">
        <v>504</v>
      </c>
      <c r="E14" s="1402">
        <f t="shared" ref="E14:O14" si="29">E12/E5</f>
        <v>1.8870015850813316E-2</v>
      </c>
      <c r="F14" s="1402">
        <f t="shared" si="29"/>
        <v>1.7448741384238513E-2</v>
      </c>
      <c r="G14" s="1402">
        <f t="shared" si="29"/>
        <v>1.7849729000078775E-2</v>
      </c>
      <c r="H14" s="1402">
        <f t="shared" si="29"/>
        <v>1.3335028629401009E-2</v>
      </c>
      <c r="I14" s="1402">
        <f t="shared" si="29"/>
        <v>1.0161974555857021E-2</v>
      </c>
      <c r="J14" s="1402">
        <f t="shared" si="29"/>
        <v>1.0301881214998318E-2</v>
      </c>
      <c r="K14" s="1402">
        <f t="shared" si="29"/>
        <v>1.0814285260830156E-2</v>
      </c>
      <c r="L14" s="1402">
        <f t="shared" si="29"/>
        <v>8.9885066171078234E-3</v>
      </c>
      <c r="M14" s="1402">
        <f t="shared" si="29"/>
        <v>9.0947258986764767E-3</v>
      </c>
      <c r="N14" s="1402">
        <f t="shared" si="29"/>
        <v>1.0762110703605096E-2</v>
      </c>
      <c r="O14" s="1402">
        <f t="shared" si="29"/>
        <v>1.5862040990438704E-2</v>
      </c>
      <c r="P14" s="1402">
        <v>1.4999999999999999E-2</v>
      </c>
      <c r="Q14" s="1402">
        <v>1.4E-2</v>
      </c>
      <c r="R14" s="1402">
        <f>Q14</f>
        <v>1.4E-2</v>
      </c>
      <c r="S14" s="1402">
        <f t="shared" ref="S14:AD14" si="30">R14</f>
        <v>1.4E-2</v>
      </c>
      <c r="T14" s="1402">
        <f t="shared" si="30"/>
        <v>1.4E-2</v>
      </c>
      <c r="U14" s="1402">
        <f t="shared" si="30"/>
        <v>1.4E-2</v>
      </c>
      <c r="V14" s="1402">
        <f t="shared" si="30"/>
        <v>1.4E-2</v>
      </c>
      <c r="W14" s="1402">
        <f t="shared" si="30"/>
        <v>1.4E-2</v>
      </c>
      <c r="X14" s="1402">
        <f t="shared" si="30"/>
        <v>1.4E-2</v>
      </c>
      <c r="Y14" s="1402">
        <f t="shared" si="30"/>
        <v>1.4E-2</v>
      </c>
      <c r="Z14" s="1402">
        <f t="shared" si="30"/>
        <v>1.4E-2</v>
      </c>
      <c r="AA14" s="1402">
        <f t="shared" si="30"/>
        <v>1.4E-2</v>
      </c>
      <c r="AB14" s="1402">
        <f t="shared" si="30"/>
        <v>1.4E-2</v>
      </c>
      <c r="AC14" s="1402">
        <f t="shared" si="30"/>
        <v>1.4E-2</v>
      </c>
      <c r="AD14" s="1452">
        <f t="shared" si="30"/>
        <v>1.4E-2</v>
      </c>
    </row>
    <row r="15" spans="1:70" s="1402" customFormat="1" thickBot="1">
      <c r="A15" s="1008"/>
      <c r="B15" s="1008"/>
      <c r="C15" s="1008"/>
      <c r="D15" s="1403" t="s">
        <v>1356</v>
      </c>
      <c r="J15" s="1402">
        <f>J12/'2a. Income Statement'!J59</f>
        <v>0.30554796747967478</v>
      </c>
      <c r="K15" s="1402">
        <f>K12/'2a. Income Statement'!K59</f>
        <v>0.31770907536686138</v>
      </c>
      <c r="L15" s="1402">
        <f>L12/'2a. Income Statement'!L59</f>
        <v>0.30236718965042664</v>
      </c>
      <c r="M15" s="1402">
        <f>M12/'2a. Income Statement'!M59</f>
        <v>0.26662628946545797</v>
      </c>
      <c r="N15" s="1402">
        <f>N12/'2a. Income Statement'!N59</f>
        <v>0.33075169639949659</v>
      </c>
      <c r="O15" s="1402">
        <f>O12/'2a. Income Statement'!O59</f>
        <v>0.34210452049150258</v>
      </c>
      <c r="P15" s="1402">
        <f>'2e. Notes to the New Fin Stat'!P40</f>
        <v>0.3</v>
      </c>
      <c r="Q15" s="1402">
        <f>'2e. Notes to the New Fin Stat'!Q40</f>
        <v>0.3</v>
      </c>
      <c r="R15" s="1402">
        <f>'2e. Notes to the New Fin Stat'!R40</f>
        <v>0.3</v>
      </c>
      <c r="S15" s="1402">
        <f>'2e. Notes to the New Fin Stat'!S40</f>
        <v>0.3</v>
      </c>
      <c r="T15" s="1402">
        <f>'2e. Notes to the New Fin Stat'!T40</f>
        <v>0.3</v>
      </c>
      <c r="U15" s="1402">
        <f>'2e. Notes to the New Fin Stat'!U40</f>
        <v>0.3</v>
      </c>
      <c r="V15" s="1402">
        <f>'2e. Notes to the New Fin Stat'!V40</f>
        <v>0.3</v>
      </c>
      <c r="W15" s="1402">
        <f>'2e. Notes to the New Fin Stat'!W40</f>
        <v>0.3</v>
      </c>
      <c r="X15" s="1402">
        <f>'2e. Notes to the New Fin Stat'!X40</f>
        <v>0.3</v>
      </c>
      <c r="Y15" s="1402">
        <f>'2e. Notes to the New Fin Stat'!Y40</f>
        <v>0.3</v>
      </c>
      <c r="Z15" s="1402">
        <f>'2e. Notes to the New Fin Stat'!Z40</f>
        <v>0.3</v>
      </c>
      <c r="AA15" s="1402">
        <f>'2e. Notes to the New Fin Stat'!AA40</f>
        <v>0.3</v>
      </c>
      <c r="AB15" s="1402">
        <f>'2e. Notes to the New Fin Stat'!AB40</f>
        <v>0.3</v>
      </c>
      <c r="AC15" s="1402">
        <f>'2e. Notes to the New Fin Stat'!AC40</f>
        <v>0.3</v>
      </c>
      <c r="AD15" s="1452">
        <f>'2e. Notes to the New Fin Stat'!AD40</f>
        <v>0.3</v>
      </c>
      <c r="AP15" s="225" t="s">
        <v>1658</v>
      </c>
    </row>
    <row r="16" spans="1:70" s="109" customFormat="1" ht="16" thickBot="1">
      <c r="A16" s="103"/>
      <c r="B16" s="103"/>
      <c r="C16" s="103"/>
      <c r="D16" s="20" t="s">
        <v>498</v>
      </c>
      <c r="E16" s="109">
        <v>25809</v>
      </c>
      <c r="F16" s="109">
        <v>11448</v>
      </c>
      <c r="G16" s="109">
        <v>19611</v>
      </c>
      <c r="H16" s="109">
        <v>28470</v>
      </c>
      <c r="I16" s="109">
        <v>22921</v>
      </c>
      <c r="J16" s="109">
        <v>21747</v>
      </c>
      <c r="K16" s="109">
        <v>55380</v>
      </c>
      <c r="L16" s="1390">
        <f>L33+L167</f>
        <v>21730</v>
      </c>
      <c r="M16" s="1390">
        <f>M33+M167</f>
        <v>81804</v>
      </c>
      <c r="N16" s="1390">
        <f>N33+N167</f>
        <v>29865</v>
      </c>
      <c r="O16" s="1390">
        <f>O33+O167</f>
        <v>76524</v>
      </c>
      <c r="P16" s="1390">
        <f>'2e. Notes to the New Fin Stat'!P19</f>
        <v>83415.357000000004</v>
      </c>
      <c r="Q16" s="1390">
        <f>'2e. Notes to the New Fin Stat'!Q19</f>
        <v>93511.771239385271</v>
      </c>
      <c r="R16" s="1390">
        <f>'2e. Notes to the New Fin Stat'!R19</f>
        <v>104646.43947277071</v>
      </c>
      <c r="S16" s="1390">
        <f>'2e. Notes to the New Fin Stat'!S19</f>
        <v>117061.6461777568</v>
      </c>
      <c r="T16" s="1390">
        <f>'2e. Notes to the New Fin Stat'!T19</f>
        <v>130728.29659008724</v>
      </c>
      <c r="U16" s="1390">
        <f>'2e. Notes to the New Fin Stat'!U19</f>
        <v>145831.8404102088</v>
      </c>
      <c r="V16" s="1390">
        <f>'2e. Notes to the New Fin Stat'!V19</f>
        <v>162710.56546734137</v>
      </c>
      <c r="W16" s="1390">
        <f>'2e. Notes to the New Fin Stat'!W19</f>
        <v>181657.94836502449</v>
      </c>
      <c r="X16" s="1390">
        <f>'2e. Notes to the New Fin Stat'!X19</f>
        <v>203075.64418768216</v>
      </c>
      <c r="Y16" s="1390">
        <f>'2e. Notes to the New Fin Stat'!Y19</f>
        <v>226802.76907235812</v>
      </c>
      <c r="Z16" s="1390">
        <f>'2e. Notes to the New Fin Stat'!Z19</f>
        <v>253315.63464689918</v>
      </c>
      <c r="AA16" s="1390">
        <f>'2e. Notes to the New Fin Stat'!AA19</f>
        <v>282987.70426472661</v>
      </c>
      <c r="AB16" s="1390">
        <f>'2e. Notes to the New Fin Stat'!AB19</f>
        <v>316211.96516864398</v>
      </c>
      <c r="AC16" s="1390">
        <f>'2e. Notes to the New Fin Stat'!AC19</f>
        <v>353421.62872927997</v>
      </c>
      <c r="AD16" s="1547">
        <f>'2e. Notes to the New Fin Stat'!AD19</f>
        <v>395103.36499944265</v>
      </c>
    </row>
    <row r="17" spans="1:49" s="1402" customFormat="1" ht="14">
      <c r="A17" s="1008"/>
      <c r="B17" s="1008"/>
      <c r="C17" s="1008"/>
      <c r="D17" s="1403" t="s">
        <v>469</v>
      </c>
      <c r="F17" s="1402">
        <f>(F16/E16)-1</f>
        <v>-0.55643380216203653</v>
      </c>
      <c r="G17" s="1402">
        <f>(G16/F16)-1</f>
        <v>0.71305031446540879</v>
      </c>
      <c r="H17" s="1402">
        <f t="shared" ref="H17:K17" si="31">(H16/G16)-1</f>
        <v>0.45173627046045595</v>
      </c>
      <c r="I17" s="1402">
        <f t="shared" si="31"/>
        <v>-0.19490691956445383</v>
      </c>
      <c r="J17" s="1402">
        <f t="shared" si="31"/>
        <v>-5.1219405785087879E-2</v>
      </c>
      <c r="K17" s="1402">
        <f t="shared" si="31"/>
        <v>1.5465581459511655</v>
      </c>
      <c r="L17" s="1402">
        <f t="shared" ref="L17" si="32">(L16/K16)-1</f>
        <v>-0.60762007945106533</v>
      </c>
      <c r="M17" s="1402">
        <f t="shared" ref="M17" si="33">(M16/L16)-1</f>
        <v>2.7645651173492869</v>
      </c>
      <c r="N17" s="1402">
        <f t="shared" ref="N17" si="34">(N16/M16)-1</f>
        <v>-0.63492005280915365</v>
      </c>
      <c r="O17" s="1402">
        <f t="shared" ref="O17:P17" si="35">(O16/N16)-1</f>
        <v>1.5623304871923658</v>
      </c>
      <c r="P17" s="1402">
        <f t="shared" si="35"/>
        <v>9.0054845538654504E-2</v>
      </c>
      <c r="Q17" s="1402">
        <f t="shared" ref="Q17" si="36">(Q16/P16)-1</f>
        <v>0.1210378352679744</v>
      </c>
      <c r="R17" s="1402">
        <f t="shared" ref="R17" si="37">(R16/Q16)-1</f>
        <v>0.11907237009639426</v>
      </c>
      <c r="S17" s="1402">
        <f t="shared" ref="S17" si="38">(S16/R16)-1</f>
        <v>0.118639552072066</v>
      </c>
      <c r="T17" s="1402">
        <f t="shared" ref="T17" si="39">(T16/S16)-1</f>
        <v>0.11674746476380293</v>
      </c>
      <c r="U17" s="1402">
        <f t="shared" ref="U17" si="40">(U16/T16)-1</f>
        <v>0.11553385314489617</v>
      </c>
      <c r="V17" s="1402">
        <f t="shared" ref="V17" si="41">(V16/U16)-1</f>
        <v>0.11574101382561297</v>
      </c>
      <c r="W17" s="1402">
        <f t="shared" ref="W17" si="42">(W16/V16)-1</f>
        <v>0.11644838700708826</v>
      </c>
      <c r="X17" s="1402">
        <f t="shared" ref="X17" si="43">(X16/W16)-1</f>
        <v>0.11790123149261178</v>
      </c>
      <c r="Y17" s="1402">
        <f t="shared" ref="Y17" si="44">(Y16/X16)-1</f>
        <v>0.11683885076216916</v>
      </c>
      <c r="Z17" s="1402">
        <f t="shared" ref="Z17" si="45">(Z16/Y16)-1</f>
        <v>0.11689833278041917</v>
      </c>
      <c r="AA17" s="1402">
        <f t="shared" ref="AA17" si="46">(AA16/Z16)-1</f>
        <v>0.11713477401103889</v>
      </c>
      <c r="AB17" s="1402">
        <f t="shared" ref="AB17" si="47">(AB16/AA16)-1</f>
        <v>0.11740531621415284</v>
      </c>
      <c r="AC17" s="1402">
        <f t="shared" ref="AC17" si="48">(AC16/AB16)-1</f>
        <v>0.11767316755642421</v>
      </c>
      <c r="AD17" s="1452">
        <f t="shared" ref="AD17" si="49">(AD16/AC16)-1</f>
        <v>0.11793770635947909</v>
      </c>
    </row>
    <row r="18" spans="1:49" s="1402" customFormat="1" ht="14">
      <c r="A18" s="1008"/>
      <c r="B18" s="1008"/>
      <c r="C18" s="1008"/>
      <c r="D18" s="1403" t="s">
        <v>503</v>
      </c>
      <c r="E18" s="1402">
        <f t="shared" ref="E18:O18" si="50">E16/E5</f>
        <v>1.7550134742113182E-2</v>
      </c>
      <c r="F18" s="1402">
        <f t="shared" si="50"/>
        <v>8.6796381057948416E-3</v>
      </c>
      <c r="G18" s="1402">
        <f t="shared" si="50"/>
        <v>1.391797683672796E-2</v>
      </c>
      <c r="H18" s="1402">
        <f t="shared" si="50"/>
        <v>1.5145945307549938E-2</v>
      </c>
      <c r="I18" s="1402">
        <f t="shared" si="50"/>
        <v>1.0698264688351956E-2</v>
      </c>
      <c r="J18" s="1402">
        <f t="shared" si="50"/>
        <v>9.5378692486937887E-3</v>
      </c>
      <c r="K18" s="1402">
        <f t="shared" si="50"/>
        <v>2.4414803006309584E-2</v>
      </c>
      <c r="L18" s="1402">
        <f t="shared" si="50"/>
        <v>7.4085969044816041E-3</v>
      </c>
      <c r="M18" s="1402">
        <f t="shared" si="50"/>
        <v>2.7258187052661042E-2</v>
      </c>
      <c r="N18" s="1402">
        <f t="shared" si="50"/>
        <v>8.5524716256397178E-3</v>
      </c>
      <c r="O18" s="1402">
        <f t="shared" si="50"/>
        <v>2.0026510447811972E-2</v>
      </c>
      <c r="P18" s="1402">
        <f>O18-0.2%</f>
        <v>1.8026510447811971E-2</v>
      </c>
      <c r="Q18" s="1402">
        <f>P18</f>
        <v>1.8026510447811971E-2</v>
      </c>
      <c r="R18" s="1402">
        <v>1.4999999999999999E-2</v>
      </c>
      <c r="S18" s="1402">
        <f>S14</f>
        <v>1.4E-2</v>
      </c>
      <c r="T18" s="1402">
        <f>S18</f>
        <v>1.4E-2</v>
      </c>
      <c r="U18" s="1402">
        <f>T18</f>
        <v>1.4E-2</v>
      </c>
      <c r="V18" s="1402">
        <f t="shared" ref="V18:AD18" si="51">U18</f>
        <v>1.4E-2</v>
      </c>
      <c r="W18" s="1402">
        <f t="shared" si="51"/>
        <v>1.4E-2</v>
      </c>
      <c r="X18" s="1402">
        <f t="shared" si="51"/>
        <v>1.4E-2</v>
      </c>
      <c r="Y18" s="1402">
        <f t="shared" si="51"/>
        <v>1.4E-2</v>
      </c>
      <c r="Z18" s="1402">
        <f t="shared" si="51"/>
        <v>1.4E-2</v>
      </c>
      <c r="AA18" s="1402">
        <f t="shared" si="51"/>
        <v>1.4E-2</v>
      </c>
      <c r="AB18" s="1402">
        <f t="shared" si="51"/>
        <v>1.4E-2</v>
      </c>
      <c r="AC18" s="1402">
        <f t="shared" si="51"/>
        <v>1.4E-2</v>
      </c>
      <c r="AD18" s="1452">
        <f t="shared" si="51"/>
        <v>1.4E-2</v>
      </c>
    </row>
    <row r="19" spans="1:49" s="1402" customFormat="1" thickBot="1">
      <c r="A19" s="1008"/>
      <c r="B19" s="1008"/>
      <c r="C19" s="1008"/>
      <c r="D19" s="1010" t="s">
        <v>505</v>
      </c>
      <c r="E19" s="1411">
        <f t="shared" ref="E19:AD19" si="52">E16/E12</f>
        <v>0.93005405405405406</v>
      </c>
      <c r="F19" s="1411">
        <f t="shared" si="52"/>
        <v>0.49743634309550711</v>
      </c>
      <c r="G19" s="1411">
        <f t="shared" si="52"/>
        <v>0.77973042821358995</v>
      </c>
      <c r="H19" s="1411">
        <f t="shared" si="52"/>
        <v>1.1358014840820234</v>
      </c>
      <c r="I19" s="1411">
        <f t="shared" si="52"/>
        <v>1.0527742054014331</v>
      </c>
      <c r="J19" s="1411">
        <f t="shared" si="52"/>
        <v>0.92583762612286602</v>
      </c>
      <c r="K19" s="1411">
        <f t="shared" si="52"/>
        <v>2.25764370158989</v>
      </c>
      <c r="L19" s="1411">
        <f t="shared" si="52"/>
        <v>0.82423001062054313</v>
      </c>
      <c r="M19" s="1411">
        <f t="shared" si="52"/>
        <v>2.9971422290613323</v>
      </c>
      <c r="N19" s="1411">
        <f t="shared" si="52"/>
        <v>0.79468348367526143</v>
      </c>
      <c r="O19" s="1411">
        <f t="shared" si="52"/>
        <v>1.262543102737127</v>
      </c>
      <c r="P19" s="1411">
        <f t="shared" si="52"/>
        <v>1.3193588047851768</v>
      </c>
      <c r="Q19" s="1411">
        <f t="shared" si="52"/>
        <v>1.3592819863025658</v>
      </c>
      <c r="R19" s="1411">
        <f t="shared" si="52"/>
        <v>1.394173934243627</v>
      </c>
      <c r="S19" s="1411">
        <f t="shared" si="52"/>
        <v>1.4502582093770959</v>
      </c>
      <c r="T19" s="1411">
        <f t="shared" si="52"/>
        <v>1.5019968811273976</v>
      </c>
      <c r="U19" s="1411">
        <f t="shared" si="52"/>
        <v>1.5500031156463991</v>
      </c>
      <c r="V19" s="1411">
        <f t="shared" si="52"/>
        <v>1.5959962843118829</v>
      </c>
      <c r="W19" s="1411">
        <f t="shared" si="52"/>
        <v>1.6405582861828902</v>
      </c>
      <c r="X19" s="1411">
        <f t="shared" si="52"/>
        <v>1.6846505439297241</v>
      </c>
      <c r="Y19" s="1411">
        <f t="shared" si="52"/>
        <v>1.7246466505209443</v>
      </c>
      <c r="Z19" s="1411">
        <f t="shared" si="52"/>
        <v>1.7621909012739589</v>
      </c>
      <c r="AA19" s="1411">
        <f t="shared" si="52"/>
        <v>1.7975675665457909</v>
      </c>
      <c r="AB19" s="1411">
        <f t="shared" si="52"/>
        <v>1.8308658079255316</v>
      </c>
      <c r="AC19" s="1411">
        <f t="shared" si="52"/>
        <v>1.8621351755879256</v>
      </c>
      <c r="AD19" s="1443">
        <f t="shared" si="52"/>
        <v>1.8914384297789322</v>
      </c>
    </row>
    <row r="20" spans="1:49" s="232" customFormat="1" ht="20">
      <c r="A20" s="105"/>
      <c r="B20" s="105"/>
      <c r="C20" s="105"/>
      <c r="D20" s="105"/>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P20" s="1218" t="s">
        <v>1788</v>
      </c>
      <c r="AW20" s="1218" t="s">
        <v>1789</v>
      </c>
    </row>
    <row r="21" spans="1:49" s="232" customFormat="1" ht="12" thickBot="1">
      <c r="A21" s="105"/>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row>
    <row r="22" spans="1:49" ht="16" thickBot="1">
      <c r="A22" s="419"/>
      <c r="B22" s="419"/>
      <c r="C22" s="419"/>
      <c r="D22" s="705" t="s">
        <v>1462</v>
      </c>
      <c r="E22" s="706" t="s">
        <v>216</v>
      </c>
      <c r="F22" s="706" t="s">
        <v>217</v>
      </c>
      <c r="G22" s="706" t="s">
        <v>218</v>
      </c>
      <c r="H22" s="1054" t="s">
        <v>28</v>
      </c>
      <c r="I22" s="1054" t="s">
        <v>17</v>
      </c>
      <c r="J22" s="1054" t="s">
        <v>18</v>
      </c>
      <c r="K22" s="1054" t="s">
        <v>19</v>
      </c>
      <c r="L22" s="1054" t="s">
        <v>20</v>
      </c>
      <c r="M22" s="1054" t="s">
        <v>21</v>
      </c>
      <c r="N22" s="1054" t="s">
        <v>22</v>
      </c>
      <c r="O22" s="1054" t="s">
        <v>23</v>
      </c>
      <c r="P22" s="1028" t="s">
        <v>24</v>
      </c>
      <c r="Q22" s="1028" t="s">
        <v>25</v>
      </c>
      <c r="R22" s="1028" t="s">
        <v>26</v>
      </c>
      <c r="S22" s="1028" t="s">
        <v>27</v>
      </c>
      <c r="T22" s="1055" t="s">
        <v>712</v>
      </c>
      <c r="U22" s="1028" t="s">
        <v>713</v>
      </c>
      <c r="V22" s="1028" t="s">
        <v>714</v>
      </c>
      <c r="W22" s="1028" t="s">
        <v>715</v>
      </c>
      <c r="X22" s="1028" t="s">
        <v>716</v>
      </c>
      <c r="Y22" s="1028" t="s">
        <v>717</v>
      </c>
      <c r="Z22" s="1028" t="s">
        <v>718</v>
      </c>
      <c r="AA22" s="404" t="s">
        <v>719</v>
      </c>
      <c r="AB22" s="404" t="s">
        <v>720</v>
      </c>
      <c r="AC22" s="404" t="s">
        <v>721</v>
      </c>
      <c r="AD22" s="404" t="s">
        <v>722</v>
      </c>
      <c r="AE22" s="765" t="s">
        <v>1445</v>
      </c>
      <c r="AF22" s="766" t="s">
        <v>1461</v>
      </c>
    </row>
    <row r="23" spans="1:49" s="109" customFormat="1" ht="16" thickBot="1">
      <c r="A23" s="418"/>
      <c r="B23" s="418"/>
      <c r="C23" s="418"/>
      <c r="D23" s="688" t="s">
        <v>0</v>
      </c>
      <c r="E23" s="1428"/>
      <c r="F23" s="1428"/>
      <c r="G23" s="1428"/>
      <c r="H23" s="1429"/>
      <c r="I23" s="1429"/>
      <c r="J23" s="1429"/>
      <c r="K23" s="1429"/>
      <c r="L23" s="1430">
        <v>2582636</v>
      </c>
      <c r="M23" s="1430">
        <v>2631686</v>
      </c>
      <c r="N23" s="1430">
        <v>3086476</v>
      </c>
      <c r="O23" s="1430">
        <v>3408988</v>
      </c>
      <c r="P23" s="1430">
        <f>O23*(1+P24)</f>
        <v>3998649.9946199041</v>
      </c>
      <c r="Q23" s="1430">
        <f t="shared" ref="Q23:AD23" si="53">P23*(1+Q24)</f>
        <v>4407398.7062022351</v>
      </c>
      <c r="R23" s="1430">
        <f t="shared" si="53"/>
        <v>4785499.9486938184</v>
      </c>
      <c r="S23" s="1430">
        <f t="shared" si="53"/>
        <v>5146742.2404105952</v>
      </c>
      <c r="T23" s="1430">
        <f t="shared" si="53"/>
        <v>5482248.505041901</v>
      </c>
      <c r="U23" s="1430">
        <f t="shared" si="53"/>
        <v>5809154.983397549</v>
      </c>
      <c r="V23" s="1430">
        <f t="shared" si="53"/>
        <v>6155554.895057545</v>
      </c>
      <c r="W23" s="1430">
        <f t="shared" si="53"/>
        <v>6522610.6334498273</v>
      </c>
      <c r="X23" s="1430">
        <f t="shared" si="53"/>
        <v>6911553.9055224406</v>
      </c>
      <c r="Y23" s="1430">
        <f t="shared" si="53"/>
        <v>7323689.8649087446</v>
      </c>
      <c r="Z23" s="1430">
        <f t="shared" si="53"/>
        <v>7760401.4915532535</v>
      </c>
      <c r="AA23" s="1430">
        <f t="shared" si="53"/>
        <v>8223154.2324945731</v>
      </c>
      <c r="AB23" s="1430">
        <f t="shared" si="53"/>
        <v>8713500.9193782248</v>
      </c>
      <c r="AC23" s="1430">
        <f t="shared" si="53"/>
        <v>9233086.9792007487</v>
      </c>
      <c r="AD23" s="1430">
        <f t="shared" si="53"/>
        <v>9783655.9557704907</v>
      </c>
      <c r="AE23" s="1391">
        <f>(O23/L23)^(1/3)-1</f>
        <v>9.6951494073525213E-2</v>
      </c>
      <c r="AF23" s="1392">
        <f>(T23/P23)^(1/4)-1</f>
        <v>8.2084887159868725E-2</v>
      </c>
    </row>
    <row r="24" spans="1:49" s="1409" customFormat="1" ht="14">
      <c r="A24" s="1433"/>
      <c r="B24" s="1433"/>
      <c r="C24" s="1433"/>
      <c r="D24" s="1434" t="s">
        <v>832</v>
      </c>
      <c r="E24" s="1300"/>
      <c r="F24" s="1300"/>
      <c r="G24" s="1300"/>
      <c r="H24" s="1300"/>
      <c r="I24" s="1300"/>
      <c r="J24" s="1300"/>
      <c r="K24" s="1300"/>
      <c r="L24" s="1300"/>
      <c r="M24" s="1300">
        <f t="shared" ref="M24:N24" si="54">(M23/L23)-1</f>
        <v>1.8992223449220136E-2</v>
      </c>
      <c r="N24" s="1300">
        <f t="shared" si="54"/>
        <v>0.17281316996024598</v>
      </c>
      <c r="O24" s="1300">
        <f>(O23/N23)-1</f>
        <v>0.10449198373808843</v>
      </c>
      <c r="P24" s="1300">
        <f>(1+P26)*(1+P25)-1</f>
        <v>0.17297273989228001</v>
      </c>
      <c r="Q24" s="1300">
        <f t="shared" ref="Q24:AD24" si="55">(1+Q26)*(1+Q25)-1</f>
        <v>0.10222167784934744</v>
      </c>
      <c r="R24" s="1300">
        <f t="shared" si="55"/>
        <v>8.5787846232179277E-2</v>
      </c>
      <c r="S24" s="1300">
        <f t="shared" si="55"/>
        <v>7.5486844758064775E-2</v>
      </c>
      <c r="T24" s="1300">
        <f t="shared" si="55"/>
        <v>6.5188083832335098E-2</v>
      </c>
      <c r="U24" s="1300">
        <f t="shared" si="55"/>
        <v>5.962999999999985E-2</v>
      </c>
      <c r="V24" s="1300">
        <f t="shared" si="55"/>
        <v>5.9630000000000072E-2</v>
      </c>
      <c r="W24" s="1300">
        <f t="shared" si="55"/>
        <v>5.9630000000000072E-2</v>
      </c>
      <c r="X24" s="1300">
        <f t="shared" si="55"/>
        <v>5.9630000000000072E-2</v>
      </c>
      <c r="Y24" s="1300">
        <f t="shared" si="55"/>
        <v>5.9630000000000072E-2</v>
      </c>
      <c r="Z24" s="1300">
        <f t="shared" si="55"/>
        <v>5.9630000000000072E-2</v>
      </c>
      <c r="AA24" s="1300">
        <f t="shared" si="55"/>
        <v>5.962999999999985E-2</v>
      </c>
      <c r="AB24" s="1300">
        <f t="shared" si="55"/>
        <v>5.9630000000000072E-2</v>
      </c>
      <c r="AC24" s="1300">
        <f t="shared" si="55"/>
        <v>5.9630000000000072E-2</v>
      </c>
      <c r="AD24" s="1300">
        <f t="shared" si="55"/>
        <v>5.9630000000000072E-2</v>
      </c>
      <c r="AE24" s="789"/>
      <c r="AF24" s="790"/>
    </row>
    <row r="25" spans="1:49" s="1402" customFormat="1" ht="14">
      <c r="A25" s="562"/>
      <c r="B25" s="562"/>
      <c r="C25" s="562"/>
      <c r="D25" s="1418" t="s">
        <v>1174</v>
      </c>
      <c r="E25" s="1435"/>
      <c r="F25" s="1435"/>
      <c r="G25" s="1435"/>
      <c r="H25" s="1435"/>
      <c r="I25" s="1435"/>
      <c r="J25" s="1435"/>
      <c r="K25" s="1435"/>
      <c r="L25" s="1435"/>
      <c r="M25" s="1435"/>
      <c r="N25" s="1435"/>
      <c r="O25" s="1435"/>
      <c r="P25" s="1435">
        <f>(3%+5%)</f>
        <v>0.08</v>
      </c>
      <c r="Q25" s="1435">
        <f>P25-1%</f>
        <v>7.0000000000000007E-2</v>
      </c>
      <c r="R25" s="1435">
        <f t="shared" ref="R25:T25" si="56">Q25-1%</f>
        <v>6.0000000000000005E-2</v>
      </c>
      <c r="S25" s="1435">
        <f t="shared" si="56"/>
        <v>0.05</v>
      </c>
      <c r="T25" s="1435">
        <f t="shared" si="56"/>
        <v>0.04</v>
      </c>
      <c r="U25" s="1435">
        <f>3%+1%</f>
        <v>0.04</v>
      </c>
      <c r="V25" s="1435">
        <f t="shared" ref="V25:AD25" si="57">U25</f>
        <v>0.04</v>
      </c>
      <c r="W25" s="1435">
        <f t="shared" si="57"/>
        <v>0.04</v>
      </c>
      <c r="X25" s="1435">
        <f t="shared" si="57"/>
        <v>0.04</v>
      </c>
      <c r="Y25" s="1435">
        <f t="shared" si="57"/>
        <v>0.04</v>
      </c>
      <c r="Z25" s="1435">
        <f t="shared" si="57"/>
        <v>0.04</v>
      </c>
      <c r="AA25" s="1435">
        <f t="shared" si="57"/>
        <v>0.04</v>
      </c>
      <c r="AB25" s="1435">
        <f t="shared" si="57"/>
        <v>0.04</v>
      </c>
      <c r="AC25" s="1435">
        <f t="shared" si="57"/>
        <v>0.04</v>
      </c>
      <c r="AD25" s="1435">
        <f t="shared" si="57"/>
        <v>0.04</v>
      </c>
      <c r="AE25" s="789"/>
      <c r="AF25" s="790"/>
    </row>
    <row r="26" spans="1:49" s="1402" customFormat="1" thickBot="1">
      <c r="A26" s="562"/>
      <c r="B26" s="562"/>
      <c r="C26" s="562"/>
      <c r="D26" s="1418" t="s">
        <v>1175</v>
      </c>
      <c r="E26" s="1435"/>
      <c r="F26" s="1435"/>
      <c r="G26" s="1435"/>
      <c r="H26" s="1435"/>
      <c r="I26" s="1435"/>
      <c r="J26" s="1435"/>
      <c r="K26" s="1435"/>
      <c r="L26" s="1435"/>
      <c r="M26" s="1435"/>
      <c r="N26" s="1435"/>
      <c r="O26" s="1435"/>
      <c r="P26" s="1435">
        <f>(0.75*'3h. Segmental Volume Drivers'!P88)+(0.25*'3h. Segmental Volume Drivers'!P91)</f>
        <v>8.6085870270629444E-2</v>
      </c>
      <c r="Q26" s="1435">
        <f>(0.75*'3h. Segmental Volume Drivers'!Q88)+(0.25*'3h. Segmental Volume Drivers'!Q91)</f>
        <v>3.0113717616212607E-2</v>
      </c>
      <c r="R26" s="1435">
        <f>(0.75*'3h. Segmental Volume Drivers'!R88)+(0.25*'3h. Segmental Volume Drivers'!R91)</f>
        <v>2.4328156822810629E-2</v>
      </c>
      <c r="S26" s="1435">
        <f>(0.75*'3h. Segmental Volume Drivers'!S88)+(0.25*'3h. Segmental Volume Drivers'!S91)</f>
        <v>2.4273185483871067E-2</v>
      </c>
      <c r="T26" s="1435">
        <f>(0.75*'3h. Segmental Volume Drivers'!T88)+(0.25*'3h. Segmental Volume Drivers'!T91)</f>
        <v>2.4219311377245409E-2</v>
      </c>
      <c r="U26" s="1435">
        <f>(0.75*'3h. Segmental Volume Drivers'!U88)+(0.25*'3h. Segmental Volume Drivers'!U91)</f>
        <v>1.8874999999999822E-2</v>
      </c>
      <c r="V26" s="1435">
        <f>(0.75*'3h. Segmental Volume Drivers'!V88)+(0.25*'3h. Segmental Volume Drivers'!V91)</f>
        <v>1.8874999999999989E-2</v>
      </c>
      <c r="W26" s="1435">
        <f>(0.75*'3h. Segmental Volume Drivers'!W88)+(0.25*'3h. Segmental Volume Drivers'!W91)</f>
        <v>1.8874999999999989E-2</v>
      </c>
      <c r="X26" s="1435">
        <f>(0.75*'3h. Segmental Volume Drivers'!X88)+(0.25*'3h. Segmental Volume Drivers'!X91)</f>
        <v>1.8874999999999989E-2</v>
      </c>
      <c r="Y26" s="1435">
        <f>(0.75*'3h. Segmental Volume Drivers'!Y88)+(0.25*'3h. Segmental Volume Drivers'!Y91)</f>
        <v>1.8874999999999989E-2</v>
      </c>
      <c r="Z26" s="1435">
        <f>(0.75*'3h. Segmental Volume Drivers'!Z88)+(0.25*'3h. Segmental Volume Drivers'!Z91)</f>
        <v>1.8875000000000045E-2</v>
      </c>
      <c r="AA26" s="1435">
        <f>(0.75*'3h. Segmental Volume Drivers'!AA88)+(0.25*'3h. Segmental Volume Drivers'!AA91)</f>
        <v>1.8874999999999822E-2</v>
      </c>
      <c r="AB26" s="1435">
        <f>(0.75*'3h. Segmental Volume Drivers'!AB88)+(0.25*'3h. Segmental Volume Drivers'!AB91)</f>
        <v>1.8874999999999989E-2</v>
      </c>
      <c r="AC26" s="1435">
        <f>(0.75*'3h. Segmental Volume Drivers'!AC88)+(0.25*'3h. Segmental Volume Drivers'!AC91)</f>
        <v>1.8875000000000045E-2</v>
      </c>
      <c r="AD26" s="1435">
        <f>(0.75*'3h. Segmental Volume Drivers'!AD88)+(0.25*'3h. Segmental Volume Drivers'!AD91)</f>
        <v>1.887499999999994E-2</v>
      </c>
      <c r="AE26" s="789"/>
      <c r="AF26" s="790"/>
    </row>
    <row r="27" spans="1:49" s="109" customFormat="1" ht="16" thickBot="1">
      <c r="A27" s="174"/>
      <c r="B27" s="174"/>
      <c r="C27" s="174"/>
      <c r="D27" s="688" t="s">
        <v>451</v>
      </c>
      <c r="H27" s="919"/>
      <c r="I27" s="919"/>
      <c r="J27" s="919"/>
      <c r="K27" s="919"/>
      <c r="L27" s="1390">
        <v>318941</v>
      </c>
      <c r="M27" s="1390">
        <v>214914</v>
      </c>
      <c r="N27" s="1390">
        <v>380931</v>
      </c>
      <c r="O27" s="1390">
        <v>452504</v>
      </c>
      <c r="P27" s="1390">
        <f t="shared" ref="P27:AD27" si="58">P29*P23</f>
        <v>610747.85658461426</v>
      </c>
      <c r="Q27" s="1390">
        <f t="shared" si="58"/>
        <v>673179.52722758625</v>
      </c>
      <c r="R27" s="1390">
        <f t="shared" si="58"/>
        <v>683075.14950909931</v>
      </c>
      <c r="S27" s="1390">
        <f t="shared" si="58"/>
        <v>734638.3372781846</v>
      </c>
      <c r="T27" s="1390">
        <f t="shared" si="58"/>
        <v>782528.0027951221</v>
      </c>
      <c r="U27" s="1390">
        <f t="shared" si="58"/>
        <v>829190.14760179515</v>
      </c>
      <c r="V27" s="1390">
        <f t="shared" si="58"/>
        <v>878634.75610329024</v>
      </c>
      <c r="W27" s="1390">
        <f t="shared" si="58"/>
        <v>931027.74660972948</v>
      </c>
      <c r="X27" s="1390">
        <f t="shared" si="58"/>
        <v>986544.93114006764</v>
      </c>
      <c r="Y27" s="1390">
        <f t="shared" si="58"/>
        <v>1045372.6053839501</v>
      </c>
      <c r="Z27" s="1390">
        <f t="shared" si="58"/>
        <v>1107708.173842995</v>
      </c>
      <c r="AA27" s="1390">
        <f t="shared" si="58"/>
        <v>1173760.8122492528</v>
      </c>
      <c r="AB27" s="1390">
        <f t="shared" si="58"/>
        <v>1243752.1694836756</v>
      </c>
      <c r="AC27" s="1390">
        <f t="shared" si="58"/>
        <v>1317917.1113499873</v>
      </c>
      <c r="AD27" s="1390">
        <f t="shared" si="58"/>
        <v>1396504.5086997873</v>
      </c>
      <c r="AE27" s="1398">
        <f>(O27/L27)^(1/3)-1</f>
        <v>0.12366630238432896</v>
      </c>
      <c r="AF27" s="1399">
        <f>(T27/P27)^(1/4)-1</f>
        <v>6.3921251955734393E-2</v>
      </c>
    </row>
    <row r="28" spans="1:49" s="1402" customFormat="1" ht="14">
      <c r="A28" s="562"/>
      <c r="B28" s="562"/>
      <c r="C28" s="562"/>
      <c r="D28" s="1418" t="s">
        <v>832</v>
      </c>
      <c r="E28" s="1435"/>
      <c r="F28" s="1435"/>
      <c r="G28" s="1435"/>
      <c r="H28" s="1435"/>
      <c r="I28" s="1435"/>
      <c r="J28" s="1435"/>
      <c r="K28" s="1435"/>
      <c r="L28" s="1435"/>
      <c r="M28" s="1435">
        <f t="shared" ref="M28" si="59">(M27/L27)-1</f>
        <v>-0.32616377323705636</v>
      </c>
      <c r="N28" s="1435">
        <f t="shared" ref="N28" si="60">(N27/M27)-1</f>
        <v>0.77248108545743888</v>
      </c>
      <c r="O28" s="1435">
        <f>(O27/N27)-1</f>
        <v>0.18788967030774595</v>
      </c>
      <c r="P28" s="1435">
        <f>(P27/O27)-1</f>
        <v>0.34970708896410696</v>
      </c>
      <c r="Q28" s="1435">
        <f t="shared" ref="Q28" si="61">(Q27/P27)-1</f>
        <v>0.10222167784934766</v>
      </c>
      <c r="R28" s="1435">
        <f t="shared" ref="R28" si="62">(R27/Q27)-1</f>
        <v>1.4699826541468175E-2</v>
      </c>
      <c r="S28" s="1435">
        <f t="shared" ref="S28" si="63">(S27/R27)-1</f>
        <v>7.5486844758064775E-2</v>
      </c>
      <c r="T28" s="1435">
        <f>(T27/S27)-1</f>
        <v>6.5188083832335098E-2</v>
      </c>
      <c r="U28" s="1435">
        <f t="shared" ref="U28:AD28" si="64">(U27/T27)-1</f>
        <v>5.962999999999985E-2</v>
      </c>
      <c r="V28" s="1435">
        <f t="shared" si="64"/>
        <v>5.9630000000000072E-2</v>
      </c>
      <c r="W28" s="1435">
        <f t="shared" si="64"/>
        <v>5.9630000000000072E-2</v>
      </c>
      <c r="X28" s="1435">
        <f t="shared" si="64"/>
        <v>5.9630000000000072E-2</v>
      </c>
      <c r="Y28" s="1435">
        <f t="shared" si="64"/>
        <v>5.9630000000000294E-2</v>
      </c>
      <c r="Z28" s="1435">
        <f t="shared" si="64"/>
        <v>5.9630000000000072E-2</v>
      </c>
      <c r="AA28" s="1435">
        <f t="shared" si="64"/>
        <v>5.9630000000000072E-2</v>
      </c>
      <c r="AB28" s="1435">
        <f t="shared" si="64"/>
        <v>5.962999999999985E-2</v>
      </c>
      <c r="AC28" s="1435">
        <f t="shared" si="64"/>
        <v>5.9630000000000072E-2</v>
      </c>
      <c r="AD28" s="1435">
        <f t="shared" si="64"/>
        <v>5.9630000000000072E-2</v>
      </c>
      <c r="AE28" s="1436"/>
      <c r="AF28" s="1437"/>
    </row>
    <row r="29" spans="1:49" s="1402" customFormat="1" thickBot="1">
      <c r="A29" s="562"/>
      <c r="B29" s="562" t="s">
        <v>976</v>
      </c>
      <c r="C29" s="562"/>
      <c r="D29" s="1420" t="s">
        <v>978</v>
      </c>
      <c r="E29" s="1438"/>
      <c r="F29" s="1438"/>
      <c r="G29" s="1438"/>
      <c r="H29" s="1438"/>
      <c r="I29" s="1438"/>
      <c r="J29" s="1438"/>
      <c r="K29" s="1438"/>
      <c r="L29" s="1438"/>
      <c r="M29" s="1438">
        <f>M27/M23</f>
        <v>8.1663997908565086E-2</v>
      </c>
      <c r="N29" s="1438">
        <f>N27/N23</f>
        <v>0.12341939480494908</v>
      </c>
      <c r="O29" s="1438">
        <f>O27/O23</f>
        <v>0.13273851359993052</v>
      </c>
      <c r="P29" s="1438">
        <f>O29+2%</f>
        <v>0.15273851359993051</v>
      </c>
      <c r="Q29" s="1438">
        <f>P29</f>
        <v>0.15273851359993051</v>
      </c>
      <c r="R29" s="1438">
        <f>Q29-1%</f>
        <v>0.14273851359993051</v>
      </c>
      <c r="S29" s="1438">
        <f>R29</f>
        <v>0.14273851359993051</v>
      </c>
      <c r="T29" s="1438">
        <f t="shared" ref="T29:AD29" si="65">S29</f>
        <v>0.14273851359993051</v>
      </c>
      <c r="U29" s="1438">
        <f t="shared" si="65"/>
        <v>0.14273851359993051</v>
      </c>
      <c r="V29" s="1438">
        <f t="shared" si="65"/>
        <v>0.14273851359993051</v>
      </c>
      <c r="W29" s="1438">
        <f t="shared" si="65"/>
        <v>0.14273851359993051</v>
      </c>
      <c r="X29" s="1438">
        <f t="shared" si="65"/>
        <v>0.14273851359993051</v>
      </c>
      <c r="Y29" s="1438">
        <f t="shared" si="65"/>
        <v>0.14273851359993051</v>
      </c>
      <c r="Z29" s="1438">
        <f t="shared" si="65"/>
        <v>0.14273851359993051</v>
      </c>
      <c r="AA29" s="1438">
        <f t="shared" si="65"/>
        <v>0.14273851359993051</v>
      </c>
      <c r="AB29" s="1438">
        <f t="shared" si="65"/>
        <v>0.14273851359993051</v>
      </c>
      <c r="AC29" s="1438">
        <f t="shared" si="65"/>
        <v>0.14273851359993051</v>
      </c>
      <c r="AD29" s="1438">
        <f t="shared" si="65"/>
        <v>0.14273851359993051</v>
      </c>
      <c r="AE29" s="1439"/>
      <c r="AF29" s="1440"/>
    </row>
    <row r="30" spans="1:49" s="232" customFormat="1" ht="11" hidden="1">
      <c r="A30" s="111"/>
      <c r="B30" s="111"/>
      <c r="C30" s="111"/>
      <c r="D30" s="111"/>
      <c r="E30" s="208"/>
      <c r="F30" s="208"/>
      <c r="G30" s="208"/>
      <c r="H30" s="855"/>
      <c r="I30" s="855"/>
      <c r="J30" s="855"/>
      <c r="K30" s="855"/>
      <c r="L30" s="855"/>
      <c r="M30" s="855"/>
      <c r="N30" s="855"/>
      <c r="O30" s="855"/>
      <c r="P30" s="855"/>
      <c r="Q30" s="208"/>
      <c r="R30" s="208"/>
      <c r="S30" s="208"/>
      <c r="T30" s="208"/>
      <c r="U30" s="208"/>
      <c r="V30" s="208"/>
      <c r="W30" s="208"/>
      <c r="X30" s="208"/>
      <c r="Y30" s="111"/>
      <c r="Z30" s="111"/>
      <c r="AA30" s="111"/>
      <c r="AB30" s="111"/>
      <c r="AC30" s="111"/>
      <c r="AD30" s="111"/>
    </row>
    <row r="31" spans="1:49" s="109" customFormat="1" hidden="1">
      <c r="A31" s="46"/>
      <c r="B31" s="46"/>
      <c r="C31" s="46"/>
      <c r="D31" s="46" t="s">
        <v>497</v>
      </c>
      <c r="E31" s="46"/>
      <c r="F31" s="46"/>
      <c r="G31" s="46"/>
      <c r="H31" s="1032"/>
      <c r="I31" s="1032"/>
      <c r="J31" s="1032"/>
      <c r="K31" s="1032"/>
      <c r="L31" s="1032">
        <v>20857</v>
      </c>
      <c r="M31" s="1032">
        <v>21451</v>
      </c>
      <c r="N31" s="1032">
        <v>33007</v>
      </c>
      <c r="O31" s="1032">
        <v>55035</v>
      </c>
      <c r="P31" s="1032"/>
      <c r="Q31" s="46"/>
      <c r="R31" s="46"/>
      <c r="S31" s="46"/>
      <c r="T31" s="46"/>
      <c r="U31" s="46"/>
      <c r="V31" s="46"/>
      <c r="W31" s="46"/>
      <c r="X31" s="46"/>
      <c r="Y31" s="46"/>
      <c r="Z31" s="46"/>
      <c r="AA31" s="46"/>
      <c r="AB31" s="46"/>
      <c r="AC31" s="46"/>
      <c r="AD31" s="46"/>
    </row>
    <row r="32" spans="1:49" hidden="1">
      <c r="A32" s="18"/>
      <c r="B32" s="18"/>
      <c r="C32" s="18"/>
      <c r="D32" s="18"/>
      <c r="E32" s="18"/>
      <c r="F32" s="18"/>
      <c r="G32" s="18"/>
      <c r="H32" s="1029"/>
      <c r="I32" s="1029"/>
      <c r="J32" s="1029"/>
      <c r="K32" s="1029"/>
      <c r="L32" s="1029"/>
      <c r="M32" s="1029"/>
      <c r="N32" s="1029"/>
      <c r="O32" s="1029"/>
      <c r="P32" s="1029"/>
      <c r="Q32" s="18"/>
      <c r="R32" s="18"/>
      <c r="S32" s="18"/>
      <c r="T32" s="18"/>
      <c r="U32" s="18"/>
      <c r="V32" s="18"/>
      <c r="W32" s="18"/>
      <c r="X32" s="18"/>
      <c r="Y32" s="18"/>
      <c r="Z32" s="18"/>
      <c r="AA32" s="18"/>
      <c r="AB32" s="18"/>
      <c r="AC32" s="18"/>
      <c r="AD32" s="18"/>
    </row>
    <row r="33" spans="1:30" s="109" customFormat="1" hidden="1">
      <c r="A33" s="46"/>
      <c r="B33" s="46"/>
      <c r="C33" s="46"/>
      <c r="D33" s="46" t="s">
        <v>498</v>
      </c>
      <c r="E33" s="46"/>
      <c r="F33" s="46"/>
      <c r="G33" s="46"/>
      <c r="H33" s="1032"/>
      <c r="I33" s="1032"/>
      <c r="J33" s="1032"/>
      <c r="K33" s="1032"/>
      <c r="L33" s="1032">
        <v>16253</v>
      </c>
      <c r="M33" s="1032">
        <v>75957</v>
      </c>
      <c r="N33" s="1032">
        <v>23084</v>
      </c>
      <c r="O33" s="1032">
        <v>68893</v>
      </c>
      <c r="P33" s="1032"/>
      <c r="Q33" s="46"/>
      <c r="R33" s="46"/>
      <c r="S33" s="46"/>
      <c r="T33" s="46"/>
      <c r="U33" s="46"/>
      <c r="V33" s="46"/>
      <c r="W33" s="46"/>
      <c r="X33" s="46"/>
      <c r="Y33" s="46"/>
      <c r="Z33" s="46"/>
      <c r="AA33" s="46"/>
      <c r="AB33" s="46"/>
      <c r="AC33" s="46"/>
      <c r="AD33" s="46"/>
    </row>
    <row r="34" spans="1:30" ht="16" hidden="1" thickBot="1">
      <c r="A34" s="18"/>
      <c r="B34" s="18"/>
      <c r="C34" s="18"/>
      <c r="D34" s="18"/>
      <c r="E34" s="209"/>
      <c r="F34" s="209"/>
      <c r="G34" s="209"/>
      <c r="H34" s="1057"/>
      <c r="I34" s="1057"/>
      <c r="J34" s="1057"/>
      <c r="K34" s="1057"/>
      <c r="L34" s="1057"/>
      <c r="M34" s="1057"/>
      <c r="N34" s="1057"/>
      <c r="O34" s="1057"/>
      <c r="P34" s="1057"/>
      <c r="Q34" s="209"/>
      <c r="R34" s="209"/>
      <c r="S34" s="209"/>
      <c r="T34" s="209"/>
      <c r="U34" s="209"/>
      <c r="V34" s="209"/>
      <c r="W34" s="209"/>
      <c r="X34" s="344"/>
      <c r="Y34" s="18"/>
      <c r="Z34" s="18"/>
      <c r="AA34" s="18"/>
      <c r="AB34" s="18"/>
      <c r="AC34" s="18"/>
      <c r="AD34" s="18"/>
    </row>
    <row r="35" spans="1:30" s="235" customFormat="1" ht="14" hidden="1">
      <c r="A35" s="291"/>
      <c r="B35" s="291"/>
      <c r="C35" s="291"/>
      <c r="D35" s="345" t="s">
        <v>833</v>
      </c>
      <c r="E35" s="210"/>
      <c r="F35" s="210"/>
      <c r="G35" s="210"/>
      <c r="H35" s="1058"/>
      <c r="I35" s="1058"/>
      <c r="J35" s="1058"/>
      <c r="K35" s="1058"/>
      <c r="L35" s="1058"/>
      <c r="M35" s="1058"/>
      <c r="N35" s="1058"/>
      <c r="O35" s="1058"/>
      <c r="P35" s="1058"/>
      <c r="Q35" s="210"/>
      <c r="R35" s="210"/>
      <c r="S35" s="210"/>
      <c r="T35" s="210"/>
      <c r="U35" s="210"/>
      <c r="V35" s="210"/>
      <c r="W35" s="210"/>
      <c r="X35" s="210"/>
      <c r="Y35" s="346"/>
      <c r="Z35" s="346"/>
      <c r="AA35" s="346"/>
      <c r="AB35" s="346"/>
      <c r="AC35" s="346"/>
      <c r="AD35" s="346"/>
    </row>
    <row r="36" spans="1:30" hidden="1">
      <c r="A36" s="18"/>
      <c r="B36" s="18"/>
      <c r="C36" s="18"/>
      <c r="D36" s="347" t="s">
        <v>844</v>
      </c>
      <c r="E36" s="211"/>
      <c r="F36" s="211"/>
      <c r="G36" s="211"/>
      <c r="H36" s="976"/>
      <c r="I36" s="976"/>
      <c r="J36" s="976"/>
      <c r="K36" s="976"/>
      <c r="L36" s="976"/>
      <c r="M36" s="976"/>
      <c r="N36" s="976"/>
      <c r="O36" s="976" t="s">
        <v>843</v>
      </c>
      <c r="P36" s="1071"/>
      <c r="Q36" s="211"/>
      <c r="R36" s="211"/>
      <c r="S36" s="211"/>
      <c r="T36" s="211"/>
      <c r="U36" s="211"/>
      <c r="V36" s="211"/>
      <c r="W36" s="211"/>
      <c r="X36" s="348"/>
      <c r="Y36" s="137"/>
      <c r="Z36" s="137"/>
      <c r="AA36" s="137"/>
      <c r="AB36" s="137"/>
      <c r="AC36" s="137"/>
      <c r="AD36" s="137"/>
    </row>
    <row r="37" spans="1:30" hidden="1">
      <c r="A37" s="18"/>
      <c r="B37" s="18"/>
      <c r="C37" s="18"/>
      <c r="D37" s="347" t="s">
        <v>845</v>
      </c>
      <c r="E37" s="211"/>
      <c r="F37" s="211"/>
      <c r="G37" s="211"/>
      <c r="H37" s="976"/>
      <c r="I37" s="976"/>
      <c r="J37" s="976"/>
      <c r="K37" s="976"/>
      <c r="L37" s="976"/>
      <c r="M37" s="976"/>
      <c r="N37" s="976"/>
      <c r="O37" s="976" t="s">
        <v>843</v>
      </c>
      <c r="P37" s="976"/>
      <c r="Q37" s="211"/>
      <c r="R37" s="211"/>
      <c r="S37" s="211"/>
      <c r="T37" s="211"/>
      <c r="U37" s="211"/>
      <c r="V37" s="211"/>
      <c r="W37" s="211"/>
      <c r="X37" s="348"/>
      <c r="Y37" s="137"/>
      <c r="Z37" s="137"/>
      <c r="AA37" s="137"/>
      <c r="AB37" s="137"/>
      <c r="AC37" s="137"/>
      <c r="AD37" s="137"/>
    </row>
    <row r="38" spans="1:30" hidden="1">
      <c r="A38" s="18"/>
      <c r="B38" s="18"/>
      <c r="C38" s="18"/>
      <c r="D38" s="347" t="s">
        <v>846</v>
      </c>
      <c r="E38" s="211"/>
      <c r="F38" s="211"/>
      <c r="G38" s="211"/>
      <c r="H38" s="976"/>
      <c r="I38" s="976"/>
      <c r="J38" s="976"/>
      <c r="K38" s="976">
        <v>7.3</v>
      </c>
      <c r="L38" s="976">
        <v>8.6999999999999993</v>
      </c>
      <c r="M38" s="976">
        <v>8.6</v>
      </c>
      <c r="N38" s="976">
        <v>8.8000000000000007</v>
      </c>
      <c r="O38" s="976">
        <v>8.3000000000000007</v>
      </c>
      <c r="P38" s="976"/>
      <c r="Q38" s="211"/>
      <c r="R38" s="211"/>
      <c r="S38" s="211"/>
      <c r="T38" s="211"/>
      <c r="U38" s="211"/>
      <c r="V38" s="211"/>
      <c r="W38" s="211"/>
      <c r="X38" s="348"/>
      <c r="Y38" s="137"/>
      <c r="Z38" s="137"/>
      <c r="AA38" s="137"/>
      <c r="AB38" s="137"/>
      <c r="AC38" s="137"/>
      <c r="AD38" s="137"/>
    </row>
    <row r="39" spans="1:30" s="232" customFormat="1" ht="11" hidden="1">
      <c r="A39" s="111"/>
      <c r="B39" s="111"/>
      <c r="C39" s="111"/>
      <c r="D39" s="349" t="s">
        <v>469</v>
      </c>
      <c r="E39" s="212"/>
      <c r="F39" s="212"/>
      <c r="G39" s="212"/>
      <c r="H39" s="1056"/>
      <c r="I39" s="1056"/>
      <c r="J39" s="1056"/>
      <c r="K39" s="1056"/>
      <c r="L39" s="1056"/>
      <c r="M39" s="1056">
        <f t="shared" ref="M39:N39" si="66">(M38/L38)-1</f>
        <v>-1.1494252873563204E-2</v>
      </c>
      <c r="N39" s="1056">
        <f t="shared" si="66"/>
        <v>2.3255813953488413E-2</v>
      </c>
      <c r="O39" s="1056">
        <f>(O38/N38)-1</f>
        <v>-5.6818181818181768E-2</v>
      </c>
      <c r="P39" s="1056"/>
      <c r="Q39" s="212"/>
      <c r="R39" s="212"/>
      <c r="S39" s="212"/>
      <c r="T39" s="212"/>
      <c r="U39" s="212"/>
      <c r="V39" s="212"/>
      <c r="W39" s="212"/>
      <c r="X39" s="212"/>
    </row>
    <row r="40" spans="1:30" s="236" customFormat="1" hidden="1">
      <c r="A40" s="350"/>
      <c r="B40" s="350"/>
      <c r="C40" s="350"/>
      <c r="D40" s="351" t="s">
        <v>791</v>
      </c>
      <c r="E40" s="213"/>
      <c r="F40" s="213"/>
      <c r="G40" s="213"/>
      <c r="H40" s="1059"/>
      <c r="I40" s="1059"/>
      <c r="J40" s="1059"/>
      <c r="K40" s="1059"/>
      <c r="L40" s="1059"/>
      <c r="M40" s="1059"/>
      <c r="N40" s="1059"/>
      <c r="O40" s="1059"/>
      <c r="P40" s="1059"/>
      <c r="Q40" s="213"/>
      <c r="R40" s="213"/>
      <c r="S40" s="213"/>
      <c r="T40" s="213"/>
      <c r="U40" s="213"/>
      <c r="V40" s="213"/>
      <c r="W40" s="213"/>
      <c r="X40" s="352"/>
    </row>
    <row r="41" spans="1:30" hidden="1">
      <c r="A41" s="18"/>
      <c r="B41" s="18"/>
      <c r="C41" s="18"/>
      <c r="D41" s="347" t="s">
        <v>849</v>
      </c>
      <c r="E41" s="211"/>
      <c r="F41" s="211"/>
      <c r="G41" s="211"/>
      <c r="H41" s="976"/>
      <c r="I41" s="976"/>
      <c r="J41" s="976"/>
      <c r="K41" s="976">
        <v>90000</v>
      </c>
      <c r="L41" s="976">
        <v>100595</v>
      </c>
      <c r="M41" s="976">
        <v>90000</v>
      </c>
      <c r="N41" s="976">
        <v>90000</v>
      </c>
      <c r="O41" s="976">
        <v>83470</v>
      </c>
      <c r="P41" s="976"/>
      <c r="Q41" s="211"/>
      <c r="R41" s="211"/>
      <c r="S41" s="211"/>
      <c r="T41" s="211"/>
      <c r="U41" s="211"/>
      <c r="V41" s="211"/>
      <c r="W41" s="211"/>
      <c r="X41" s="348"/>
      <c r="Y41" s="137"/>
      <c r="Z41" s="137"/>
      <c r="AA41" s="137"/>
      <c r="AB41" s="137"/>
      <c r="AC41" s="137"/>
      <c r="AD41" s="137"/>
    </row>
    <row r="42" spans="1:30" hidden="1">
      <c r="A42" s="18"/>
      <c r="B42" s="18"/>
      <c r="C42" s="18"/>
      <c r="D42" s="347" t="s">
        <v>851</v>
      </c>
      <c r="E42" s="211"/>
      <c r="F42" s="211"/>
      <c r="G42" s="211"/>
      <c r="H42" s="976"/>
      <c r="I42" s="976"/>
      <c r="J42" s="976"/>
      <c r="K42" s="976">
        <v>0.14299999999999999</v>
      </c>
      <c r="L42" s="976">
        <v>0.14399999999999999</v>
      </c>
      <c r="M42" s="976">
        <f>M43/M41</f>
        <v>0.15027777777777779</v>
      </c>
      <c r="N42" s="976">
        <v>0.15</v>
      </c>
      <c r="O42" s="976">
        <v>0.25600000000000001</v>
      </c>
      <c r="P42" s="976"/>
      <c r="Q42" s="211"/>
      <c r="R42" s="211"/>
      <c r="S42" s="211"/>
      <c r="T42" s="211"/>
      <c r="U42" s="211"/>
      <c r="V42" s="211"/>
      <c r="W42" s="211"/>
      <c r="X42" s="348"/>
      <c r="Y42" s="137"/>
      <c r="Z42" s="137"/>
      <c r="AA42" s="137"/>
      <c r="AB42" s="137"/>
      <c r="AC42" s="137"/>
      <c r="AD42" s="137"/>
    </row>
    <row r="43" spans="1:30" hidden="1">
      <c r="A43" s="18"/>
      <c r="B43" s="18"/>
      <c r="C43" s="18"/>
      <c r="D43" s="347" t="s">
        <v>850</v>
      </c>
      <c r="E43" s="211"/>
      <c r="F43" s="211"/>
      <c r="G43" s="211"/>
      <c r="H43" s="976"/>
      <c r="I43" s="976"/>
      <c r="J43" s="976"/>
      <c r="K43" s="976">
        <f>K41*K42</f>
        <v>12869.999999999998</v>
      </c>
      <c r="L43" s="976">
        <f>L42*L41</f>
        <v>14485.679999999998</v>
      </c>
      <c r="M43" s="976">
        <v>13525</v>
      </c>
      <c r="N43" s="976">
        <f>N41*N42</f>
        <v>13500</v>
      </c>
      <c r="O43" s="976">
        <f>O41*O42</f>
        <v>21368.32</v>
      </c>
      <c r="P43" s="976"/>
      <c r="Q43" s="211"/>
      <c r="R43" s="211"/>
      <c r="S43" s="211"/>
      <c r="T43" s="211"/>
      <c r="U43" s="211"/>
      <c r="V43" s="211"/>
      <c r="W43" s="211"/>
      <c r="X43" s="348"/>
      <c r="Y43" s="137"/>
      <c r="Z43" s="137"/>
      <c r="AA43" s="137"/>
      <c r="AB43" s="137"/>
      <c r="AC43" s="137"/>
      <c r="AD43" s="137"/>
    </row>
    <row r="44" spans="1:30" hidden="1">
      <c r="A44" s="18"/>
      <c r="B44" s="18"/>
      <c r="C44" s="18"/>
      <c r="D44" s="347" t="s">
        <v>905</v>
      </c>
      <c r="E44" s="211"/>
      <c r="F44" s="211"/>
      <c r="G44" s="211"/>
      <c r="H44" s="976"/>
      <c r="I44" s="976"/>
      <c r="J44" s="976"/>
      <c r="K44" s="976"/>
      <c r="L44" s="976"/>
      <c r="M44" s="976">
        <v>2500</v>
      </c>
      <c r="N44" s="976"/>
      <c r="O44" s="976"/>
      <c r="P44" s="976"/>
      <c r="Q44" s="211"/>
      <c r="R44" s="211"/>
      <c r="S44" s="211"/>
      <c r="T44" s="211"/>
      <c r="U44" s="211"/>
      <c r="V44" s="211"/>
      <c r="W44" s="211"/>
      <c r="X44" s="348"/>
      <c r="Y44" s="137"/>
      <c r="Z44" s="137"/>
      <c r="AA44" s="137"/>
      <c r="AB44" s="137"/>
      <c r="AC44" s="137"/>
      <c r="AD44" s="137"/>
    </row>
    <row r="45" spans="1:30" hidden="1">
      <c r="A45" s="18"/>
      <c r="B45" s="18"/>
      <c r="C45" s="18"/>
      <c r="D45" s="353" t="s">
        <v>792</v>
      </c>
      <c r="E45" s="211"/>
      <c r="F45" s="211"/>
      <c r="G45" s="211"/>
      <c r="H45" s="976"/>
      <c r="I45" s="976"/>
      <c r="J45" s="976"/>
      <c r="K45" s="976"/>
      <c r="L45" s="976"/>
      <c r="M45" s="976"/>
      <c r="N45" s="976"/>
      <c r="O45" s="976"/>
      <c r="P45" s="976"/>
      <c r="Q45" s="211"/>
      <c r="R45" s="211"/>
      <c r="S45" s="211"/>
      <c r="T45" s="211"/>
      <c r="U45" s="211"/>
      <c r="V45" s="211"/>
      <c r="W45" s="211"/>
      <c r="X45" s="348"/>
      <c r="Y45" s="137"/>
      <c r="Z45" s="137"/>
      <c r="AA45" s="137"/>
      <c r="AB45" s="137"/>
      <c r="AC45" s="137"/>
      <c r="AD45" s="137"/>
    </row>
    <row r="46" spans="1:30" hidden="1">
      <c r="A46" s="18"/>
      <c r="B46" s="18"/>
      <c r="C46" s="18"/>
      <c r="D46" s="347" t="s">
        <v>852</v>
      </c>
      <c r="E46" s="211"/>
      <c r="F46" s="211"/>
      <c r="G46" s="211"/>
      <c r="H46" s="976"/>
      <c r="I46" s="976"/>
      <c r="J46" s="976"/>
      <c r="K46" s="976">
        <v>25000</v>
      </c>
      <c r="L46" s="976">
        <v>31000</v>
      </c>
      <c r="M46" s="976">
        <v>25000</v>
      </c>
      <c r="N46" s="976">
        <v>30000</v>
      </c>
      <c r="O46" s="976">
        <v>25000</v>
      </c>
      <c r="P46" s="976"/>
      <c r="Q46" s="211"/>
      <c r="R46" s="211"/>
      <c r="S46" s="211"/>
      <c r="T46" s="211"/>
      <c r="U46" s="211"/>
      <c r="V46" s="211"/>
      <c r="W46" s="211"/>
      <c r="X46" s="348"/>
      <c r="Y46" s="137"/>
      <c r="Z46" s="137"/>
      <c r="AA46" s="137"/>
      <c r="AB46" s="137"/>
      <c r="AC46" s="137"/>
      <c r="AD46" s="137"/>
    </row>
    <row r="47" spans="1:30" hidden="1">
      <c r="A47" s="18"/>
      <c r="B47" s="18"/>
      <c r="C47" s="18"/>
      <c r="D47" s="347" t="s">
        <v>854</v>
      </c>
      <c r="E47" s="211"/>
      <c r="F47" s="211"/>
      <c r="G47" s="211"/>
      <c r="H47" s="976"/>
      <c r="I47" s="976"/>
      <c r="J47" s="976"/>
      <c r="K47" s="976"/>
      <c r="L47" s="976"/>
      <c r="M47" s="1060">
        <f>M48/M46</f>
        <v>0.20799999999999999</v>
      </c>
      <c r="N47" s="1060">
        <f>N48/N46</f>
        <v>0.20799999999999999</v>
      </c>
      <c r="O47" s="1060">
        <f>O48/O46</f>
        <v>0.20799999999999999</v>
      </c>
      <c r="P47" s="976"/>
      <c r="Q47" s="211"/>
      <c r="R47" s="211"/>
      <c r="S47" s="211"/>
      <c r="T47" s="211"/>
      <c r="U47" s="211"/>
      <c r="V47" s="211"/>
      <c r="W47" s="211"/>
      <c r="X47" s="348"/>
      <c r="Y47" s="137"/>
      <c r="Z47" s="137"/>
      <c r="AA47" s="137"/>
      <c r="AB47" s="137"/>
      <c r="AC47" s="137"/>
      <c r="AD47" s="137"/>
    </row>
    <row r="48" spans="1:30" s="1011" customFormat="1" ht="11" hidden="1">
      <c r="A48" s="1067"/>
      <c r="B48" s="1067"/>
      <c r="C48" s="1067"/>
      <c r="D48" s="1072" t="s">
        <v>853</v>
      </c>
      <c r="E48" s="1071"/>
      <c r="F48" s="1071"/>
      <c r="G48" s="1071"/>
      <c r="H48" s="1071"/>
      <c r="I48" s="1071"/>
      <c r="J48" s="1071"/>
      <c r="K48" s="1071">
        <v>4994</v>
      </c>
      <c r="L48" s="1071">
        <v>9912</v>
      </c>
      <c r="M48" s="1071">
        <v>5200</v>
      </c>
      <c r="N48" s="1071">
        <v>6240</v>
      </c>
      <c r="O48" s="1071">
        <v>5200</v>
      </c>
      <c r="P48" s="1071"/>
      <c r="Q48" s="1071"/>
      <c r="R48" s="1071"/>
      <c r="S48" s="1071"/>
      <c r="T48" s="1071"/>
      <c r="U48" s="1071"/>
      <c r="V48" s="1071"/>
      <c r="W48" s="1071"/>
      <c r="X48" s="1071"/>
    </row>
    <row r="49" spans="1:30" hidden="1">
      <c r="A49" s="18"/>
      <c r="B49" s="18"/>
      <c r="C49" s="18"/>
      <c r="D49" s="347" t="s">
        <v>855</v>
      </c>
      <c r="E49" s="211"/>
      <c r="F49" s="211"/>
      <c r="G49" s="211"/>
      <c r="H49" s="211"/>
      <c r="I49" s="211"/>
      <c r="J49" s="211"/>
      <c r="K49" s="211"/>
      <c r="L49" s="211">
        <v>7066</v>
      </c>
      <c r="M49" s="211">
        <v>7539</v>
      </c>
      <c r="N49" s="211">
        <v>9120</v>
      </c>
      <c r="O49" s="211">
        <v>7600</v>
      </c>
      <c r="P49" s="211"/>
      <c r="Q49" s="211"/>
      <c r="R49" s="211"/>
      <c r="S49" s="211"/>
      <c r="T49" s="211"/>
      <c r="U49" s="211"/>
      <c r="V49" s="211"/>
      <c r="W49" s="211"/>
      <c r="X49" s="348"/>
      <c r="Y49" s="137"/>
      <c r="Z49" s="137"/>
      <c r="AA49" s="137"/>
      <c r="AB49" s="137"/>
      <c r="AC49" s="137"/>
      <c r="AD49" s="137"/>
    </row>
    <row r="50" spans="1:30" hidden="1">
      <c r="A50" s="18"/>
      <c r="B50" s="18"/>
      <c r="C50" s="18"/>
      <c r="D50" s="347" t="s">
        <v>856</v>
      </c>
      <c r="E50" s="211"/>
      <c r="F50" s="211"/>
      <c r="G50" s="211"/>
      <c r="H50" s="976"/>
      <c r="I50" s="976"/>
      <c r="J50" s="976"/>
      <c r="K50" s="976"/>
      <c r="L50" s="976"/>
      <c r="M50" s="976">
        <f>M46-M48-M49</f>
        <v>12261</v>
      </c>
      <c r="N50" s="976">
        <f>N46-N48-N49</f>
        <v>14640</v>
      </c>
      <c r="O50" s="976">
        <f>O46-O48-O49</f>
        <v>12200</v>
      </c>
      <c r="P50" s="976"/>
      <c r="Q50" s="211"/>
      <c r="R50" s="211"/>
      <c r="S50" s="211"/>
      <c r="T50" s="211"/>
      <c r="U50" s="211"/>
      <c r="V50" s="211"/>
      <c r="W50" s="211"/>
      <c r="X50" s="348"/>
      <c r="Y50" s="137"/>
      <c r="Z50" s="137"/>
      <c r="AA50" s="137"/>
      <c r="AB50" s="137"/>
      <c r="AC50" s="137"/>
      <c r="AD50" s="137"/>
    </row>
    <row r="51" spans="1:30" s="1011" customFormat="1" ht="11" hidden="1">
      <c r="A51" s="1067"/>
      <c r="B51" s="1067"/>
      <c r="C51" s="1067"/>
      <c r="D51" s="1073" t="s">
        <v>790</v>
      </c>
      <c r="E51" s="1071"/>
      <c r="F51" s="1071"/>
      <c r="G51" s="1071"/>
      <c r="H51" s="1071"/>
      <c r="I51" s="1071"/>
      <c r="J51" s="1071"/>
      <c r="K51" s="1071"/>
      <c r="L51" s="1071"/>
      <c r="M51" s="1071"/>
      <c r="N51" s="1071"/>
      <c r="O51" s="1071"/>
      <c r="P51" s="1071"/>
      <c r="Q51" s="1071"/>
      <c r="R51" s="1071"/>
      <c r="S51" s="1071"/>
      <c r="T51" s="1071"/>
      <c r="U51" s="1071"/>
      <c r="V51" s="1071"/>
      <c r="W51" s="1071"/>
      <c r="X51" s="1071"/>
    </row>
    <row r="52" spans="1:30" hidden="1">
      <c r="A52" s="18"/>
      <c r="B52" s="18"/>
      <c r="C52" s="18"/>
      <c r="D52" s="347" t="s">
        <v>862</v>
      </c>
      <c r="E52" s="211"/>
      <c r="F52" s="211"/>
      <c r="G52" s="211"/>
      <c r="H52" s="976"/>
      <c r="I52" s="976"/>
      <c r="J52" s="976"/>
      <c r="K52" s="976"/>
      <c r="L52" s="976"/>
      <c r="M52" s="976"/>
      <c r="N52" s="976"/>
      <c r="O52" s="976" t="s">
        <v>704</v>
      </c>
      <c r="P52" s="976"/>
      <c r="Q52" s="211"/>
      <c r="R52" s="211"/>
      <c r="S52" s="211"/>
      <c r="T52" s="211"/>
      <c r="U52" s="211"/>
      <c r="V52" s="211"/>
      <c r="W52" s="211"/>
      <c r="X52" s="348"/>
      <c r="Y52" s="137"/>
      <c r="Z52" s="137"/>
      <c r="AA52" s="137"/>
      <c r="AB52" s="137"/>
      <c r="AC52" s="137"/>
      <c r="AD52" s="137"/>
    </row>
    <row r="53" spans="1:30" s="1011" customFormat="1" ht="11" hidden="1">
      <c r="A53" s="1067"/>
      <c r="B53" s="1067"/>
      <c r="C53" s="1067"/>
      <c r="D53" s="1072" t="s">
        <v>858</v>
      </c>
      <c r="E53" s="1071"/>
      <c r="F53" s="1071"/>
      <c r="G53" s="1071"/>
      <c r="H53" s="1071"/>
      <c r="I53" s="1071"/>
      <c r="J53" s="1071"/>
      <c r="K53" s="1071"/>
      <c r="L53" s="1071" t="s">
        <v>914</v>
      </c>
      <c r="M53" s="1071" t="s">
        <v>904</v>
      </c>
      <c r="N53" s="1071"/>
      <c r="O53" s="1071" t="s">
        <v>704</v>
      </c>
      <c r="P53" s="1071"/>
      <c r="Q53" s="1071"/>
      <c r="R53" s="1071"/>
      <c r="S53" s="1071"/>
      <c r="T53" s="1071"/>
      <c r="U53" s="1071"/>
      <c r="V53" s="1071"/>
      <c r="W53" s="1071"/>
      <c r="X53" s="1071"/>
    </row>
    <row r="54" spans="1:30" hidden="1">
      <c r="A54" s="18"/>
      <c r="B54" s="18"/>
      <c r="C54" s="18"/>
      <c r="D54" s="347" t="s">
        <v>859</v>
      </c>
      <c r="E54" s="211"/>
      <c r="F54" s="211"/>
      <c r="G54" s="211"/>
      <c r="H54" s="211"/>
      <c r="I54" s="211"/>
      <c r="J54" s="211"/>
      <c r="K54" s="211"/>
      <c r="L54" s="211"/>
      <c r="M54" s="214">
        <v>0.77</v>
      </c>
      <c r="N54" s="214">
        <v>0.8</v>
      </c>
      <c r="O54" s="214">
        <v>0.8</v>
      </c>
      <c r="P54" s="211"/>
      <c r="Q54" s="211"/>
      <c r="R54" s="211"/>
      <c r="S54" s="211"/>
      <c r="T54" s="211"/>
      <c r="U54" s="211"/>
      <c r="V54" s="211"/>
      <c r="W54" s="211"/>
      <c r="X54" s="348"/>
      <c r="Y54" s="137"/>
      <c r="Z54" s="137"/>
      <c r="AA54" s="137"/>
      <c r="AB54" s="137"/>
      <c r="AC54" s="137"/>
      <c r="AD54" s="137"/>
    </row>
    <row r="55" spans="1:30" hidden="1">
      <c r="A55" s="18"/>
      <c r="B55" s="18"/>
      <c r="C55" s="18"/>
      <c r="D55" s="347" t="s">
        <v>860</v>
      </c>
      <c r="E55" s="211"/>
      <c r="F55" s="211"/>
      <c r="G55" s="211"/>
      <c r="H55" s="211"/>
      <c r="I55" s="211"/>
      <c r="J55" s="211"/>
      <c r="K55" s="211"/>
      <c r="L55" s="211"/>
      <c r="M55" s="211"/>
      <c r="N55" s="211" t="s">
        <v>899</v>
      </c>
      <c r="O55" s="211" t="s">
        <v>847</v>
      </c>
      <c r="P55" s="211"/>
      <c r="Q55" s="211"/>
      <c r="R55" s="211"/>
      <c r="S55" s="211"/>
      <c r="T55" s="211"/>
      <c r="U55" s="211"/>
      <c r="V55" s="211"/>
      <c r="W55" s="211"/>
      <c r="X55" s="348"/>
      <c r="Y55" s="137"/>
      <c r="Z55" s="137"/>
      <c r="AA55" s="137"/>
      <c r="AB55" s="137"/>
      <c r="AC55" s="137"/>
      <c r="AD55" s="137"/>
    </row>
    <row r="56" spans="1:30" hidden="1">
      <c r="A56" s="18"/>
      <c r="B56" s="18"/>
      <c r="C56" s="18"/>
      <c r="D56" s="347" t="s">
        <v>861</v>
      </c>
      <c r="E56" s="211"/>
      <c r="F56" s="211"/>
      <c r="G56" s="211"/>
      <c r="H56" s="211"/>
      <c r="I56" s="211"/>
      <c r="J56" s="211"/>
      <c r="K56" s="211" t="s">
        <v>702</v>
      </c>
      <c r="L56" s="211"/>
      <c r="M56" s="211" t="s">
        <v>848</v>
      </c>
      <c r="N56" s="211" t="s">
        <v>848</v>
      </c>
      <c r="O56" s="211" t="s">
        <v>848</v>
      </c>
      <c r="P56" s="211"/>
      <c r="Q56" s="211"/>
      <c r="R56" s="211"/>
      <c r="S56" s="211"/>
      <c r="T56" s="211"/>
      <c r="U56" s="211"/>
      <c r="V56" s="211"/>
      <c r="W56" s="211"/>
      <c r="X56" s="348"/>
      <c r="Y56" s="137"/>
      <c r="Z56" s="137"/>
      <c r="AA56" s="137"/>
      <c r="AB56" s="137"/>
      <c r="AC56" s="137"/>
      <c r="AD56" s="137"/>
    </row>
    <row r="57" spans="1:30" hidden="1">
      <c r="A57" s="18"/>
      <c r="B57" s="18"/>
      <c r="C57" s="18"/>
      <c r="D57" s="347" t="s">
        <v>918</v>
      </c>
      <c r="E57" s="211"/>
      <c r="F57" s="211"/>
      <c r="G57" s="211"/>
      <c r="H57" s="211"/>
      <c r="I57" s="211"/>
      <c r="J57" s="211"/>
      <c r="K57" s="211" t="s">
        <v>703</v>
      </c>
      <c r="L57" s="211"/>
      <c r="M57" s="211"/>
      <c r="N57" s="211"/>
      <c r="O57" s="211"/>
      <c r="P57" s="211"/>
      <c r="Q57" s="211"/>
      <c r="R57" s="211"/>
      <c r="S57" s="211"/>
      <c r="T57" s="211"/>
      <c r="U57" s="211"/>
      <c r="V57" s="211"/>
      <c r="W57" s="211"/>
      <c r="X57" s="348"/>
      <c r="Y57" s="137"/>
      <c r="Z57" s="137"/>
      <c r="AA57" s="137"/>
      <c r="AB57" s="137"/>
      <c r="AC57" s="137"/>
      <c r="AD57" s="137"/>
    </row>
    <row r="58" spans="1:30" hidden="1">
      <c r="A58" s="18"/>
      <c r="B58" s="18"/>
      <c r="C58" s="18"/>
      <c r="D58" s="347" t="s">
        <v>917</v>
      </c>
      <c r="E58" s="211"/>
      <c r="F58" s="211"/>
      <c r="G58" s="211"/>
      <c r="H58" s="211"/>
      <c r="I58" s="211"/>
      <c r="J58" s="211"/>
      <c r="K58" s="211"/>
      <c r="L58" s="211" t="s">
        <v>702</v>
      </c>
      <c r="M58" s="211" t="s">
        <v>706</v>
      </c>
      <c r="N58" s="211"/>
      <c r="O58" s="211"/>
      <c r="P58" s="211"/>
      <c r="Q58" s="211"/>
      <c r="R58" s="211"/>
      <c r="S58" s="211"/>
      <c r="T58" s="211"/>
      <c r="U58" s="211"/>
      <c r="V58" s="211"/>
      <c r="W58" s="211"/>
      <c r="X58" s="348"/>
      <c r="Y58" s="137"/>
      <c r="Z58" s="137"/>
      <c r="AA58" s="137"/>
      <c r="AB58" s="137"/>
      <c r="AC58" s="137"/>
      <c r="AD58" s="137"/>
    </row>
    <row r="59" spans="1:30" hidden="1">
      <c r="A59" s="18"/>
      <c r="B59" s="18"/>
      <c r="C59" s="18"/>
      <c r="D59" s="347" t="s">
        <v>919</v>
      </c>
      <c r="E59" s="211"/>
      <c r="F59" s="211"/>
      <c r="G59" s="211"/>
      <c r="H59" s="976"/>
      <c r="I59" s="976"/>
      <c r="J59" s="976"/>
      <c r="K59" s="976" t="s">
        <v>873</v>
      </c>
      <c r="L59" s="976"/>
      <c r="M59" s="976"/>
      <c r="N59" s="976"/>
      <c r="O59" s="976"/>
      <c r="P59" s="976"/>
      <c r="Q59" s="976"/>
      <c r="R59" s="976"/>
      <c r="S59" s="976"/>
      <c r="T59" s="976"/>
      <c r="U59" s="976"/>
      <c r="V59" s="976"/>
      <c r="W59" s="976"/>
      <c r="X59" s="1074"/>
      <c r="Y59" s="844"/>
      <c r="Z59" s="844"/>
      <c r="AA59" s="137"/>
      <c r="AB59" s="137"/>
      <c r="AC59" s="137"/>
      <c r="AD59" s="137"/>
    </row>
    <row r="60" spans="1:30" s="1011" customFormat="1" ht="11" hidden="1">
      <c r="A60" s="1067"/>
      <c r="B60" s="1067"/>
      <c r="C60" s="1067"/>
      <c r="D60" s="1072"/>
      <c r="E60" s="1071"/>
      <c r="F60" s="1071"/>
      <c r="G60" s="1071"/>
      <c r="H60" s="1071"/>
      <c r="I60" s="1071"/>
      <c r="J60" s="1071"/>
      <c r="K60" s="1071"/>
      <c r="L60" s="1071"/>
      <c r="M60" s="1071"/>
      <c r="N60" s="1071"/>
      <c r="O60" s="1071"/>
      <c r="P60" s="1071"/>
      <c r="Q60" s="1071"/>
      <c r="R60" s="1071"/>
      <c r="S60" s="1071"/>
      <c r="T60" s="1071"/>
      <c r="U60" s="1071"/>
      <c r="V60" s="1071"/>
      <c r="W60" s="1071"/>
      <c r="X60" s="1071"/>
    </row>
    <row r="61" spans="1:30" s="1066" customFormat="1" ht="11" hidden="1">
      <c r="A61" s="1079"/>
      <c r="B61" s="1079"/>
      <c r="C61" s="1079"/>
      <c r="D61" s="1073" t="s">
        <v>857</v>
      </c>
      <c r="E61" s="1082"/>
      <c r="F61" s="1082"/>
      <c r="G61" s="1082"/>
      <c r="H61" s="1082"/>
      <c r="I61" s="1082"/>
      <c r="J61" s="1082"/>
      <c r="K61" s="1082"/>
      <c r="L61" s="1082" t="s">
        <v>873</v>
      </c>
      <c r="M61" s="1082"/>
      <c r="N61" s="1082"/>
      <c r="O61" s="1082"/>
      <c r="P61" s="1082"/>
      <c r="Q61" s="1082"/>
      <c r="R61" s="1082"/>
      <c r="S61" s="1082"/>
      <c r="T61" s="1082"/>
      <c r="U61" s="1082"/>
      <c r="V61" s="1082"/>
      <c r="W61" s="1082"/>
      <c r="X61" s="1082"/>
    </row>
    <row r="62" spans="1:30" hidden="1">
      <c r="A62" s="18"/>
      <c r="B62" s="18"/>
      <c r="C62" s="18"/>
      <c r="D62" s="347" t="s">
        <v>844</v>
      </c>
      <c r="E62" s="211"/>
      <c r="F62" s="211"/>
      <c r="G62" s="211"/>
      <c r="H62" s="976"/>
      <c r="I62" s="976"/>
      <c r="J62" s="976"/>
      <c r="K62" s="976"/>
      <c r="L62" s="976"/>
      <c r="M62" s="976"/>
      <c r="N62" s="976"/>
      <c r="O62" s="976" t="s">
        <v>843</v>
      </c>
      <c r="P62" s="976"/>
      <c r="Q62" s="976"/>
      <c r="R62" s="976"/>
      <c r="S62" s="976"/>
      <c r="T62" s="976"/>
      <c r="U62" s="976"/>
      <c r="V62" s="976"/>
      <c r="W62" s="976"/>
      <c r="X62" s="1074"/>
      <c r="Y62" s="844"/>
      <c r="Z62" s="844"/>
      <c r="AA62" s="137"/>
      <c r="AB62" s="137"/>
      <c r="AC62" s="137"/>
      <c r="AD62" s="137"/>
    </row>
    <row r="63" spans="1:30" s="1011" customFormat="1" ht="11" hidden="1">
      <c r="A63" s="1067"/>
      <c r="B63" s="1067"/>
      <c r="C63" s="1067"/>
      <c r="D63" s="1072" t="s">
        <v>845</v>
      </c>
      <c r="E63" s="1071"/>
      <c r="F63" s="1071"/>
      <c r="G63" s="1071"/>
      <c r="H63" s="1071"/>
      <c r="I63" s="1071"/>
      <c r="J63" s="1071"/>
      <c r="K63" s="1071"/>
      <c r="L63" s="1071"/>
      <c r="M63" s="1071"/>
      <c r="N63" s="1071"/>
      <c r="O63" s="1071" t="s">
        <v>843</v>
      </c>
      <c r="P63" s="1071"/>
      <c r="Q63" s="1071"/>
      <c r="R63" s="1071"/>
      <c r="S63" s="1071"/>
      <c r="T63" s="1071"/>
      <c r="U63" s="1071"/>
      <c r="V63" s="1071"/>
      <c r="W63" s="1071"/>
      <c r="X63" s="1071"/>
    </row>
    <row r="64" spans="1:30" hidden="1">
      <c r="A64" s="18"/>
      <c r="B64" s="18"/>
      <c r="C64" s="18"/>
      <c r="D64" s="347" t="s">
        <v>870</v>
      </c>
      <c r="E64" s="169"/>
      <c r="F64" s="169"/>
      <c r="G64" s="169"/>
      <c r="H64" s="807"/>
      <c r="I64" s="807"/>
      <c r="J64" s="807"/>
      <c r="K64" s="807">
        <v>29122</v>
      </c>
      <c r="L64" s="807">
        <v>41968</v>
      </c>
      <c r="M64" s="807">
        <v>20958</v>
      </c>
      <c r="N64" s="807">
        <v>32279</v>
      </c>
      <c r="O64" s="807">
        <v>41387</v>
      </c>
      <c r="P64" s="807"/>
      <c r="Q64" s="807"/>
      <c r="R64" s="807"/>
      <c r="S64" s="807"/>
      <c r="T64" s="807"/>
      <c r="U64" s="807"/>
      <c r="V64" s="807"/>
      <c r="W64" s="807"/>
      <c r="X64" s="844"/>
      <c r="Y64" s="844"/>
      <c r="Z64" s="844"/>
      <c r="AA64" s="137"/>
      <c r="AB64" s="137"/>
      <c r="AC64" s="137"/>
      <c r="AD64" s="137"/>
    </row>
    <row r="65" spans="1:30" s="241" customFormat="1" ht="11" hidden="1">
      <c r="A65" s="185"/>
      <c r="B65" s="185"/>
      <c r="C65" s="185"/>
      <c r="D65" s="286" t="s">
        <v>469</v>
      </c>
      <c r="E65" s="1083"/>
      <c r="F65" s="1083"/>
      <c r="G65" s="1083"/>
      <c r="H65" s="1083"/>
      <c r="I65" s="1083"/>
      <c r="J65" s="1083"/>
      <c r="K65" s="1083"/>
      <c r="L65" s="1083">
        <f>(L64/K64)-1</f>
        <v>0.44110981388640891</v>
      </c>
      <c r="M65" s="1083">
        <f>(M64/L64)-1</f>
        <v>-0.50061951963400686</v>
      </c>
      <c r="N65" s="1083">
        <f>(N64/M64)-1</f>
        <v>0.54017558927378562</v>
      </c>
      <c r="O65" s="1083">
        <f>(O64/N64)-1</f>
        <v>0.28216487499612741</v>
      </c>
      <c r="P65" s="1083"/>
      <c r="Q65" s="1083"/>
      <c r="R65" s="1083"/>
      <c r="S65" s="1083"/>
      <c r="T65" s="1083"/>
      <c r="U65" s="1083"/>
      <c r="V65" s="1083"/>
      <c r="W65" s="1083"/>
      <c r="X65" s="1083"/>
    </row>
    <row r="66" spans="1:30" hidden="1">
      <c r="A66" s="18"/>
      <c r="B66" s="18"/>
      <c r="C66" s="18"/>
      <c r="D66" s="353" t="s">
        <v>791</v>
      </c>
      <c r="E66" s="169"/>
      <c r="F66" s="169"/>
      <c r="G66" s="169"/>
      <c r="H66" s="169"/>
      <c r="I66" s="169"/>
      <c r="J66" s="169"/>
      <c r="K66" s="169"/>
      <c r="L66" s="169"/>
      <c r="M66" s="169"/>
      <c r="N66" s="169"/>
      <c r="O66" s="169"/>
      <c r="P66" s="169"/>
      <c r="Q66" s="169"/>
      <c r="R66" s="169"/>
      <c r="S66" s="169"/>
      <c r="T66" s="169"/>
      <c r="U66" s="169"/>
      <c r="V66" s="169"/>
      <c r="W66" s="169"/>
      <c r="X66" s="137"/>
      <c r="Y66" s="137"/>
      <c r="Z66" s="137"/>
      <c r="AA66" s="137"/>
      <c r="AB66" s="137"/>
      <c r="AC66" s="137"/>
      <c r="AD66" s="137"/>
    </row>
    <row r="67" spans="1:30" s="190" customFormat="1" hidden="1">
      <c r="A67" s="110"/>
      <c r="B67" s="110"/>
      <c r="C67" s="110"/>
      <c r="D67" s="347" t="s">
        <v>866</v>
      </c>
      <c r="E67" s="169"/>
      <c r="F67" s="169"/>
      <c r="G67" s="169"/>
      <c r="H67" s="169"/>
      <c r="I67" s="169"/>
      <c r="J67" s="169"/>
      <c r="K67" s="169"/>
      <c r="L67" s="169"/>
      <c r="M67" s="169"/>
      <c r="N67" s="169"/>
      <c r="O67" s="169">
        <v>4</v>
      </c>
      <c r="P67" s="169"/>
      <c r="Q67" s="169"/>
      <c r="R67" s="169"/>
      <c r="S67" s="169"/>
      <c r="T67" s="169"/>
      <c r="U67" s="169"/>
      <c r="V67" s="169"/>
      <c r="W67" s="169"/>
    </row>
    <row r="68" spans="1:30" s="190" customFormat="1" hidden="1">
      <c r="A68" s="110"/>
      <c r="B68" s="110"/>
      <c r="C68" s="110"/>
      <c r="D68" s="347" t="s">
        <v>867</v>
      </c>
      <c r="E68" s="169"/>
      <c r="F68" s="169"/>
      <c r="G68" s="169"/>
      <c r="H68" s="169"/>
      <c r="I68" s="169"/>
      <c r="J68" s="169"/>
      <c r="K68" s="169"/>
      <c r="L68" s="169">
        <f>352718+120000</f>
        <v>472718</v>
      </c>
      <c r="M68" s="169">
        <v>450000</v>
      </c>
      <c r="N68" s="169">
        <v>450000</v>
      </c>
      <c r="O68" s="169">
        <v>450000</v>
      </c>
      <c r="P68" s="169"/>
      <c r="Q68" s="169"/>
      <c r="R68" s="169"/>
      <c r="S68" s="169"/>
      <c r="T68" s="169"/>
      <c r="U68" s="169"/>
      <c r="V68" s="169"/>
      <c r="W68" s="169"/>
    </row>
    <row r="69" spans="1:30" s="190" customFormat="1" hidden="1">
      <c r="A69" s="110"/>
      <c r="B69" s="110"/>
      <c r="C69" s="110"/>
      <c r="D69" s="347" t="s">
        <v>868</v>
      </c>
      <c r="E69" s="169"/>
      <c r="F69" s="169"/>
      <c r="G69" s="169" t="s">
        <v>1616</v>
      </c>
      <c r="H69" s="169"/>
      <c r="I69" s="169"/>
      <c r="J69" s="169"/>
      <c r="K69" s="169"/>
      <c r="L69" s="1348">
        <v>0.16800000000000001</v>
      </c>
      <c r="M69" s="1348">
        <f>M70/M68</f>
        <v>0.17281555555555556</v>
      </c>
      <c r="N69" s="216">
        <f>N70/N68</f>
        <v>0.35555777777777775</v>
      </c>
      <c r="O69" s="217">
        <f>O70/O68</f>
        <v>0.46926666666666667</v>
      </c>
      <c r="P69" s="169"/>
      <c r="Q69" s="169"/>
      <c r="R69" s="169"/>
      <c r="S69" s="169"/>
      <c r="T69" s="169"/>
      <c r="U69" s="169"/>
      <c r="V69" s="169"/>
      <c r="W69" s="169"/>
    </row>
    <row r="70" spans="1:30" s="190" customFormat="1" hidden="1">
      <c r="A70" s="110"/>
      <c r="B70" s="110"/>
      <c r="C70" s="110"/>
      <c r="D70" s="347" t="s">
        <v>869</v>
      </c>
      <c r="E70" s="169"/>
      <c r="F70" s="169"/>
      <c r="G70" s="169"/>
      <c r="H70" s="169"/>
      <c r="I70" s="169"/>
      <c r="J70" s="169"/>
      <c r="K70" s="169"/>
      <c r="L70" s="169">
        <f>L68*L69</f>
        <v>79416.624000000011</v>
      </c>
      <c r="M70" s="169">
        <v>77767</v>
      </c>
      <c r="N70" s="169">
        <v>160001</v>
      </c>
      <c r="O70" s="169">
        <v>211170</v>
      </c>
      <c r="P70" s="169"/>
      <c r="Q70" s="169"/>
      <c r="R70" s="169"/>
      <c r="S70" s="169"/>
      <c r="T70" s="169"/>
      <c r="U70" s="169"/>
      <c r="V70" s="169"/>
      <c r="W70" s="169"/>
    </row>
    <row r="71" spans="1:30" s="190" customFormat="1" hidden="1">
      <c r="A71" s="110"/>
      <c r="B71" s="110"/>
      <c r="C71" s="110"/>
      <c r="D71" s="347" t="s">
        <v>871</v>
      </c>
      <c r="E71" s="169"/>
      <c r="F71" s="169"/>
      <c r="G71" s="169"/>
      <c r="H71" s="807"/>
      <c r="I71" s="807"/>
      <c r="J71" s="807"/>
      <c r="K71" s="807">
        <v>21449</v>
      </c>
      <c r="L71" s="807">
        <v>47927</v>
      </c>
      <c r="M71" s="807">
        <v>22217</v>
      </c>
      <c r="N71" s="807">
        <v>59627</v>
      </c>
      <c r="O71" s="807">
        <v>111771</v>
      </c>
      <c r="P71" s="807"/>
      <c r="Q71" s="169"/>
      <c r="R71" s="169"/>
      <c r="S71" s="169"/>
      <c r="T71" s="169"/>
      <c r="U71" s="169"/>
      <c r="V71" s="169"/>
      <c r="W71" s="169"/>
    </row>
    <row r="72" spans="1:30" s="232" customFormat="1" ht="11" hidden="1">
      <c r="A72" s="111"/>
      <c r="B72" s="111"/>
      <c r="C72" s="111"/>
      <c r="D72" s="349" t="s">
        <v>469</v>
      </c>
      <c r="E72" s="212"/>
      <c r="F72" s="212"/>
      <c r="G72" s="212"/>
      <c r="H72" s="1056"/>
      <c r="I72" s="1056"/>
      <c r="J72" s="1056"/>
      <c r="K72" s="1056"/>
      <c r="L72" s="1056"/>
      <c r="M72" s="1056"/>
      <c r="N72" s="1056">
        <f>(N71/M71)-1</f>
        <v>1.6838457037403791</v>
      </c>
      <c r="O72" s="1056">
        <f>(O71/N71)-1</f>
        <v>0.87450316131953643</v>
      </c>
      <c r="P72" s="1056"/>
      <c r="Q72" s="212"/>
      <c r="R72" s="212"/>
      <c r="S72" s="212"/>
      <c r="T72" s="212"/>
      <c r="U72" s="212"/>
      <c r="V72" s="212"/>
      <c r="W72" s="212"/>
      <c r="X72" s="212"/>
    </row>
    <row r="73" spans="1:30" hidden="1">
      <c r="A73" s="18"/>
      <c r="B73" s="18"/>
      <c r="C73" s="18"/>
      <c r="D73" s="353" t="s">
        <v>790</v>
      </c>
      <c r="E73" s="169"/>
      <c r="F73" s="169"/>
      <c r="G73" s="169"/>
      <c r="H73" s="807"/>
      <c r="I73" s="807"/>
      <c r="J73" s="807"/>
      <c r="K73" s="807"/>
      <c r="L73" s="807"/>
      <c r="M73" s="807"/>
      <c r="N73" s="807"/>
      <c r="O73" s="807"/>
      <c r="P73" s="807"/>
      <c r="Q73" s="169"/>
      <c r="R73" s="169"/>
      <c r="S73" s="169"/>
      <c r="T73" s="169"/>
      <c r="U73" s="169"/>
      <c r="V73" s="169"/>
      <c r="W73" s="169"/>
      <c r="X73" s="137"/>
      <c r="Y73" s="137"/>
      <c r="Z73" s="137"/>
      <c r="AA73" s="137"/>
      <c r="AB73" s="137"/>
      <c r="AC73" s="137"/>
      <c r="AD73" s="137"/>
    </row>
    <row r="74" spans="1:30" s="169" customFormat="1" ht="14" hidden="1">
      <c r="A74" s="163"/>
      <c r="B74" s="163"/>
      <c r="C74" s="163"/>
      <c r="D74" s="347" t="s">
        <v>862</v>
      </c>
      <c r="H74" s="807"/>
      <c r="I74" s="807"/>
      <c r="J74" s="807"/>
      <c r="K74" s="807"/>
      <c r="L74" s="807" t="s">
        <v>703</v>
      </c>
      <c r="M74" s="807" t="s">
        <v>863</v>
      </c>
      <c r="N74" s="807" t="s">
        <v>863</v>
      </c>
      <c r="O74" s="807" t="s">
        <v>863</v>
      </c>
      <c r="P74" s="807"/>
    </row>
    <row r="75" spans="1:30" s="169" customFormat="1" ht="14" hidden="1">
      <c r="A75" s="163"/>
      <c r="B75" s="163"/>
      <c r="C75" s="163"/>
      <c r="D75" s="347" t="s">
        <v>858</v>
      </c>
      <c r="H75" s="807"/>
      <c r="I75" s="807"/>
      <c r="J75" s="807"/>
      <c r="K75" s="807"/>
      <c r="L75" s="807"/>
      <c r="M75" s="807"/>
      <c r="N75" s="807"/>
      <c r="O75" s="807"/>
      <c r="P75" s="807"/>
    </row>
    <row r="76" spans="1:30" s="169" customFormat="1" ht="14" hidden="1">
      <c r="A76" s="163"/>
      <c r="B76" s="163"/>
      <c r="C76" s="163"/>
      <c r="D76" s="347" t="s">
        <v>859</v>
      </c>
      <c r="H76" s="807"/>
      <c r="I76" s="807"/>
      <c r="J76" s="807"/>
      <c r="K76" s="807"/>
      <c r="L76" s="807"/>
      <c r="M76" s="807"/>
      <c r="N76" s="807"/>
      <c r="O76" s="807"/>
      <c r="P76" s="807"/>
    </row>
    <row r="77" spans="1:30" s="169" customFormat="1" ht="14" hidden="1">
      <c r="A77" s="163"/>
      <c r="B77" s="163"/>
      <c r="C77" s="163"/>
      <c r="D77" s="347" t="s">
        <v>860</v>
      </c>
      <c r="H77" s="807"/>
      <c r="I77" s="807"/>
      <c r="J77" s="807"/>
      <c r="K77" s="807"/>
      <c r="L77" s="807"/>
      <c r="M77" s="807"/>
      <c r="N77" s="807"/>
      <c r="O77" s="807"/>
      <c r="P77" s="807"/>
    </row>
    <row r="78" spans="1:30" s="169" customFormat="1" ht="14" hidden="1">
      <c r="A78" s="163"/>
      <c r="B78" s="163"/>
      <c r="C78" s="163"/>
      <c r="D78" s="347" t="s">
        <v>861</v>
      </c>
      <c r="H78" s="807"/>
      <c r="I78" s="807"/>
      <c r="J78" s="807"/>
      <c r="K78" s="807"/>
      <c r="L78" s="807" t="s">
        <v>703</v>
      </c>
      <c r="M78" s="807"/>
      <c r="N78" s="807"/>
      <c r="O78" s="807"/>
      <c r="P78" s="807"/>
    </row>
    <row r="79" spans="1:30" s="169" customFormat="1" ht="14" hidden="1">
      <c r="A79" s="163"/>
      <c r="B79" s="163"/>
      <c r="C79" s="163"/>
      <c r="D79" s="347" t="s">
        <v>864</v>
      </c>
      <c r="H79" s="807"/>
      <c r="I79" s="807"/>
      <c r="J79" s="807"/>
      <c r="K79" s="807"/>
      <c r="L79" s="807" t="s">
        <v>865</v>
      </c>
      <c r="M79" s="807" t="s">
        <v>906</v>
      </c>
      <c r="N79" s="807" t="s">
        <v>900</v>
      </c>
      <c r="O79" s="807" t="s">
        <v>865</v>
      </c>
      <c r="P79" s="807"/>
    </row>
    <row r="80" spans="1:30" s="169" customFormat="1" ht="14" hidden="1">
      <c r="A80" s="163"/>
      <c r="B80" s="163"/>
      <c r="C80" s="163"/>
      <c r="D80" s="347" t="s">
        <v>915</v>
      </c>
      <c r="H80" s="807"/>
      <c r="I80" s="807"/>
      <c r="J80" s="807"/>
      <c r="K80" s="807"/>
      <c r="L80" s="807" t="s">
        <v>873</v>
      </c>
      <c r="M80" s="807"/>
      <c r="N80" s="807"/>
      <c r="O80" s="807"/>
      <c r="P80" s="807"/>
    </row>
    <row r="81" spans="1:30" ht="16" hidden="1" thickBot="1">
      <c r="A81" s="18"/>
      <c r="B81" s="18"/>
      <c r="C81" s="18"/>
      <c r="D81" s="347"/>
      <c r="E81" s="137"/>
      <c r="F81" s="137"/>
      <c r="G81" s="137"/>
      <c r="H81" s="844"/>
      <c r="I81" s="844"/>
      <c r="J81" s="844"/>
      <c r="K81" s="844"/>
      <c r="L81" s="844"/>
      <c r="M81" s="844"/>
      <c r="N81" s="844"/>
      <c r="O81" s="844"/>
      <c r="P81" s="844"/>
      <c r="Q81" s="137"/>
      <c r="R81" s="137"/>
      <c r="S81" s="137"/>
      <c r="T81" s="137"/>
      <c r="U81" s="137"/>
      <c r="V81" s="137"/>
      <c r="W81" s="137"/>
      <c r="X81" s="137"/>
      <c r="Y81" s="137"/>
      <c r="Z81" s="137"/>
      <c r="AA81" s="137"/>
      <c r="AB81" s="137"/>
      <c r="AC81" s="137"/>
      <c r="AD81" s="137"/>
    </row>
    <row r="82" spans="1:30" s="237" customFormat="1" ht="16" hidden="1" thickBot="1">
      <c r="A82" s="259"/>
      <c r="B82" s="259"/>
      <c r="C82" s="259"/>
      <c r="D82" s="354" t="s">
        <v>695</v>
      </c>
      <c r="E82" s="218">
        <f>SUM(E83:E85)</f>
        <v>0</v>
      </c>
      <c r="F82" s="237">
        <f t="shared" ref="F82:AD82" si="67">SUM(F83:F85)</f>
        <v>0</v>
      </c>
      <c r="G82" s="237">
        <f t="shared" si="67"/>
        <v>0</v>
      </c>
      <c r="H82" s="1128">
        <f t="shared" si="67"/>
        <v>0</v>
      </c>
      <c r="I82" s="1128">
        <f t="shared" si="67"/>
        <v>0</v>
      </c>
      <c r="J82" s="1128">
        <f t="shared" si="67"/>
        <v>0</v>
      </c>
      <c r="K82" s="1128">
        <f t="shared" si="67"/>
        <v>0</v>
      </c>
      <c r="L82" s="1128">
        <f t="shared" si="67"/>
        <v>0</v>
      </c>
      <c r="M82" s="1128">
        <f t="shared" si="67"/>
        <v>0</v>
      </c>
      <c r="N82" s="1128">
        <f t="shared" si="67"/>
        <v>0</v>
      </c>
      <c r="O82" s="1128">
        <f t="shared" si="67"/>
        <v>0</v>
      </c>
      <c r="P82" s="1128">
        <f t="shared" si="67"/>
        <v>0.12</v>
      </c>
      <c r="Q82" s="237">
        <f t="shared" si="67"/>
        <v>0</v>
      </c>
      <c r="R82" s="237">
        <f t="shared" si="67"/>
        <v>0</v>
      </c>
      <c r="S82" s="237">
        <f t="shared" si="67"/>
        <v>0</v>
      </c>
      <c r="T82" s="237">
        <f t="shared" si="67"/>
        <v>0</v>
      </c>
      <c r="U82" s="237">
        <f t="shared" si="67"/>
        <v>0</v>
      </c>
      <c r="V82" s="237">
        <f t="shared" si="67"/>
        <v>0</v>
      </c>
      <c r="W82" s="237">
        <f t="shared" si="67"/>
        <v>0</v>
      </c>
      <c r="X82" s="237">
        <f t="shared" si="67"/>
        <v>0</v>
      </c>
      <c r="Y82" s="237">
        <f t="shared" si="67"/>
        <v>0</v>
      </c>
      <c r="Z82" s="237">
        <f t="shared" si="67"/>
        <v>0</v>
      </c>
      <c r="AA82" s="237">
        <f t="shared" si="67"/>
        <v>0</v>
      </c>
      <c r="AB82" s="237">
        <f t="shared" si="67"/>
        <v>0</v>
      </c>
      <c r="AC82" s="237">
        <f t="shared" si="67"/>
        <v>0</v>
      </c>
      <c r="AD82" s="237">
        <f t="shared" si="67"/>
        <v>0</v>
      </c>
    </row>
    <row r="83" spans="1:30" s="219" customFormat="1" hidden="1">
      <c r="A83" s="204"/>
      <c r="B83" s="204"/>
      <c r="C83" s="204"/>
      <c r="D83" s="355" t="s">
        <v>693</v>
      </c>
      <c r="H83" s="1099"/>
      <c r="I83" s="1099"/>
      <c r="J83" s="1099"/>
      <c r="K83" s="1099"/>
      <c r="L83" s="1099"/>
      <c r="M83" s="1099"/>
      <c r="N83" s="1099"/>
      <c r="O83" s="1099"/>
      <c r="P83" s="1099">
        <v>0.08</v>
      </c>
    </row>
    <row r="84" spans="1:30" s="219" customFormat="1" hidden="1">
      <c r="A84" s="204"/>
      <c r="B84" s="204"/>
      <c r="C84" s="204"/>
      <c r="D84" s="355" t="s">
        <v>694</v>
      </c>
      <c r="H84" s="1099"/>
      <c r="I84" s="1099"/>
      <c r="J84" s="1099"/>
      <c r="K84" s="1099"/>
      <c r="L84" s="1099"/>
      <c r="M84" s="1099"/>
      <c r="N84" s="1099"/>
      <c r="O84" s="1099"/>
      <c r="P84" s="1099">
        <v>0.04</v>
      </c>
    </row>
    <row r="85" spans="1:30" s="219" customFormat="1" hidden="1">
      <c r="A85" s="204"/>
      <c r="B85" s="204"/>
      <c r="C85" s="204"/>
      <c r="D85" s="355" t="s">
        <v>697</v>
      </c>
      <c r="H85" s="1099"/>
      <c r="I85" s="1099"/>
      <c r="J85" s="1099"/>
      <c r="K85" s="1099"/>
      <c r="L85" s="1099"/>
      <c r="M85" s="1099"/>
      <c r="N85" s="1099"/>
      <c r="O85" s="1099"/>
      <c r="P85" s="1099">
        <v>0</v>
      </c>
    </row>
    <row r="86" spans="1:30" s="113" customFormat="1" hidden="1" thickBot="1">
      <c r="A86" s="112"/>
      <c r="B86" s="112"/>
      <c r="C86" s="112"/>
      <c r="D86" s="356" t="s">
        <v>696</v>
      </c>
      <c r="E86" s="220">
        <f t="shared" ref="E86:AD86" si="68">E24-E82</f>
        <v>0</v>
      </c>
      <c r="F86" s="201">
        <f t="shared" si="68"/>
        <v>0</v>
      </c>
      <c r="G86" s="201">
        <f t="shared" si="68"/>
        <v>0</v>
      </c>
      <c r="H86" s="1061">
        <f t="shared" si="68"/>
        <v>0</v>
      </c>
      <c r="I86" s="1061">
        <f t="shared" si="68"/>
        <v>0</v>
      </c>
      <c r="J86" s="1061">
        <f t="shared" si="68"/>
        <v>0</v>
      </c>
      <c r="K86" s="1061">
        <f t="shared" si="68"/>
        <v>0</v>
      </c>
      <c r="L86" s="1061">
        <f t="shared" si="68"/>
        <v>0</v>
      </c>
      <c r="M86" s="1061">
        <f t="shared" si="68"/>
        <v>1.8992223449220136E-2</v>
      </c>
      <c r="N86" s="1061">
        <f t="shared" si="68"/>
        <v>0.17281316996024598</v>
      </c>
      <c r="O86" s="1061">
        <f t="shared" si="68"/>
        <v>0.10449198373808843</v>
      </c>
      <c r="P86" s="1061">
        <f t="shared" si="68"/>
        <v>5.2972739892280019E-2</v>
      </c>
      <c r="Q86" s="201">
        <f t="shared" si="68"/>
        <v>0.10222167784934744</v>
      </c>
      <c r="R86" s="201">
        <f t="shared" si="68"/>
        <v>8.5787846232179277E-2</v>
      </c>
      <c r="S86" s="201">
        <f t="shared" si="68"/>
        <v>7.5486844758064775E-2</v>
      </c>
      <c r="T86" s="201">
        <f t="shared" si="68"/>
        <v>6.5188083832335098E-2</v>
      </c>
      <c r="U86" s="201">
        <f t="shared" si="68"/>
        <v>5.962999999999985E-2</v>
      </c>
      <c r="V86" s="201">
        <f t="shared" si="68"/>
        <v>5.9630000000000072E-2</v>
      </c>
      <c r="W86" s="201">
        <f t="shared" si="68"/>
        <v>5.9630000000000072E-2</v>
      </c>
      <c r="X86" s="201">
        <f t="shared" si="68"/>
        <v>5.9630000000000072E-2</v>
      </c>
      <c r="Y86" s="201">
        <f t="shared" si="68"/>
        <v>5.9630000000000072E-2</v>
      </c>
      <c r="Z86" s="201">
        <f t="shared" si="68"/>
        <v>5.9630000000000072E-2</v>
      </c>
      <c r="AA86" s="201">
        <f t="shared" si="68"/>
        <v>5.962999999999985E-2</v>
      </c>
      <c r="AB86" s="201">
        <f t="shared" si="68"/>
        <v>5.9630000000000072E-2</v>
      </c>
      <c r="AC86" s="201">
        <f t="shared" si="68"/>
        <v>5.9630000000000072E-2</v>
      </c>
      <c r="AD86" s="201">
        <f t="shared" si="68"/>
        <v>5.9630000000000072E-2</v>
      </c>
    </row>
    <row r="87" spans="1:30" s="113" customFormat="1" ht="14" hidden="1">
      <c r="A87" s="112"/>
      <c r="B87" s="112"/>
      <c r="C87" s="112"/>
      <c r="D87" s="200"/>
      <c r="E87" s="201"/>
      <c r="F87" s="201"/>
      <c r="G87" s="201"/>
      <c r="H87" s="1061"/>
      <c r="I87" s="1061"/>
      <c r="J87" s="1061"/>
      <c r="K87" s="1061"/>
      <c r="L87" s="1061"/>
      <c r="M87" s="1061"/>
      <c r="N87" s="1061"/>
      <c r="O87" s="1061"/>
      <c r="P87" s="1061"/>
      <c r="Q87" s="201"/>
      <c r="R87" s="201"/>
      <c r="S87" s="201"/>
      <c r="T87" s="201"/>
      <c r="U87" s="201"/>
      <c r="V87" s="201"/>
      <c r="W87" s="201"/>
      <c r="X87" s="201"/>
      <c r="Y87" s="201"/>
      <c r="Z87" s="201"/>
      <c r="AA87" s="201"/>
      <c r="AB87" s="201"/>
      <c r="AC87" s="201"/>
      <c r="AD87" s="201"/>
    </row>
    <row r="88" spans="1:30" hidden="1">
      <c r="A88" s="18"/>
      <c r="B88" s="18"/>
      <c r="C88" s="18"/>
      <c r="D88" s="169"/>
      <c r="E88" s="137"/>
      <c r="F88" s="137"/>
      <c r="G88" s="137"/>
      <c r="H88" s="844"/>
      <c r="I88" s="844"/>
      <c r="J88" s="844"/>
      <c r="K88" s="844"/>
      <c r="L88" s="844"/>
      <c r="M88" s="844"/>
      <c r="N88" s="844"/>
      <c r="O88" s="844"/>
      <c r="P88" s="844"/>
      <c r="Q88" s="137"/>
      <c r="R88" s="137"/>
      <c r="S88" s="137"/>
      <c r="T88" s="137"/>
      <c r="U88" s="137"/>
      <c r="V88" s="137"/>
      <c r="W88" s="137"/>
      <c r="X88" s="137"/>
      <c r="Y88" s="137"/>
      <c r="Z88" s="137"/>
      <c r="AA88" s="137"/>
      <c r="AB88" s="137"/>
      <c r="AC88" s="137"/>
      <c r="AD88" s="137"/>
    </row>
    <row r="89" spans="1:30" hidden="1">
      <c r="A89" s="18"/>
      <c r="B89" s="18"/>
      <c r="C89" s="18"/>
      <c r="D89" s="171" t="s">
        <v>1019</v>
      </c>
      <c r="E89" s="3" t="s">
        <v>216</v>
      </c>
      <c r="F89" s="1386" t="s">
        <v>217</v>
      </c>
      <c r="G89" s="1386" t="s">
        <v>218</v>
      </c>
      <c r="H89" s="1097" t="s">
        <v>28</v>
      </c>
      <c r="I89" s="1097" t="s">
        <v>17</v>
      </c>
      <c r="J89" s="1097" t="s">
        <v>18</v>
      </c>
      <c r="K89" s="1097" t="s">
        <v>19</v>
      </c>
      <c r="L89" s="1097" t="s">
        <v>20</v>
      </c>
      <c r="M89" s="1097" t="s">
        <v>21</v>
      </c>
      <c r="N89" s="1097" t="s">
        <v>22</v>
      </c>
      <c r="O89" s="1097" t="s">
        <v>23</v>
      </c>
      <c r="P89" s="1097" t="s">
        <v>24</v>
      </c>
      <c r="Q89" s="1386" t="s">
        <v>25</v>
      </c>
      <c r="R89" s="1386" t="s">
        <v>26</v>
      </c>
      <c r="S89" s="1386" t="s">
        <v>27</v>
      </c>
      <c r="T89" s="1386" t="s">
        <v>712</v>
      </c>
      <c r="U89" s="1386" t="s">
        <v>713</v>
      </c>
      <c r="V89" s="1386" t="s">
        <v>714</v>
      </c>
      <c r="W89" s="1386" t="s">
        <v>715</v>
      </c>
      <c r="X89" s="1386" t="s">
        <v>716</v>
      </c>
      <c r="Y89" s="1386" t="s">
        <v>717</v>
      </c>
      <c r="Z89" s="1386" t="s">
        <v>718</v>
      </c>
      <c r="AA89" s="1386" t="s">
        <v>719</v>
      </c>
      <c r="AB89" s="1386" t="s">
        <v>720</v>
      </c>
      <c r="AC89" s="1386" t="s">
        <v>721</v>
      </c>
      <c r="AD89" s="1386" t="s">
        <v>722</v>
      </c>
    </row>
    <row r="90" spans="1:30" s="109" customFormat="1" hidden="1">
      <c r="A90" s="46"/>
      <c r="B90" s="46"/>
      <c r="C90" s="46"/>
      <c r="D90" s="46" t="s">
        <v>0</v>
      </c>
      <c r="E90" s="46"/>
      <c r="G90" s="109">
        <v>800000</v>
      </c>
      <c r="H90" s="919">
        <v>743600</v>
      </c>
      <c r="I90" s="919"/>
      <c r="J90" s="919"/>
      <c r="K90" s="919"/>
      <c r="L90" s="919">
        <v>2150000</v>
      </c>
      <c r="M90" s="919">
        <v>2342000</v>
      </c>
      <c r="N90" s="919">
        <v>2586000</v>
      </c>
      <c r="O90" s="919">
        <v>2650000</v>
      </c>
      <c r="P90" s="919">
        <f>O90*(1+P91)</f>
        <v>3188889.0719072535</v>
      </c>
      <c r="Q90" s="109">
        <f>P90*(1+Q91)</f>
        <v>3503921.1876918613</v>
      </c>
      <c r="R90" s="109">
        <f t="shared" ref="R90:S90" si="69">Q90*(1+R91)</f>
        <v>3839494.7884442611</v>
      </c>
      <c r="S90" s="109">
        <f t="shared" si="69"/>
        <v>4206925.1505980827</v>
      </c>
      <c r="T90" s="109">
        <f>S90*(1+T91)</f>
        <v>4567146.2655141139</v>
      </c>
      <c r="U90" s="109">
        <f t="shared" ref="U90:X90" si="70">T90*(1+U91)</f>
        <v>4925667.2473569708</v>
      </c>
      <c r="V90" s="109">
        <f t="shared" si="70"/>
        <v>5312332.1262744935</v>
      </c>
      <c r="W90" s="109">
        <f t="shared" si="70"/>
        <v>5729350.1981870411</v>
      </c>
      <c r="X90" s="109">
        <f t="shared" si="70"/>
        <v>6179104.1887447238</v>
      </c>
      <c r="Y90" s="109">
        <f>X90*(1+Y91)</f>
        <v>6664163.8675611848</v>
      </c>
      <c r="Z90" s="109">
        <f t="shared" ref="Z90:AD90" si="71">Y90*(1+Z91)</f>
        <v>7187300.7311647376</v>
      </c>
      <c r="AA90" s="109">
        <f t="shared" si="71"/>
        <v>7751503.8385611679</v>
      </c>
      <c r="AB90" s="109">
        <f t="shared" si="71"/>
        <v>8359996.8898882195</v>
      </c>
      <c r="AC90" s="109">
        <f t="shared" si="71"/>
        <v>9016256.6457444448</v>
      </c>
      <c r="AD90" s="109">
        <f t="shared" si="71"/>
        <v>9724032.7924353834</v>
      </c>
    </row>
    <row r="91" spans="1:30" s="232" customFormat="1" ht="11" hidden="1">
      <c r="A91" s="111"/>
      <c r="B91" s="111"/>
      <c r="C91" s="111"/>
      <c r="D91" s="111" t="s">
        <v>974</v>
      </c>
      <c r="E91" s="111"/>
      <c r="H91" s="1023">
        <f>(H90/G90)-1</f>
        <v>-7.0500000000000007E-2</v>
      </c>
      <c r="I91" s="1023">
        <f t="shared" ref="I91" si="72">(I90/H90)-1</f>
        <v>-1</v>
      </c>
      <c r="J91" s="1023" t="e">
        <f t="shared" ref="J91" si="73">(J90/I90)-1</f>
        <v>#DIV/0!</v>
      </c>
      <c r="K91" s="1023" t="e">
        <f t="shared" ref="K91" si="74">(K90/J90)-1</f>
        <v>#DIV/0!</v>
      </c>
      <c r="L91" s="1023" t="e">
        <f t="shared" ref="L91" si="75">(L90/K90)-1</f>
        <v>#DIV/0!</v>
      </c>
      <c r="M91" s="1023">
        <f t="shared" ref="M91:N91" si="76">(M90/L90)-1</f>
        <v>8.9302325581395392E-2</v>
      </c>
      <c r="N91" s="1023">
        <f t="shared" si="76"/>
        <v>0.10418445772843721</v>
      </c>
      <c r="O91" s="1023">
        <f>(O90/N90)-1</f>
        <v>2.4748646558391263E-2</v>
      </c>
      <c r="P91" s="1023">
        <f>SUM(P92:P93)</f>
        <v>0.20335436675745425</v>
      </c>
      <c r="Q91" s="232">
        <f t="shared" ref="Q91:S91" si="77">SUM(Q92:Q93)</f>
        <v>9.8790553287007116E-2</v>
      </c>
      <c r="R91" s="232">
        <f t="shared" si="77"/>
        <v>9.5770875763747515E-2</v>
      </c>
      <c r="S91" s="232">
        <f t="shared" si="77"/>
        <v>9.5697580645161345E-2</v>
      </c>
      <c r="T91" s="232">
        <f>SUM(T92:T93)</f>
        <v>8.5625748502993954E-2</v>
      </c>
      <c r="U91" s="232">
        <f t="shared" ref="U91:X91" si="78">SUM(U92:U93)</f>
        <v>7.8499999999999764E-2</v>
      </c>
      <c r="V91" s="232">
        <f t="shared" si="78"/>
        <v>7.8499999999999986E-2</v>
      </c>
      <c r="W91" s="232">
        <f t="shared" si="78"/>
        <v>7.8499999999999986E-2</v>
      </c>
      <c r="X91" s="232">
        <f t="shared" si="78"/>
        <v>7.8499999999999986E-2</v>
      </c>
      <c r="Y91" s="232">
        <f>SUM(Y92:Y93)</f>
        <v>7.8499999999999986E-2</v>
      </c>
      <c r="Z91" s="232">
        <f t="shared" ref="Z91:AD91" si="79">SUM(Z92:Z93)</f>
        <v>7.8499999999999986E-2</v>
      </c>
      <c r="AA91" s="232">
        <f t="shared" si="79"/>
        <v>7.8499999999999764E-2</v>
      </c>
      <c r="AB91" s="232">
        <f t="shared" si="79"/>
        <v>7.8499999999999986E-2</v>
      </c>
      <c r="AC91" s="232">
        <f t="shared" si="79"/>
        <v>7.8499999999999986E-2</v>
      </c>
      <c r="AD91" s="232">
        <f t="shared" si="79"/>
        <v>7.8499999999999917E-2</v>
      </c>
    </row>
    <row r="92" spans="1:30" s="238" customFormat="1" ht="14" hidden="1">
      <c r="A92" s="202"/>
      <c r="B92" s="202"/>
      <c r="C92" s="202"/>
      <c r="D92" s="202" t="s">
        <v>1021</v>
      </c>
      <c r="E92" s="202"/>
      <c r="H92" s="1019"/>
      <c r="I92" s="1019"/>
      <c r="J92" s="1019"/>
      <c r="K92" s="1019"/>
      <c r="L92" s="1019"/>
      <c r="M92" s="1019">
        <v>-1.0999999999999999E-2</v>
      </c>
      <c r="N92" s="1019">
        <v>2.3E-2</v>
      </c>
      <c r="O92" s="1019">
        <v>-0.05</v>
      </c>
      <c r="P92" s="1019">
        <f>'3h. Segmental Volume Drivers'!P88</f>
        <v>0.10335436675745424</v>
      </c>
      <c r="Q92" s="238">
        <f>'3h. Segmental Volume Drivers'!Q88</f>
        <v>2.8790553287007102E-2</v>
      </c>
      <c r="R92" s="238">
        <f>'3h. Segmental Volume Drivers'!R88</f>
        <v>2.5770875763747501E-2</v>
      </c>
      <c r="S92" s="238">
        <f>'3h. Segmental Volume Drivers'!S88</f>
        <v>2.5697580645161342E-2</v>
      </c>
      <c r="T92" s="238">
        <f>'3h. Segmental Volume Drivers'!T88</f>
        <v>2.5625748502993949E-2</v>
      </c>
      <c r="U92" s="238">
        <f>'3h. Segmental Volume Drivers'!U88</f>
        <v>1.849999999999976E-2</v>
      </c>
      <c r="V92" s="238">
        <f>'3h. Segmental Volume Drivers'!V88</f>
        <v>1.8499999999999982E-2</v>
      </c>
      <c r="W92" s="238">
        <f>'3h. Segmental Volume Drivers'!W88</f>
        <v>1.8499999999999982E-2</v>
      </c>
      <c r="X92" s="238">
        <f>'3h. Segmental Volume Drivers'!X88</f>
        <v>1.8499999999999982E-2</v>
      </c>
      <c r="Y92" s="238">
        <f>'3h. Segmental Volume Drivers'!Y88</f>
        <v>1.8499999999999982E-2</v>
      </c>
      <c r="Z92" s="238">
        <f>'3h. Segmental Volume Drivers'!Z88</f>
        <v>1.8499999999999982E-2</v>
      </c>
      <c r="AA92" s="238">
        <f>'3h. Segmental Volume Drivers'!AA88</f>
        <v>1.849999999999976E-2</v>
      </c>
      <c r="AB92" s="238">
        <f>'3h. Segmental Volume Drivers'!AB88</f>
        <v>1.8499999999999982E-2</v>
      </c>
      <c r="AC92" s="238">
        <f>'3h. Segmental Volume Drivers'!AC88</f>
        <v>1.8499999999999982E-2</v>
      </c>
      <c r="AD92" s="238">
        <f>'3h. Segmental Volume Drivers'!AD88</f>
        <v>1.8499999999999916E-2</v>
      </c>
    </row>
    <row r="93" spans="1:30" s="238" customFormat="1" ht="14" hidden="1">
      <c r="A93" s="202"/>
      <c r="B93" s="202"/>
      <c r="C93" s="202"/>
      <c r="D93" s="202" t="s">
        <v>1022</v>
      </c>
      <c r="E93" s="202"/>
      <c r="H93" s="1019"/>
      <c r="I93" s="1019"/>
      <c r="J93" s="1019"/>
      <c r="K93" s="1019"/>
      <c r="L93" s="1019"/>
      <c r="M93" s="1019">
        <v>0.11</v>
      </c>
      <c r="N93" s="1019">
        <v>8.1000000000000003E-2</v>
      </c>
      <c r="O93" s="1019">
        <f>O91-O92</f>
        <v>7.4748646558391266E-2</v>
      </c>
      <c r="P93" s="1019">
        <v>0.1</v>
      </c>
      <c r="Q93" s="238">
        <v>7.0000000000000007E-2</v>
      </c>
      <c r="R93" s="238">
        <v>7.0000000000000007E-2</v>
      </c>
      <c r="S93" s="238">
        <v>7.0000000000000007E-2</v>
      </c>
      <c r="T93" s="238">
        <v>0.06</v>
      </c>
      <c r="U93" s="238">
        <f>T93</f>
        <v>0.06</v>
      </c>
      <c r="V93" s="238">
        <f t="shared" ref="V93:X93" si="80">U93</f>
        <v>0.06</v>
      </c>
      <c r="W93" s="238">
        <f t="shared" si="80"/>
        <v>0.06</v>
      </c>
      <c r="X93" s="238">
        <f t="shared" si="80"/>
        <v>0.06</v>
      </c>
      <c r="Y93" s="238">
        <v>0.06</v>
      </c>
      <c r="Z93" s="238">
        <f>Y93</f>
        <v>0.06</v>
      </c>
      <c r="AA93" s="238">
        <f t="shared" ref="AA93:AD93" si="81">Z93</f>
        <v>0.06</v>
      </c>
      <c r="AB93" s="238">
        <f t="shared" si="81"/>
        <v>0.06</v>
      </c>
      <c r="AC93" s="238">
        <f t="shared" si="81"/>
        <v>0.06</v>
      </c>
      <c r="AD93" s="238">
        <f t="shared" si="81"/>
        <v>0.06</v>
      </c>
    </row>
    <row r="94" spans="1:30" s="239" customFormat="1" hidden="1">
      <c r="A94" s="203"/>
      <c r="B94" s="203"/>
      <c r="C94" s="203"/>
      <c r="D94" s="350" t="s">
        <v>499</v>
      </c>
      <c r="E94" s="203"/>
      <c r="H94" s="1128"/>
      <c r="I94" s="1128"/>
      <c r="J94" s="1128"/>
      <c r="K94" s="1128"/>
      <c r="L94" s="1128"/>
      <c r="M94" s="1128">
        <f>M90/M5</f>
        <v>0.78038572780465698</v>
      </c>
      <c r="N94" s="1128">
        <f>N90/N5</f>
        <v>0.74055555412370022</v>
      </c>
      <c r="O94" s="1128">
        <f>O90/O5</f>
        <v>0.69351122114240926</v>
      </c>
      <c r="P94" s="1128"/>
    </row>
    <row r="95" spans="1:30" hidden="1">
      <c r="A95" s="18"/>
      <c r="B95" s="18"/>
      <c r="C95" s="18"/>
      <c r="D95" s="163"/>
      <c r="E95" s="18"/>
      <c r="F95" s="137"/>
      <c r="G95" s="137"/>
      <c r="H95" s="844"/>
      <c r="I95" s="844"/>
      <c r="J95" s="844"/>
      <c r="K95" s="844"/>
      <c r="L95" s="844"/>
      <c r="M95" s="844"/>
      <c r="N95" s="844"/>
      <c r="O95" s="844"/>
      <c r="P95" s="844"/>
      <c r="Q95" s="137"/>
      <c r="R95" s="137"/>
      <c r="S95" s="137"/>
      <c r="T95" s="137"/>
      <c r="U95" s="137"/>
      <c r="V95" s="137"/>
      <c r="W95" s="137"/>
      <c r="X95" s="137"/>
      <c r="Y95" s="137"/>
      <c r="Z95" s="137"/>
      <c r="AA95" s="137"/>
      <c r="AB95" s="137"/>
      <c r="AC95" s="137"/>
      <c r="AD95" s="137"/>
    </row>
    <row r="96" spans="1:30" s="109" customFormat="1" hidden="1">
      <c r="A96" s="46"/>
      <c r="B96" s="46"/>
      <c r="C96" s="46"/>
      <c r="D96" s="46" t="s">
        <v>451</v>
      </c>
      <c r="E96" s="46"/>
      <c r="H96" s="919">
        <v>92000</v>
      </c>
      <c r="I96" s="919"/>
      <c r="J96" s="919"/>
      <c r="K96" s="919"/>
      <c r="L96" s="919"/>
      <c r="M96" s="919">
        <v>265000</v>
      </c>
      <c r="N96" s="919">
        <v>346000</v>
      </c>
      <c r="O96" s="919">
        <v>365000</v>
      </c>
      <c r="P96" s="919">
        <f>P98*P90</f>
        <v>398611.13398840668</v>
      </c>
      <c r="Q96" s="109">
        <f t="shared" ref="Q96:AD96" si="82">Q98*Q90</f>
        <v>455509.754399942</v>
      </c>
      <c r="R96" s="109">
        <f t="shared" si="82"/>
        <v>499134.32249775395</v>
      </c>
      <c r="S96" s="109">
        <f t="shared" si="82"/>
        <v>525865.64382476034</v>
      </c>
      <c r="T96" s="109">
        <f t="shared" si="82"/>
        <v>570893.28318926424</v>
      </c>
      <c r="U96" s="109">
        <f t="shared" si="82"/>
        <v>591080.06968283642</v>
      </c>
      <c r="V96" s="109">
        <f t="shared" si="82"/>
        <v>531233.21262744942</v>
      </c>
      <c r="W96" s="109">
        <f t="shared" si="82"/>
        <v>572935.01981870411</v>
      </c>
      <c r="X96" s="109">
        <f t="shared" si="82"/>
        <v>617910.41887447238</v>
      </c>
      <c r="Y96" s="109">
        <f t="shared" si="82"/>
        <v>666416.3867561185</v>
      </c>
      <c r="Z96" s="109">
        <f t="shared" si="82"/>
        <v>718730.07311647385</v>
      </c>
      <c r="AA96" s="109">
        <f t="shared" si="82"/>
        <v>775150.38385611679</v>
      </c>
      <c r="AB96" s="109">
        <f t="shared" si="82"/>
        <v>835999.68898882205</v>
      </c>
      <c r="AC96" s="109">
        <f t="shared" si="82"/>
        <v>901625.66457444453</v>
      </c>
      <c r="AD96" s="109">
        <f t="shared" si="82"/>
        <v>972403.27924353839</v>
      </c>
    </row>
    <row r="97" spans="1:30" s="232" customFormat="1" ht="11" hidden="1">
      <c r="A97" s="111"/>
      <c r="B97" s="111"/>
      <c r="C97" s="111"/>
      <c r="D97" s="111" t="s">
        <v>974</v>
      </c>
      <c r="E97" s="111"/>
      <c r="H97" s="1023"/>
      <c r="I97" s="1023"/>
      <c r="J97" s="1023"/>
      <c r="K97" s="1023"/>
      <c r="L97" s="1023"/>
      <c r="M97" s="1023" t="e">
        <f t="shared" ref="M97:N97" si="83">(M96/L96)-1</f>
        <v>#DIV/0!</v>
      </c>
      <c r="N97" s="1023">
        <f t="shared" si="83"/>
        <v>0.3056603773584905</v>
      </c>
      <c r="O97" s="1023">
        <f>(O96/N96)-1</f>
        <v>5.4913294797687806E-2</v>
      </c>
      <c r="P97" s="1023">
        <f t="shared" ref="P97:AD97" si="84">(P96/O96)-1</f>
        <v>9.2085298598374443E-2</v>
      </c>
      <c r="Q97" s="232">
        <f t="shared" si="84"/>
        <v>0.14274217541848744</v>
      </c>
      <c r="R97" s="232">
        <f t="shared" si="84"/>
        <v>9.5770875763747432E-2</v>
      </c>
      <c r="S97" s="232">
        <f t="shared" si="84"/>
        <v>5.3555366004962801E-2</v>
      </c>
      <c r="T97" s="232">
        <f t="shared" si="84"/>
        <v>8.562574850299387E-2</v>
      </c>
      <c r="U97" s="232">
        <f t="shared" si="84"/>
        <v>3.5359999999999614E-2</v>
      </c>
      <c r="V97" s="232">
        <f t="shared" si="84"/>
        <v>-0.10124999999999962</v>
      </c>
      <c r="W97" s="232">
        <f t="shared" si="84"/>
        <v>7.8499999999999792E-2</v>
      </c>
      <c r="X97" s="232">
        <f t="shared" si="84"/>
        <v>7.8500000000000014E-2</v>
      </c>
      <c r="Y97" s="232">
        <f t="shared" si="84"/>
        <v>7.8500000000000014E-2</v>
      </c>
      <c r="Z97" s="232">
        <f t="shared" si="84"/>
        <v>7.8500000000000014E-2</v>
      </c>
      <c r="AA97" s="232">
        <f t="shared" si="84"/>
        <v>7.849999999999957E-2</v>
      </c>
      <c r="AB97" s="232">
        <f t="shared" si="84"/>
        <v>7.8500000000000014E-2</v>
      </c>
      <c r="AC97" s="232">
        <f t="shared" si="84"/>
        <v>7.8500000000000014E-2</v>
      </c>
      <c r="AD97" s="232">
        <f t="shared" si="84"/>
        <v>7.8500000000000014E-2</v>
      </c>
    </row>
    <row r="98" spans="1:30" s="232" customFormat="1" ht="11" hidden="1">
      <c r="A98" s="111"/>
      <c r="B98" s="111"/>
      <c r="C98" s="111"/>
      <c r="D98" s="111" t="s">
        <v>978</v>
      </c>
      <c r="E98" s="111"/>
      <c r="H98" s="1023"/>
      <c r="I98" s="1023"/>
      <c r="J98" s="1023"/>
      <c r="K98" s="1023"/>
      <c r="L98" s="1023"/>
      <c r="M98" s="1023">
        <f t="shared" ref="M98:N98" si="85">M96/M90</f>
        <v>0.11315115286080274</v>
      </c>
      <c r="N98" s="1023">
        <f t="shared" si="85"/>
        <v>0.13379737045630316</v>
      </c>
      <c r="O98" s="1023">
        <f>O96/O90</f>
        <v>0.13773584905660377</v>
      </c>
      <c r="P98" s="1023">
        <v>0.125</v>
      </c>
      <c r="Q98" s="232">
        <v>0.13</v>
      </c>
      <c r="R98" s="232">
        <v>0.13</v>
      </c>
      <c r="S98" s="232">
        <v>0.125</v>
      </c>
      <c r="T98" s="232">
        <v>0.125</v>
      </c>
      <c r="U98" s="232">
        <v>0.12</v>
      </c>
      <c r="V98" s="232">
        <v>0.1</v>
      </c>
      <c r="W98" s="232">
        <f>V98</f>
        <v>0.1</v>
      </c>
      <c r="X98" s="232">
        <f>W98</f>
        <v>0.1</v>
      </c>
      <c r="Y98" s="232">
        <f>X98</f>
        <v>0.1</v>
      </c>
      <c r="Z98" s="232">
        <f t="shared" ref="Z98:AD98" si="86">Y98</f>
        <v>0.1</v>
      </c>
      <c r="AA98" s="232">
        <f t="shared" si="86"/>
        <v>0.1</v>
      </c>
      <c r="AB98" s="232">
        <f t="shared" si="86"/>
        <v>0.1</v>
      </c>
      <c r="AC98" s="232">
        <f t="shared" si="86"/>
        <v>0.1</v>
      </c>
      <c r="AD98" s="232">
        <f t="shared" si="86"/>
        <v>0.1</v>
      </c>
    </row>
    <row r="99" spans="1:30" s="232" customFormat="1" ht="11" hidden="1">
      <c r="A99" s="111"/>
      <c r="B99" s="111"/>
      <c r="C99" s="111"/>
      <c r="D99" s="111" t="s">
        <v>1018</v>
      </c>
      <c r="E99" s="111"/>
      <c r="H99" s="1023"/>
      <c r="I99" s="1023"/>
      <c r="J99" s="1023"/>
      <c r="K99" s="1023"/>
      <c r="L99" s="1023"/>
      <c r="M99" s="1023">
        <f t="shared" ref="M99:N99" si="87">M98-L98</f>
        <v>0.11315115286080274</v>
      </c>
      <c r="N99" s="1023">
        <f t="shared" si="87"/>
        <v>2.0646217595500421E-2</v>
      </c>
      <c r="O99" s="1023">
        <f>O98-N98</f>
        <v>3.93847860030061E-3</v>
      </c>
      <c r="P99" s="1023">
        <f t="shared" ref="P99:AD99" si="88">P98-O98</f>
        <v>-1.2735849056603771E-2</v>
      </c>
      <c r="Q99" s="232">
        <f t="shared" si="88"/>
        <v>5.0000000000000044E-3</v>
      </c>
      <c r="R99" s="232">
        <f t="shared" si="88"/>
        <v>0</v>
      </c>
      <c r="S99" s="232">
        <f t="shared" si="88"/>
        <v>-5.0000000000000044E-3</v>
      </c>
      <c r="T99" s="232">
        <f t="shared" si="88"/>
        <v>0</v>
      </c>
      <c r="U99" s="232">
        <f t="shared" si="88"/>
        <v>-5.0000000000000044E-3</v>
      </c>
      <c r="V99" s="232">
        <f t="shared" si="88"/>
        <v>-1.999999999999999E-2</v>
      </c>
      <c r="W99" s="232">
        <f t="shared" si="88"/>
        <v>0</v>
      </c>
      <c r="X99" s="232">
        <f t="shared" si="88"/>
        <v>0</v>
      </c>
      <c r="Y99" s="232">
        <f t="shared" si="88"/>
        <v>0</v>
      </c>
      <c r="Z99" s="232">
        <f t="shared" si="88"/>
        <v>0</v>
      </c>
      <c r="AA99" s="232">
        <f t="shared" si="88"/>
        <v>0</v>
      </c>
      <c r="AB99" s="232">
        <f t="shared" si="88"/>
        <v>0</v>
      </c>
      <c r="AC99" s="232">
        <f t="shared" si="88"/>
        <v>0</v>
      </c>
      <c r="AD99" s="232">
        <f t="shared" si="88"/>
        <v>0</v>
      </c>
    </row>
    <row r="100" spans="1:30" hidden="1">
      <c r="A100" s="18"/>
      <c r="B100" s="18"/>
      <c r="C100" s="18"/>
      <c r="D100" s="163"/>
      <c r="E100" s="18"/>
      <c r="F100" s="137"/>
      <c r="G100" s="137"/>
      <c r="H100" s="844"/>
      <c r="I100" s="844"/>
      <c r="J100" s="844"/>
      <c r="K100" s="844"/>
      <c r="L100" s="844"/>
      <c r="M100" s="844"/>
      <c r="N100" s="844"/>
      <c r="O100" s="844"/>
      <c r="P100" s="844"/>
      <c r="Q100" s="137"/>
      <c r="R100" s="137"/>
      <c r="S100" s="137"/>
      <c r="T100" s="137"/>
      <c r="U100" s="137"/>
      <c r="V100" s="137"/>
      <c r="W100" s="137"/>
      <c r="X100" s="137"/>
      <c r="Y100" s="137"/>
      <c r="Z100" s="137"/>
      <c r="AA100" s="137"/>
      <c r="AB100" s="137"/>
      <c r="AC100" s="137"/>
      <c r="AD100" s="137"/>
    </row>
    <row r="101" spans="1:30" hidden="1">
      <c r="A101" s="18"/>
      <c r="B101" s="18"/>
      <c r="C101" s="18"/>
      <c r="D101" s="163"/>
      <c r="E101" s="18"/>
      <c r="F101" s="137"/>
      <c r="G101" s="137"/>
      <c r="H101" s="844"/>
      <c r="I101" s="844"/>
      <c r="J101" s="844"/>
      <c r="K101" s="844"/>
      <c r="L101" s="844"/>
      <c r="M101" s="844"/>
      <c r="N101" s="844"/>
      <c r="O101" s="844"/>
      <c r="P101" s="844"/>
      <c r="Q101" s="137"/>
      <c r="R101" s="137"/>
      <c r="S101" s="137"/>
      <c r="T101" s="137"/>
      <c r="U101" s="137"/>
      <c r="V101" s="137"/>
      <c r="W101" s="137"/>
      <c r="X101" s="137"/>
      <c r="Y101" s="137"/>
      <c r="Z101" s="137"/>
      <c r="AA101" s="137"/>
      <c r="AB101" s="137"/>
      <c r="AC101" s="137"/>
      <c r="AD101" s="137"/>
    </row>
    <row r="102" spans="1:30" hidden="1">
      <c r="A102" s="18"/>
      <c r="B102" s="18"/>
      <c r="C102" s="18"/>
      <c r="D102" s="171" t="s">
        <v>1020</v>
      </c>
      <c r="E102" s="3" t="s">
        <v>216</v>
      </c>
      <c r="F102" s="1386" t="s">
        <v>217</v>
      </c>
      <c r="G102" s="1386" t="s">
        <v>218</v>
      </c>
      <c r="H102" s="1097" t="s">
        <v>28</v>
      </c>
      <c r="I102" s="1097" t="s">
        <v>17</v>
      </c>
      <c r="J102" s="1097" t="s">
        <v>18</v>
      </c>
      <c r="K102" s="1097" t="s">
        <v>19</v>
      </c>
      <c r="L102" s="1097" t="s">
        <v>20</v>
      </c>
      <c r="M102" s="1097" t="s">
        <v>21</v>
      </c>
      <c r="N102" s="1097" t="s">
        <v>22</v>
      </c>
      <c r="O102" s="1097" t="s">
        <v>23</v>
      </c>
      <c r="P102" s="1097" t="s">
        <v>24</v>
      </c>
      <c r="Q102" s="1386" t="s">
        <v>25</v>
      </c>
      <c r="R102" s="1386" t="s">
        <v>26</v>
      </c>
      <c r="S102" s="1386" t="s">
        <v>27</v>
      </c>
      <c r="T102" s="1386" t="s">
        <v>712</v>
      </c>
      <c r="U102" s="1386" t="s">
        <v>713</v>
      </c>
      <c r="V102" s="1386" t="s">
        <v>714</v>
      </c>
      <c r="W102" s="1386" t="s">
        <v>715</v>
      </c>
      <c r="X102" s="1386" t="s">
        <v>716</v>
      </c>
      <c r="Y102" s="1386" t="s">
        <v>717</v>
      </c>
      <c r="Z102" s="1386" t="s">
        <v>718</v>
      </c>
      <c r="AA102" s="1386" t="s">
        <v>719</v>
      </c>
      <c r="AB102" s="1386" t="s">
        <v>720</v>
      </c>
      <c r="AC102" s="1386" t="s">
        <v>721</v>
      </c>
      <c r="AD102" s="1386" t="s">
        <v>722</v>
      </c>
    </row>
    <row r="103" spans="1:30" s="109" customFormat="1" hidden="1">
      <c r="A103" s="46"/>
      <c r="B103" s="46"/>
      <c r="C103" s="46"/>
      <c r="D103" s="46" t="s">
        <v>0</v>
      </c>
      <c r="E103" s="46"/>
      <c r="G103" s="109">
        <v>280000</v>
      </c>
      <c r="H103" s="919">
        <v>0</v>
      </c>
      <c r="I103" s="919">
        <v>220000</v>
      </c>
      <c r="J103" s="919">
        <v>120000</v>
      </c>
      <c r="K103" s="919">
        <v>30000</v>
      </c>
      <c r="L103" s="919"/>
      <c r="M103" s="919"/>
      <c r="N103" s="919"/>
      <c r="O103" s="919"/>
      <c r="P103" s="919"/>
    </row>
    <row r="104" spans="1:30" s="232" customFormat="1" ht="11" hidden="1">
      <c r="A104" s="111"/>
      <c r="B104" s="111"/>
      <c r="C104" s="111"/>
      <c r="D104" s="111" t="s">
        <v>974</v>
      </c>
      <c r="E104" s="111"/>
      <c r="H104" s="1023"/>
      <c r="I104" s="1023"/>
      <c r="J104" s="1023">
        <f>(J103/I103)-1</f>
        <v>-0.45454545454545459</v>
      </c>
      <c r="K104" s="1023">
        <f>(K103/J103)-1</f>
        <v>-0.75</v>
      </c>
      <c r="L104" s="1023">
        <f>(L103/K103)-1</f>
        <v>-1</v>
      </c>
      <c r="M104" s="1023">
        <v>0.05</v>
      </c>
      <c r="N104" s="1023">
        <v>0.05</v>
      </c>
      <c r="O104" s="1023">
        <f>SUM(O105:O107)</f>
        <v>0.05</v>
      </c>
      <c r="P104" s="1023">
        <f>SUM(P105:P107)</f>
        <v>0.05</v>
      </c>
      <c r="Q104" s="232">
        <f t="shared" ref="Q104:AD104" si="89">SUM(Q105:Q107)</f>
        <v>0.05</v>
      </c>
      <c r="R104" s="232">
        <f t="shared" si="89"/>
        <v>0.05</v>
      </c>
      <c r="S104" s="232">
        <f t="shared" si="89"/>
        <v>0.05</v>
      </c>
      <c r="T104" s="232">
        <f t="shared" si="89"/>
        <v>0.05</v>
      </c>
      <c r="U104" s="232">
        <f t="shared" si="89"/>
        <v>0.05</v>
      </c>
      <c r="V104" s="232">
        <f t="shared" si="89"/>
        <v>0.05</v>
      </c>
      <c r="W104" s="232">
        <f t="shared" si="89"/>
        <v>0.05</v>
      </c>
      <c r="X104" s="232">
        <f t="shared" si="89"/>
        <v>0.05</v>
      </c>
      <c r="Y104" s="232">
        <f t="shared" si="89"/>
        <v>0.05</v>
      </c>
      <c r="Z104" s="232">
        <f t="shared" si="89"/>
        <v>0.05</v>
      </c>
      <c r="AA104" s="232">
        <f t="shared" si="89"/>
        <v>0.05</v>
      </c>
      <c r="AB104" s="232">
        <f t="shared" si="89"/>
        <v>0.05</v>
      </c>
      <c r="AC104" s="232">
        <f t="shared" si="89"/>
        <v>0.05</v>
      </c>
      <c r="AD104" s="232">
        <f t="shared" si="89"/>
        <v>0.05</v>
      </c>
    </row>
    <row r="105" spans="1:30" s="1011" customFormat="1" ht="11" hidden="1">
      <c r="A105" s="1067"/>
      <c r="B105" s="1067"/>
      <c r="C105" s="1067"/>
      <c r="D105" s="1067" t="s">
        <v>1021</v>
      </c>
      <c r="E105" s="1067"/>
      <c r="H105" s="1129"/>
      <c r="I105" s="1129"/>
      <c r="J105" s="1129"/>
      <c r="K105" s="1129"/>
      <c r="L105" s="1129"/>
      <c r="M105" s="1129">
        <v>0.04</v>
      </c>
      <c r="N105" s="1129">
        <v>0.04</v>
      </c>
      <c r="O105" s="1129">
        <v>0.03</v>
      </c>
      <c r="P105" s="1129">
        <f>O105</f>
        <v>0.03</v>
      </c>
      <c r="Q105" s="1011">
        <f t="shared" ref="Q105:AD105" si="90">P105</f>
        <v>0.03</v>
      </c>
      <c r="R105" s="1011">
        <f t="shared" si="90"/>
        <v>0.03</v>
      </c>
      <c r="S105" s="1011">
        <f t="shared" si="90"/>
        <v>0.03</v>
      </c>
      <c r="T105" s="1011">
        <f t="shared" si="90"/>
        <v>0.03</v>
      </c>
      <c r="U105" s="1011">
        <f t="shared" si="90"/>
        <v>0.03</v>
      </c>
      <c r="V105" s="1011">
        <f t="shared" si="90"/>
        <v>0.03</v>
      </c>
      <c r="W105" s="1011">
        <f t="shared" si="90"/>
        <v>0.03</v>
      </c>
      <c r="X105" s="1011">
        <f t="shared" si="90"/>
        <v>0.03</v>
      </c>
      <c r="Y105" s="1011">
        <f t="shared" si="90"/>
        <v>0.03</v>
      </c>
      <c r="Z105" s="1011">
        <f t="shared" si="90"/>
        <v>0.03</v>
      </c>
      <c r="AA105" s="1011">
        <f t="shared" si="90"/>
        <v>0.03</v>
      </c>
      <c r="AB105" s="1011">
        <f t="shared" si="90"/>
        <v>0.03</v>
      </c>
      <c r="AC105" s="1011">
        <f t="shared" si="90"/>
        <v>0.03</v>
      </c>
      <c r="AD105" s="1011">
        <f t="shared" si="90"/>
        <v>0.03</v>
      </c>
    </row>
    <row r="106" spans="1:30" s="1011" customFormat="1" ht="11" hidden="1">
      <c r="A106" s="1067"/>
      <c r="B106" s="1067"/>
      <c r="C106" s="1067"/>
      <c r="D106" s="1067" t="s">
        <v>1022</v>
      </c>
      <c r="E106" s="1067"/>
      <c r="H106" s="1129"/>
      <c r="I106" s="1129"/>
      <c r="J106" s="1129"/>
      <c r="K106" s="1129"/>
      <c r="L106" s="1129"/>
      <c r="M106" s="1129">
        <v>0.02</v>
      </c>
      <c r="N106" s="1129">
        <v>0.02</v>
      </c>
      <c r="O106" s="1129">
        <v>0.02</v>
      </c>
      <c r="P106" s="1129">
        <f>O106</f>
        <v>0.02</v>
      </c>
      <c r="Q106" s="1011">
        <f t="shared" ref="Q106:AD106" si="91">P106</f>
        <v>0.02</v>
      </c>
      <c r="R106" s="1011">
        <f t="shared" si="91"/>
        <v>0.02</v>
      </c>
      <c r="S106" s="1011">
        <f t="shared" si="91"/>
        <v>0.02</v>
      </c>
      <c r="T106" s="1011">
        <f t="shared" si="91"/>
        <v>0.02</v>
      </c>
      <c r="U106" s="1011">
        <f t="shared" si="91"/>
        <v>0.02</v>
      </c>
      <c r="V106" s="1011">
        <f t="shared" si="91"/>
        <v>0.02</v>
      </c>
      <c r="W106" s="1011">
        <f t="shared" si="91"/>
        <v>0.02</v>
      </c>
      <c r="X106" s="1011">
        <f t="shared" si="91"/>
        <v>0.02</v>
      </c>
      <c r="Y106" s="1011">
        <f t="shared" si="91"/>
        <v>0.02</v>
      </c>
      <c r="Z106" s="1011">
        <f t="shared" si="91"/>
        <v>0.02</v>
      </c>
      <c r="AA106" s="1011">
        <f t="shared" si="91"/>
        <v>0.02</v>
      </c>
      <c r="AB106" s="1011">
        <f t="shared" si="91"/>
        <v>0.02</v>
      </c>
      <c r="AC106" s="1011">
        <f t="shared" si="91"/>
        <v>0.02</v>
      </c>
      <c r="AD106" s="1011">
        <f t="shared" si="91"/>
        <v>0.02</v>
      </c>
    </row>
    <row r="107" spans="1:30" s="219" customFormat="1" hidden="1">
      <c r="A107" s="204"/>
      <c r="B107" s="204"/>
      <c r="C107" s="204"/>
      <c r="D107" s="296" t="s">
        <v>1023</v>
      </c>
      <c r="E107" s="204"/>
      <c r="M107" s="219">
        <v>0</v>
      </c>
      <c r="N107" s="219">
        <v>0</v>
      </c>
      <c r="O107" s="219">
        <v>0</v>
      </c>
      <c r="P107" s="219">
        <f>O107</f>
        <v>0</v>
      </c>
      <c r="Q107" s="219">
        <f t="shared" ref="Q107:AD107" si="92">P107</f>
        <v>0</v>
      </c>
      <c r="R107" s="219">
        <f t="shared" si="92"/>
        <v>0</v>
      </c>
      <c r="S107" s="219">
        <f t="shared" si="92"/>
        <v>0</v>
      </c>
      <c r="T107" s="219">
        <f t="shared" si="92"/>
        <v>0</v>
      </c>
      <c r="U107" s="219">
        <f t="shared" si="92"/>
        <v>0</v>
      </c>
      <c r="V107" s="219">
        <f t="shared" si="92"/>
        <v>0</v>
      </c>
      <c r="W107" s="219">
        <f t="shared" si="92"/>
        <v>0</v>
      </c>
      <c r="X107" s="219">
        <f t="shared" si="92"/>
        <v>0</v>
      </c>
      <c r="Y107" s="219">
        <f t="shared" si="92"/>
        <v>0</v>
      </c>
      <c r="Z107" s="219">
        <f t="shared" si="92"/>
        <v>0</v>
      </c>
      <c r="AA107" s="219">
        <f t="shared" si="92"/>
        <v>0</v>
      </c>
      <c r="AB107" s="219">
        <f t="shared" si="92"/>
        <v>0</v>
      </c>
      <c r="AC107" s="219">
        <f t="shared" si="92"/>
        <v>0</v>
      </c>
      <c r="AD107" s="219">
        <f t="shared" si="92"/>
        <v>0</v>
      </c>
    </row>
    <row r="108" spans="1:30" hidden="1">
      <c r="A108" s="18"/>
      <c r="B108" s="18"/>
      <c r="C108" s="18"/>
      <c r="D108" s="163"/>
      <c r="E108" s="18"/>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row>
    <row r="109" spans="1:30" s="109" customFormat="1" hidden="1">
      <c r="A109" s="46"/>
      <c r="B109" s="46"/>
      <c r="C109" s="46"/>
      <c r="D109" s="46" t="s">
        <v>451</v>
      </c>
      <c r="E109" s="46"/>
      <c r="G109" s="1707" t="s">
        <v>1617</v>
      </c>
      <c r="H109" s="1707"/>
      <c r="I109" s="1708">
        <v>-4000</v>
      </c>
      <c r="J109" s="1708">
        <v>-4000</v>
      </c>
      <c r="K109" s="1707"/>
      <c r="L109" s="1709"/>
      <c r="M109" s="1709"/>
      <c r="N109" s="1709"/>
      <c r="O109" s="1709"/>
      <c r="P109" s="1709"/>
    </row>
    <row r="110" spans="1:30" s="232" customFormat="1" ht="11" hidden="1">
      <c r="A110" s="111"/>
      <c r="B110" s="111"/>
      <c r="C110" s="111"/>
      <c r="D110" s="111" t="s">
        <v>978</v>
      </c>
      <c r="E110" s="111"/>
      <c r="I110" s="232">
        <f>I109/I103</f>
        <v>-1.8181818181818181E-2</v>
      </c>
      <c r="J110" s="232">
        <f>J109/J103</f>
        <v>-3.3333333333333333E-2</v>
      </c>
      <c r="M110" s="232">
        <v>0.03</v>
      </c>
      <c r="N110" s="232">
        <v>0.03</v>
      </c>
      <c r="O110" s="232">
        <v>0.04</v>
      </c>
      <c r="P110" s="232">
        <f>O110</f>
        <v>0.04</v>
      </c>
      <c r="Q110" s="232">
        <f t="shared" ref="Q110:AD110" si="93">P110</f>
        <v>0.04</v>
      </c>
      <c r="R110" s="232">
        <f t="shared" si="93"/>
        <v>0.04</v>
      </c>
      <c r="S110" s="232">
        <f t="shared" si="93"/>
        <v>0.04</v>
      </c>
      <c r="T110" s="232">
        <f t="shared" si="93"/>
        <v>0.04</v>
      </c>
      <c r="U110" s="232">
        <f t="shared" si="93"/>
        <v>0.04</v>
      </c>
      <c r="V110" s="232">
        <f t="shared" si="93"/>
        <v>0.04</v>
      </c>
      <c r="W110" s="232">
        <f t="shared" si="93"/>
        <v>0.04</v>
      </c>
      <c r="X110" s="232">
        <f t="shared" si="93"/>
        <v>0.04</v>
      </c>
      <c r="Y110" s="232">
        <f t="shared" si="93"/>
        <v>0.04</v>
      </c>
      <c r="Z110" s="232">
        <f t="shared" si="93"/>
        <v>0.04</v>
      </c>
      <c r="AA110" s="232">
        <f t="shared" si="93"/>
        <v>0.04</v>
      </c>
      <c r="AB110" s="232">
        <f t="shared" si="93"/>
        <v>0.04</v>
      </c>
      <c r="AC110" s="232">
        <f t="shared" si="93"/>
        <v>0.04</v>
      </c>
      <c r="AD110" s="232">
        <f t="shared" si="93"/>
        <v>0.04</v>
      </c>
    </row>
    <row r="111" spans="1:30" hidden="1">
      <c r="A111" s="18"/>
      <c r="B111" s="18"/>
      <c r="C111" s="18"/>
      <c r="D111" s="163"/>
      <c r="E111" s="18"/>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row>
    <row r="112" spans="1:30" hidden="1">
      <c r="A112" s="18"/>
      <c r="B112" s="18"/>
      <c r="C112" s="18"/>
      <c r="D112" s="163" t="s">
        <v>1024</v>
      </c>
      <c r="E112" s="18">
        <v>6.44</v>
      </c>
      <c r="F112" s="137">
        <v>7.44</v>
      </c>
      <c r="G112" s="137">
        <v>7.21</v>
      </c>
      <c r="H112" s="137">
        <v>8.0399999999999991</v>
      </c>
      <c r="I112" s="137">
        <v>7.4</v>
      </c>
      <c r="J112" s="137">
        <f>I112*(1+J113)</f>
        <v>7.4</v>
      </c>
      <c r="K112" s="137">
        <f t="shared" ref="K112:O112" si="94">J112*(1+K113)</f>
        <v>7.4</v>
      </c>
      <c r="L112" s="137">
        <f t="shared" si="94"/>
        <v>7.4</v>
      </c>
      <c r="M112" s="137">
        <f t="shared" si="94"/>
        <v>7.4</v>
      </c>
      <c r="N112" s="137">
        <f t="shared" si="94"/>
        <v>7.4</v>
      </c>
      <c r="O112" s="137">
        <f t="shared" si="94"/>
        <v>7.4</v>
      </c>
      <c r="P112" s="137">
        <f t="shared" ref="P112" si="95">O112*(1+P113)</f>
        <v>7.4</v>
      </c>
      <c r="Q112" s="137">
        <f t="shared" ref="Q112" si="96">P112*(1+Q113)</f>
        <v>7.4</v>
      </c>
      <c r="R112" s="137">
        <f t="shared" ref="R112" si="97">Q112*(1+R113)</f>
        <v>7.4</v>
      </c>
      <c r="S112" s="137">
        <f t="shared" ref="S112" si="98">R112*(1+S113)</f>
        <v>7.4</v>
      </c>
      <c r="T112" s="137">
        <f t="shared" ref="T112" si="99">S112*(1+T113)</f>
        <v>7.4</v>
      </c>
      <c r="U112" s="137">
        <f t="shared" ref="U112" si="100">T112*(1+U113)</f>
        <v>7.4</v>
      </c>
      <c r="V112" s="137">
        <f t="shared" ref="V112" si="101">U112*(1+V113)</f>
        <v>7.4</v>
      </c>
      <c r="W112" s="137">
        <f t="shared" ref="W112" si="102">V112*(1+W113)</f>
        <v>7.4</v>
      </c>
      <c r="X112" s="137">
        <f t="shared" ref="X112" si="103">W112*(1+X113)</f>
        <v>7.4</v>
      </c>
      <c r="Y112" s="137">
        <f t="shared" ref="Y112" si="104">X112*(1+Y113)</f>
        <v>7.4</v>
      </c>
      <c r="Z112" s="137">
        <f t="shared" ref="Z112" si="105">Y112*(1+Z113)</f>
        <v>7.4</v>
      </c>
      <c r="AA112" s="137">
        <f t="shared" ref="AA112" si="106">Z112*(1+AA113)</f>
        <v>7.4</v>
      </c>
      <c r="AB112" s="137">
        <f t="shared" ref="AB112" si="107">AA112*(1+AB113)</f>
        <v>7.4</v>
      </c>
      <c r="AC112" s="137">
        <f t="shared" ref="AC112" si="108">AB112*(1+AC113)</f>
        <v>7.4</v>
      </c>
      <c r="AD112" s="137">
        <f t="shared" ref="AD112" si="109">AC112*(1+AD113)</f>
        <v>7.4</v>
      </c>
    </row>
    <row r="113" spans="1:30" s="241" customFormat="1" ht="11" hidden="1">
      <c r="A113" s="185"/>
      <c r="B113" s="185"/>
      <c r="C113" s="185"/>
      <c r="D113" s="185" t="s">
        <v>974</v>
      </c>
      <c r="E113" s="185"/>
      <c r="F113" s="241">
        <f>(F112/E112)-1</f>
        <v>0.15527950310559002</v>
      </c>
      <c r="G113" s="241">
        <f t="shared" ref="G113:I113" si="110">(G112/F112)-1</f>
        <v>-3.0913978494623739E-2</v>
      </c>
      <c r="H113" s="241">
        <f t="shared" si="110"/>
        <v>0.11511789181692089</v>
      </c>
      <c r="I113" s="241">
        <f t="shared" si="110"/>
        <v>-7.9601990049751103E-2</v>
      </c>
    </row>
    <row r="114" spans="1:30" hidden="1">
      <c r="A114" s="18"/>
      <c r="B114" s="18"/>
      <c r="C114" s="18"/>
      <c r="D114" s="163" t="s">
        <v>1025</v>
      </c>
      <c r="E114" s="18">
        <v>6.5</v>
      </c>
      <c r="F114" s="137">
        <v>9.4499999999999993</v>
      </c>
      <c r="G114" s="137">
        <v>10.15</v>
      </c>
      <c r="H114" s="137">
        <v>12.29</v>
      </c>
      <c r="I114" s="137">
        <v>10.95</v>
      </c>
      <c r="J114" s="137">
        <f>I114*(1+J115)</f>
        <v>10.95</v>
      </c>
      <c r="K114" s="137">
        <f t="shared" ref="K114:O114" si="111">J114*(1+K115)</f>
        <v>10.95</v>
      </c>
      <c r="L114" s="137">
        <f t="shared" si="111"/>
        <v>10.95</v>
      </c>
      <c r="M114" s="137">
        <f t="shared" si="111"/>
        <v>10.95</v>
      </c>
      <c r="N114" s="137">
        <f t="shared" si="111"/>
        <v>10.95</v>
      </c>
      <c r="O114" s="137">
        <f t="shared" si="111"/>
        <v>10.95</v>
      </c>
      <c r="P114" s="137">
        <f t="shared" ref="P114" si="112">O114*(1+P115)</f>
        <v>10.95</v>
      </c>
      <c r="Q114" s="137">
        <f t="shared" ref="Q114" si="113">P114*(1+Q115)</f>
        <v>10.95</v>
      </c>
      <c r="R114" s="137">
        <f t="shared" ref="R114" si="114">Q114*(1+R115)</f>
        <v>10.95</v>
      </c>
      <c r="S114" s="137">
        <f t="shared" ref="S114" si="115">R114*(1+S115)</f>
        <v>10.95</v>
      </c>
      <c r="T114" s="137">
        <f t="shared" ref="T114" si="116">S114*(1+T115)</f>
        <v>10.95</v>
      </c>
      <c r="U114" s="137">
        <f t="shared" ref="U114" si="117">T114*(1+U115)</f>
        <v>10.95</v>
      </c>
      <c r="V114" s="137">
        <f t="shared" ref="V114" si="118">U114*(1+V115)</f>
        <v>10.95</v>
      </c>
      <c r="W114" s="137">
        <f t="shared" ref="W114" si="119">V114*(1+W115)</f>
        <v>10.95</v>
      </c>
      <c r="X114" s="137">
        <f t="shared" ref="X114" si="120">W114*(1+X115)</f>
        <v>10.95</v>
      </c>
      <c r="Y114" s="137">
        <f t="shared" ref="Y114" si="121">X114*(1+Y115)</f>
        <v>10.95</v>
      </c>
      <c r="Z114" s="137">
        <f t="shared" ref="Z114" si="122">Y114*(1+Z115)</f>
        <v>10.95</v>
      </c>
      <c r="AA114" s="137">
        <f t="shared" ref="AA114" si="123">Z114*(1+AA115)</f>
        <v>10.95</v>
      </c>
      <c r="AB114" s="137">
        <f t="shared" ref="AB114" si="124">AA114*(1+AB115)</f>
        <v>10.95</v>
      </c>
      <c r="AC114" s="137">
        <f t="shared" ref="AC114" si="125">AB114*(1+AC115)</f>
        <v>10.95</v>
      </c>
      <c r="AD114" s="137">
        <f t="shared" ref="AD114" si="126">AC114*(1+AD115)</f>
        <v>10.95</v>
      </c>
    </row>
    <row r="115" spans="1:30" s="241" customFormat="1" ht="11" hidden="1">
      <c r="A115" s="185"/>
      <c r="B115" s="185"/>
      <c r="C115" s="185"/>
      <c r="D115" s="185" t="s">
        <v>974</v>
      </c>
      <c r="E115" s="185"/>
      <c r="F115" s="241">
        <f>(F114/E114)-1</f>
        <v>0.45384615384615379</v>
      </c>
      <c r="G115" s="241">
        <f t="shared" ref="G115:I115" si="127">(G114/F114)-1</f>
        <v>7.4074074074074181E-2</v>
      </c>
      <c r="H115" s="241">
        <f t="shared" si="127"/>
        <v>0.21083743842364511</v>
      </c>
      <c r="I115" s="241">
        <f t="shared" si="127"/>
        <v>-0.10903173311635472</v>
      </c>
    </row>
    <row r="116" spans="1:30" hidden="1">
      <c r="A116" s="18"/>
      <c r="B116" s="18"/>
      <c r="C116" s="18"/>
      <c r="D116" s="18" t="s">
        <v>1026</v>
      </c>
      <c r="E116" s="18"/>
      <c r="F116" s="137"/>
      <c r="G116" s="137">
        <v>13.82</v>
      </c>
      <c r="H116" s="137">
        <v>14.85</v>
      </c>
      <c r="I116" s="137">
        <v>11.81</v>
      </c>
      <c r="J116" s="137" t="e">
        <f>I116*(1+#REF!)</f>
        <v>#REF!</v>
      </c>
      <c r="K116" s="137" t="e">
        <f>J116*(1+#REF!)</f>
        <v>#REF!</v>
      </c>
      <c r="L116" s="137" t="e">
        <f>K116*(1+#REF!)</f>
        <v>#REF!</v>
      </c>
      <c r="M116" s="137" t="e">
        <f>L116*(1+#REF!)</f>
        <v>#REF!</v>
      </c>
      <c r="N116" s="137" t="e">
        <f>M116*(1+#REF!)</f>
        <v>#REF!</v>
      </c>
      <c r="O116" s="137" t="e">
        <f>N116*(1+#REF!)</f>
        <v>#REF!</v>
      </c>
      <c r="P116" s="137" t="e">
        <f>O116*(1+#REF!)</f>
        <v>#REF!</v>
      </c>
      <c r="Q116" s="137" t="e">
        <f>P116*(1+#REF!)</f>
        <v>#REF!</v>
      </c>
      <c r="R116" s="137" t="e">
        <f>Q116*(1+#REF!)</f>
        <v>#REF!</v>
      </c>
      <c r="S116" s="137" t="e">
        <f>R116*(1+#REF!)</f>
        <v>#REF!</v>
      </c>
      <c r="T116" s="137" t="e">
        <f>S116*(1+#REF!)</f>
        <v>#REF!</v>
      </c>
      <c r="U116" s="137" t="e">
        <f>T116*(1+#REF!)</f>
        <v>#REF!</v>
      </c>
      <c r="V116" s="137" t="e">
        <f>U116*(1+#REF!)</f>
        <v>#REF!</v>
      </c>
      <c r="W116" s="137" t="e">
        <f>V116*(1+#REF!)</f>
        <v>#REF!</v>
      </c>
      <c r="X116" s="137" t="e">
        <f>W116*(1+#REF!)</f>
        <v>#REF!</v>
      </c>
      <c r="Y116" s="137" t="e">
        <f>X116*(1+#REF!)</f>
        <v>#REF!</v>
      </c>
      <c r="Z116" s="137" t="e">
        <f>Y116*(1+#REF!)</f>
        <v>#REF!</v>
      </c>
      <c r="AA116" s="137" t="e">
        <f>Z116*(1+#REF!)</f>
        <v>#REF!</v>
      </c>
      <c r="AB116" s="137" t="e">
        <f>AA116*(1+#REF!)</f>
        <v>#REF!</v>
      </c>
      <c r="AC116" s="137" t="e">
        <f>AB116*(1+#REF!)</f>
        <v>#REF!</v>
      </c>
      <c r="AD116" s="137" t="e">
        <f>AC116*(1+#REF!)</f>
        <v>#REF!</v>
      </c>
    </row>
    <row r="117" spans="1:30" hidden="1">
      <c r="A117" s="18"/>
      <c r="B117" s="18"/>
      <c r="C117" s="18"/>
      <c r="D117" s="111"/>
      <c r="E117" s="18"/>
      <c r="F117" s="137"/>
      <c r="G117" s="137"/>
      <c r="H117" s="137"/>
      <c r="I117" s="137"/>
      <c r="J117" s="137"/>
      <c r="K117" s="137"/>
      <c r="L117" s="137"/>
      <c r="M117" s="137"/>
      <c r="N117" s="137"/>
      <c r="O117" s="137"/>
      <c r="P117" s="137"/>
      <c r="Q117" s="137"/>
      <c r="R117" s="137"/>
      <c r="S117" s="137"/>
      <c r="T117" s="137"/>
      <c r="U117" s="137"/>
      <c r="V117" s="137"/>
      <c r="W117" s="137"/>
      <c r="X117" s="137"/>
      <c r="Y117" s="137"/>
      <c r="Z117" s="137"/>
      <c r="AA117" s="137"/>
      <c r="AB117" s="137"/>
      <c r="AC117" s="137"/>
      <c r="AD117" s="137"/>
    </row>
    <row r="118" spans="1:30" hidden="1">
      <c r="A118" s="18"/>
      <c r="B118" s="18"/>
      <c r="C118" s="18"/>
      <c r="D118" s="111"/>
      <c r="E118" s="18"/>
      <c r="F118" s="137"/>
      <c r="G118" s="137" t="s">
        <v>1618</v>
      </c>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row>
    <row r="119" spans="1:30" hidden="1">
      <c r="A119" s="18"/>
      <c r="B119" s="18"/>
      <c r="C119" s="18"/>
      <c r="D119" s="171" t="s">
        <v>1027</v>
      </c>
      <c r="E119" s="3" t="s">
        <v>216</v>
      </c>
      <c r="F119" s="1386" t="s">
        <v>217</v>
      </c>
      <c r="G119" s="1386" t="s">
        <v>218</v>
      </c>
      <c r="H119" s="1386" t="s">
        <v>28</v>
      </c>
      <c r="I119" s="1386" t="s">
        <v>17</v>
      </c>
      <c r="J119" s="1386" t="s">
        <v>18</v>
      </c>
      <c r="K119" s="1386" t="s">
        <v>19</v>
      </c>
      <c r="L119" s="1386" t="s">
        <v>20</v>
      </c>
      <c r="M119" s="1386" t="s">
        <v>21</v>
      </c>
      <c r="N119" s="1386" t="s">
        <v>22</v>
      </c>
      <c r="O119" s="1386" t="s">
        <v>23</v>
      </c>
      <c r="P119" s="1386" t="s">
        <v>24</v>
      </c>
      <c r="Q119" s="1386" t="s">
        <v>25</v>
      </c>
      <c r="R119" s="1386" t="s">
        <v>26</v>
      </c>
      <c r="S119" s="1386" t="s">
        <v>27</v>
      </c>
      <c r="T119" s="1386" t="s">
        <v>712</v>
      </c>
      <c r="U119" s="1386" t="s">
        <v>713</v>
      </c>
      <c r="V119" s="1386" t="s">
        <v>714</v>
      </c>
      <c r="W119" s="1386" t="s">
        <v>715</v>
      </c>
      <c r="X119" s="1386" t="s">
        <v>716</v>
      </c>
      <c r="Y119" s="1386" t="s">
        <v>717</v>
      </c>
      <c r="Z119" s="1386" t="s">
        <v>718</v>
      </c>
      <c r="AA119" s="1386" t="s">
        <v>719</v>
      </c>
      <c r="AB119" s="1386" t="s">
        <v>720</v>
      </c>
      <c r="AC119" s="1386" t="s">
        <v>721</v>
      </c>
      <c r="AD119" s="1386" t="s">
        <v>722</v>
      </c>
    </row>
    <row r="120" spans="1:30" s="242" customFormat="1" hidden="1">
      <c r="A120" s="100"/>
      <c r="B120" s="100"/>
      <c r="C120" s="100"/>
      <c r="D120" s="350" t="s">
        <v>0</v>
      </c>
      <c r="E120" s="100"/>
      <c r="G120" s="242">
        <v>300000</v>
      </c>
      <c r="H120" s="242">
        <f>G120*(1+H121)</f>
        <v>376535.3675450763</v>
      </c>
      <c r="I120" s="242">
        <v>340000</v>
      </c>
      <c r="J120" s="242">
        <v>440000</v>
      </c>
      <c r="K120" s="242">
        <v>280000</v>
      </c>
      <c r="L120" s="242">
        <v>433000</v>
      </c>
      <c r="M120" s="242">
        <v>290000</v>
      </c>
      <c r="N120" s="242">
        <v>500000</v>
      </c>
      <c r="O120" s="242">
        <v>759000</v>
      </c>
      <c r="P120" s="242">
        <f>O120*(1+P121)</f>
        <v>838148.80903490772</v>
      </c>
      <c r="Q120" s="242">
        <f t="shared" ref="Q120:AD120" si="128">P120*(1+Q121)</f>
        <v>900241.56377198943</v>
      </c>
      <c r="R120" s="242">
        <f t="shared" si="128"/>
        <v>945253.64196058898</v>
      </c>
      <c r="S120" s="242">
        <f t="shared" si="128"/>
        <v>992516.32405861863</v>
      </c>
      <c r="T120" s="242">
        <f t="shared" si="128"/>
        <v>1032216.9770209632</v>
      </c>
      <c r="U120" s="242">
        <f t="shared" si="128"/>
        <v>1073505.6561018017</v>
      </c>
      <c r="V120" s="242">
        <f t="shared" si="128"/>
        <v>1116445.8823458739</v>
      </c>
      <c r="W120" s="242">
        <f t="shared" si="128"/>
        <v>1161103.7176397089</v>
      </c>
      <c r="X120" s="242">
        <f t="shared" si="128"/>
        <v>1207547.8663452973</v>
      </c>
      <c r="Y120" s="242">
        <f t="shared" si="128"/>
        <v>1255849.7809991091</v>
      </c>
      <c r="Z120" s="242">
        <f t="shared" si="128"/>
        <v>1306083.7722390739</v>
      </c>
      <c r="AA120" s="242">
        <f t="shared" si="128"/>
        <v>1358327.123128637</v>
      </c>
      <c r="AB120" s="242">
        <f t="shared" si="128"/>
        <v>1412660.2080537826</v>
      </c>
      <c r="AC120" s="242">
        <f t="shared" si="128"/>
        <v>1469166.6163759343</v>
      </c>
      <c r="AD120" s="242">
        <f t="shared" si="128"/>
        <v>1527933.2810309718</v>
      </c>
    </row>
    <row r="121" spans="1:30" s="241" customFormat="1" ht="11" hidden="1">
      <c r="A121" s="185"/>
      <c r="B121" s="185"/>
      <c r="C121" s="185"/>
      <c r="D121" s="185" t="s">
        <v>974</v>
      </c>
      <c r="E121" s="185"/>
      <c r="H121" s="241">
        <f>SUM(H122:H124)</f>
        <v>0.25511789181692091</v>
      </c>
      <c r="I121" s="241">
        <f>(I120/H120)-1</f>
        <v>-9.7030374021113808E-2</v>
      </c>
      <c r="J121" s="241">
        <f t="shared" ref="J121:L121" si="129">(J120/I120)-1</f>
        <v>0.29411764705882359</v>
      </c>
      <c r="K121" s="241">
        <f t="shared" si="129"/>
        <v>-0.36363636363636365</v>
      </c>
      <c r="L121" s="241">
        <f t="shared" si="129"/>
        <v>0.54642857142857149</v>
      </c>
      <c r="M121" s="241">
        <f t="shared" ref="M121:N121" si="130">(M120/L120)-1</f>
        <v>-0.33025404157043881</v>
      </c>
      <c r="N121" s="241">
        <f t="shared" si="130"/>
        <v>0.72413793103448265</v>
      </c>
      <c r="O121" s="241">
        <f>(O120/N120)-1</f>
        <v>0.51800000000000002</v>
      </c>
      <c r="P121" s="241">
        <f>SUM(P122:P124)</f>
        <v>0.10428038081015506</v>
      </c>
      <c r="Q121" s="241">
        <f t="shared" ref="Q121:AD121" si="131">SUM(Q122:Q124)</f>
        <v>7.4083210603829136E-2</v>
      </c>
      <c r="R121" s="241">
        <f t="shared" si="131"/>
        <v>5.0000000000000017E-2</v>
      </c>
      <c r="S121" s="241">
        <f t="shared" si="131"/>
        <v>5.0000000000000239E-2</v>
      </c>
      <c r="T121" s="241">
        <f t="shared" si="131"/>
        <v>3.99999999999998E-2</v>
      </c>
      <c r="U121" s="241">
        <f t="shared" si="131"/>
        <v>4.0000000000000022E-2</v>
      </c>
      <c r="V121" s="241">
        <f t="shared" si="131"/>
        <v>4.0000000000000022E-2</v>
      </c>
      <c r="W121" s="241">
        <f t="shared" si="131"/>
        <v>4.0000000000000022E-2</v>
      </c>
      <c r="X121" s="241">
        <f t="shared" si="131"/>
        <v>4.0000000000000022E-2</v>
      </c>
      <c r="Y121" s="241">
        <f t="shared" si="131"/>
        <v>4.0000000000000022E-2</v>
      </c>
      <c r="Z121" s="241">
        <f t="shared" si="131"/>
        <v>4.0000000000000244E-2</v>
      </c>
      <c r="AA121" s="241">
        <f t="shared" si="131"/>
        <v>4.0000000000000022E-2</v>
      </c>
      <c r="AB121" s="241">
        <f t="shared" si="131"/>
        <v>4.0000000000000022E-2</v>
      </c>
      <c r="AC121" s="241">
        <f t="shared" si="131"/>
        <v>4.0000000000000244E-2</v>
      </c>
      <c r="AD121" s="241">
        <f t="shared" si="131"/>
        <v>4.0000000000000022E-2</v>
      </c>
    </row>
    <row r="122" spans="1:30" s="225" customFormat="1" ht="14" hidden="1">
      <c r="A122" s="195"/>
      <c r="B122" s="195"/>
      <c r="C122" s="195"/>
      <c r="D122" s="195" t="s">
        <v>1021</v>
      </c>
      <c r="E122" s="195"/>
      <c r="H122" s="225">
        <v>0.08</v>
      </c>
      <c r="I122" s="225">
        <v>-0.04</v>
      </c>
      <c r="J122" s="225">
        <v>0.02</v>
      </c>
      <c r="K122" s="225">
        <v>-0.3</v>
      </c>
      <c r="L122" s="225">
        <v>0.44</v>
      </c>
      <c r="M122" s="225">
        <v>-0.72</v>
      </c>
      <c r="N122" s="225">
        <f>81/37-1</f>
        <v>1.189189189189189</v>
      </c>
      <c r="O122" s="225">
        <f>O121-O123</f>
        <v>0.46800000000000003</v>
      </c>
      <c r="P122" s="225">
        <f>'3h. Segmental Volume Drivers'!P91</f>
        <v>3.4280380810155053E-2</v>
      </c>
      <c r="Q122" s="225">
        <f>'3h. Segmental Volume Drivers'!Q91</f>
        <v>3.4083210603829128E-2</v>
      </c>
      <c r="R122" s="225">
        <f>'3h. Segmental Volume Drivers'!R91</f>
        <v>2.0000000000000018E-2</v>
      </c>
      <c r="S122" s="225">
        <f>'3h. Segmental Volume Drivers'!S91</f>
        <v>2.000000000000024E-2</v>
      </c>
      <c r="T122" s="225">
        <f>'3h. Segmental Volume Drivers'!T91</f>
        <v>1.9999999999999796E-2</v>
      </c>
      <c r="U122" s="225">
        <f>'3h. Segmental Volume Drivers'!U91</f>
        <v>2.0000000000000018E-2</v>
      </c>
      <c r="V122" s="225">
        <f>'3h. Segmental Volume Drivers'!V91</f>
        <v>2.0000000000000018E-2</v>
      </c>
      <c r="W122" s="225">
        <f>'3h. Segmental Volume Drivers'!W91</f>
        <v>2.0000000000000018E-2</v>
      </c>
      <c r="X122" s="225">
        <f>'3h. Segmental Volume Drivers'!X91</f>
        <v>2.0000000000000018E-2</v>
      </c>
      <c r="Y122" s="225">
        <f>'3h. Segmental Volume Drivers'!Y91</f>
        <v>2.0000000000000018E-2</v>
      </c>
      <c r="Z122" s="225">
        <f>'3h. Segmental Volume Drivers'!Z91</f>
        <v>2.000000000000024E-2</v>
      </c>
      <c r="AA122" s="225">
        <f>'3h. Segmental Volume Drivers'!AA91</f>
        <v>2.0000000000000018E-2</v>
      </c>
      <c r="AB122" s="225">
        <f>'3h. Segmental Volume Drivers'!AB91</f>
        <v>2.0000000000000018E-2</v>
      </c>
      <c r="AC122" s="225">
        <f>'3h. Segmental Volume Drivers'!AC91</f>
        <v>2.000000000000024E-2</v>
      </c>
      <c r="AD122" s="225">
        <f>'3h. Segmental Volume Drivers'!AD91</f>
        <v>2.0000000000000018E-2</v>
      </c>
    </row>
    <row r="123" spans="1:30" s="225" customFormat="1" ht="14" hidden="1">
      <c r="A123" s="195"/>
      <c r="B123" s="195"/>
      <c r="C123" s="195"/>
      <c r="D123" s="195" t="s">
        <v>1022</v>
      </c>
      <c r="E123" s="195"/>
      <c r="H123" s="225">
        <v>0.06</v>
      </c>
      <c r="I123" s="225">
        <v>0.06</v>
      </c>
      <c r="J123" s="225">
        <v>0.02</v>
      </c>
      <c r="K123" s="225">
        <v>-0.06</v>
      </c>
      <c r="L123" s="225">
        <v>0.11</v>
      </c>
      <c r="M123" s="225">
        <v>0.3</v>
      </c>
      <c r="N123" s="225">
        <f>N121-N122-N124</f>
        <v>-0.46505125815470638</v>
      </c>
      <c r="O123" s="225">
        <v>0.05</v>
      </c>
      <c r="P123" s="225">
        <v>7.0000000000000007E-2</v>
      </c>
      <c r="Q123" s="225">
        <v>0.04</v>
      </c>
      <c r="R123" s="225">
        <v>0.03</v>
      </c>
      <c r="S123" s="225">
        <v>0.03</v>
      </c>
      <c r="T123" s="225">
        <v>0.02</v>
      </c>
      <c r="U123" s="225">
        <f>T123</f>
        <v>0.02</v>
      </c>
      <c r="V123" s="225">
        <f t="shared" ref="V123:X123" si="132">U123</f>
        <v>0.02</v>
      </c>
      <c r="W123" s="225">
        <f t="shared" si="132"/>
        <v>0.02</v>
      </c>
      <c r="X123" s="225">
        <f t="shared" si="132"/>
        <v>0.02</v>
      </c>
      <c r="Y123" s="225">
        <f>X123</f>
        <v>0.02</v>
      </c>
      <c r="Z123" s="225">
        <v>0.02</v>
      </c>
      <c r="AA123" s="225">
        <v>0.02</v>
      </c>
      <c r="AB123" s="225">
        <v>0.02</v>
      </c>
      <c r="AC123" s="225">
        <v>0.02</v>
      </c>
      <c r="AD123" s="225">
        <v>0.02</v>
      </c>
    </row>
    <row r="124" spans="1:30" s="225" customFormat="1" ht="14" hidden="1">
      <c r="A124" s="195"/>
      <c r="B124" s="195"/>
      <c r="C124" s="195"/>
      <c r="D124" s="195" t="s">
        <v>1028</v>
      </c>
      <c r="E124" s="195"/>
      <c r="G124" s="225">
        <f t="shared" ref="G124:O124" si="133">G113</f>
        <v>-3.0913978494623739E-2</v>
      </c>
      <c r="H124" s="225">
        <f t="shared" si="133"/>
        <v>0.11511789181692089</v>
      </c>
      <c r="I124" s="225">
        <f t="shared" si="133"/>
        <v>-7.9601990049751103E-2</v>
      </c>
      <c r="J124" s="225">
        <f t="shared" si="133"/>
        <v>0</v>
      </c>
      <c r="K124" s="225">
        <f t="shared" si="133"/>
        <v>0</v>
      </c>
      <c r="L124" s="225">
        <f t="shared" si="133"/>
        <v>0</v>
      </c>
      <c r="M124" s="225">
        <f t="shared" si="133"/>
        <v>0</v>
      </c>
      <c r="N124" s="225">
        <f t="shared" si="133"/>
        <v>0</v>
      </c>
      <c r="O124" s="225">
        <f t="shared" si="133"/>
        <v>0</v>
      </c>
      <c r="P124" s="225">
        <v>0</v>
      </c>
      <c r="Q124" s="225">
        <v>0</v>
      </c>
      <c r="R124" s="225">
        <v>0</v>
      </c>
      <c r="S124" s="225">
        <v>0</v>
      </c>
      <c r="T124" s="225">
        <v>0</v>
      </c>
      <c r="U124" s="225">
        <v>0</v>
      </c>
      <c r="V124" s="225">
        <v>0</v>
      </c>
      <c r="W124" s="225">
        <v>0</v>
      </c>
      <c r="X124" s="225">
        <v>0</v>
      </c>
      <c r="Y124" s="225">
        <v>0</v>
      </c>
      <c r="Z124" s="225">
        <v>0</v>
      </c>
      <c r="AA124" s="225">
        <v>0</v>
      </c>
      <c r="AB124" s="225">
        <v>0</v>
      </c>
      <c r="AC124" s="225">
        <v>0</v>
      </c>
      <c r="AD124" s="225">
        <v>0</v>
      </c>
    </row>
    <row r="125" spans="1:30" s="240" customFormat="1" hidden="1">
      <c r="A125" s="205"/>
      <c r="B125" s="205"/>
      <c r="C125" s="205"/>
      <c r="D125" s="205" t="s">
        <v>499</v>
      </c>
      <c r="E125" s="205"/>
      <c r="H125" s="240">
        <f t="shared" ref="H125:O125" si="134">H120/H5</f>
        <v>0.20031556316107971</v>
      </c>
      <c r="I125" s="240">
        <f t="shared" si="134"/>
        <v>0.15869333772696065</v>
      </c>
      <c r="J125" s="240">
        <f t="shared" si="134"/>
        <v>0.1929766160585491</v>
      </c>
      <c r="K125" s="240">
        <f t="shared" si="134"/>
        <v>0.1234406796996512</v>
      </c>
      <c r="L125" s="240">
        <f t="shared" si="134"/>
        <v>0.1476264362466882</v>
      </c>
      <c r="M125" s="240">
        <f t="shared" si="134"/>
        <v>9.6631879190158212E-2</v>
      </c>
      <c r="N125" s="240">
        <f t="shared" si="134"/>
        <v>0.14318552863953987</v>
      </c>
      <c r="O125" s="240">
        <f t="shared" si="134"/>
        <v>0.19863208182909003</v>
      </c>
      <c r="P125" s="240" t="e">
        <f>P120/#REF!</f>
        <v>#REF!</v>
      </c>
      <c r="Q125" s="240" t="e">
        <f>Q120/#REF!</f>
        <v>#REF!</v>
      </c>
      <c r="R125" s="240" t="e">
        <f>R120/#REF!</f>
        <v>#REF!</v>
      </c>
      <c r="S125" s="240" t="e">
        <f>S120/#REF!</f>
        <v>#REF!</v>
      </c>
      <c r="T125" s="240" t="e">
        <f>T120/#REF!</f>
        <v>#REF!</v>
      </c>
      <c r="U125" s="240" t="e">
        <f>U120/#REF!</f>
        <v>#REF!</v>
      </c>
      <c r="V125" s="240" t="e">
        <f>V120/#REF!</f>
        <v>#REF!</v>
      </c>
      <c r="W125" s="240" t="e">
        <f>W120/#REF!</f>
        <v>#REF!</v>
      </c>
      <c r="X125" s="240" t="e">
        <f>X120/#REF!</f>
        <v>#REF!</v>
      </c>
      <c r="Y125" s="240" t="e">
        <f>Y120/#REF!</f>
        <v>#REF!</v>
      </c>
      <c r="Z125" s="240" t="e">
        <f>Z120/#REF!</f>
        <v>#REF!</v>
      </c>
      <c r="AA125" s="240" t="e">
        <f>AA120/#REF!</f>
        <v>#REF!</v>
      </c>
      <c r="AB125" s="240" t="e">
        <f>AB120/#REF!</f>
        <v>#REF!</v>
      </c>
      <c r="AC125" s="240" t="e">
        <f>AC120/#REF!</f>
        <v>#REF!</v>
      </c>
      <c r="AD125" s="240" t="e">
        <f>AD120/#REF!</f>
        <v>#REF!</v>
      </c>
    </row>
    <row r="126" spans="1:30" hidden="1">
      <c r="A126" s="18"/>
      <c r="B126" s="18"/>
      <c r="C126" s="18"/>
      <c r="D126" s="111"/>
      <c r="E126" s="18"/>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row>
    <row r="127" spans="1:30" s="242" customFormat="1" hidden="1">
      <c r="A127" s="100"/>
      <c r="B127" s="100"/>
      <c r="C127" s="100"/>
      <c r="D127" s="350" t="s">
        <v>1029</v>
      </c>
      <c r="E127" s="100"/>
    </row>
    <row r="128" spans="1:30" s="243" customFormat="1" hidden="1">
      <c r="A128" s="115"/>
      <c r="B128" s="115"/>
      <c r="C128" s="115"/>
      <c r="D128" s="357"/>
      <c r="E128" s="115"/>
    </row>
    <row r="129" spans="1:30" s="244" customFormat="1" ht="14" hidden="1">
      <c r="A129" s="130"/>
      <c r="B129" s="130"/>
      <c r="C129" s="130"/>
      <c r="D129" s="250" t="s">
        <v>1030</v>
      </c>
      <c r="E129" s="130"/>
      <c r="F129" s="244">
        <v>362251</v>
      </c>
      <c r="G129" s="244">
        <v>386942</v>
      </c>
      <c r="H129" s="244">
        <v>517500</v>
      </c>
      <c r="I129" s="244">
        <f>449437+120000</f>
        <v>569437</v>
      </c>
      <c r="J129" s="244">
        <f>453183+120000</f>
        <v>573183</v>
      </c>
      <c r="K129" s="244">
        <f>270291+120000</f>
        <v>390291</v>
      </c>
      <c r="L129" s="244">
        <f>352718+120000</f>
        <v>472718</v>
      </c>
      <c r="M129" s="244">
        <f>L129</f>
        <v>472718</v>
      </c>
      <c r="N129" s="244">
        <f t="shared" ref="N129:AD129" si="135">M129</f>
        <v>472718</v>
      </c>
      <c r="O129" s="244">
        <f t="shared" si="135"/>
        <v>472718</v>
      </c>
      <c r="P129" s="244">
        <f t="shared" si="135"/>
        <v>472718</v>
      </c>
      <c r="Q129" s="244">
        <f t="shared" si="135"/>
        <v>472718</v>
      </c>
      <c r="R129" s="244">
        <f t="shared" si="135"/>
        <v>472718</v>
      </c>
      <c r="S129" s="244">
        <f t="shared" si="135"/>
        <v>472718</v>
      </c>
      <c r="T129" s="244">
        <f t="shared" si="135"/>
        <v>472718</v>
      </c>
      <c r="U129" s="244">
        <f t="shared" si="135"/>
        <v>472718</v>
      </c>
      <c r="V129" s="244">
        <f t="shared" si="135"/>
        <v>472718</v>
      </c>
      <c r="W129" s="244">
        <f t="shared" si="135"/>
        <v>472718</v>
      </c>
      <c r="X129" s="244">
        <f t="shared" si="135"/>
        <v>472718</v>
      </c>
      <c r="Y129" s="244">
        <f t="shared" si="135"/>
        <v>472718</v>
      </c>
      <c r="Z129" s="244">
        <f t="shared" si="135"/>
        <v>472718</v>
      </c>
      <c r="AA129" s="244">
        <f t="shared" si="135"/>
        <v>472718</v>
      </c>
      <c r="AB129" s="244">
        <f t="shared" si="135"/>
        <v>472718</v>
      </c>
      <c r="AC129" s="244">
        <f t="shared" si="135"/>
        <v>472718</v>
      </c>
      <c r="AD129" s="244">
        <f t="shared" si="135"/>
        <v>472718</v>
      </c>
    </row>
    <row r="130" spans="1:30" s="241" customFormat="1" ht="11" hidden="1">
      <c r="A130" s="185"/>
      <c r="B130" s="185"/>
      <c r="C130" s="185"/>
      <c r="D130" s="185" t="s">
        <v>974</v>
      </c>
      <c r="E130" s="185"/>
      <c r="G130" s="241">
        <f>G129/F129-1</f>
        <v>6.8159922263844708E-2</v>
      </c>
      <c r="H130" s="241">
        <f t="shared" ref="H130:AD130" si="136">H129/G129-1</f>
        <v>0.3374097409947745</v>
      </c>
      <c r="I130" s="241">
        <f t="shared" si="136"/>
        <v>0.10036135265700485</v>
      </c>
      <c r="J130" s="241">
        <f t="shared" si="136"/>
        <v>6.5784274643199137E-3</v>
      </c>
      <c r="K130" s="241">
        <f t="shared" si="136"/>
        <v>-0.31908134051428605</v>
      </c>
      <c r="L130" s="241">
        <f t="shared" si="136"/>
        <v>0.21119369906044461</v>
      </c>
      <c r="M130" s="241">
        <f t="shared" si="136"/>
        <v>0</v>
      </c>
      <c r="N130" s="241">
        <f t="shared" si="136"/>
        <v>0</v>
      </c>
      <c r="O130" s="241">
        <f t="shared" si="136"/>
        <v>0</v>
      </c>
      <c r="P130" s="241">
        <f t="shared" si="136"/>
        <v>0</v>
      </c>
      <c r="Q130" s="241">
        <f t="shared" si="136"/>
        <v>0</v>
      </c>
      <c r="R130" s="241">
        <f t="shared" si="136"/>
        <v>0</v>
      </c>
      <c r="S130" s="241">
        <f t="shared" si="136"/>
        <v>0</v>
      </c>
      <c r="T130" s="241">
        <f t="shared" si="136"/>
        <v>0</v>
      </c>
      <c r="U130" s="241">
        <f t="shared" si="136"/>
        <v>0</v>
      </c>
      <c r="V130" s="241">
        <f t="shared" si="136"/>
        <v>0</v>
      </c>
      <c r="W130" s="241">
        <f t="shared" si="136"/>
        <v>0</v>
      </c>
      <c r="X130" s="241">
        <f t="shared" si="136"/>
        <v>0</v>
      </c>
      <c r="Y130" s="241">
        <f t="shared" si="136"/>
        <v>0</v>
      </c>
      <c r="Z130" s="241">
        <f t="shared" si="136"/>
        <v>0</v>
      </c>
      <c r="AA130" s="241">
        <f t="shared" si="136"/>
        <v>0</v>
      </c>
      <c r="AB130" s="241">
        <f t="shared" si="136"/>
        <v>0</v>
      </c>
      <c r="AC130" s="241">
        <f t="shared" si="136"/>
        <v>0</v>
      </c>
      <c r="AD130" s="241">
        <f t="shared" si="136"/>
        <v>0</v>
      </c>
    </row>
    <row r="131" spans="1:30" s="234" customFormat="1" ht="14" hidden="1">
      <c r="A131" s="131"/>
      <c r="B131" s="131"/>
      <c r="C131" s="131"/>
      <c r="D131" s="206" t="s">
        <v>1032</v>
      </c>
      <c r="E131" s="131"/>
      <c r="F131" s="234">
        <f>F129*F132</f>
        <v>57960.160000000003</v>
      </c>
      <c r="G131" s="234">
        <f t="shared" ref="G131:AD131" si="137">G129*G132</f>
        <v>64619.314000000006</v>
      </c>
      <c r="H131" s="234">
        <f t="shared" si="137"/>
        <v>86940</v>
      </c>
      <c r="I131" s="234">
        <f t="shared" si="137"/>
        <v>95665.416000000012</v>
      </c>
      <c r="J131" s="234">
        <f t="shared" si="137"/>
        <v>96294.744000000006</v>
      </c>
      <c r="K131" s="234">
        <f t="shared" si="137"/>
        <v>65178.597000000002</v>
      </c>
      <c r="L131" s="234">
        <f t="shared" si="137"/>
        <v>78943.906000000003</v>
      </c>
      <c r="M131" s="234">
        <f t="shared" si="137"/>
        <v>78943.906000000003</v>
      </c>
      <c r="N131" s="234">
        <f t="shared" si="137"/>
        <v>75634.880000000005</v>
      </c>
      <c r="O131" s="234">
        <f t="shared" si="137"/>
        <v>75634.880000000005</v>
      </c>
      <c r="P131" s="234">
        <f t="shared" si="137"/>
        <v>75634.880000000005</v>
      </c>
      <c r="Q131" s="234">
        <f t="shared" si="137"/>
        <v>75634.880000000005</v>
      </c>
      <c r="R131" s="234">
        <f t="shared" si="137"/>
        <v>75634.880000000005</v>
      </c>
      <c r="S131" s="234">
        <f t="shared" si="137"/>
        <v>75634.880000000005</v>
      </c>
      <c r="T131" s="234">
        <f t="shared" si="137"/>
        <v>75634.880000000005</v>
      </c>
      <c r="U131" s="234">
        <f t="shared" si="137"/>
        <v>75634.880000000005</v>
      </c>
      <c r="V131" s="234">
        <f t="shared" si="137"/>
        <v>75634.880000000005</v>
      </c>
      <c r="W131" s="234">
        <f t="shared" si="137"/>
        <v>75634.880000000005</v>
      </c>
      <c r="X131" s="234">
        <f t="shared" si="137"/>
        <v>75634.880000000005</v>
      </c>
      <c r="Y131" s="234">
        <f t="shared" si="137"/>
        <v>75634.880000000005</v>
      </c>
      <c r="Z131" s="234">
        <f t="shared" si="137"/>
        <v>75634.880000000005</v>
      </c>
      <c r="AA131" s="234">
        <f t="shared" si="137"/>
        <v>75634.880000000005</v>
      </c>
      <c r="AB131" s="234">
        <f t="shared" si="137"/>
        <v>75634.880000000005</v>
      </c>
      <c r="AC131" s="234">
        <f t="shared" si="137"/>
        <v>75634.880000000005</v>
      </c>
      <c r="AD131" s="234">
        <f t="shared" si="137"/>
        <v>75634.880000000005</v>
      </c>
    </row>
    <row r="132" spans="1:30" s="225" customFormat="1" ht="14" hidden="1">
      <c r="A132" s="195"/>
      <c r="B132" s="195"/>
      <c r="C132" s="195"/>
      <c r="D132" s="195" t="s">
        <v>1031</v>
      </c>
      <c r="E132" s="195"/>
      <c r="F132" s="225">
        <v>0.16</v>
      </c>
      <c r="G132" s="225">
        <v>0.16700000000000001</v>
      </c>
      <c r="H132" s="225">
        <v>0.16800000000000001</v>
      </c>
      <c r="I132" s="225">
        <v>0.16800000000000001</v>
      </c>
      <c r="J132" s="225">
        <v>0.16800000000000001</v>
      </c>
      <c r="K132" s="225">
        <v>0.16700000000000001</v>
      </c>
      <c r="L132" s="225">
        <v>0.16700000000000001</v>
      </c>
      <c r="M132" s="225">
        <v>0.16700000000000001</v>
      </c>
      <c r="N132" s="225">
        <v>0.16</v>
      </c>
      <c r="O132" s="225">
        <f>N132</f>
        <v>0.16</v>
      </c>
      <c r="P132" s="225">
        <f t="shared" ref="P132:AD132" si="138">O132</f>
        <v>0.16</v>
      </c>
      <c r="Q132" s="225">
        <f t="shared" si="138"/>
        <v>0.16</v>
      </c>
      <c r="R132" s="225">
        <f t="shared" si="138"/>
        <v>0.16</v>
      </c>
      <c r="S132" s="225">
        <f t="shared" si="138"/>
        <v>0.16</v>
      </c>
      <c r="T132" s="225">
        <f t="shared" si="138"/>
        <v>0.16</v>
      </c>
      <c r="U132" s="225">
        <f t="shared" si="138"/>
        <v>0.16</v>
      </c>
      <c r="V132" s="225">
        <f t="shared" si="138"/>
        <v>0.16</v>
      </c>
      <c r="W132" s="225">
        <f t="shared" si="138"/>
        <v>0.16</v>
      </c>
      <c r="X132" s="225">
        <f t="shared" si="138"/>
        <v>0.16</v>
      </c>
      <c r="Y132" s="225">
        <f t="shared" si="138"/>
        <v>0.16</v>
      </c>
      <c r="Z132" s="225">
        <f t="shared" si="138"/>
        <v>0.16</v>
      </c>
      <c r="AA132" s="225">
        <f t="shared" si="138"/>
        <v>0.16</v>
      </c>
      <c r="AB132" s="225">
        <f t="shared" si="138"/>
        <v>0.16</v>
      </c>
      <c r="AC132" s="225">
        <f t="shared" si="138"/>
        <v>0.16</v>
      </c>
      <c r="AD132" s="225">
        <f t="shared" si="138"/>
        <v>0.16</v>
      </c>
    </row>
    <row r="133" spans="1:30" s="234" customFormat="1" ht="14" hidden="1">
      <c r="A133" s="131"/>
      <c r="B133" s="131"/>
      <c r="C133" s="131"/>
      <c r="D133" s="206"/>
      <c r="E133" s="131"/>
    </row>
    <row r="134" spans="1:30" s="234" customFormat="1" ht="14" hidden="1">
      <c r="A134" s="131"/>
      <c r="B134" s="131"/>
      <c r="C134" s="131"/>
      <c r="D134" s="206" t="s">
        <v>1033</v>
      </c>
      <c r="E134" s="131"/>
    </row>
    <row r="135" spans="1:30" s="234" customFormat="1" ht="14" hidden="1">
      <c r="A135" s="131"/>
      <c r="B135" s="131"/>
      <c r="C135" s="131"/>
      <c r="D135" s="206" t="s">
        <v>1034</v>
      </c>
      <c r="E135" s="131"/>
      <c r="F135" s="234">
        <v>101648</v>
      </c>
      <c r="G135" s="234">
        <v>131044</v>
      </c>
      <c r="H135" s="234">
        <v>127761</v>
      </c>
      <c r="I135" s="234">
        <v>112834</v>
      </c>
      <c r="J135" s="234">
        <v>132081</v>
      </c>
      <c r="K135" s="234">
        <v>132081</v>
      </c>
      <c r="L135" s="234">
        <v>282903</v>
      </c>
      <c r="M135" s="234">
        <f>L135</f>
        <v>282903</v>
      </c>
      <c r="N135" s="234">
        <f t="shared" ref="N135:AD135" si="139">M135</f>
        <v>282903</v>
      </c>
      <c r="O135" s="234">
        <f t="shared" si="139"/>
        <v>282903</v>
      </c>
      <c r="P135" s="234">
        <f t="shared" si="139"/>
        <v>282903</v>
      </c>
      <c r="Q135" s="234">
        <f t="shared" si="139"/>
        <v>282903</v>
      </c>
      <c r="R135" s="234">
        <f t="shared" si="139"/>
        <v>282903</v>
      </c>
      <c r="S135" s="234">
        <f t="shared" si="139"/>
        <v>282903</v>
      </c>
      <c r="T135" s="234">
        <f t="shared" si="139"/>
        <v>282903</v>
      </c>
      <c r="U135" s="234">
        <f t="shared" si="139"/>
        <v>282903</v>
      </c>
      <c r="V135" s="234">
        <f t="shared" si="139"/>
        <v>282903</v>
      </c>
      <c r="W135" s="234">
        <f t="shared" si="139"/>
        <v>282903</v>
      </c>
      <c r="X135" s="234">
        <f t="shared" si="139"/>
        <v>282903</v>
      </c>
      <c r="Y135" s="234">
        <f t="shared" si="139"/>
        <v>282903</v>
      </c>
      <c r="Z135" s="234">
        <f t="shared" si="139"/>
        <v>282903</v>
      </c>
      <c r="AA135" s="234">
        <f t="shared" si="139"/>
        <v>282903</v>
      </c>
      <c r="AB135" s="234">
        <f t="shared" si="139"/>
        <v>282903</v>
      </c>
      <c r="AC135" s="234">
        <f t="shared" si="139"/>
        <v>282903</v>
      </c>
      <c r="AD135" s="234">
        <f t="shared" si="139"/>
        <v>282903</v>
      </c>
    </row>
    <row r="136" spans="1:30" s="241" customFormat="1" ht="11" hidden="1">
      <c r="A136" s="185"/>
      <c r="B136" s="185"/>
      <c r="C136" s="185"/>
      <c r="D136" s="185" t="s">
        <v>974</v>
      </c>
      <c r="E136" s="185"/>
      <c r="G136" s="241">
        <f>(G135/F135)-1</f>
        <v>0.28919408153628212</v>
      </c>
      <c r="H136" s="241">
        <f t="shared" ref="H136:J136" si="140">(H135/G135)-1</f>
        <v>-2.5052654070388591E-2</v>
      </c>
      <c r="I136" s="241">
        <f t="shared" si="140"/>
        <v>-0.11683534098825155</v>
      </c>
      <c r="J136" s="241">
        <f t="shared" si="140"/>
        <v>0.17057801726429966</v>
      </c>
      <c r="K136" s="241">
        <f t="shared" ref="K136" si="141">K135/J135-1</f>
        <v>0</v>
      </c>
      <c r="L136" s="241">
        <f t="shared" ref="L136" si="142">L135/K135-1</f>
        <v>1.1418902037386149</v>
      </c>
      <c r="M136" s="241">
        <f t="shared" ref="M136" si="143">M135/L135-1</f>
        <v>0</v>
      </c>
      <c r="N136" s="241">
        <f t="shared" ref="N136" si="144">N135/M135-1</f>
        <v>0</v>
      </c>
      <c r="O136" s="241">
        <f t="shared" ref="O136" si="145">O135/N135-1</f>
        <v>0</v>
      </c>
      <c r="P136" s="241">
        <f t="shared" ref="P136" si="146">P135/O135-1</f>
        <v>0</v>
      </c>
      <c r="Q136" s="241">
        <f t="shared" ref="Q136" si="147">Q135/P135-1</f>
        <v>0</v>
      </c>
      <c r="R136" s="241">
        <f t="shared" ref="R136" si="148">R135/Q135-1</f>
        <v>0</v>
      </c>
      <c r="S136" s="241">
        <f t="shared" ref="S136" si="149">S135/R135-1</f>
        <v>0</v>
      </c>
      <c r="T136" s="241">
        <f t="shared" ref="T136" si="150">T135/S135-1</f>
        <v>0</v>
      </c>
      <c r="U136" s="241">
        <f t="shared" ref="U136" si="151">U135/T135-1</f>
        <v>0</v>
      </c>
      <c r="V136" s="241">
        <f t="shared" ref="V136" si="152">V135/U135-1</f>
        <v>0</v>
      </c>
      <c r="W136" s="241">
        <f t="shared" ref="W136" si="153">W135/V135-1</f>
        <v>0</v>
      </c>
      <c r="X136" s="241">
        <f t="shared" ref="X136" si="154">X135/W135-1</f>
        <v>0</v>
      </c>
      <c r="Y136" s="241">
        <f t="shared" ref="Y136" si="155">Y135/X135-1</f>
        <v>0</v>
      </c>
      <c r="Z136" s="241">
        <f t="shared" ref="Z136" si="156">Z135/Y135-1</f>
        <v>0</v>
      </c>
      <c r="AA136" s="241">
        <f t="shared" ref="AA136" si="157">AA135/Z135-1</f>
        <v>0</v>
      </c>
      <c r="AB136" s="241">
        <f t="shared" ref="AB136" si="158">AB135/AA135-1</f>
        <v>0</v>
      </c>
      <c r="AC136" s="241">
        <f t="shared" ref="AC136" si="159">AC135/AB135-1</f>
        <v>0</v>
      </c>
      <c r="AD136" s="241">
        <f t="shared" ref="AD136" si="160">AD135/AC135-1</f>
        <v>0</v>
      </c>
    </row>
    <row r="137" spans="1:30" s="234" customFormat="1" ht="14" hidden="1">
      <c r="A137" s="131"/>
      <c r="B137" s="131"/>
      <c r="C137" s="131"/>
      <c r="D137" s="206"/>
      <c r="E137" s="131"/>
    </row>
    <row r="138" spans="1:30" s="234" customFormat="1" ht="14" hidden="1">
      <c r="A138" s="131"/>
      <c r="B138" s="131"/>
      <c r="C138" s="131"/>
      <c r="D138" s="206" t="s">
        <v>1035</v>
      </c>
      <c r="E138" s="131"/>
      <c r="F138" s="234">
        <v>23072</v>
      </c>
      <c r="G138" s="234">
        <v>21582</v>
      </c>
    </row>
    <row r="139" spans="1:30" s="241" customFormat="1" ht="11" hidden="1">
      <c r="A139" s="185"/>
      <c r="B139" s="185"/>
      <c r="C139" s="185"/>
      <c r="D139" s="185" t="s">
        <v>974</v>
      </c>
      <c r="E139" s="185"/>
      <c r="G139" s="241">
        <f>G138/F138-1</f>
        <v>-6.4580443828016643E-2</v>
      </c>
      <c r="H139" s="241">
        <f t="shared" ref="H139" si="161">H138/G138-1</f>
        <v>-1</v>
      </c>
      <c r="I139" s="241" t="e">
        <f t="shared" ref="I139" si="162">I138/H138-1</f>
        <v>#DIV/0!</v>
      </c>
      <c r="J139" s="241" t="e">
        <f t="shared" ref="J139" si="163">J138/I138-1</f>
        <v>#DIV/0!</v>
      </c>
      <c r="K139" s="241" t="e">
        <f t="shared" ref="K139" si="164">K138/J138-1</f>
        <v>#DIV/0!</v>
      </c>
      <c r="L139" s="241" t="e">
        <f t="shared" ref="L139" si="165">L138/K138-1</f>
        <v>#DIV/0!</v>
      </c>
      <c r="M139" s="241" t="e">
        <f t="shared" ref="M139" si="166">M138/L138-1</f>
        <v>#DIV/0!</v>
      </c>
      <c r="N139" s="241" t="e">
        <f t="shared" ref="N139" si="167">N138/M138-1</f>
        <v>#DIV/0!</v>
      </c>
      <c r="O139" s="241" t="e">
        <f t="shared" ref="O139" si="168">O138/N138-1</f>
        <v>#DIV/0!</v>
      </c>
      <c r="P139" s="241" t="e">
        <f t="shared" ref="P139" si="169">P138/O138-1</f>
        <v>#DIV/0!</v>
      </c>
      <c r="Q139" s="241" t="e">
        <f t="shared" ref="Q139" si="170">Q138/P138-1</f>
        <v>#DIV/0!</v>
      </c>
      <c r="R139" s="241" t="e">
        <f t="shared" ref="R139" si="171">R138/Q138-1</f>
        <v>#DIV/0!</v>
      </c>
      <c r="S139" s="241" t="e">
        <f t="shared" ref="S139" si="172">S138/R138-1</f>
        <v>#DIV/0!</v>
      </c>
      <c r="T139" s="241" t="e">
        <f t="shared" ref="T139" si="173">T138/S138-1</f>
        <v>#DIV/0!</v>
      </c>
      <c r="U139" s="241" t="e">
        <f t="shared" ref="U139" si="174">U138/T138-1</f>
        <v>#DIV/0!</v>
      </c>
      <c r="V139" s="241" t="e">
        <f t="shared" ref="V139" si="175">V138/U138-1</f>
        <v>#DIV/0!</v>
      </c>
      <c r="W139" s="241" t="e">
        <f t="shared" ref="W139" si="176">W138/V138-1</f>
        <v>#DIV/0!</v>
      </c>
      <c r="X139" s="241" t="e">
        <f t="shared" ref="X139" si="177">X138/W138-1</f>
        <v>#DIV/0!</v>
      </c>
      <c r="Y139" s="241" t="e">
        <f t="shared" ref="Y139" si="178">Y138/X138-1</f>
        <v>#DIV/0!</v>
      </c>
      <c r="Z139" s="241" t="e">
        <f t="shared" ref="Z139" si="179">Z138/Y138-1</f>
        <v>#DIV/0!</v>
      </c>
      <c r="AA139" s="241" t="e">
        <f t="shared" ref="AA139" si="180">AA138/Z138-1</f>
        <v>#DIV/0!</v>
      </c>
      <c r="AB139" s="241" t="e">
        <f t="shared" ref="AB139" si="181">AB138/AA138-1</f>
        <v>#DIV/0!</v>
      </c>
      <c r="AC139" s="241" t="e">
        <f t="shared" ref="AC139" si="182">AC138/AB138-1</f>
        <v>#DIV/0!</v>
      </c>
      <c r="AD139" s="241" t="e">
        <f t="shared" ref="AD139" si="183">AD138/AC138-1</f>
        <v>#DIV/0!</v>
      </c>
    </row>
    <row r="140" spans="1:30" s="234" customFormat="1" ht="14" hidden="1">
      <c r="A140" s="131"/>
      <c r="B140" s="131"/>
      <c r="C140" s="131"/>
      <c r="D140" s="131" t="s">
        <v>1036</v>
      </c>
      <c r="E140" s="131"/>
      <c r="G140" s="234">
        <v>24989</v>
      </c>
      <c r="H140" s="234">
        <v>15021</v>
      </c>
      <c r="I140" s="234">
        <v>9145</v>
      </c>
    </row>
    <row r="141" spans="1:30" s="241" customFormat="1" ht="11" hidden="1">
      <c r="A141" s="185"/>
      <c r="B141" s="185"/>
      <c r="C141" s="185"/>
      <c r="D141" s="185" t="s">
        <v>974</v>
      </c>
      <c r="E141" s="185"/>
      <c r="G141" s="241" t="e">
        <f>G140/F140-1</f>
        <v>#DIV/0!</v>
      </c>
      <c r="H141" s="241">
        <f t="shared" ref="H141" si="184">H140/G140-1</f>
        <v>-0.39889551402617152</v>
      </c>
      <c r="I141" s="241">
        <f t="shared" ref="I141" si="185">I140/H140-1</f>
        <v>-0.39118567339058652</v>
      </c>
      <c r="J141" s="241">
        <f t="shared" ref="J141" si="186">J140/I140-1</f>
        <v>-1</v>
      </c>
      <c r="K141" s="241" t="e">
        <f t="shared" ref="K141" si="187">K140/J140-1</f>
        <v>#DIV/0!</v>
      </c>
      <c r="L141" s="241" t="e">
        <f t="shared" ref="L141" si="188">L140/K140-1</f>
        <v>#DIV/0!</v>
      </c>
      <c r="M141" s="241" t="e">
        <f t="shared" ref="M141" si="189">M140/L140-1</f>
        <v>#DIV/0!</v>
      </c>
      <c r="N141" s="241" t="e">
        <f t="shared" ref="N141" si="190">N140/M140-1</f>
        <v>#DIV/0!</v>
      </c>
      <c r="O141" s="241" t="e">
        <f t="shared" ref="O141" si="191">O140/N140-1</f>
        <v>#DIV/0!</v>
      </c>
      <c r="P141" s="241" t="e">
        <f t="shared" ref="P141" si="192">P140/O140-1</f>
        <v>#DIV/0!</v>
      </c>
      <c r="Q141" s="241" t="e">
        <f t="shared" ref="Q141" si="193">Q140/P140-1</f>
        <v>#DIV/0!</v>
      </c>
      <c r="R141" s="241" t="e">
        <f t="shared" ref="R141" si="194">R140/Q140-1</f>
        <v>#DIV/0!</v>
      </c>
      <c r="S141" s="241" t="e">
        <f t="shared" ref="S141" si="195">S140/R140-1</f>
        <v>#DIV/0!</v>
      </c>
      <c r="T141" s="241" t="e">
        <f t="shared" ref="T141" si="196">T140/S140-1</f>
        <v>#DIV/0!</v>
      </c>
      <c r="U141" s="241" t="e">
        <f t="shared" ref="U141" si="197">U140/T140-1</f>
        <v>#DIV/0!</v>
      </c>
      <c r="V141" s="241" t="e">
        <f t="shared" ref="V141" si="198">V140/U140-1</f>
        <v>#DIV/0!</v>
      </c>
      <c r="W141" s="241" t="e">
        <f t="shared" ref="W141" si="199">W140/V140-1</f>
        <v>#DIV/0!</v>
      </c>
      <c r="X141" s="241" t="e">
        <f t="shared" ref="X141" si="200">X140/W140-1</f>
        <v>#DIV/0!</v>
      </c>
      <c r="Y141" s="241" t="e">
        <f t="shared" ref="Y141" si="201">Y140/X140-1</f>
        <v>#DIV/0!</v>
      </c>
      <c r="Z141" s="241" t="e">
        <f t="shared" ref="Z141" si="202">Z140/Y140-1</f>
        <v>#DIV/0!</v>
      </c>
      <c r="AA141" s="241" t="e">
        <f t="shared" ref="AA141" si="203">AA140/Z140-1</f>
        <v>#DIV/0!</v>
      </c>
      <c r="AB141" s="241" t="e">
        <f t="shared" ref="AB141" si="204">AB140/AA140-1</f>
        <v>#DIV/0!</v>
      </c>
      <c r="AC141" s="241" t="e">
        <f t="shared" ref="AC141" si="205">AC140/AB140-1</f>
        <v>#DIV/0!</v>
      </c>
      <c r="AD141" s="241" t="e">
        <f t="shared" ref="AD141" si="206">AD140/AC140-1</f>
        <v>#DIV/0!</v>
      </c>
    </row>
    <row r="142" spans="1:30" s="234" customFormat="1" ht="14" hidden="1">
      <c r="A142" s="131"/>
      <c r="B142" s="131"/>
      <c r="C142" s="131"/>
      <c r="D142" s="131" t="s">
        <v>1037</v>
      </c>
      <c r="E142" s="131"/>
      <c r="F142" s="234">
        <v>5443</v>
      </c>
      <c r="G142" s="234">
        <v>6451</v>
      </c>
      <c r="H142" s="234">
        <v>4082</v>
      </c>
      <c r="I142" s="234">
        <v>2339</v>
      </c>
      <c r="J142" s="234">
        <v>2229</v>
      </c>
    </row>
    <row r="143" spans="1:30" s="241" customFormat="1" ht="11" hidden="1">
      <c r="A143" s="185"/>
      <c r="B143" s="185"/>
      <c r="C143" s="185"/>
      <c r="D143" s="185" t="s">
        <v>974</v>
      </c>
      <c r="E143" s="185"/>
      <c r="G143" s="241">
        <f>G142/F142-1</f>
        <v>0.18519198971155615</v>
      </c>
      <c r="H143" s="241">
        <f t="shared" ref="H143" si="207">H142/G142-1</f>
        <v>-0.36722988683924973</v>
      </c>
      <c r="I143" s="241">
        <f t="shared" ref="I143" si="208">I142/H142-1</f>
        <v>-0.42699657030867222</v>
      </c>
      <c r="J143" s="241">
        <f t="shared" ref="J143" si="209">J142/I142-1</f>
        <v>-4.7028644719965818E-2</v>
      </c>
      <c r="K143" s="241">
        <f t="shared" ref="K143" si="210">K142/J142-1</f>
        <v>-1</v>
      </c>
      <c r="L143" s="241" t="e">
        <f t="shared" ref="L143" si="211">L142/K142-1</f>
        <v>#DIV/0!</v>
      </c>
      <c r="M143" s="241" t="e">
        <f t="shared" ref="M143" si="212">M142/L142-1</f>
        <v>#DIV/0!</v>
      </c>
      <c r="N143" s="241" t="e">
        <f t="shared" ref="N143" si="213">N142/M142-1</f>
        <v>#DIV/0!</v>
      </c>
      <c r="O143" s="241" t="e">
        <f t="shared" ref="O143" si="214">O142/N142-1</f>
        <v>#DIV/0!</v>
      </c>
      <c r="P143" s="241" t="e">
        <f t="shared" ref="P143" si="215">P142/O142-1</f>
        <v>#DIV/0!</v>
      </c>
      <c r="Q143" s="241" t="e">
        <f t="shared" ref="Q143" si="216">Q142/P142-1</f>
        <v>#DIV/0!</v>
      </c>
      <c r="R143" s="241" t="e">
        <f t="shared" ref="R143" si="217">R142/Q142-1</f>
        <v>#DIV/0!</v>
      </c>
      <c r="S143" s="241" t="e">
        <f t="shared" ref="S143" si="218">S142/R142-1</f>
        <v>#DIV/0!</v>
      </c>
      <c r="T143" s="241" t="e">
        <f t="shared" ref="T143" si="219">T142/S142-1</f>
        <v>#DIV/0!</v>
      </c>
      <c r="U143" s="241" t="e">
        <f t="shared" ref="U143" si="220">U142/T142-1</f>
        <v>#DIV/0!</v>
      </c>
      <c r="V143" s="241" t="e">
        <f t="shared" ref="V143" si="221">V142/U142-1</f>
        <v>#DIV/0!</v>
      </c>
      <c r="W143" s="241" t="e">
        <f t="shared" ref="W143" si="222">W142/V142-1</f>
        <v>#DIV/0!</v>
      </c>
      <c r="X143" s="241" t="e">
        <f t="shared" ref="X143" si="223">X142/W142-1</f>
        <v>#DIV/0!</v>
      </c>
      <c r="Y143" s="241" t="e">
        <f t="shared" ref="Y143" si="224">Y142/X142-1</f>
        <v>#DIV/0!</v>
      </c>
      <c r="Z143" s="241" t="e">
        <f t="shared" ref="Z143" si="225">Z142/Y142-1</f>
        <v>#DIV/0!</v>
      </c>
      <c r="AA143" s="241" t="e">
        <f t="shared" ref="AA143" si="226">AA142/Z142-1</f>
        <v>#DIV/0!</v>
      </c>
      <c r="AB143" s="241" t="e">
        <f t="shared" ref="AB143" si="227">AB142/AA142-1</f>
        <v>#DIV/0!</v>
      </c>
      <c r="AC143" s="241" t="e">
        <f t="shared" ref="AC143" si="228">AC142/AB142-1</f>
        <v>#DIV/0!</v>
      </c>
      <c r="AD143" s="241" t="e">
        <f t="shared" ref="AD143" si="229">AD142/AC142-1</f>
        <v>#DIV/0!</v>
      </c>
    </row>
    <row r="144" spans="1:30" s="241" customFormat="1" ht="11" hidden="1">
      <c r="A144" s="185"/>
      <c r="B144" s="185"/>
      <c r="C144" s="185"/>
      <c r="D144" s="185"/>
      <c r="E144" s="185"/>
    </row>
    <row r="145" spans="1:32" s="245" customFormat="1" ht="14" hidden="1">
      <c r="A145" s="197"/>
      <c r="B145" s="197"/>
      <c r="C145" s="197"/>
      <c r="D145" s="197" t="s">
        <v>1038</v>
      </c>
      <c r="E145" s="197"/>
    </row>
    <row r="146" spans="1:32" s="224" customFormat="1" ht="14" hidden="1">
      <c r="A146" s="249"/>
      <c r="B146" s="249"/>
      <c r="C146" s="249"/>
      <c r="D146" s="249" t="s">
        <v>1039</v>
      </c>
      <c r="E146" s="249"/>
      <c r="F146" s="224">
        <v>19096</v>
      </c>
      <c r="G146" s="224">
        <v>33271</v>
      </c>
      <c r="H146" s="224">
        <v>32037</v>
      </c>
      <c r="I146" s="224">
        <v>28049</v>
      </c>
      <c r="J146" s="224">
        <v>30977</v>
      </c>
    </row>
    <row r="147" spans="1:32" s="225" customFormat="1" ht="14" hidden="1">
      <c r="A147" s="195"/>
      <c r="B147" s="195"/>
      <c r="C147" s="195"/>
      <c r="D147" s="195" t="s">
        <v>1040</v>
      </c>
      <c r="E147" s="195"/>
    </row>
    <row r="148" spans="1:32" s="246" customFormat="1" hidden="1">
      <c r="A148" s="358"/>
      <c r="B148" s="358"/>
      <c r="C148" s="358"/>
      <c r="D148" s="358"/>
      <c r="E148" s="358"/>
    </row>
    <row r="149" spans="1:32" s="242" customFormat="1" hidden="1">
      <c r="A149" s="100"/>
      <c r="B149" s="100"/>
      <c r="C149" s="100"/>
      <c r="D149" s="100" t="s">
        <v>451</v>
      </c>
      <c r="E149" s="100"/>
      <c r="H149" s="242">
        <v>23000</v>
      </c>
      <c r="I149" s="242">
        <v>20000</v>
      </c>
      <c r="J149" s="242">
        <v>35000</v>
      </c>
      <c r="K149" s="242">
        <v>-50000</v>
      </c>
      <c r="L149" s="242">
        <v>19000</v>
      </c>
      <c r="M149" s="242">
        <v>-50000</v>
      </c>
      <c r="N149" s="242">
        <v>35000</v>
      </c>
      <c r="O149" s="242">
        <v>88000</v>
      </c>
      <c r="P149" s="242">
        <f>P151*P120</f>
        <v>92196.368993839846</v>
      </c>
      <c r="Q149" s="242">
        <f t="shared" ref="Q149:AD149" si="230">Q151*Q120</f>
        <v>90024.156377198946</v>
      </c>
      <c r="R149" s="242">
        <f t="shared" si="230"/>
        <v>94525.364196058901</v>
      </c>
      <c r="S149" s="242">
        <f t="shared" si="230"/>
        <v>99251.632405861863</v>
      </c>
      <c r="T149" s="242">
        <f t="shared" si="230"/>
        <v>103221.69770209632</v>
      </c>
      <c r="U149" s="242">
        <f t="shared" si="230"/>
        <v>96615.509049162152</v>
      </c>
      <c r="V149" s="242">
        <f t="shared" si="230"/>
        <v>100480.12941112864</v>
      </c>
      <c r="W149" s="242">
        <f t="shared" si="230"/>
        <v>104499.3345875738</v>
      </c>
      <c r="X149" s="242">
        <f t="shared" si="230"/>
        <v>108679.30797107675</v>
      </c>
      <c r="Y149" s="242">
        <f t="shared" si="230"/>
        <v>100467.98247992873</v>
      </c>
      <c r="Z149" s="242">
        <f t="shared" si="230"/>
        <v>104486.70177912591</v>
      </c>
      <c r="AA149" s="242">
        <f t="shared" si="230"/>
        <v>108666.16985029096</v>
      </c>
      <c r="AB149" s="242">
        <f t="shared" si="230"/>
        <v>113012.81664430261</v>
      </c>
      <c r="AC149" s="242">
        <f t="shared" si="230"/>
        <v>117533.32931007475</v>
      </c>
      <c r="AD149" s="242">
        <f t="shared" si="230"/>
        <v>122234.66248247774</v>
      </c>
    </row>
    <row r="150" spans="1:32" s="241" customFormat="1" ht="11" hidden="1">
      <c r="A150" s="185"/>
      <c r="B150" s="185"/>
      <c r="C150" s="185"/>
      <c r="D150" s="185" t="s">
        <v>832</v>
      </c>
      <c r="E150" s="185"/>
      <c r="I150" s="241">
        <f>(I149/H149)-1</f>
        <v>-0.13043478260869568</v>
      </c>
      <c r="J150" s="241">
        <f t="shared" ref="J150:O150" si="231">(J149/I149)-1</f>
        <v>0.75</v>
      </c>
      <c r="K150" s="241">
        <f t="shared" si="231"/>
        <v>-2.4285714285714288</v>
      </c>
      <c r="L150" s="241">
        <f t="shared" si="231"/>
        <v>-1.38</v>
      </c>
      <c r="M150" s="241">
        <f t="shared" si="231"/>
        <v>-3.6315789473684212</v>
      </c>
      <c r="N150" s="241">
        <f t="shared" si="231"/>
        <v>-1.7</v>
      </c>
      <c r="O150" s="241">
        <f t="shared" si="231"/>
        <v>1.5142857142857142</v>
      </c>
      <c r="P150" s="241">
        <f t="shared" ref="P150" si="232">(P149/O149)-1</f>
        <v>4.7686011293634589E-2</v>
      </c>
      <c r="Q150" s="241">
        <f t="shared" ref="Q150" si="233">(Q149/P149)-1</f>
        <v>-2.3560717632882477E-2</v>
      </c>
      <c r="R150" s="241">
        <f t="shared" ref="R150" si="234">(R149/Q149)-1</f>
        <v>5.0000000000000044E-2</v>
      </c>
      <c r="S150" s="241">
        <f t="shared" ref="S150" si="235">(S149/R149)-1</f>
        <v>5.0000000000000266E-2</v>
      </c>
      <c r="T150" s="241">
        <f t="shared" ref="T150" si="236">(T149/S149)-1</f>
        <v>3.9999999999999813E-2</v>
      </c>
      <c r="U150" s="241">
        <f t="shared" ref="U150" si="237">(U149/T149)-1</f>
        <v>-6.4000000000000057E-2</v>
      </c>
      <c r="V150" s="241">
        <f t="shared" ref="V150" si="238">(V149/U149)-1</f>
        <v>4.0000000000000036E-2</v>
      </c>
      <c r="W150" s="241">
        <f t="shared" ref="W150" si="239">(W149/V149)-1</f>
        <v>4.0000000000000258E-2</v>
      </c>
      <c r="X150" s="241">
        <f t="shared" ref="X150" si="240">(X149/W149)-1</f>
        <v>4.0000000000000036E-2</v>
      </c>
      <c r="Y150" s="241">
        <f t="shared" ref="Y150" si="241">(Y149/X149)-1</f>
        <v>-7.5555555555555487E-2</v>
      </c>
      <c r="Z150" s="241">
        <f t="shared" ref="Z150" si="242">(Z149/Y149)-1</f>
        <v>4.0000000000000258E-2</v>
      </c>
      <c r="AA150" s="241">
        <f t="shared" ref="AA150" si="243">(AA149/Z149)-1</f>
        <v>4.0000000000000036E-2</v>
      </c>
      <c r="AB150" s="241">
        <f t="shared" ref="AB150" si="244">(AB149/AA149)-1</f>
        <v>4.0000000000000258E-2</v>
      </c>
      <c r="AC150" s="241">
        <f t="shared" ref="AC150" si="245">(AC149/AB149)-1</f>
        <v>4.0000000000000258E-2</v>
      </c>
      <c r="AD150" s="241">
        <f t="shared" ref="AD150" si="246">(AD149/AC149)-1</f>
        <v>4.0000000000000036E-2</v>
      </c>
    </row>
    <row r="151" spans="1:32" s="241" customFormat="1" ht="11" hidden="1">
      <c r="A151" s="185"/>
      <c r="B151" s="185"/>
      <c r="C151" s="185"/>
      <c r="D151" s="185" t="s">
        <v>978</v>
      </c>
      <c r="E151" s="185"/>
      <c r="H151" s="241">
        <f>H149/H120</f>
        <v>6.1083239404454065E-2</v>
      </c>
      <c r="I151" s="241">
        <f t="shared" ref="I151:O151" si="247">I149/I120</f>
        <v>5.8823529411764705E-2</v>
      </c>
      <c r="J151" s="241">
        <f t="shared" si="247"/>
        <v>7.9545454545454544E-2</v>
      </c>
      <c r="K151" s="241">
        <f t="shared" si="247"/>
        <v>-0.17857142857142858</v>
      </c>
      <c r="L151" s="241">
        <f t="shared" si="247"/>
        <v>4.3879907621247112E-2</v>
      </c>
      <c r="M151" s="241">
        <f t="shared" si="247"/>
        <v>-0.17241379310344829</v>
      </c>
      <c r="N151" s="241">
        <f t="shared" si="247"/>
        <v>7.0000000000000007E-2</v>
      </c>
      <c r="O151" s="241">
        <f t="shared" si="247"/>
        <v>0.11594202898550725</v>
      </c>
      <c r="P151" s="241">
        <v>0.11</v>
      </c>
      <c r="Q151" s="241">
        <v>0.1</v>
      </c>
      <c r="R151" s="241">
        <f>Q151</f>
        <v>0.1</v>
      </c>
      <c r="S151" s="241">
        <f t="shared" ref="S151:T151" si="248">R151</f>
        <v>0.1</v>
      </c>
      <c r="T151" s="241">
        <f t="shared" si="248"/>
        <v>0.1</v>
      </c>
      <c r="U151" s="241">
        <v>0.09</v>
      </c>
      <c r="V151" s="241">
        <f>U151</f>
        <v>0.09</v>
      </c>
      <c r="W151" s="241">
        <f t="shared" ref="W151:X151" si="249">V151</f>
        <v>0.09</v>
      </c>
      <c r="X151" s="241">
        <f t="shared" si="249"/>
        <v>0.09</v>
      </c>
      <c r="Y151" s="241">
        <v>0.08</v>
      </c>
      <c r="Z151" s="241">
        <f>Y151</f>
        <v>0.08</v>
      </c>
      <c r="AA151" s="241">
        <f t="shared" ref="AA151:AD151" si="250">Z151</f>
        <v>0.08</v>
      </c>
      <c r="AB151" s="241">
        <f t="shared" si="250"/>
        <v>0.08</v>
      </c>
      <c r="AC151" s="241">
        <f t="shared" si="250"/>
        <v>0.08</v>
      </c>
      <c r="AD151" s="241">
        <f t="shared" si="250"/>
        <v>0.08</v>
      </c>
    </row>
    <row r="152" spans="1:32" s="241" customFormat="1" ht="11" hidden="1">
      <c r="A152" s="185"/>
      <c r="B152" s="185"/>
      <c r="C152" s="185"/>
      <c r="D152" s="185"/>
      <c r="E152" s="185"/>
    </row>
    <row r="153" spans="1:32" s="241" customFormat="1" ht="11" hidden="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c r="AC153" s="185"/>
      <c r="AD153" s="185"/>
    </row>
    <row r="154" spans="1:32" s="241" customFormat="1" ht="12" thickBo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c r="AC154" s="185"/>
      <c r="AD154" s="185"/>
    </row>
    <row r="155" spans="1:32" ht="16" thickBot="1">
      <c r="A155" s="419"/>
      <c r="B155" s="419"/>
      <c r="C155" s="419"/>
      <c r="D155" s="722" t="s">
        <v>1492</v>
      </c>
      <c r="E155" s="695" t="s">
        <v>216</v>
      </c>
      <c r="F155" s="695" t="s">
        <v>217</v>
      </c>
      <c r="G155" s="695" t="s">
        <v>218</v>
      </c>
      <c r="H155" s="695" t="s">
        <v>28</v>
      </c>
      <c r="I155" s="695" t="s">
        <v>17</v>
      </c>
      <c r="J155" s="695" t="s">
        <v>18</v>
      </c>
      <c r="K155" s="695" t="s">
        <v>19</v>
      </c>
      <c r="L155" s="706" t="s">
        <v>20</v>
      </c>
      <c r="M155" s="706" t="s">
        <v>21</v>
      </c>
      <c r="N155" s="706" t="s">
        <v>22</v>
      </c>
      <c r="O155" s="706" t="s">
        <v>23</v>
      </c>
      <c r="P155" s="404" t="s">
        <v>24</v>
      </c>
      <c r="Q155" s="404" t="s">
        <v>25</v>
      </c>
      <c r="R155" s="404" t="s">
        <v>26</v>
      </c>
      <c r="S155" s="404" t="s">
        <v>27</v>
      </c>
      <c r="T155" s="1380" t="s">
        <v>712</v>
      </c>
      <c r="U155" s="404" t="s">
        <v>713</v>
      </c>
      <c r="V155" s="404" t="s">
        <v>714</v>
      </c>
      <c r="W155" s="404" t="s">
        <v>715</v>
      </c>
      <c r="X155" s="404" t="s">
        <v>716</v>
      </c>
      <c r="Y155" s="404" t="s">
        <v>717</v>
      </c>
      <c r="Z155" s="404" t="s">
        <v>718</v>
      </c>
      <c r="AA155" s="404" t="s">
        <v>719</v>
      </c>
      <c r="AB155" s="404" t="s">
        <v>720</v>
      </c>
      <c r="AC155" s="404" t="s">
        <v>721</v>
      </c>
      <c r="AD155" s="404" t="s">
        <v>722</v>
      </c>
      <c r="AE155" s="1379" t="s">
        <v>1445</v>
      </c>
      <c r="AF155" s="1380" t="s">
        <v>1461</v>
      </c>
    </row>
    <row r="156" spans="1:32" s="109" customFormat="1" ht="16" thickBot="1">
      <c r="A156" s="418"/>
      <c r="B156" s="418"/>
      <c r="C156" s="418"/>
      <c r="D156" s="732" t="s">
        <v>0</v>
      </c>
      <c r="E156" s="406"/>
      <c r="F156" s="406"/>
      <c r="G156" s="406"/>
      <c r="H156" s="406"/>
      <c r="I156" s="406"/>
      <c r="J156" s="406"/>
      <c r="K156" s="406"/>
      <c r="L156" s="1426">
        <v>350443</v>
      </c>
      <c r="M156" s="1426">
        <v>369394</v>
      </c>
      <c r="N156" s="1426">
        <v>405497</v>
      </c>
      <c r="O156" s="1426">
        <v>412147</v>
      </c>
      <c r="P156" s="1426">
        <f>O156*(1+P157)</f>
        <v>534550.23376476893</v>
      </c>
      <c r="Q156" s="1426">
        <f t="shared" ref="Q156:AD156" si="251">P156*(1+Q157)</f>
        <v>577037.28206756513</v>
      </c>
      <c r="R156" s="1426">
        <f t="shared" si="251"/>
        <v>649726.40318825142</v>
      </c>
      <c r="S156" s="1426">
        <f t="shared" si="251"/>
        <v>734071.69175725733</v>
      </c>
      <c r="T156" s="1426">
        <f t="shared" si="251"/>
        <v>827835.97927523125</v>
      </c>
      <c r="U156" s="1426">
        <f t="shared" si="251"/>
        <v>925679.02450322243</v>
      </c>
      <c r="V156" s="1426">
        <f t="shared" si="251"/>
        <v>1036605.2954878543</v>
      </c>
      <c r="W156" s="1426">
        <f t="shared" si="251"/>
        <v>1164196.2599670861</v>
      </c>
      <c r="X156" s="1426">
        <f t="shared" si="251"/>
        <v>1306746.8727998966</v>
      </c>
      <c r="Y156" s="1426">
        <f t="shared" si="251"/>
        <v>1466136.0550541042</v>
      </c>
      <c r="Z156" s="1426">
        <f t="shared" si="251"/>
        <v>1642612.4441791528</v>
      </c>
      <c r="AA156" s="1426">
        <f t="shared" si="251"/>
        <v>1840331.0064376262</v>
      </c>
      <c r="AB156" s="1426">
        <f t="shared" si="251"/>
        <v>2061848.6273237679</v>
      </c>
      <c r="AC156" s="1426">
        <f t="shared" si="251"/>
        <v>2310029.960439615</v>
      </c>
      <c r="AD156" s="1426">
        <f t="shared" si="251"/>
        <v>2588084.4730366864</v>
      </c>
      <c r="AE156" s="989">
        <f>(O156/L156)^(1/3)-1</f>
        <v>5.5548641545225319E-2</v>
      </c>
      <c r="AF156" s="1450">
        <f>(T156/P156)^(1/4)-1</f>
        <v>0.1155497506711689</v>
      </c>
    </row>
    <row r="157" spans="1:32" s="1409" customFormat="1" ht="14">
      <c r="A157" s="1433"/>
      <c r="B157" s="1433"/>
      <c r="C157" s="1433"/>
      <c r="D157" s="1434" t="s">
        <v>832</v>
      </c>
      <c r="M157" s="1409">
        <f t="shared" ref="M157:N157" si="252">(M156/L156)-1</f>
        <v>5.4077267915181748E-2</v>
      </c>
      <c r="N157" s="1409">
        <f t="shared" si="252"/>
        <v>9.7735750986751357E-2</v>
      </c>
      <c r="O157" s="1409">
        <f>(O156/N156)-1</f>
        <v>1.6399628110688846E-2</v>
      </c>
      <c r="P157" s="1409">
        <f>(1+P158)*(1+P159)*(1+P160)-1</f>
        <v>0.29698926296871986</v>
      </c>
      <c r="Q157" s="1409">
        <f t="shared" ref="Q157:AD157" si="253">(1+Q158)*(1+Q159)*(1+Q160)-1</f>
        <v>7.9481862730777175E-2</v>
      </c>
      <c r="R157" s="1409">
        <f t="shared" si="253"/>
        <v>0.12596954023531381</v>
      </c>
      <c r="S157" s="1409">
        <f t="shared" si="253"/>
        <v>0.12981662459016263</v>
      </c>
      <c r="T157" s="1409">
        <f t="shared" si="253"/>
        <v>0.12773178501614235</v>
      </c>
      <c r="U157" s="1409">
        <f t="shared" si="253"/>
        <v>0.11819134185693714</v>
      </c>
      <c r="V157" s="1409">
        <f t="shared" si="253"/>
        <v>0.11983232637702024</v>
      </c>
      <c r="W157" s="1409">
        <f t="shared" si="253"/>
        <v>0.12308538749957298</v>
      </c>
      <c r="X157" s="1409">
        <f t="shared" si="253"/>
        <v>0.12244551690695227</v>
      </c>
      <c r="Y157" s="1409">
        <f t="shared" si="253"/>
        <v>0.12197402999151086</v>
      </c>
      <c r="Z157" s="1409">
        <f t="shared" si="253"/>
        <v>0.12036835770915966</v>
      </c>
      <c r="AA157" s="1409">
        <f t="shared" si="253"/>
        <v>0.12036835770915966</v>
      </c>
      <c r="AB157" s="1409">
        <f t="shared" si="253"/>
        <v>0.12036835770915943</v>
      </c>
      <c r="AC157" s="1409">
        <f t="shared" si="253"/>
        <v>0.12036835770915966</v>
      </c>
      <c r="AD157" s="1409">
        <f t="shared" si="253"/>
        <v>0.12036835770915966</v>
      </c>
      <c r="AE157" s="1434"/>
      <c r="AF157" s="1451"/>
    </row>
    <row r="158" spans="1:32" s="1402" customFormat="1" ht="14">
      <c r="A158" s="562"/>
      <c r="B158" s="562"/>
      <c r="C158" s="562"/>
      <c r="D158" s="1418" t="s">
        <v>1174</v>
      </c>
      <c r="P158" s="1402">
        <v>0.03</v>
      </c>
      <c r="Q158" s="1402">
        <f>P158</f>
        <v>0.03</v>
      </c>
      <c r="R158" s="1402">
        <f t="shared" ref="R158:AD158" si="254">Q158</f>
        <v>0.03</v>
      </c>
      <c r="S158" s="1402">
        <f t="shared" si="254"/>
        <v>0.03</v>
      </c>
      <c r="T158" s="1402">
        <f t="shared" si="254"/>
        <v>0.03</v>
      </c>
      <c r="U158" s="1402">
        <f t="shared" si="254"/>
        <v>0.03</v>
      </c>
      <c r="V158" s="1402">
        <f t="shared" si="254"/>
        <v>0.03</v>
      </c>
      <c r="W158" s="1402">
        <f t="shared" si="254"/>
        <v>0.03</v>
      </c>
      <c r="X158" s="1402">
        <f t="shared" si="254"/>
        <v>0.03</v>
      </c>
      <c r="Y158" s="1402">
        <f t="shared" si="254"/>
        <v>0.03</v>
      </c>
      <c r="Z158" s="1402">
        <f t="shared" si="254"/>
        <v>0.03</v>
      </c>
      <c r="AA158" s="1402">
        <f t="shared" si="254"/>
        <v>0.03</v>
      </c>
      <c r="AB158" s="1402">
        <f t="shared" si="254"/>
        <v>0.03</v>
      </c>
      <c r="AC158" s="1402">
        <f t="shared" si="254"/>
        <v>0.03</v>
      </c>
      <c r="AD158" s="1402">
        <f t="shared" si="254"/>
        <v>0.03</v>
      </c>
      <c r="AE158" s="1418"/>
      <c r="AF158" s="1452"/>
    </row>
    <row r="159" spans="1:32" s="1402" customFormat="1" ht="14">
      <c r="A159" s="562"/>
      <c r="B159" s="562"/>
      <c r="C159" s="562"/>
      <c r="D159" s="1418" t="s">
        <v>1175</v>
      </c>
      <c r="P159" s="1402">
        <f>(0.5*'3h. Segmental Volume Drivers'!P94)+(0.25*'3h. Segmental Volume Drivers'!P97)+(0.25*'3h. Segmental Volume Drivers'!P100)</f>
        <v>4.1497824863094224E-2</v>
      </c>
      <c r="Q159" s="1402">
        <f>(0.5*'3h. Segmental Volume Drivers'!Q94)+(0.25*'3h. Segmental Volume Drivers'!Q97)+(0.25*'3h. Segmental Volume Drivers'!Q100)</f>
        <v>1.2497824863094309E-2</v>
      </c>
      <c r="R159" s="1402">
        <f>(0.5*'3h. Segmental Volume Drivers'!R94)+(0.25*'3h. Segmental Volume Drivers'!R97)+(0.25*'3h. Segmental Volume Drivers'!R100)</f>
        <v>1.2497824863094309E-2</v>
      </c>
      <c r="S159" s="1402">
        <f>(0.5*'3h. Segmental Volume Drivers'!S94)+(0.25*'3h. Segmental Volume Drivers'!S97)+(0.25*'3h. Segmental Volume Drivers'!S100)</f>
        <v>1.2497824863094309E-2</v>
      </c>
      <c r="T159" s="1402">
        <f>(0.5*'3h. Segmental Volume Drivers'!T94)+(0.25*'3h. Segmental Volume Drivers'!T97)+(0.25*'3h. Segmental Volume Drivers'!T100)</f>
        <v>1.2497824863094309E-2</v>
      </c>
      <c r="U159" s="1402">
        <f>(0.5*'3h. Segmental Volume Drivers'!U94)+(0.25*'3h. Segmental Volume Drivers'!U97)+(0.25*'3h. Segmental Volume Drivers'!U100)</f>
        <v>9.9978248630942512E-3</v>
      </c>
      <c r="V159" s="1402">
        <f>(0.5*'3h. Segmental Volume Drivers'!V94)+(0.25*'3h. Segmental Volume Drivers'!V97)+(0.25*'3h. Segmental Volume Drivers'!V100)</f>
        <v>9.9978248630942512E-3</v>
      </c>
      <c r="W159" s="1402">
        <f>(0.5*'3h. Segmental Volume Drivers'!W94)+(0.25*'3h. Segmental Volume Drivers'!W97)+(0.25*'3h. Segmental Volume Drivers'!W100)</f>
        <v>9.9978248630942512E-3</v>
      </c>
      <c r="X159" s="1402">
        <f>(0.5*'3h. Segmental Volume Drivers'!X94)+(0.25*'3h. Segmental Volume Drivers'!X97)+(0.25*'3h. Segmental Volume Drivers'!X100)</f>
        <v>9.9978248630942512E-3</v>
      </c>
      <c r="Y159" s="1402">
        <f>(0.5*'3h. Segmental Volume Drivers'!Y94)+(0.25*'3h. Segmental Volume Drivers'!Y97)+(0.25*'3h. Segmental Volume Drivers'!Y100)</f>
        <v>9.9978248630942512E-3</v>
      </c>
      <c r="Z159" s="1402">
        <f>(0.5*'3h. Segmental Volume Drivers'!Z94)+(0.25*'3h. Segmental Volume Drivers'!Z97)+(0.25*'3h. Segmental Volume Drivers'!Z100)</f>
        <v>9.9978248630943622E-3</v>
      </c>
      <c r="AA159" s="1402">
        <f>(0.5*'3h. Segmental Volume Drivers'!AA94)+(0.25*'3h. Segmental Volume Drivers'!AA97)+(0.25*'3h. Segmental Volume Drivers'!AA100)</f>
        <v>9.9978248630942512E-3</v>
      </c>
      <c r="AB159" s="1402">
        <f>(0.5*'3h. Segmental Volume Drivers'!AB94)+(0.25*'3h. Segmental Volume Drivers'!AB97)+(0.25*'3h. Segmental Volume Drivers'!AB100)</f>
        <v>9.9978248630941402E-3</v>
      </c>
      <c r="AC159" s="1402">
        <f>(0.5*'3h. Segmental Volume Drivers'!AC94)+(0.25*'3h. Segmental Volume Drivers'!AC97)+(0.25*'3h. Segmental Volume Drivers'!AC100)</f>
        <v>9.9978248630942512E-3</v>
      </c>
      <c r="AD159" s="1402">
        <f>(0.5*'3h. Segmental Volume Drivers'!AD94)+(0.25*'3h. Segmental Volume Drivers'!AD97)+(0.25*'3h. Segmental Volume Drivers'!AD100)</f>
        <v>9.9978248630942512E-3</v>
      </c>
      <c r="AE159" s="1418"/>
      <c r="AF159" s="1452"/>
    </row>
    <row r="160" spans="1:32" s="1402" customFormat="1" thickBot="1">
      <c r="A160" s="562"/>
      <c r="B160" s="562"/>
      <c r="C160" s="562"/>
      <c r="D160" s="1418" t="s">
        <v>1050</v>
      </c>
      <c r="P160" s="1402">
        <f>'3f. Exchange Rate USDZAR'!H6</f>
        <v>0.20904033269026234</v>
      </c>
      <c r="Q160" s="1402">
        <f>'3f. Exchange Rate USDZAR'!I6</f>
        <v>3.5104093749189769E-2</v>
      </c>
      <c r="R160" s="1402">
        <f>'3f. Exchange Rate USDZAR'!J6</f>
        <v>7.9680651221039511E-2</v>
      </c>
      <c r="S160" s="1402">
        <f>'3f. Exchange Rate USDZAR'!K6</f>
        <v>8.3369580977236568E-2</v>
      </c>
      <c r="T160" s="1402">
        <f>'3f. Exchange Rate USDZAR'!L6</f>
        <v>8.1370449678800805E-2</v>
      </c>
      <c r="U160" s="1402">
        <f>'3f. Exchange Rate USDZAR'!M6</f>
        <v>7.4876237623762387E-2</v>
      </c>
      <c r="V160" s="1402">
        <f>'3f. Exchange Rate USDZAR'!N6</f>
        <v>7.6453655728267123E-2</v>
      </c>
      <c r="W160" s="1402">
        <f>'3f. Exchange Rate USDZAR'!O6</f>
        <v>7.9580703818590282E-2</v>
      </c>
      <c r="X160" s="1402">
        <f>'3f. Exchange Rate USDZAR'!P6</f>
        <v>7.8965619736450998E-2</v>
      </c>
      <c r="Y160" s="1402">
        <f>'3f. Exchange Rate USDZAR'!Q6</f>
        <v>7.8512396694214948E-2</v>
      </c>
      <c r="Z160" s="1402">
        <f>'3f. Exchange Rate USDZAR'!R6</f>
        <v>7.6968922945934715E-2</v>
      </c>
      <c r="AA160" s="1402">
        <f>'3f. Exchange Rate USDZAR'!S6</f>
        <v>7.6968922945934715E-2</v>
      </c>
      <c r="AB160" s="1402">
        <f>'3f. Exchange Rate USDZAR'!T6</f>
        <v>7.6968922945934715E-2</v>
      </c>
      <c r="AC160" s="1402">
        <f>'3f. Exchange Rate USDZAR'!U6</f>
        <v>7.6968922945934715E-2</v>
      </c>
      <c r="AD160" s="1402">
        <f>'3f. Exchange Rate USDZAR'!V6</f>
        <v>7.6968922945934715E-2</v>
      </c>
      <c r="AE160" s="1418"/>
      <c r="AF160" s="1452"/>
    </row>
    <row r="161" spans="1:70" s="109" customFormat="1" ht="16" hidden="1" thickBot="1">
      <c r="A161" s="46"/>
      <c r="B161" s="46"/>
      <c r="C161" s="46"/>
      <c r="D161" s="688" t="s">
        <v>831</v>
      </c>
      <c r="L161" s="109">
        <f>L156-L162-L165</f>
        <v>315398</v>
      </c>
      <c r="M161" s="109">
        <f>M156-M162-M165</f>
        <v>340208</v>
      </c>
      <c r="N161" s="109">
        <f>N156-N162-N165</f>
        <v>356053</v>
      </c>
      <c r="O161" s="109">
        <f>O156-O162-O165</f>
        <v>359997</v>
      </c>
      <c r="AE161" s="688"/>
      <c r="AF161" s="367"/>
    </row>
    <row r="162" spans="1:70" s="109" customFormat="1" ht="16" thickBot="1">
      <c r="A162" s="174"/>
      <c r="B162" s="174"/>
      <c r="C162" s="174"/>
      <c r="D162" s="688" t="s">
        <v>451</v>
      </c>
      <c r="L162" s="1390">
        <v>29538</v>
      </c>
      <c r="M162" s="1390">
        <v>23343</v>
      </c>
      <c r="N162" s="1390">
        <v>44870</v>
      </c>
      <c r="O162" s="1390">
        <v>46574</v>
      </c>
      <c r="P162" s="1390">
        <f t="shared" ref="P162:AD162" si="255">P164*P156</f>
        <v>58800.525714124582</v>
      </c>
      <c r="Q162" s="1390">
        <f t="shared" si="255"/>
        <v>63474.101027432167</v>
      </c>
      <c r="R162" s="1390">
        <f t="shared" si="255"/>
        <v>71469.904350707657</v>
      </c>
      <c r="S162" s="1390">
        <f t="shared" si="255"/>
        <v>80747.886093298308</v>
      </c>
      <c r="T162" s="1390">
        <f t="shared" si="255"/>
        <v>91061.957720275444</v>
      </c>
      <c r="U162" s="1390">
        <f t="shared" si="255"/>
        <v>101824.69269535448</v>
      </c>
      <c r="V162" s="1390">
        <f t="shared" si="255"/>
        <v>114026.58250366397</v>
      </c>
      <c r="W162" s="1390">
        <f t="shared" si="255"/>
        <v>128061.58859637947</v>
      </c>
      <c r="X162" s="1390">
        <f t="shared" si="255"/>
        <v>143742.15600798864</v>
      </c>
      <c r="Y162" s="1390">
        <f t="shared" si="255"/>
        <v>161274.96605595146</v>
      </c>
      <c r="Z162" s="1390">
        <f t="shared" si="255"/>
        <v>180687.36885970682</v>
      </c>
      <c r="AA162" s="1390">
        <f t="shared" si="255"/>
        <v>202436.41070813889</v>
      </c>
      <c r="AB162" s="1390">
        <f t="shared" si="255"/>
        <v>226803.34900561447</v>
      </c>
      <c r="AC162" s="1390">
        <f t="shared" si="255"/>
        <v>254103.29564835766</v>
      </c>
      <c r="AD162" s="1390">
        <f t="shared" si="255"/>
        <v>284689.29203403549</v>
      </c>
      <c r="AE162" s="724">
        <f>(O162/L162)^(1/3)-1</f>
        <v>0.16391380029263036</v>
      </c>
      <c r="AF162" s="725">
        <f>(T162/P162)^(1/4)-1</f>
        <v>0.1155497506711689</v>
      </c>
      <c r="AP162" s="246" t="s">
        <v>1658</v>
      </c>
      <c r="AW162" s="246" t="s">
        <v>1658</v>
      </c>
    </row>
    <row r="163" spans="1:70" s="1402" customFormat="1" ht="14">
      <c r="A163" s="562"/>
      <c r="B163" s="562"/>
      <c r="C163" s="562"/>
      <c r="D163" s="1418" t="s">
        <v>832</v>
      </c>
      <c r="E163" s="1435"/>
      <c r="F163" s="1435"/>
      <c r="G163" s="1435"/>
      <c r="H163" s="1435"/>
      <c r="I163" s="1435"/>
      <c r="J163" s="1435"/>
      <c r="K163" s="1435"/>
      <c r="L163" s="1435"/>
      <c r="M163" s="1435">
        <f t="shared" ref="M163" si="256">(M162/L162)-1</f>
        <v>-0.20972983952874269</v>
      </c>
      <c r="N163" s="1435">
        <f t="shared" ref="N163" si="257">(N162/M162)-1</f>
        <v>0.92220365848434227</v>
      </c>
      <c r="O163" s="1435">
        <f>(O162/N162)-1</f>
        <v>3.797637619790506E-2</v>
      </c>
      <c r="P163" s="1435">
        <f>(P162/O162)-1</f>
        <v>0.26251826585916138</v>
      </c>
      <c r="Q163" s="1435">
        <f t="shared" ref="Q163" si="258">(Q162/P162)-1</f>
        <v>7.9481862730777175E-2</v>
      </c>
      <c r="R163" s="1435">
        <f t="shared" ref="R163" si="259">(R162/Q162)-1</f>
        <v>0.12596954023531381</v>
      </c>
      <c r="S163" s="1435">
        <f t="shared" ref="S163" si="260">(S162/R162)-1</f>
        <v>0.12981662459016263</v>
      </c>
      <c r="T163" s="1435">
        <f>(T162/S162)-1</f>
        <v>0.12773178501614235</v>
      </c>
      <c r="U163" s="1435">
        <f t="shared" ref="U163" si="261">(U162/T162)-1</f>
        <v>0.11819134185693714</v>
      </c>
      <c r="V163" s="1435">
        <f t="shared" ref="V163" si="262">(V162/U162)-1</f>
        <v>0.11983232637702024</v>
      </c>
      <c r="W163" s="1435">
        <f t="shared" ref="W163" si="263">(W162/V162)-1</f>
        <v>0.12308538749957298</v>
      </c>
      <c r="X163" s="1435">
        <f t="shared" ref="X163" si="264">(X162/W162)-1</f>
        <v>0.12244551690695249</v>
      </c>
      <c r="Y163" s="1435">
        <f t="shared" ref="Y163" si="265">(Y162/X162)-1</f>
        <v>0.12197402999151064</v>
      </c>
      <c r="Z163" s="1435">
        <f t="shared" ref="Z163" si="266">(Z162/Y162)-1</f>
        <v>0.12036835770915988</v>
      </c>
      <c r="AA163" s="1435">
        <f t="shared" ref="AA163" si="267">(AA162/Z162)-1</f>
        <v>0.12036835770915966</v>
      </c>
      <c r="AB163" s="1435">
        <f t="shared" ref="AB163" si="268">(AB162/AA162)-1</f>
        <v>0.12036835770915943</v>
      </c>
      <c r="AC163" s="1435">
        <f t="shared" ref="AC163" si="269">(AC162/AB162)-1</f>
        <v>0.12036835770915966</v>
      </c>
      <c r="AD163" s="1435">
        <f t="shared" ref="AD163" si="270">(AD162/AC162)-1</f>
        <v>0.12036835770915943</v>
      </c>
      <c r="AE163" s="1418"/>
      <c r="AF163" s="1452"/>
    </row>
    <row r="164" spans="1:70" s="1402" customFormat="1" thickBot="1">
      <c r="A164" s="562"/>
      <c r="B164" s="562" t="s">
        <v>976</v>
      </c>
      <c r="C164" s="562"/>
      <c r="D164" s="1420" t="s">
        <v>978</v>
      </c>
      <c r="E164" s="1438"/>
      <c r="F164" s="1438"/>
      <c r="G164" s="1438"/>
      <c r="H164" s="1438"/>
      <c r="I164" s="1438"/>
      <c r="J164" s="1438"/>
      <c r="K164" s="1438"/>
      <c r="L164" s="1438"/>
      <c r="M164" s="1438">
        <f>M162/M156</f>
        <v>6.3192688565596622E-2</v>
      </c>
      <c r="N164" s="1438">
        <f>N162/N156</f>
        <v>0.11065433283106903</v>
      </c>
      <c r="O164" s="1438">
        <f>O162/O156</f>
        <v>0.11300337015676445</v>
      </c>
      <c r="P164" s="1438">
        <v>0.11</v>
      </c>
      <c r="Q164" s="1438">
        <f>P164</f>
        <v>0.11</v>
      </c>
      <c r="R164" s="1438">
        <f>Q164</f>
        <v>0.11</v>
      </c>
      <c r="S164" s="1438">
        <f t="shared" ref="S164:AD164" si="271">R164</f>
        <v>0.11</v>
      </c>
      <c r="T164" s="1438">
        <f t="shared" si="271"/>
        <v>0.11</v>
      </c>
      <c r="U164" s="1438">
        <f t="shared" si="271"/>
        <v>0.11</v>
      </c>
      <c r="V164" s="1438">
        <f t="shared" si="271"/>
        <v>0.11</v>
      </c>
      <c r="W164" s="1438">
        <f t="shared" si="271"/>
        <v>0.11</v>
      </c>
      <c r="X164" s="1438">
        <f t="shared" si="271"/>
        <v>0.11</v>
      </c>
      <c r="Y164" s="1438">
        <f t="shared" si="271"/>
        <v>0.11</v>
      </c>
      <c r="Z164" s="1438">
        <f t="shared" si="271"/>
        <v>0.11</v>
      </c>
      <c r="AA164" s="1438">
        <f t="shared" si="271"/>
        <v>0.11</v>
      </c>
      <c r="AB164" s="1438">
        <f t="shared" si="271"/>
        <v>0.11</v>
      </c>
      <c r="AC164" s="1438">
        <f t="shared" si="271"/>
        <v>0.11</v>
      </c>
      <c r="AD164" s="1438">
        <f t="shared" si="271"/>
        <v>0.11</v>
      </c>
      <c r="AE164" s="1420"/>
      <c r="AF164" s="1443"/>
    </row>
    <row r="165" spans="1:70" s="109" customFormat="1" hidden="1">
      <c r="A165" s="46"/>
      <c r="B165" s="46"/>
      <c r="C165" s="46"/>
      <c r="D165" s="46" t="s">
        <v>497</v>
      </c>
      <c r="E165" s="46"/>
      <c r="F165" s="46"/>
      <c r="G165" s="46"/>
      <c r="H165" s="46"/>
      <c r="I165" s="46"/>
      <c r="J165" s="46"/>
      <c r="K165" s="46"/>
      <c r="L165" s="46">
        <v>5507</v>
      </c>
      <c r="M165" s="46">
        <v>5843</v>
      </c>
      <c r="N165" s="46">
        <v>4574</v>
      </c>
      <c r="O165" s="46">
        <v>5576</v>
      </c>
      <c r="P165" s="46"/>
      <c r="Q165" s="46"/>
      <c r="R165" s="46"/>
      <c r="S165" s="46"/>
      <c r="T165" s="46"/>
      <c r="U165" s="46"/>
      <c r="V165" s="46"/>
      <c r="W165" s="46"/>
      <c r="X165" s="46"/>
      <c r="Y165" s="46"/>
      <c r="Z165" s="46"/>
      <c r="AA165" s="46"/>
      <c r="AB165" s="46"/>
      <c r="AC165" s="46"/>
      <c r="AD165" s="46"/>
    </row>
    <row r="166" spans="1:70" s="109" customFormat="1" hidden="1">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row>
    <row r="167" spans="1:70" s="109" customFormat="1" hidden="1">
      <c r="A167" s="46"/>
      <c r="B167" s="46"/>
      <c r="C167" s="46"/>
      <c r="D167" s="46" t="s">
        <v>498</v>
      </c>
      <c r="E167" s="46"/>
      <c r="F167" s="46"/>
      <c r="G167" s="46"/>
      <c r="H167" s="46"/>
      <c r="I167" s="46"/>
      <c r="J167" s="46"/>
      <c r="K167" s="46"/>
      <c r="L167" s="46">
        <v>5477</v>
      </c>
      <c r="M167" s="46">
        <v>5847</v>
      </c>
      <c r="N167" s="46">
        <v>6781</v>
      </c>
      <c r="O167" s="46">
        <v>7631</v>
      </c>
      <c r="P167" s="46"/>
      <c r="Q167" s="46"/>
      <c r="R167" s="46"/>
      <c r="S167" s="46"/>
      <c r="T167" s="46"/>
      <c r="U167" s="46"/>
      <c r="V167" s="46"/>
      <c r="W167" s="46"/>
      <c r="X167" s="46"/>
      <c r="Y167" s="46"/>
      <c r="Z167" s="46"/>
      <c r="AA167" s="46"/>
      <c r="AB167" s="46"/>
      <c r="AC167" s="46"/>
      <c r="AD167" s="46"/>
    </row>
    <row r="168" spans="1:70" s="221" customFormat="1" ht="14" hidden="1">
      <c r="A168" s="206"/>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row>
    <row r="169" spans="1:70" s="221" customFormat="1" ht="14" hidden="1">
      <c r="A169" s="206"/>
      <c r="B169" s="206"/>
      <c r="C169" s="206"/>
      <c r="D169" s="206"/>
      <c r="E169" s="206"/>
      <c r="F169" s="206"/>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row>
    <row r="170" spans="1:70" s="221" customFormat="1" ht="16" hidden="1" thickBot="1">
      <c r="A170" s="206"/>
      <c r="B170" s="206"/>
      <c r="C170" s="206"/>
      <c r="D170" s="206"/>
      <c r="E170" s="206"/>
      <c r="F170" s="206"/>
      <c r="G170" s="206"/>
      <c r="H170" s="206"/>
      <c r="I170" s="206"/>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P170" s="242"/>
      <c r="AQ170" s="336"/>
      <c r="AR170" s="336"/>
      <c r="AS170" s="336"/>
      <c r="AT170" s="336"/>
      <c r="AU170" s="336"/>
      <c r="AV170" s="336"/>
      <c r="AW170" s="336"/>
      <c r="AX170" s="336"/>
      <c r="AY170" s="336"/>
      <c r="AZ170" s="336"/>
      <c r="BA170" s="336"/>
      <c r="BB170" s="620"/>
      <c r="BC170" s="620"/>
      <c r="BD170" s="620"/>
      <c r="BE170" s="620"/>
      <c r="BF170" s="620"/>
      <c r="BG170" s="620"/>
      <c r="BH170" s="620"/>
      <c r="BI170" s="620"/>
      <c r="BJ170" s="620"/>
      <c r="BK170" s="620"/>
      <c r="BL170" s="620"/>
      <c r="BM170" s="620"/>
      <c r="BN170" s="620"/>
      <c r="BO170" s="620"/>
      <c r="BP170" s="620"/>
      <c r="BQ170" s="620"/>
      <c r="BR170" s="620"/>
    </row>
    <row r="171" spans="1:70" s="221" customFormat="1" hidden="1">
      <c r="A171" s="206"/>
      <c r="B171" s="206"/>
      <c r="C171" s="206"/>
      <c r="D171" s="359" t="s">
        <v>872</v>
      </c>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P171" s="688"/>
      <c r="AQ171" s="109"/>
      <c r="AR171" s="109"/>
      <c r="AS171" s="109"/>
      <c r="AT171" s="109"/>
      <c r="AU171" s="109"/>
      <c r="AV171" s="109"/>
      <c r="AW171" s="109"/>
      <c r="AX171" s="807"/>
      <c r="AY171" s="807"/>
      <c r="AZ171" s="807"/>
      <c r="BA171" s="807"/>
      <c r="BB171" s="807"/>
      <c r="BC171" s="807"/>
      <c r="BD171" s="807"/>
      <c r="BE171" s="807"/>
      <c r="BF171" s="807"/>
      <c r="BG171" s="807"/>
      <c r="BH171" s="807"/>
      <c r="BI171" s="807"/>
      <c r="BJ171" s="807"/>
      <c r="BK171" s="807"/>
      <c r="BL171" s="807"/>
      <c r="BM171" s="807"/>
      <c r="BN171" s="807"/>
      <c r="BO171" s="807"/>
      <c r="BP171" s="807"/>
      <c r="BQ171" s="777"/>
      <c r="BR171" s="704"/>
    </row>
    <row r="172" spans="1:70" s="221" customFormat="1" ht="14" hidden="1">
      <c r="A172" s="206"/>
      <c r="B172" s="206"/>
      <c r="C172" s="206"/>
      <c r="D172" s="206" t="s">
        <v>844</v>
      </c>
      <c r="E172" s="206"/>
      <c r="F172" s="206"/>
      <c r="G172" s="206"/>
      <c r="H172" s="206"/>
      <c r="I172" s="206"/>
      <c r="J172" s="206"/>
      <c r="K172" s="206"/>
      <c r="L172" s="206"/>
      <c r="M172" s="206"/>
      <c r="N172" s="206"/>
      <c r="O172" s="206" t="s">
        <v>873</v>
      </c>
      <c r="P172" s="206"/>
      <c r="Q172" s="206"/>
      <c r="R172" s="206"/>
      <c r="S172" s="206"/>
      <c r="T172" s="206"/>
      <c r="U172" s="206"/>
      <c r="V172" s="206"/>
      <c r="W172" s="206"/>
      <c r="X172" s="206"/>
      <c r="Y172" s="206"/>
      <c r="Z172" s="206"/>
      <c r="AA172" s="206"/>
      <c r="AB172" s="206"/>
      <c r="AC172" s="206"/>
      <c r="AD172" s="206"/>
      <c r="AP172" s="729"/>
      <c r="AQ172" s="248"/>
      <c r="AR172" s="248"/>
      <c r="AS172" s="248"/>
      <c r="AT172" s="248"/>
      <c r="AU172" s="248"/>
      <c r="AV172" s="248"/>
      <c r="AW172" s="248"/>
      <c r="AX172" s="248"/>
      <c r="AY172" s="248"/>
      <c r="AZ172" s="248"/>
      <c r="BA172" s="248"/>
      <c r="BB172" s="248"/>
      <c r="BC172" s="248"/>
      <c r="BD172" s="248"/>
      <c r="BE172" s="248"/>
      <c r="BF172" s="248"/>
      <c r="BG172" s="248"/>
      <c r="BH172" s="248"/>
      <c r="BI172" s="248"/>
      <c r="BJ172" s="248"/>
      <c r="BK172" s="248"/>
      <c r="BL172" s="248"/>
      <c r="BM172" s="248"/>
      <c r="BN172" s="248"/>
      <c r="BO172" s="248"/>
      <c r="BP172" s="248"/>
      <c r="BQ172" s="729"/>
      <c r="BR172" s="1188"/>
    </row>
    <row r="173" spans="1:70" s="221" customFormat="1" ht="14" hidden="1">
      <c r="A173" s="206"/>
      <c r="B173" s="206"/>
      <c r="C173" s="206"/>
      <c r="D173" s="206" t="s">
        <v>845</v>
      </c>
      <c r="E173" s="206"/>
      <c r="F173" s="206"/>
      <c r="G173" s="206"/>
      <c r="H173" s="206"/>
      <c r="I173" s="206"/>
      <c r="J173" s="206"/>
      <c r="K173" s="206"/>
      <c r="L173" s="206"/>
      <c r="M173" s="206"/>
      <c r="N173" s="206"/>
      <c r="O173" s="206" t="s">
        <v>873</v>
      </c>
      <c r="P173" s="206"/>
      <c r="Q173" s="206"/>
      <c r="R173" s="206"/>
      <c r="S173" s="206"/>
      <c r="T173" s="206"/>
      <c r="U173" s="206"/>
      <c r="V173" s="206"/>
      <c r="W173" s="206"/>
      <c r="X173" s="206"/>
      <c r="Y173" s="206"/>
      <c r="Z173" s="206"/>
      <c r="AA173" s="206"/>
      <c r="AB173" s="206"/>
      <c r="AC173" s="206"/>
      <c r="AD173" s="206"/>
      <c r="AP173" s="515"/>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515"/>
      <c r="BR173" s="315"/>
    </row>
    <row r="174" spans="1:70" s="224" customFormat="1" ht="14" hidden="1">
      <c r="A174" s="249"/>
      <c r="B174" s="249"/>
      <c r="C174" s="249"/>
      <c r="D174" s="360" t="s">
        <v>876</v>
      </c>
      <c r="K174" s="224">
        <v>2286</v>
      </c>
      <c r="L174" s="224">
        <v>2425</v>
      </c>
      <c r="M174" s="224">
        <v>2425</v>
      </c>
      <c r="N174" s="224">
        <v>2167</v>
      </c>
      <c r="O174" s="224">
        <v>1801</v>
      </c>
      <c r="AP174" s="515"/>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515"/>
      <c r="BR174" s="315"/>
    </row>
    <row r="175" spans="1:70" s="224" customFormat="1" ht="14" hidden="1">
      <c r="A175" s="249"/>
      <c r="B175" s="249"/>
      <c r="C175" s="249"/>
      <c r="D175" s="360" t="s">
        <v>874</v>
      </c>
      <c r="M175" s="221">
        <v>0.13500000000000001</v>
      </c>
      <c r="N175" s="225">
        <f>N176/N174</f>
        <v>0.13290263036455929</v>
      </c>
      <c r="O175" s="221">
        <v>0.13300000000000001</v>
      </c>
      <c r="AP175" s="515"/>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515"/>
      <c r="BR175" s="315"/>
    </row>
    <row r="176" spans="1:70" s="224" customFormat="1" hidden="1">
      <c r="A176" s="249"/>
      <c r="B176" s="249"/>
      <c r="C176" s="249"/>
      <c r="D176" s="360" t="s">
        <v>875</v>
      </c>
      <c r="K176" s="224">
        <v>326</v>
      </c>
      <c r="L176" s="224">
        <v>327</v>
      </c>
      <c r="M176" s="224">
        <f>M174*M175</f>
        <v>327.375</v>
      </c>
      <c r="N176" s="224">
        <v>288</v>
      </c>
      <c r="O176" s="224">
        <f>O175*O174</f>
        <v>239.53300000000002</v>
      </c>
      <c r="AP176" s="688"/>
      <c r="AQ176" s="109"/>
      <c r="AR176" s="109"/>
      <c r="AS176" s="109"/>
      <c r="AT176" s="109"/>
      <c r="AU176" s="109"/>
      <c r="AV176" s="109"/>
      <c r="AW176" s="109"/>
      <c r="AX176" s="109"/>
      <c r="AY176" s="109"/>
      <c r="AZ176" s="109"/>
      <c r="BA176" s="109"/>
      <c r="BB176" s="109"/>
      <c r="BC176" s="109"/>
      <c r="BD176" s="109"/>
      <c r="BE176" s="109"/>
      <c r="BF176" s="109"/>
      <c r="BG176" s="109"/>
      <c r="BH176" s="109"/>
      <c r="BI176" s="109"/>
      <c r="BJ176" s="109"/>
      <c r="BK176" s="109"/>
      <c r="BL176" s="109"/>
      <c r="BM176" s="109"/>
      <c r="BN176" s="109"/>
      <c r="BO176" s="109"/>
      <c r="BP176" s="109"/>
      <c r="BQ176" s="688"/>
      <c r="BR176" s="367"/>
    </row>
    <row r="177" spans="1:70" s="224" customFormat="1" hidden="1">
      <c r="A177" s="249"/>
      <c r="B177" s="249"/>
      <c r="C177" s="249"/>
      <c r="D177" s="360" t="s">
        <v>877</v>
      </c>
      <c r="L177" s="224">
        <v>50.7</v>
      </c>
      <c r="M177" s="224">
        <f>M178-M176</f>
        <v>173.625</v>
      </c>
      <c r="N177" s="224">
        <v>324</v>
      </c>
      <c r="O177" s="224">
        <v>208</v>
      </c>
      <c r="AP177" s="688"/>
      <c r="AQ177" s="109"/>
      <c r="AR177" s="109"/>
      <c r="AS177" s="109"/>
      <c r="AT177" s="109"/>
      <c r="AU177" s="109"/>
      <c r="AV177" s="109"/>
      <c r="AW177" s="109"/>
      <c r="AX177" s="109"/>
      <c r="AY177" s="109"/>
      <c r="AZ177" s="109"/>
      <c r="BA177" s="109"/>
      <c r="BB177" s="109"/>
      <c r="BC177" s="109"/>
      <c r="BD177" s="109"/>
      <c r="BE177" s="109"/>
      <c r="BF177" s="109"/>
      <c r="BG177" s="109"/>
      <c r="BH177" s="109"/>
      <c r="BI177" s="109"/>
      <c r="BJ177" s="109"/>
      <c r="BK177" s="109"/>
      <c r="BL177" s="109"/>
      <c r="BM177" s="109"/>
      <c r="BN177" s="109"/>
      <c r="BO177" s="109"/>
      <c r="BP177" s="109"/>
      <c r="BQ177" s="688"/>
      <c r="BR177" s="367"/>
    </row>
    <row r="178" spans="1:70" s="224" customFormat="1" hidden="1">
      <c r="A178" s="249"/>
      <c r="B178" s="249"/>
      <c r="C178" s="249"/>
      <c r="D178" s="360" t="s">
        <v>878</v>
      </c>
      <c r="L178" s="224">
        <f>L176+L177</f>
        <v>377.7</v>
      </c>
      <c r="M178" s="224">
        <f>501</f>
        <v>501</v>
      </c>
      <c r="N178" s="224">
        <f>N176+N177</f>
        <v>612</v>
      </c>
      <c r="O178" s="224">
        <f>O176+O177</f>
        <v>447.53300000000002</v>
      </c>
      <c r="AP178" s="688"/>
      <c r="AQ178" s="109"/>
      <c r="AR178" s="109"/>
      <c r="AS178" s="109"/>
      <c r="AT178" s="109"/>
      <c r="AU178" s="109"/>
      <c r="AV178" s="109"/>
      <c r="AW178" s="109"/>
      <c r="AX178" s="109"/>
      <c r="AY178" s="109"/>
      <c r="AZ178" s="109"/>
      <c r="BA178" s="109"/>
      <c r="BB178" s="109"/>
      <c r="BC178" s="109"/>
      <c r="BD178" s="109"/>
      <c r="BE178" s="109"/>
      <c r="BF178" s="109"/>
      <c r="BG178" s="109"/>
      <c r="BH178" s="109"/>
      <c r="BI178" s="109"/>
      <c r="BJ178" s="109"/>
      <c r="BK178" s="109"/>
      <c r="BL178" s="109"/>
      <c r="BM178" s="109"/>
      <c r="BN178" s="109"/>
      <c r="BO178" s="109"/>
      <c r="BP178" s="109"/>
      <c r="BQ178" s="688"/>
      <c r="BR178" s="367"/>
    </row>
    <row r="179" spans="1:70" s="224" customFormat="1" hidden="1">
      <c r="A179" s="249"/>
      <c r="B179" s="249"/>
      <c r="C179" s="249"/>
      <c r="D179" s="360" t="s">
        <v>908</v>
      </c>
      <c r="L179" s="224">
        <f>L178</f>
        <v>377.7</v>
      </c>
      <c r="M179" s="224">
        <f>327.4+50.7</f>
        <v>378.09999999999997</v>
      </c>
      <c r="AP179" s="688"/>
      <c r="AQ179" s="109"/>
      <c r="AR179" s="109"/>
      <c r="AS179" s="109"/>
      <c r="AT179" s="109"/>
      <c r="AU179" s="109"/>
      <c r="AV179" s="109"/>
      <c r="AW179" s="109"/>
      <c r="AX179" s="807"/>
      <c r="AY179" s="807"/>
      <c r="AZ179" s="807"/>
      <c r="BA179" s="807"/>
      <c r="BB179" s="807"/>
      <c r="BC179" s="807"/>
      <c r="BD179" s="807"/>
      <c r="BE179" s="807"/>
      <c r="BF179" s="807"/>
      <c r="BG179" s="807"/>
      <c r="BH179" s="807"/>
      <c r="BI179" s="807"/>
      <c r="BJ179" s="807"/>
      <c r="BK179" s="807"/>
      <c r="BL179" s="807"/>
      <c r="BM179" s="807"/>
      <c r="BN179" s="807"/>
      <c r="BO179" s="807"/>
      <c r="BP179" s="807"/>
      <c r="BQ179" s="777"/>
      <c r="BR179" s="704"/>
    </row>
    <row r="180" spans="1:70" s="224" customFormat="1" ht="14" hidden="1">
      <c r="A180" s="249"/>
      <c r="B180" s="249"/>
      <c r="C180" s="249"/>
      <c r="D180" s="361" t="s">
        <v>790</v>
      </c>
      <c r="AP180" s="515"/>
      <c r="AQ180" s="1083"/>
      <c r="AR180" s="1083"/>
      <c r="AS180" s="1083"/>
      <c r="AT180" s="1083"/>
      <c r="AU180" s="1083"/>
      <c r="AV180" s="1083"/>
      <c r="AW180" s="1083"/>
      <c r="AX180" s="1083"/>
      <c r="AY180" s="1083"/>
      <c r="AZ180" s="1083"/>
      <c r="BA180" s="1083"/>
      <c r="BB180" s="1083"/>
      <c r="BC180" s="1083"/>
      <c r="BD180" s="1083"/>
      <c r="BE180" s="1083"/>
      <c r="BF180" s="1083"/>
      <c r="BG180" s="1083"/>
      <c r="BH180" s="1083"/>
      <c r="BI180" s="1083"/>
      <c r="BJ180" s="1083"/>
      <c r="BK180" s="1083"/>
      <c r="BL180" s="1083"/>
      <c r="BM180" s="1083"/>
      <c r="BN180" s="1083"/>
      <c r="BO180" s="1083"/>
      <c r="BP180" s="1083"/>
      <c r="BQ180" s="515"/>
      <c r="BR180" s="315"/>
    </row>
    <row r="181" spans="1:70" s="224" customFormat="1" hidden="1" thickBot="1">
      <c r="A181" s="249"/>
      <c r="B181" s="249"/>
      <c r="C181" s="249"/>
      <c r="D181" s="360" t="s">
        <v>879</v>
      </c>
      <c r="L181" s="224" t="s">
        <v>706</v>
      </c>
      <c r="M181" s="224" t="s">
        <v>907</v>
      </c>
      <c r="O181" s="224" t="s">
        <v>703</v>
      </c>
      <c r="AP181" s="518"/>
      <c r="AQ181" s="1189"/>
      <c r="AR181" s="1189"/>
      <c r="AS181" s="1189"/>
      <c r="AT181" s="1189"/>
      <c r="AU181" s="1189"/>
      <c r="AV181" s="1189"/>
      <c r="AW181" s="1189"/>
      <c r="AX181" s="1189"/>
      <c r="AY181" s="1189"/>
      <c r="AZ181" s="1189"/>
      <c r="BA181" s="1189"/>
      <c r="BB181" s="1189"/>
      <c r="BC181" s="1189"/>
      <c r="BD181" s="1189"/>
      <c r="BE181" s="1189"/>
      <c r="BF181" s="1189"/>
      <c r="BG181" s="1189"/>
      <c r="BH181" s="1189"/>
      <c r="BI181" s="1189"/>
      <c r="BJ181" s="1189"/>
      <c r="BK181" s="1189"/>
      <c r="BL181" s="1189"/>
      <c r="BM181" s="1189"/>
      <c r="BN181" s="1189"/>
      <c r="BO181" s="1189"/>
      <c r="BP181" s="1189"/>
      <c r="BQ181" s="518"/>
      <c r="BR181" s="698"/>
    </row>
    <row r="182" spans="1:70" s="224" customFormat="1" ht="14" hidden="1">
      <c r="A182" s="249"/>
      <c r="B182" s="249"/>
      <c r="C182" s="249"/>
      <c r="D182" s="360" t="s">
        <v>880</v>
      </c>
      <c r="M182" s="224" t="s">
        <v>907</v>
      </c>
      <c r="O182" s="224" t="s">
        <v>703</v>
      </c>
    </row>
    <row r="183" spans="1:70" s="226" customFormat="1" ht="14" hidden="1">
      <c r="A183" s="207"/>
      <c r="B183" s="207"/>
      <c r="C183" s="207"/>
      <c r="D183" s="362" t="s">
        <v>881</v>
      </c>
      <c r="L183" s="226" t="s">
        <v>883</v>
      </c>
      <c r="M183" s="226" t="s">
        <v>883</v>
      </c>
      <c r="N183" s="226" t="s">
        <v>901</v>
      </c>
      <c r="O183" s="226" t="s">
        <v>883</v>
      </c>
    </row>
    <row r="184" spans="1:70" s="226" customFormat="1" ht="14" hidden="1">
      <c r="A184" s="207"/>
      <c r="B184" s="207"/>
      <c r="C184" s="207"/>
      <c r="D184" s="362" t="s">
        <v>882</v>
      </c>
      <c r="L184" s="226" t="s">
        <v>706</v>
      </c>
      <c r="M184" s="226" t="s">
        <v>703</v>
      </c>
      <c r="N184" s="226" t="s">
        <v>706</v>
      </c>
      <c r="O184" s="226" t="s">
        <v>703</v>
      </c>
    </row>
    <row r="185" spans="1:70" s="226" customFormat="1" ht="14" hidden="1">
      <c r="A185" s="207"/>
      <c r="B185" s="207"/>
      <c r="C185" s="207"/>
      <c r="D185" s="362"/>
    </row>
    <row r="186" spans="1:70" s="226" customFormat="1" ht="14" hidden="1">
      <c r="A186" s="207"/>
      <c r="B186" s="207"/>
      <c r="C186" s="207"/>
      <c r="D186" s="351" t="s">
        <v>884</v>
      </c>
    </row>
    <row r="187" spans="1:70" s="226" customFormat="1" ht="14" hidden="1">
      <c r="A187" s="207"/>
      <c r="B187" s="207"/>
      <c r="C187" s="207"/>
      <c r="D187" s="360" t="s">
        <v>885</v>
      </c>
      <c r="M187" s="227">
        <v>-0.25</v>
      </c>
      <c r="N187" s="227">
        <v>-0.13</v>
      </c>
      <c r="O187" s="227">
        <v>2.0099999999999998</v>
      </c>
    </row>
    <row r="188" spans="1:70" s="226" customFormat="1" ht="14" hidden="1">
      <c r="A188" s="207"/>
      <c r="B188" s="207"/>
      <c r="C188" s="207"/>
      <c r="D188" s="360" t="s">
        <v>909</v>
      </c>
      <c r="L188" s="226" t="s">
        <v>911</v>
      </c>
      <c r="M188" s="226" t="s">
        <v>911</v>
      </c>
      <c r="N188" s="227"/>
      <c r="O188" s="227"/>
    </row>
    <row r="189" spans="1:70" s="226" customFormat="1" ht="14" hidden="1">
      <c r="A189" s="207"/>
      <c r="B189" s="207"/>
      <c r="C189" s="207"/>
      <c r="D189" s="360" t="s">
        <v>910</v>
      </c>
      <c r="M189" s="227">
        <v>-0.25</v>
      </c>
      <c r="N189" s="227"/>
      <c r="O189" s="227"/>
    </row>
    <row r="190" spans="1:70" s="226" customFormat="1" ht="14" hidden="1">
      <c r="A190" s="207"/>
      <c r="B190" s="207"/>
      <c r="C190" s="207"/>
      <c r="D190" s="360" t="s">
        <v>886</v>
      </c>
    </row>
    <row r="191" spans="1:70" s="226" customFormat="1" ht="14" hidden="1">
      <c r="A191" s="207"/>
      <c r="B191" s="207"/>
      <c r="C191" s="207"/>
      <c r="D191" s="360"/>
    </row>
    <row r="192" spans="1:70" s="228" customFormat="1" ht="14" hidden="1">
      <c r="A192" s="363"/>
      <c r="B192" s="363"/>
      <c r="C192" s="363"/>
      <c r="D192" s="361" t="s">
        <v>887</v>
      </c>
    </row>
    <row r="193" spans="1:30" s="226" customFormat="1" ht="14" hidden="1">
      <c r="A193" s="207"/>
      <c r="B193" s="207"/>
      <c r="C193" s="207"/>
      <c r="D193" s="360" t="s">
        <v>888</v>
      </c>
      <c r="L193" s="226" t="s">
        <v>916</v>
      </c>
      <c r="M193" s="226" t="s">
        <v>912</v>
      </c>
      <c r="N193" s="226" t="s">
        <v>902</v>
      </c>
      <c r="O193" s="227">
        <v>-0.14000000000000001</v>
      </c>
    </row>
    <row r="194" spans="1:30" s="226" customFormat="1" ht="14" hidden="1">
      <c r="A194" s="207"/>
      <c r="B194" s="207"/>
      <c r="C194" s="207"/>
      <c r="D194" s="360" t="s">
        <v>889</v>
      </c>
      <c r="M194" s="226" t="s">
        <v>913</v>
      </c>
      <c r="N194" s="226" t="s">
        <v>903</v>
      </c>
      <c r="O194" s="226" t="s">
        <v>890</v>
      </c>
    </row>
    <row r="195" spans="1:30" s="226" customFormat="1" ht="14" hidden="1">
      <c r="A195" s="207"/>
      <c r="B195" s="207"/>
      <c r="C195" s="207"/>
      <c r="D195" s="360" t="s">
        <v>891</v>
      </c>
      <c r="M195" s="226" t="s">
        <v>873</v>
      </c>
      <c r="N195" s="226" t="s">
        <v>873</v>
      </c>
      <c r="O195" s="226" t="s">
        <v>873</v>
      </c>
    </row>
    <row r="196" spans="1:30" s="226" customFormat="1" hidden="1" thickBot="1">
      <c r="A196" s="207"/>
      <c r="B196" s="207"/>
      <c r="C196" s="207"/>
      <c r="D196" s="364"/>
      <c r="E196" s="229"/>
      <c r="F196" s="229"/>
      <c r="G196" s="229"/>
      <c r="H196" s="229"/>
      <c r="I196" s="229"/>
      <c r="J196" s="229"/>
      <c r="K196" s="229"/>
      <c r="L196" s="229"/>
      <c r="M196" s="229"/>
      <c r="N196" s="229"/>
      <c r="O196" s="229"/>
      <c r="P196" s="229"/>
      <c r="Q196" s="229"/>
      <c r="R196" s="229"/>
      <c r="S196" s="229"/>
      <c r="T196" s="229"/>
      <c r="U196" s="229"/>
      <c r="V196" s="229"/>
      <c r="W196" s="229"/>
      <c r="X196" s="229"/>
      <c r="Y196" s="229"/>
      <c r="Z196" s="229"/>
      <c r="AA196" s="229"/>
      <c r="AB196" s="229"/>
      <c r="AC196" s="229"/>
      <c r="AD196" s="229"/>
    </row>
    <row r="197" spans="1:30" s="237" customFormat="1" ht="16" hidden="1" thickBot="1">
      <c r="A197" s="259"/>
      <c r="B197" s="259"/>
      <c r="C197" s="259"/>
      <c r="D197" s="354" t="s">
        <v>695</v>
      </c>
      <c r="E197" s="218">
        <f>SUM(E198:E200)</f>
        <v>0</v>
      </c>
      <c r="F197" s="218">
        <f t="shared" ref="F197" si="272">SUM(F198:F200)</f>
        <v>0</v>
      </c>
      <c r="G197" s="218">
        <f t="shared" ref="G197" si="273">SUM(G198:G200)</f>
        <v>0</v>
      </c>
      <c r="H197" s="218">
        <f t="shared" ref="H197" si="274">SUM(H198:H200)</f>
        <v>0</v>
      </c>
      <c r="I197" s="218">
        <f t="shared" ref="I197" si="275">SUM(I198:I200)</f>
        <v>0</v>
      </c>
      <c r="J197" s="218">
        <f t="shared" ref="J197" si="276">SUM(J198:J200)</f>
        <v>0</v>
      </c>
      <c r="K197" s="218">
        <f t="shared" ref="K197" si="277">SUM(K198:K200)</f>
        <v>0</v>
      </c>
      <c r="L197" s="218">
        <f t="shared" ref="L197" si="278">SUM(L198:L200)</f>
        <v>0</v>
      </c>
      <c r="M197" s="218">
        <f t="shared" ref="M197" si="279">SUM(M198:M200)</f>
        <v>0</v>
      </c>
      <c r="N197" s="218">
        <f t="shared" ref="N197" si="280">SUM(N198:N200)</f>
        <v>0</v>
      </c>
      <c r="O197" s="218">
        <f>SUM(O198:O200)</f>
        <v>0</v>
      </c>
      <c r="P197" s="218">
        <f t="shared" ref="P197" si="281">SUM(P198:P200)</f>
        <v>0</v>
      </c>
      <c r="Q197" s="218">
        <f t="shared" ref="Q197" si="282">SUM(Q198:Q200)</f>
        <v>0</v>
      </c>
      <c r="R197" s="218">
        <f t="shared" ref="R197" si="283">SUM(R198:R200)</f>
        <v>0</v>
      </c>
      <c r="S197" s="218">
        <f t="shared" ref="S197" si="284">SUM(S198:S200)</f>
        <v>0</v>
      </c>
      <c r="T197" s="218">
        <f t="shared" ref="T197" si="285">SUM(T198:T200)</f>
        <v>0</v>
      </c>
      <c r="U197" s="218">
        <f t="shared" ref="U197" si="286">SUM(U198:U200)</f>
        <v>0</v>
      </c>
      <c r="V197" s="218">
        <f t="shared" ref="V197" si="287">SUM(V198:V200)</f>
        <v>0</v>
      </c>
      <c r="W197" s="218">
        <f t="shared" ref="W197" si="288">SUM(W198:W200)</f>
        <v>0</v>
      </c>
      <c r="X197" s="218">
        <f t="shared" ref="X197" si="289">SUM(X198:X200)</f>
        <v>0</v>
      </c>
      <c r="Y197" s="218">
        <f t="shared" ref="Y197" si="290">SUM(Y198:Y200)</f>
        <v>0</v>
      </c>
      <c r="Z197" s="218">
        <f t="shared" ref="Z197" si="291">SUM(Z198:Z200)</f>
        <v>0</v>
      </c>
      <c r="AA197" s="218">
        <f t="shared" ref="AA197" si="292">SUM(AA198:AA200)</f>
        <v>0</v>
      </c>
      <c r="AB197" s="218">
        <f t="shared" ref="AB197" si="293">SUM(AB198:AB200)</f>
        <v>0</v>
      </c>
      <c r="AC197" s="218">
        <f t="shared" ref="AC197" si="294">SUM(AC198:AC200)</f>
        <v>0</v>
      </c>
      <c r="AD197" s="218">
        <f t="shared" ref="AD197" si="295">SUM(AD198:AD200)</f>
        <v>0</v>
      </c>
    </row>
    <row r="198" spans="1:30" hidden="1">
      <c r="A198" s="18"/>
      <c r="B198" s="18"/>
      <c r="C198" s="18"/>
      <c r="D198" s="347" t="s">
        <v>693</v>
      </c>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row>
    <row r="199" spans="1:30" hidden="1">
      <c r="A199" s="18"/>
      <c r="B199" s="18"/>
      <c r="C199" s="18"/>
      <c r="D199" s="347" t="s">
        <v>694</v>
      </c>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c r="AA199" s="137"/>
      <c r="AB199" s="137"/>
      <c r="AC199" s="137"/>
      <c r="AD199" s="137"/>
    </row>
    <row r="200" spans="1:30" hidden="1">
      <c r="A200" s="18"/>
      <c r="B200" s="18"/>
      <c r="C200" s="18"/>
      <c r="D200" s="347" t="s">
        <v>697</v>
      </c>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137"/>
    </row>
    <row r="201" spans="1:30" s="113" customFormat="1" hidden="1" thickBot="1">
      <c r="A201" s="112"/>
      <c r="B201" s="112"/>
      <c r="C201" s="112"/>
      <c r="D201" s="356" t="s">
        <v>696</v>
      </c>
      <c r="E201" s="220">
        <f t="shared" ref="E201:M201" si="296">E86-E197</f>
        <v>0</v>
      </c>
      <c r="F201" s="220">
        <f t="shared" si="296"/>
        <v>0</v>
      </c>
      <c r="G201" s="220">
        <f t="shared" si="296"/>
        <v>0</v>
      </c>
      <c r="H201" s="220">
        <f t="shared" si="296"/>
        <v>0</v>
      </c>
      <c r="I201" s="220">
        <f t="shared" si="296"/>
        <v>0</v>
      </c>
      <c r="J201" s="220">
        <f t="shared" si="296"/>
        <v>0</v>
      </c>
      <c r="K201" s="220">
        <f t="shared" si="296"/>
        <v>0</v>
      </c>
      <c r="L201" s="220">
        <f t="shared" si="296"/>
        <v>0</v>
      </c>
      <c r="M201" s="220">
        <f t="shared" si="296"/>
        <v>1.8992223449220136E-2</v>
      </c>
      <c r="N201" s="220">
        <f t="shared" ref="N201:AD201" si="297">N157-N197</f>
        <v>9.7735750986751357E-2</v>
      </c>
      <c r="O201" s="220">
        <f t="shared" si="297"/>
        <v>1.6399628110688846E-2</v>
      </c>
      <c r="P201" s="220">
        <f t="shared" si="297"/>
        <v>0.29698926296871986</v>
      </c>
      <c r="Q201" s="220">
        <f t="shared" si="297"/>
        <v>7.9481862730777175E-2</v>
      </c>
      <c r="R201" s="220">
        <f t="shared" si="297"/>
        <v>0.12596954023531381</v>
      </c>
      <c r="S201" s="220">
        <f t="shared" si="297"/>
        <v>0.12981662459016263</v>
      </c>
      <c r="T201" s="220">
        <f t="shared" si="297"/>
        <v>0.12773178501614235</v>
      </c>
      <c r="U201" s="220">
        <f t="shared" si="297"/>
        <v>0.11819134185693714</v>
      </c>
      <c r="V201" s="220">
        <f t="shared" si="297"/>
        <v>0.11983232637702024</v>
      </c>
      <c r="W201" s="220">
        <f t="shared" si="297"/>
        <v>0.12308538749957298</v>
      </c>
      <c r="X201" s="220">
        <f t="shared" si="297"/>
        <v>0.12244551690695227</v>
      </c>
      <c r="Y201" s="220">
        <f t="shared" si="297"/>
        <v>0.12197402999151086</v>
      </c>
      <c r="Z201" s="220">
        <f t="shared" si="297"/>
        <v>0.12036835770915966</v>
      </c>
      <c r="AA201" s="220">
        <f t="shared" si="297"/>
        <v>0.12036835770915966</v>
      </c>
      <c r="AB201" s="220">
        <f t="shared" si="297"/>
        <v>0.12036835770915943</v>
      </c>
      <c r="AC201" s="220">
        <f t="shared" si="297"/>
        <v>0.12036835770915966</v>
      </c>
      <c r="AD201" s="220">
        <f t="shared" si="297"/>
        <v>0.12036835770915966</v>
      </c>
    </row>
    <row r="202" spans="1:30" s="226" customFormat="1" ht="14" hidden="1">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c r="X202" s="207"/>
      <c r="Y202" s="207"/>
      <c r="Z202" s="207"/>
      <c r="AA202" s="207"/>
      <c r="AB202" s="207"/>
      <c r="AC202" s="207"/>
      <c r="AD202" s="207"/>
    </row>
    <row r="203" spans="1:30" s="226" customFormat="1" ht="14" hidden="1">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c r="X203" s="207"/>
      <c r="Y203" s="207"/>
      <c r="Z203" s="207"/>
      <c r="AA203" s="207"/>
      <c r="AB203" s="207"/>
      <c r="AC203" s="207"/>
      <c r="AD203" s="207"/>
    </row>
    <row r="204" spans="1:30" hidden="1">
      <c r="A204" s="18"/>
      <c r="B204" s="18"/>
      <c r="C204" s="18"/>
      <c r="D204" s="171" t="s">
        <v>1048</v>
      </c>
      <c r="E204" s="3" t="s">
        <v>216</v>
      </c>
      <c r="F204" s="3" t="s">
        <v>217</v>
      </c>
      <c r="G204" s="3" t="s">
        <v>218</v>
      </c>
      <c r="H204" s="3" t="s">
        <v>28</v>
      </c>
      <c r="I204" s="3" t="s">
        <v>17</v>
      </c>
      <c r="J204" s="3" t="s">
        <v>18</v>
      </c>
      <c r="K204" s="3" t="s">
        <v>19</v>
      </c>
      <c r="L204" s="3" t="s">
        <v>20</v>
      </c>
      <c r="M204" s="3" t="s">
        <v>21</v>
      </c>
      <c r="N204" s="3" t="s">
        <v>22</v>
      </c>
      <c r="O204" s="3" t="s">
        <v>23</v>
      </c>
      <c r="P204" s="3" t="s">
        <v>24</v>
      </c>
      <c r="Q204" s="3" t="s">
        <v>25</v>
      </c>
      <c r="R204" s="3" t="s">
        <v>26</v>
      </c>
      <c r="S204" s="3" t="s">
        <v>27</v>
      </c>
      <c r="T204" s="3" t="s">
        <v>712</v>
      </c>
      <c r="U204" s="3" t="s">
        <v>713</v>
      </c>
      <c r="V204" s="3" t="s">
        <v>714</v>
      </c>
      <c r="W204" s="3" t="s">
        <v>715</v>
      </c>
      <c r="X204" s="3" t="s">
        <v>716</v>
      </c>
      <c r="Y204" s="3" t="s">
        <v>717</v>
      </c>
      <c r="Z204" s="3" t="s">
        <v>718</v>
      </c>
      <c r="AA204" s="3" t="s">
        <v>719</v>
      </c>
      <c r="AB204" s="3" t="s">
        <v>720</v>
      </c>
      <c r="AC204" s="3" t="s">
        <v>721</v>
      </c>
      <c r="AD204" s="3" t="s">
        <v>722</v>
      </c>
    </row>
    <row r="205" spans="1:30" s="242" customFormat="1" hidden="1">
      <c r="A205" s="100"/>
      <c r="B205" s="100"/>
      <c r="C205" s="100"/>
      <c r="D205" s="100" t="s">
        <v>0</v>
      </c>
      <c r="E205" s="191"/>
      <c r="F205" s="191"/>
      <c r="G205" s="191">
        <v>110000</v>
      </c>
      <c r="H205" s="191">
        <v>127600</v>
      </c>
      <c r="I205" s="191">
        <v>100000</v>
      </c>
      <c r="J205" s="191">
        <v>140000</v>
      </c>
      <c r="K205" s="191">
        <v>120000</v>
      </c>
      <c r="L205" s="191">
        <v>138000</v>
      </c>
      <c r="M205" s="191">
        <v>150000</v>
      </c>
      <c r="N205" s="191">
        <v>137500</v>
      </c>
      <c r="O205" s="191">
        <v>160000</v>
      </c>
      <c r="P205" s="191">
        <f>O205*(1+P206)</f>
        <v>177600.00000000003</v>
      </c>
      <c r="Q205" s="191">
        <f t="shared" ref="Q205:AD205" si="298">P205*(1+Q206)</f>
        <v>195360.00000000006</v>
      </c>
      <c r="R205" s="191">
        <f t="shared" si="298"/>
        <v>209035.20000000007</v>
      </c>
      <c r="S205" s="191">
        <f t="shared" si="298"/>
        <v>223667.66400000008</v>
      </c>
      <c r="T205" s="191">
        <f t="shared" si="298"/>
        <v>239324.4004800001</v>
      </c>
      <c r="U205" s="191">
        <f t="shared" si="298"/>
        <v>256077.10851360013</v>
      </c>
      <c r="V205" s="191">
        <f t="shared" si="298"/>
        <v>274002.50610955217</v>
      </c>
      <c r="W205" s="191">
        <f t="shared" si="298"/>
        <v>293182.68153722084</v>
      </c>
      <c r="X205" s="191">
        <f t="shared" si="298"/>
        <v>313705.46924482629</v>
      </c>
      <c r="Y205" s="191">
        <f t="shared" si="298"/>
        <v>338801.90678441239</v>
      </c>
      <c r="Z205" s="191">
        <f t="shared" si="298"/>
        <v>365906.05932716542</v>
      </c>
      <c r="AA205" s="191">
        <f t="shared" si="298"/>
        <v>395178.54407333868</v>
      </c>
      <c r="AB205" s="191">
        <f t="shared" si="298"/>
        <v>426792.82759920578</v>
      </c>
      <c r="AC205" s="191">
        <f t="shared" si="298"/>
        <v>460936.25380714226</v>
      </c>
      <c r="AD205" s="191">
        <f t="shared" si="298"/>
        <v>493201.79157364223</v>
      </c>
    </row>
    <row r="206" spans="1:30" s="241" customFormat="1" ht="11" hidden="1">
      <c r="A206" s="185"/>
      <c r="B206" s="185"/>
      <c r="C206" s="185"/>
      <c r="D206" s="185" t="s">
        <v>974</v>
      </c>
      <c r="E206" s="193"/>
      <c r="F206" s="193"/>
      <c r="G206" s="193"/>
      <c r="H206" s="193">
        <f>(H205/G205)-1</f>
        <v>0.15999999999999992</v>
      </c>
      <c r="I206" s="193">
        <f t="shared" ref="I206:O206" si="299">(I205/H205)-1</f>
        <v>-0.21630094043887149</v>
      </c>
      <c r="J206" s="193">
        <f t="shared" si="299"/>
        <v>0.39999999999999991</v>
      </c>
      <c r="K206" s="193">
        <f t="shared" si="299"/>
        <v>-0.1428571428571429</v>
      </c>
      <c r="L206" s="193">
        <f t="shared" si="299"/>
        <v>0.14999999999999991</v>
      </c>
      <c r="M206" s="193">
        <f t="shared" si="299"/>
        <v>8.6956521739130377E-2</v>
      </c>
      <c r="N206" s="193">
        <f t="shared" si="299"/>
        <v>-8.333333333333337E-2</v>
      </c>
      <c r="O206" s="193">
        <f t="shared" si="299"/>
        <v>0.16363636363636358</v>
      </c>
      <c r="P206" s="193">
        <f>SUM(P207:P209)</f>
        <v>0.11</v>
      </c>
      <c r="Q206" s="193">
        <f t="shared" ref="Q206:AD206" si="300">SUM(Q207:Q209)</f>
        <v>0.1</v>
      </c>
      <c r="R206" s="193">
        <f t="shared" si="300"/>
        <v>7.0000000000000007E-2</v>
      </c>
      <c r="S206" s="193">
        <f t="shared" si="300"/>
        <v>7.0000000000000007E-2</v>
      </c>
      <c r="T206" s="193">
        <f t="shared" si="300"/>
        <v>7.0000000000000007E-2</v>
      </c>
      <c r="U206" s="193">
        <f t="shared" si="300"/>
        <v>7.0000000000000007E-2</v>
      </c>
      <c r="V206" s="193">
        <f t="shared" si="300"/>
        <v>7.0000000000000007E-2</v>
      </c>
      <c r="W206" s="193">
        <f t="shared" si="300"/>
        <v>7.0000000000000007E-2</v>
      </c>
      <c r="X206" s="193">
        <f t="shared" si="300"/>
        <v>7.0000000000000007E-2</v>
      </c>
      <c r="Y206" s="193">
        <f t="shared" si="300"/>
        <v>0.08</v>
      </c>
      <c r="Z206" s="193">
        <f t="shared" si="300"/>
        <v>0.08</v>
      </c>
      <c r="AA206" s="193">
        <f t="shared" si="300"/>
        <v>0.08</v>
      </c>
      <c r="AB206" s="193">
        <f t="shared" si="300"/>
        <v>0.08</v>
      </c>
      <c r="AC206" s="193">
        <f t="shared" si="300"/>
        <v>0.08</v>
      </c>
      <c r="AD206" s="193">
        <f t="shared" si="300"/>
        <v>7.0000000000000007E-2</v>
      </c>
    </row>
    <row r="207" spans="1:30" s="225" customFormat="1" ht="14" hidden="1">
      <c r="A207" s="195"/>
      <c r="B207" s="195"/>
      <c r="C207" s="195"/>
      <c r="D207" s="195" t="s">
        <v>1021</v>
      </c>
      <c r="E207" s="196"/>
      <c r="F207" s="196"/>
      <c r="G207" s="196"/>
      <c r="H207" s="196">
        <v>0.06</v>
      </c>
      <c r="I207" s="196">
        <v>-0.05</v>
      </c>
      <c r="J207" s="196">
        <v>0.02</v>
      </c>
      <c r="K207" s="196">
        <v>-0.14000000000000001</v>
      </c>
      <c r="L207" s="196"/>
      <c r="M207" s="196"/>
      <c r="N207" s="196"/>
      <c r="O207" s="196">
        <v>0.05</v>
      </c>
      <c r="P207" s="196">
        <v>0</v>
      </c>
      <c r="Q207" s="196">
        <v>0</v>
      </c>
      <c r="R207" s="196">
        <v>0</v>
      </c>
      <c r="S207" s="196">
        <v>0</v>
      </c>
      <c r="T207" s="196">
        <f>S207</f>
        <v>0</v>
      </c>
      <c r="U207" s="196">
        <f t="shared" ref="U207:X207" si="301">T207</f>
        <v>0</v>
      </c>
      <c r="V207" s="196">
        <f t="shared" si="301"/>
        <v>0</v>
      </c>
      <c r="W207" s="196">
        <f t="shared" si="301"/>
        <v>0</v>
      </c>
      <c r="X207" s="196">
        <f t="shared" si="301"/>
        <v>0</v>
      </c>
      <c r="Y207" s="196">
        <v>0.02</v>
      </c>
      <c r="Z207" s="196">
        <f>Y207</f>
        <v>0.02</v>
      </c>
      <c r="AA207" s="196">
        <f t="shared" ref="AA207:AD207" si="302">Z207</f>
        <v>0.02</v>
      </c>
      <c r="AB207" s="196">
        <f t="shared" si="302"/>
        <v>0.02</v>
      </c>
      <c r="AC207" s="196">
        <f t="shared" si="302"/>
        <v>0.02</v>
      </c>
      <c r="AD207" s="196">
        <f t="shared" si="302"/>
        <v>0.02</v>
      </c>
    </row>
    <row r="208" spans="1:30" s="225" customFormat="1" ht="14" hidden="1">
      <c r="A208" s="195"/>
      <c r="B208" s="195"/>
      <c r="C208" s="195"/>
      <c r="D208" s="195" t="s">
        <v>1022</v>
      </c>
      <c r="E208" s="196"/>
      <c r="F208" s="196"/>
      <c r="G208" s="196"/>
      <c r="H208" s="196">
        <v>0.1</v>
      </c>
      <c r="I208" s="196">
        <v>0</v>
      </c>
      <c r="J208" s="196">
        <v>0.04</v>
      </c>
      <c r="K208" s="196">
        <v>0</v>
      </c>
      <c r="L208" s="196"/>
      <c r="M208" s="196"/>
      <c r="N208" s="196"/>
      <c r="O208" s="196">
        <v>0.05</v>
      </c>
      <c r="P208" s="196">
        <v>0.06</v>
      </c>
      <c r="Q208" s="196">
        <v>0.05</v>
      </c>
      <c r="R208" s="196">
        <v>0.04</v>
      </c>
      <c r="S208" s="196">
        <v>0.04</v>
      </c>
      <c r="T208" s="196">
        <f>S208</f>
        <v>0.04</v>
      </c>
      <c r="U208" s="196">
        <f t="shared" ref="U208:X208" si="303">T208</f>
        <v>0.04</v>
      </c>
      <c r="V208" s="196">
        <f t="shared" si="303"/>
        <v>0.04</v>
      </c>
      <c r="W208" s="196">
        <f t="shared" si="303"/>
        <v>0.04</v>
      </c>
      <c r="X208" s="196">
        <f t="shared" si="303"/>
        <v>0.04</v>
      </c>
      <c r="Y208" s="196">
        <v>0.03</v>
      </c>
      <c r="Z208" s="196">
        <f>Y208</f>
        <v>0.03</v>
      </c>
      <c r="AA208" s="196">
        <f t="shared" ref="AA208:AC208" si="304">Z208</f>
        <v>0.03</v>
      </c>
      <c r="AB208" s="196">
        <f t="shared" si="304"/>
        <v>0.03</v>
      </c>
      <c r="AC208" s="196">
        <f t="shared" si="304"/>
        <v>0.03</v>
      </c>
      <c r="AD208" s="196">
        <v>0.02</v>
      </c>
    </row>
    <row r="209" spans="1:30" s="225" customFormat="1" ht="14" hidden="1">
      <c r="A209" s="195"/>
      <c r="B209" s="195"/>
      <c r="C209" s="195"/>
      <c r="D209" s="195" t="s">
        <v>1041</v>
      </c>
      <c r="E209" s="196"/>
      <c r="F209" s="196"/>
      <c r="G209" s="196"/>
      <c r="H209" s="196">
        <v>0</v>
      </c>
      <c r="I209" s="196">
        <f t="shared" ref="I209:N209" si="305">I115</f>
        <v>-0.10903173311635472</v>
      </c>
      <c r="J209" s="196">
        <f t="shared" si="305"/>
        <v>0</v>
      </c>
      <c r="K209" s="196">
        <f t="shared" si="305"/>
        <v>0</v>
      </c>
      <c r="L209" s="196">
        <f t="shared" si="305"/>
        <v>0</v>
      </c>
      <c r="M209" s="196">
        <f t="shared" si="305"/>
        <v>0</v>
      </c>
      <c r="N209" s="196">
        <f t="shared" si="305"/>
        <v>0</v>
      </c>
      <c r="O209" s="196">
        <v>0.06</v>
      </c>
      <c r="P209" s="196">
        <v>0.05</v>
      </c>
      <c r="Q209" s="196">
        <f>P209</f>
        <v>0.05</v>
      </c>
      <c r="R209" s="196">
        <v>0.03</v>
      </c>
      <c r="S209" s="196">
        <v>0.03</v>
      </c>
      <c r="T209" s="196">
        <v>0.03</v>
      </c>
      <c r="U209" s="196">
        <f t="shared" ref="U209:AD209" si="306">T209</f>
        <v>0.03</v>
      </c>
      <c r="V209" s="196">
        <f t="shared" si="306"/>
        <v>0.03</v>
      </c>
      <c r="W209" s="196">
        <f t="shared" si="306"/>
        <v>0.03</v>
      </c>
      <c r="X209" s="196">
        <f t="shared" si="306"/>
        <v>0.03</v>
      </c>
      <c r="Y209" s="196">
        <f t="shared" si="306"/>
        <v>0.03</v>
      </c>
      <c r="Z209" s="196">
        <f t="shared" si="306"/>
        <v>0.03</v>
      </c>
      <c r="AA209" s="196">
        <f t="shared" si="306"/>
        <v>0.03</v>
      </c>
      <c r="AB209" s="196">
        <f t="shared" si="306"/>
        <v>0.03</v>
      </c>
      <c r="AC209" s="196">
        <f t="shared" si="306"/>
        <v>0.03</v>
      </c>
      <c r="AD209" s="196">
        <f t="shared" si="306"/>
        <v>0.03</v>
      </c>
    </row>
    <row r="210" spans="1:30" s="245" customFormat="1" ht="14" hidden="1">
      <c r="A210" s="197"/>
      <c r="B210" s="197"/>
      <c r="C210" s="197"/>
      <c r="D210" s="197" t="s">
        <v>499</v>
      </c>
      <c r="E210" s="198"/>
      <c r="F210" s="198"/>
      <c r="G210" s="198">
        <f t="shared" ref="G210:O210" si="307">G205/G5</f>
        <v>7.8067281221767149E-2</v>
      </c>
      <c r="H210" s="198">
        <f t="shared" si="307"/>
        <v>6.7882775596886963E-2</v>
      </c>
      <c r="I210" s="198">
        <f t="shared" si="307"/>
        <v>4.6674511096164897E-2</v>
      </c>
      <c r="J210" s="198">
        <f t="shared" si="307"/>
        <v>6.140165056408381E-2</v>
      </c>
      <c r="K210" s="198">
        <f t="shared" si="307"/>
        <v>5.2903148442707652E-2</v>
      </c>
      <c r="L210" s="198">
        <f t="shared" si="307"/>
        <v>4.7049533953909865E-2</v>
      </c>
      <c r="M210" s="198">
        <f t="shared" si="307"/>
        <v>4.998200647766804E-2</v>
      </c>
      <c r="N210" s="198">
        <f t="shared" si="307"/>
        <v>3.9376020375873469E-2</v>
      </c>
      <c r="O210" s="198">
        <f t="shared" si="307"/>
        <v>4.1872375616145464E-2</v>
      </c>
      <c r="P210" s="198" t="e">
        <f>P205/#REF!</f>
        <v>#REF!</v>
      </c>
      <c r="Q210" s="198" t="e">
        <f>Q205/#REF!</f>
        <v>#REF!</v>
      </c>
      <c r="R210" s="198" t="e">
        <f>R205/#REF!</f>
        <v>#REF!</v>
      </c>
      <c r="S210" s="198" t="e">
        <f>S205/#REF!</f>
        <v>#REF!</v>
      </c>
      <c r="T210" s="198" t="e">
        <f>T205/#REF!</f>
        <v>#REF!</v>
      </c>
      <c r="U210" s="198" t="e">
        <f>U205/#REF!</f>
        <v>#REF!</v>
      </c>
      <c r="V210" s="198" t="e">
        <f>V205/#REF!</f>
        <v>#REF!</v>
      </c>
      <c r="W210" s="198" t="e">
        <f>W205/#REF!</f>
        <v>#REF!</v>
      </c>
      <c r="X210" s="198" t="e">
        <f>X205/#REF!</f>
        <v>#REF!</v>
      </c>
      <c r="Y210" s="198" t="e">
        <f>Y205/#REF!</f>
        <v>#REF!</v>
      </c>
      <c r="Z210" s="198" t="e">
        <f>Z205/#REF!</f>
        <v>#REF!</v>
      </c>
      <c r="AA210" s="198" t="e">
        <f>AA205/#REF!</f>
        <v>#REF!</v>
      </c>
      <c r="AB210" s="198" t="e">
        <f>AB205/#REF!</f>
        <v>#REF!</v>
      </c>
      <c r="AC210" s="198" t="e">
        <f>AC205/#REF!</f>
        <v>#REF!</v>
      </c>
      <c r="AD210" s="198" t="e">
        <f>AD205/#REF!</f>
        <v>#REF!</v>
      </c>
    </row>
    <row r="211" spans="1:30" s="243" customFormat="1" hidden="1">
      <c r="A211" s="115"/>
      <c r="B211" s="115"/>
      <c r="C211" s="115"/>
      <c r="D211" s="115"/>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row>
    <row r="212" spans="1:30" s="242" customFormat="1" hidden="1">
      <c r="A212" s="100"/>
      <c r="B212" s="100"/>
      <c r="C212" s="100"/>
      <c r="D212" s="100" t="s">
        <v>1044</v>
      </c>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c r="AC212" s="191"/>
      <c r="AD212" s="191"/>
    </row>
    <row r="213" spans="1:30" s="234" customFormat="1" ht="14" hidden="1">
      <c r="A213" s="131"/>
      <c r="B213" s="131"/>
      <c r="C213" s="131"/>
      <c r="D213" s="131" t="s">
        <v>1042</v>
      </c>
      <c r="E213" s="194"/>
      <c r="F213" s="194">
        <f>3174+382</f>
        <v>3556</v>
      </c>
      <c r="G213" s="194">
        <f>2556+382</f>
        <v>2938</v>
      </c>
      <c r="H213" s="194">
        <v>2571</v>
      </c>
      <c r="I213" s="194">
        <f>2340+363</f>
        <v>2703</v>
      </c>
      <c r="J213" s="194">
        <f>2393+345</f>
        <v>2738</v>
      </c>
      <c r="K213" s="194">
        <v>2286</v>
      </c>
      <c r="L213" s="194">
        <v>2425</v>
      </c>
      <c r="M213" s="194">
        <f>L213</f>
        <v>2425</v>
      </c>
      <c r="N213" s="194">
        <f t="shared" ref="N213:AD213" si="308">M213</f>
        <v>2425</v>
      </c>
      <c r="O213" s="194">
        <f t="shared" si="308"/>
        <v>2425</v>
      </c>
      <c r="P213" s="194">
        <f t="shared" si="308"/>
        <v>2425</v>
      </c>
      <c r="Q213" s="194">
        <f t="shared" si="308"/>
        <v>2425</v>
      </c>
      <c r="R213" s="194">
        <f t="shared" si="308"/>
        <v>2425</v>
      </c>
      <c r="S213" s="194">
        <f t="shared" si="308"/>
        <v>2425</v>
      </c>
      <c r="T213" s="194">
        <f t="shared" si="308"/>
        <v>2425</v>
      </c>
      <c r="U213" s="194">
        <f t="shared" si="308"/>
        <v>2425</v>
      </c>
      <c r="V213" s="194">
        <f t="shared" si="308"/>
        <v>2425</v>
      </c>
      <c r="W213" s="194">
        <f t="shared" si="308"/>
        <v>2425</v>
      </c>
      <c r="X213" s="194">
        <f t="shared" si="308"/>
        <v>2425</v>
      </c>
      <c r="Y213" s="194">
        <f t="shared" si="308"/>
        <v>2425</v>
      </c>
      <c r="Z213" s="194">
        <f t="shared" si="308"/>
        <v>2425</v>
      </c>
      <c r="AA213" s="194">
        <f t="shared" si="308"/>
        <v>2425</v>
      </c>
      <c r="AB213" s="194">
        <f t="shared" si="308"/>
        <v>2425</v>
      </c>
      <c r="AC213" s="194">
        <f t="shared" si="308"/>
        <v>2425</v>
      </c>
      <c r="AD213" s="194">
        <f t="shared" si="308"/>
        <v>2425</v>
      </c>
    </row>
    <row r="214" spans="1:30" s="241" customFormat="1" ht="11" hidden="1">
      <c r="A214" s="185"/>
      <c r="B214" s="185"/>
      <c r="C214" s="185"/>
      <c r="D214" s="185" t="s">
        <v>974</v>
      </c>
      <c r="E214" s="193"/>
      <c r="F214" s="193"/>
      <c r="G214" s="193">
        <f>(G213/F213)-1</f>
        <v>-0.17379077615298089</v>
      </c>
      <c r="H214" s="193">
        <f t="shared" ref="H214:AD214" si="309">(H213/G213)-1</f>
        <v>-0.12491490810074879</v>
      </c>
      <c r="I214" s="193">
        <f t="shared" si="309"/>
        <v>5.134189031505243E-2</v>
      </c>
      <c r="J214" s="193">
        <f t="shared" si="309"/>
        <v>1.2948575656677841E-2</v>
      </c>
      <c r="K214" s="193">
        <f t="shared" si="309"/>
        <v>-0.16508400292184078</v>
      </c>
      <c r="L214" s="193">
        <f t="shared" si="309"/>
        <v>6.0804899387576494E-2</v>
      </c>
      <c r="M214" s="193">
        <f t="shared" si="309"/>
        <v>0</v>
      </c>
      <c r="N214" s="193">
        <f t="shared" si="309"/>
        <v>0</v>
      </c>
      <c r="O214" s="193">
        <f t="shared" si="309"/>
        <v>0</v>
      </c>
      <c r="P214" s="193">
        <f t="shared" si="309"/>
        <v>0</v>
      </c>
      <c r="Q214" s="193">
        <f t="shared" si="309"/>
        <v>0</v>
      </c>
      <c r="R214" s="193">
        <f t="shared" si="309"/>
        <v>0</v>
      </c>
      <c r="S214" s="193">
        <f t="shared" si="309"/>
        <v>0</v>
      </c>
      <c r="T214" s="193">
        <f t="shared" si="309"/>
        <v>0</v>
      </c>
      <c r="U214" s="193">
        <f t="shared" si="309"/>
        <v>0</v>
      </c>
      <c r="V214" s="193">
        <f t="shared" si="309"/>
        <v>0</v>
      </c>
      <c r="W214" s="193">
        <f t="shared" si="309"/>
        <v>0</v>
      </c>
      <c r="X214" s="193">
        <f t="shared" si="309"/>
        <v>0</v>
      </c>
      <c r="Y214" s="193">
        <f t="shared" si="309"/>
        <v>0</v>
      </c>
      <c r="Z214" s="193">
        <f t="shared" si="309"/>
        <v>0</v>
      </c>
      <c r="AA214" s="193">
        <f t="shared" si="309"/>
        <v>0</v>
      </c>
      <c r="AB214" s="193">
        <f t="shared" si="309"/>
        <v>0</v>
      </c>
      <c r="AC214" s="193">
        <f t="shared" si="309"/>
        <v>0</v>
      </c>
      <c r="AD214" s="193">
        <f t="shared" si="309"/>
        <v>0</v>
      </c>
    </row>
    <row r="215" spans="1:30" s="234" customFormat="1" ht="14" hidden="1">
      <c r="A215" s="131"/>
      <c r="B215" s="131"/>
      <c r="C215" s="131"/>
      <c r="D215" s="131" t="s">
        <v>1032</v>
      </c>
      <c r="E215" s="194"/>
      <c r="F215" s="194">
        <f>490+12.3</f>
        <v>502.3</v>
      </c>
      <c r="G215" s="194">
        <f>G216*G213</f>
        <v>434.82399999999996</v>
      </c>
      <c r="H215" s="194">
        <f>373+12</f>
        <v>385</v>
      </c>
      <c r="I215" s="194">
        <f>348+11.4</f>
        <v>359.4</v>
      </c>
      <c r="J215" s="194">
        <f>348+10.9</f>
        <v>358.9</v>
      </c>
      <c r="K215" s="194">
        <v>324.8</v>
      </c>
      <c r="L215" s="194">
        <v>327</v>
      </c>
      <c r="M215" s="194">
        <f>M216*M213</f>
        <v>327</v>
      </c>
      <c r="N215" s="194">
        <f t="shared" ref="N215:AD215" si="310">N216*N213</f>
        <v>327</v>
      </c>
      <c r="O215" s="194">
        <f t="shared" si="310"/>
        <v>327</v>
      </c>
      <c r="P215" s="194">
        <f t="shared" si="310"/>
        <v>327</v>
      </c>
      <c r="Q215" s="194">
        <f t="shared" si="310"/>
        <v>327</v>
      </c>
      <c r="R215" s="194">
        <f t="shared" si="310"/>
        <v>327</v>
      </c>
      <c r="S215" s="194">
        <f t="shared" si="310"/>
        <v>327</v>
      </c>
      <c r="T215" s="194">
        <f t="shared" si="310"/>
        <v>327</v>
      </c>
      <c r="U215" s="194">
        <f t="shared" si="310"/>
        <v>327</v>
      </c>
      <c r="V215" s="194">
        <f t="shared" si="310"/>
        <v>327</v>
      </c>
      <c r="W215" s="194">
        <f t="shared" si="310"/>
        <v>327</v>
      </c>
      <c r="X215" s="194">
        <f t="shared" si="310"/>
        <v>327</v>
      </c>
      <c r="Y215" s="194">
        <f t="shared" si="310"/>
        <v>327</v>
      </c>
      <c r="Z215" s="194">
        <f t="shared" si="310"/>
        <v>327</v>
      </c>
      <c r="AA215" s="194">
        <f t="shared" si="310"/>
        <v>327</v>
      </c>
      <c r="AB215" s="194">
        <f t="shared" si="310"/>
        <v>327</v>
      </c>
      <c r="AC215" s="194">
        <f t="shared" si="310"/>
        <v>327</v>
      </c>
      <c r="AD215" s="194">
        <f t="shared" si="310"/>
        <v>327</v>
      </c>
    </row>
    <row r="216" spans="1:30" s="225" customFormat="1" ht="14" hidden="1">
      <c r="A216" s="195"/>
      <c r="B216" s="195"/>
      <c r="C216" s="195"/>
      <c r="D216" s="195" t="s">
        <v>1043</v>
      </c>
      <c r="E216" s="195"/>
      <c r="F216" s="195">
        <f>F215/F213</f>
        <v>0.14125421822272216</v>
      </c>
      <c r="G216" s="195">
        <v>0.14799999999999999</v>
      </c>
      <c r="H216" s="195">
        <f>H215/H213</f>
        <v>0.14974718008556981</v>
      </c>
      <c r="I216" s="195">
        <f>I215/I213</f>
        <v>0.13296337402885683</v>
      </c>
      <c r="J216" s="195">
        <f t="shared" ref="J216:L216" si="311">J215/J213</f>
        <v>0.13108108108108107</v>
      </c>
      <c r="K216" s="195">
        <f t="shared" si="311"/>
        <v>0.142082239720035</v>
      </c>
      <c r="L216" s="195">
        <f t="shared" si="311"/>
        <v>0.13484536082474227</v>
      </c>
      <c r="M216" s="195">
        <f>L216</f>
        <v>0.13484536082474227</v>
      </c>
      <c r="N216" s="195">
        <f t="shared" ref="N216:AD216" si="312">M216</f>
        <v>0.13484536082474227</v>
      </c>
      <c r="O216" s="195">
        <f t="shared" si="312"/>
        <v>0.13484536082474227</v>
      </c>
      <c r="P216" s="195">
        <f t="shared" si="312"/>
        <v>0.13484536082474227</v>
      </c>
      <c r="Q216" s="195">
        <f t="shared" si="312"/>
        <v>0.13484536082474227</v>
      </c>
      <c r="R216" s="195">
        <f t="shared" si="312"/>
        <v>0.13484536082474227</v>
      </c>
      <c r="S216" s="195">
        <f t="shared" si="312"/>
        <v>0.13484536082474227</v>
      </c>
      <c r="T216" s="195">
        <f t="shared" si="312"/>
        <v>0.13484536082474227</v>
      </c>
      <c r="U216" s="195">
        <f t="shared" si="312"/>
        <v>0.13484536082474227</v>
      </c>
      <c r="V216" s="195">
        <f t="shared" si="312"/>
        <v>0.13484536082474227</v>
      </c>
      <c r="W216" s="195">
        <f t="shared" si="312"/>
        <v>0.13484536082474227</v>
      </c>
      <c r="X216" s="195">
        <f t="shared" si="312"/>
        <v>0.13484536082474227</v>
      </c>
      <c r="Y216" s="195">
        <f t="shared" si="312"/>
        <v>0.13484536082474227</v>
      </c>
      <c r="Z216" s="195">
        <f t="shared" si="312"/>
        <v>0.13484536082474227</v>
      </c>
      <c r="AA216" s="195">
        <f t="shared" si="312"/>
        <v>0.13484536082474227</v>
      </c>
      <c r="AB216" s="195">
        <f t="shared" si="312"/>
        <v>0.13484536082474227</v>
      </c>
      <c r="AC216" s="195">
        <f t="shared" si="312"/>
        <v>0.13484536082474227</v>
      </c>
      <c r="AD216" s="195">
        <f t="shared" si="312"/>
        <v>0.13484536082474227</v>
      </c>
    </row>
    <row r="217" spans="1:30" s="243" customFormat="1" hidden="1">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row>
    <row r="218" spans="1:30" s="242" customFormat="1" hidden="1">
      <c r="A218" s="100"/>
      <c r="B218" s="100"/>
      <c r="C218" s="100"/>
      <c r="D218" s="100" t="s">
        <v>1045</v>
      </c>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c r="AA218" s="100"/>
      <c r="AB218" s="100"/>
      <c r="AC218" s="100"/>
      <c r="AD218" s="100"/>
    </row>
    <row r="219" spans="1:30" s="234" customFormat="1" hidden="1">
      <c r="A219" s="131"/>
      <c r="B219" s="131"/>
      <c r="C219" s="131"/>
      <c r="D219" s="131" t="s">
        <v>1046</v>
      </c>
      <c r="E219" s="131"/>
      <c r="F219" s="115"/>
      <c r="G219" s="115">
        <v>2423</v>
      </c>
      <c r="H219" s="115">
        <f t="shared" ref="H219:AD219" si="313">G219*(1+H220)</f>
        <v>2423</v>
      </c>
      <c r="I219" s="115">
        <f t="shared" si="313"/>
        <v>2423</v>
      </c>
      <c r="J219" s="115">
        <f t="shared" si="313"/>
        <v>2423</v>
      </c>
      <c r="K219" s="115">
        <f t="shared" si="313"/>
        <v>2423</v>
      </c>
      <c r="L219" s="115">
        <f t="shared" si="313"/>
        <v>2423</v>
      </c>
      <c r="M219" s="115">
        <f t="shared" si="313"/>
        <v>2423</v>
      </c>
      <c r="N219" s="115">
        <f t="shared" si="313"/>
        <v>2423</v>
      </c>
      <c r="O219" s="115">
        <f t="shared" si="313"/>
        <v>2423</v>
      </c>
      <c r="P219" s="115">
        <f t="shared" si="313"/>
        <v>2423</v>
      </c>
      <c r="Q219" s="115">
        <f t="shared" si="313"/>
        <v>2423</v>
      </c>
      <c r="R219" s="115">
        <f t="shared" si="313"/>
        <v>2423</v>
      </c>
      <c r="S219" s="115">
        <f t="shared" si="313"/>
        <v>2423</v>
      </c>
      <c r="T219" s="115">
        <f t="shared" si="313"/>
        <v>2423</v>
      </c>
      <c r="U219" s="115">
        <f t="shared" si="313"/>
        <v>2423</v>
      </c>
      <c r="V219" s="115">
        <f t="shared" si="313"/>
        <v>2423</v>
      </c>
      <c r="W219" s="115">
        <f t="shared" si="313"/>
        <v>2423</v>
      </c>
      <c r="X219" s="115">
        <f t="shared" si="313"/>
        <v>2423</v>
      </c>
      <c r="Y219" s="115">
        <f t="shared" si="313"/>
        <v>2423</v>
      </c>
      <c r="Z219" s="115">
        <f t="shared" si="313"/>
        <v>2423</v>
      </c>
      <c r="AA219" s="115">
        <f t="shared" si="313"/>
        <v>2423</v>
      </c>
      <c r="AB219" s="115">
        <f t="shared" si="313"/>
        <v>2423</v>
      </c>
      <c r="AC219" s="115">
        <f t="shared" si="313"/>
        <v>2423</v>
      </c>
      <c r="AD219" s="115">
        <f t="shared" si="313"/>
        <v>2423</v>
      </c>
    </row>
    <row r="220" spans="1:30" s="241" customFormat="1" ht="11" hidden="1">
      <c r="A220" s="185"/>
      <c r="B220" s="185"/>
      <c r="C220" s="185"/>
      <c r="D220" s="185" t="s">
        <v>974</v>
      </c>
      <c r="E220" s="193"/>
      <c r="F220" s="193"/>
      <c r="G220" s="193">
        <v>0</v>
      </c>
      <c r="H220" s="193">
        <f>G220</f>
        <v>0</v>
      </c>
      <c r="I220" s="193">
        <f t="shared" ref="I220:AD220" si="314">H220</f>
        <v>0</v>
      </c>
      <c r="J220" s="193">
        <f t="shared" si="314"/>
        <v>0</v>
      </c>
      <c r="K220" s="193">
        <f t="shared" si="314"/>
        <v>0</v>
      </c>
      <c r="L220" s="193">
        <f t="shared" si="314"/>
        <v>0</v>
      </c>
      <c r="M220" s="193">
        <f t="shared" si="314"/>
        <v>0</v>
      </c>
      <c r="N220" s="193">
        <f t="shared" si="314"/>
        <v>0</v>
      </c>
      <c r="O220" s="193">
        <f t="shared" si="314"/>
        <v>0</v>
      </c>
      <c r="P220" s="193">
        <f t="shared" si="314"/>
        <v>0</v>
      </c>
      <c r="Q220" s="193">
        <f t="shared" si="314"/>
        <v>0</v>
      </c>
      <c r="R220" s="193">
        <f t="shared" si="314"/>
        <v>0</v>
      </c>
      <c r="S220" s="193">
        <f t="shared" si="314"/>
        <v>0</v>
      </c>
      <c r="T220" s="193">
        <f t="shared" si="314"/>
        <v>0</v>
      </c>
      <c r="U220" s="193">
        <f t="shared" si="314"/>
        <v>0</v>
      </c>
      <c r="V220" s="193">
        <f t="shared" si="314"/>
        <v>0</v>
      </c>
      <c r="W220" s="193">
        <f t="shared" si="314"/>
        <v>0</v>
      </c>
      <c r="X220" s="193">
        <f t="shared" si="314"/>
        <v>0</v>
      </c>
      <c r="Y220" s="193">
        <f t="shared" si="314"/>
        <v>0</v>
      </c>
      <c r="Z220" s="193">
        <f t="shared" si="314"/>
        <v>0</v>
      </c>
      <c r="AA220" s="193">
        <f t="shared" si="314"/>
        <v>0</v>
      </c>
      <c r="AB220" s="193">
        <f t="shared" si="314"/>
        <v>0</v>
      </c>
      <c r="AC220" s="193">
        <f t="shared" si="314"/>
        <v>0</v>
      </c>
      <c r="AD220" s="193">
        <f t="shared" si="314"/>
        <v>0</v>
      </c>
    </row>
    <row r="221" spans="1:30" s="234" customFormat="1" ht="14" hidden="1">
      <c r="A221" s="131"/>
      <c r="B221" s="131"/>
      <c r="C221" s="131"/>
      <c r="D221" s="131" t="s">
        <v>1032</v>
      </c>
      <c r="E221" s="131"/>
      <c r="F221" s="131"/>
      <c r="G221" s="131">
        <v>4.3</v>
      </c>
      <c r="H221" s="131">
        <f>H222*H219</f>
        <v>4.3</v>
      </c>
      <c r="I221" s="131">
        <f>I219*I222</f>
        <v>104.18899999999999</v>
      </c>
      <c r="J221" s="131">
        <f>J219*J222</f>
        <v>104.18899999999999</v>
      </c>
      <c r="K221" s="131">
        <f t="shared" ref="K221:AD221" si="315">K219*K222</f>
        <v>104.18899999999999</v>
      </c>
      <c r="L221" s="131">
        <f t="shared" si="315"/>
        <v>104.18899999999999</v>
      </c>
      <c r="M221" s="131">
        <f t="shared" si="315"/>
        <v>104.18899999999999</v>
      </c>
      <c r="N221" s="131">
        <f t="shared" si="315"/>
        <v>104.18899999999999</v>
      </c>
      <c r="O221" s="131">
        <f t="shared" si="315"/>
        <v>104.18899999999999</v>
      </c>
      <c r="P221" s="131">
        <f t="shared" si="315"/>
        <v>104.18899999999999</v>
      </c>
      <c r="Q221" s="131">
        <f t="shared" si="315"/>
        <v>104.18899999999999</v>
      </c>
      <c r="R221" s="131">
        <f t="shared" si="315"/>
        <v>104.18899999999999</v>
      </c>
      <c r="S221" s="131">
        <f t="shared" si="315"/>
        <v>104.18899999999999</v>
      </c>
      <c r="T221" s="131">
        <f t="shared" si="315"/>
        <v>104.18899999999999</v>
      </c>
      <c r="U221" s="131">
        <f t="shared" si="315"/>
        <v>104.18899999999999</v>
      </c>
      <c r="V221" s="131">
        <f t="shared" si="315"/>
        <v>104.18899999999999</v>
      </c>
      <c r="W221" s="131">
        <f t="shared" si="315"/>
        <v>104.18899999999999</v>
      </c>
      <c r="X221" s="131">
        <f t="shared" si="315"/>
        <v>104.18899999999999</v>
      </c>
      <c r="Y221" s="131">
        <f t="shared" si="315"/>
        <v>104.18899999999999</v>
      </c>
      <c r="Z221" s="131">
        <f t="shared" si="315"/>
        <v>104.18899999999999</v>
      </c>
      <c r="AA221" s="131">
        <f t="shared" si="315"/>
        <v>104.18899999999999</v>
      </c>
      <c r="AB221" s="131">
        <f t="shared" si="315"/>
        <v>104.18899999999999</v>
      </c>
      <c r="AC221" s="131">
        <f t="shared" si="315"/>
        <v>104.18899999999999</v>
      </c>
      <c r="AD221" s="131">
        <f t="shared" si="315"/>
        <v>104.18899999999999</v>
      </c>
    </row>
    <row r="222" spans="1:30" s="225" customFormat="1" ht="14" hidden="1">
      <c r="A222" s="195"/>
      <c r="B222" s="195"/>
      <c r="C222" s="195"/>
      <c r="D222" s="195" t="s">
        <v>1043</v>
      </c>
      <c r="E222" s="195"/>
      <c r="F222" s="195"/>
      <c r="G222" s="195">
        <f>G221/G219</f>
        <v>1.7746595130004126E-3</v>
      </c>
      <c r="H222" s="195">
        <f>G222</f>
        <v>1.7746595130004126E-3</v>
      </c>
      <c r="I222" s="195">
        <v>4.2999999999999997E-2</v>
      </c>
      <c r="J222" s="195">
        <f>I222</f>
        <v>4.2999999999999997E-2</v>
      </c>
      <c r="K222" s="195">
        <f t="shared" ref="K222:AD222" si="316">J222</f>
        <v>4.2999999999999997E-2</v>
      </c>
      <c r="L222" s="195">
        <f t="shared" si="316"/>
        <v>4.2999999999999997E-2</v>
      </c>
      <c r="M222" s="195">
        <f t="shared" si="316"/>
        <v>4.2999999999999997E-2</v>
      </c>
      <c r="N222" s="195">
        <f t="shared" si="316"/>
        <v>4.2999999999999997E-2</v>
      </c>
      <c r="O222" s="195">
        <f t="shared" si="316"/>
        <v>4.2999999999999997E-2</v>
      </c>
      <c r="P222" s="195">
        <f t="shared" si="316"/>
        <v>4.2999999999999997E-2</v>
      </c>
      <c r="Q222" s="195">
        <f t="shared" si="316"/>
        <v>4.2999999999999997E-2</v>
      </c>
      <c r="R222" s="195">
        <f t="shared" si="316"/>
        <v>4.2999999999999997E-2</v>
      </c>
      <c r="S222" s="195">
        <f t="shared" si="316"/>
        <v>4.2999999999999997E-2</v>
      </c>
      <c r="T222" s="195">
        <f t="shared" si="316"/>
        <v>4.2999999999999997E-2</v>
      </c>
      <c r="U222" s="195">
        <f t="shared" si="316"/>
        <v>4.2999999999999997E-2</v>
      </c>
      <c r="V222" s="195">
        <f t="shared" si="316"/>
        <v>4.2999999999999997E-2</v>
      </c>
      <c r="W222" s="195">
        <f t="shared" si="316"/>
        <v>4.2999999999999997E-2</v>
      </c>
      <c r="X222" s="195">
        <f t="shared" si="316"/>
        <v>4.2999999999999997E-2</v>
      </c>
      <c r="Y222" s="195">
        <f t="shared" si="316"/>
        <v>4.2999999999999997E-2</v>
      </c>
      <c r="Z222" s="195">
        <f t="shared" si="316"/>
        <v>4.2999999999999997E-2</v>
      </c>
      <c r="AA222" s="195">
        <f t="shared" si="316"/>
        <v>4.2999999999999997E-2</v>
      </c>
      <c r="AB222" s="195">
        <f t="shared" si="316"/>
        <v>4.2999999999999997E-2</v>
      </c>
      <c r="AC222" s="195">
        <f t="shared" si="316"/>
        <v>4.2999999999999997E-2</v>
      </c>
      <c r="AD222" s="195">
        <f t="shared" si="316"/>
        <v>4.2999999999999997E-2</v>
      </c>
    </row>
    <row r="223" spans="1:30" s="243" customFormat="1" hidden="1">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row>
    <row r="224" spans="1:30" s="242" customFormat="1" hidden="1">
      <c r="A224" s="100"/>
      <c r="B224" s="100"/>
      <c r="C224" s="100"/>
      <c r="D224" s="100" t="s">
        <v>451</v>
      </c>
      <c r="E224" s="100"/>
      <c r="F224" s="100"/>
      <c r="G224" s="100"/>
      <c r="H224" s="100">
        <v>33000</v>
      </c>
      <c r="I224" s="100">
        <v>20000</v>
      </c>
      <c r="J224" s="100">
        <v>30000</v>
      </c>
      <c r="K224" s="100">
        <v>17000</v>
      </c>
      <c r="L224" s="100">
        <v>23000</v>
      </c>
      <c r="M224" s="100">
        <v>28000</v>
      </c>
      <c r="N224" s="100">
        <v>29000</v>
      </c>
      <c r="O224" s="100">
        <v>45000</v>
      </c>
      <c r="P224" s="100">
        <f>P226*P205</f>
        <v>44400.000000000007</v>
      </c>
      <c r="Q224" s="100">
        <f t="shared" ref="Q224:AD224" si="317">Q226*Q205</f>
        <v>48840.000000000015</v>
      </c>
      <c r="R224" s="100">
        <f t="shared" si="317"/>
        <v>41807.040000000015</v>
      </c>
      <c r="S224" s="100">
        <f t="shared" si="317"/>
        <v>44733.532800000015</v>
      </c>
      <c r="T224" s="100">
        <f t="shared" si="317"/>
        <v>47864.880096000023</v>
      </c>
      <c r="U224" s="100">
        <f t="shared" si="317"/>
        <v>51215.421702720028</v>
      </c>
      <c r="V224" s="100">
        <f t="shared" si="317"/>
        <v>54800.501221910439</v>
      </c>
      <c r="W224" s="100">
        <f t="shared" si="317"/>
        <v>58636.53630744417</v>
      </c>
      <c r="X224" s="100">
        <f t="shared" si="317"/>
        <v>62741.093848965262</v>
      </c>
      <c r="Y224" s="100">
        <f t="shared" si="317"/>
        <v>50820.286017661856</v>
      </c>
      <c r="Z224" s="100">
        <f t="shared" si="317"/>
        <v>54885.908899074813</v>
      </c>
      <c r="AA224" s="100">
        <f t="shared" si="317"/>
        <v>59276.781611000799</v>
      </c>
      <c r="AB224" s="100">
        <f t="shared" si="317"/>
        <v>64018.924139880866</v>
      </c>
      <c r="AC224" s="100">
        <f t="shared" si="317"/>
        <v>69140.43807107133</v>
      </c>
      <c r="AD224" s="100">
        <f t="shared" si="317"/>
        <v>73980.268736046331</v>
      </c>
    </row>
    <row r="225" spans="1:30" s="241" customFormat="1" ht="11" hidden="1">
      <c r="A225" s="185"/>
      <c r="B225" s="185"/>
      <c r="C225" s="185"/>
      <c r="D225" s="185" t="s">
        <v>1047</v>
      </c>
      <c r="E225" s="185"/>
      <c r="F225" s="185"/>
      <c r="G225" s="185"/>
      <c r="H225" s="185"/>
      <c r="I225" s="185">
        <f>(I224/H224)-1</f>
        <v>-0.39393939393939392</v>
      </c>
      <c r="J225" s="185">
        <f t="shared" ref="J225:O225" si="318">(J224/I224)-1</f>
        <v>0.5</v>
      </c>
      <c r="K225" s="185">
        <f t="shared" si="318"/>
        <v>-0.43333333333333335</v>
      </c>
      <c r="L225" s="185">
        <f t="shared" si="318"/>
        <v>0.35294117647058831</v>
      </c>
      <c r="M225" s="185">
        <f t="shared" si="318"/>
        <v>0.21739130434782616</v>
      </c>
      <c r="N225" s="185">
        <f t="shared" si="318"/>
        <v>3.5714285714285809E-2</v>
      </c>
      <c r="O225" s="185">
        <f t="shared" si="318"/>
        <v>0.55172413793103448</v>
      </c>
      <c r="P225" s="185">
        <f t="shared" ref="P225" si="319">(P224/O224)-1</f>
        <v>-1.3333333333333197E-2</v>
      </c>
      <c r="Q225" s="185">
        <f t="shared" ref="Q225" si="320">(Q224/P224)-1</f>
        <v>0.10000000000000009</v>
      </c>
      <c r="R225" s="185">
        <f t="shared" ref="R225" si="321">(R224/Q224)-1</f>
        <v>-0.14399999999999991</v>
      </c>
      <c r="S225" s="185">
        <f t="shared" ref="S225" si="322">(S224/R224)-1</f>
        <v>7.0000000000000062E-2</v>
      </c>
      <c r="T225" s="185">
        <f t="shared" ref="T225" si="323">(T224/S224)-1</f>
        <v>7.0000000000000062E-2</v>
      </c>
      <c r="U225" s="185">
        <f t="shared" ref="U225" si="324">(U224/T224)-1</f>
        <v>7.0000000000000062E-2</v>
      </c>
      <c r="V225" s="185">
        <f t="shared" ref="V225" si="325">(V224/U224)-1</f>
        <v>7.0000000000000062E-2</v>
      </c>
      <c r="W225" s="185">
        <f t="shared" ref="W225" si="326">(W224/V224)-1</f>
        <v>7.0000000000000062E-2</v>
      </c>
      <c r="X225" s="185">
        <f t="shared" ref="X225" si="327">(X224/W224)-1</f>
        <v>7.0000000000000062E-2</v>
      </c>
      <c r="Y225" s="185">
        <f t="shared" ref="Y225" si="328">(Y224/X224)-1</f>
        <v>-0.19000000000000006</v>
      </c>
      <c r="Z225" s="185">
        <f t="shared" ref="Z225" si="329">(Z224/Y224)-1</f>
        <v>8.0000000000000071E-2</v>
      </c>
      <c r="AA225" s="185">
        <f t="shared" ref="AA225" si="330">(AA224/Z224)-1</f>
        <v>8.0000000000000071E-2</v>
      </c>
      <c r="AB225" s="185">
        <f t="shared" ref="AB225" si="331">(AB224/AA224)-1</f>
        <v>8.0000000000000071E-2</v>
      </c>
      <c r="AC225" s="185">
        <f t="shared" ref="AC225" si="332">(AC224/AB224)-1</f>
        <v>7.9999999999999849E-2</v>
      </c>
      <c r="AD225" s="185">
        <f t="shared" ref="AD225" si="333">(AD224/AC224)-1</f>
        <v>7.0000000000000062E-2</v>
      </c>
    </row>
    <row r="226" spans="1:30" s="241" customFormat="1" ht="11" hidden="1">
      <c r="A226" s="185"/>
      <c r="B226" s="185"/>
      <c r="C226" s="185"/>
      <c r="D226" s="185" t="s">
        <v>978</v>
      </c>
      <c r="E226" s="185"/>
      <c r="F226" s="185"/>
      <c r="G226" s="185"/>
      <c r="H226" s="185">
        <f>H224/H205</f>
        <v>0.25862068965517243</v>
      </c>
      <c r="I226" s="185">
        <f t="shared" ref="I226:O226" si="334">I224/I205</f>
        <v>0.2</v>
      </c>
      <c r="J226" s="185">
        <f t="shared" si="334"/>
        <v>0.21428571428571427</v>
      </c>
      <c r="K226" s="185">
        <f t="shared" si="334"/>
        <v>0.14166666666666666</v>
      </c>
      <c r="L226" s="185">
        <f t="shared" si="334"/>
        <v>0.16666666666666666</v>
      </c>
      <c r="M226" s="185">
        <f t="shared" si="334"/>
        <v>0.18666666666666668</v>
      </c>
      <c r="N226" s="185">
        <f t="shared" si="334"/>
        <v>0.21090909090909091</v>
      </c>
      <c r="O226" s="185">
        <f t="shared" si="334"/>
        <v>0.28125</v>
      </c>
      <c r="P226" s="185">
        <v>0.25</v>
      </c>
      <c r="Q226" s="185">
        <f>P226</f>
        <v>0.25</v>
      </c>
      <c r="R226" s="185">
        <v>0.2</v>
      </c>
      <c r="S226" s="185">
        <f>R226</f>
        <v>0.2</v>
      </c>
      <c r="T226" s="185">
        <f t="shared" ref="T226:X226" si="335">S226</f>
        <v>0.2</v>
      </c>
      <c r="U226" s="185">
        <f t="shared" si="335"/>
        <v>0.2</v>
      </c>
      <c r="V226" s="185">
        <f t="shared" si="335"/>
        <v>0.2</v>
      </c>
      <c r="W226" s="185">
        <f t="shared" si="335"/>
        <v>0.2</v>
      </c>
      <c r="X226" s="185">
        <f t="shared" si="335"/>
        <v>0.2</v>
      </c>
      <c r="Y226" s="185">
        <v>0.15</v>
      </c>
      <c r="Z226" s="185">
        <f>Y226</f>
        <v>0.15</v>
      </c>
      <c r="AA226" s="185">
        <f t="shared" ref="AA226:AD226" si="336">Z226</f>
        <v>0.15</v>
      </c>
      <c r="AB226" s="185">
        <f t="shared" si="336"/>
        <v>0.15</v>
      </c>
      <c r="AC226" s="185">
        <f t="shared" si="336"/>
        <v>0.15</v>
      </c>
      <c r="AD226" s="185">
        <f t="shared" si="336"/>
        <v>0.15</v>
      </c>
    </row>
    <row r="227" spans="1:30" s="244" customFormat="1" ht="14" hidden="1">
      <c r="A227" s="130"/>
      <c r="B227" s="130"/>
      <c r="C227" s="130"/>
      <c r="D227" s="130" t="s">
        <v>501</v>
      </c>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row>
    <row r="228" spans="1:30" s="244" customFormat="1" ht="14" hidden="1">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c r="AA228" s="130"/>
      <c r="AB228" s="130"/>
      <c r="AC228" s="130"/>
      <c r="AD228" s="130"/>
    </row>
    <row r="229" spans="1:30" s="244" customFormat="1" ht="14" hidden="1">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row>
    <row r="230" spans="1:30" hidden="1">
      <c r="A230" s="18"/>
      <c r="B230" s="18"/>
      <c r="C230" s="18"/>
      <c r="D230" s="171" t="s">
        <v>1049</v>
      </c>
      <c r="E230" s="3" t="s">
        <v>216</v>
      </c>
      <c r="F230" s="3" t="s">
        <v>217</v>
      </c>
      <c r="G230" s="3" t="s">
        <v>218</v>
      </c>
      <c r="H230" s="3" t="s">
        <v>28</v>
      </c>
      <c r="I230" s="3" t="s">
        <v>17</v>
      </c>
      <c r="J230" s="3" t="s">
        <v>18</v>
      </c>
      <c r="K230" s="3" t="s">
        <v>19</v>
      </c>
      <c r="L230" s="3" t="s">
        <v>20</v>
      </c>
      <c r="M230" s="3" t="s">
        <v>21</v>
      </c>
      <c r="N230" s="3" t="s">
        <v>22</v>
      </c>
      <c r="O230" s="3" t="s">
        <v>23</v>
      </c>
      <c r="P230" s="3" t="s">
        <v>24</v>
      </c>
      <c r="Q230" s="3" t="s">
        <v>25</v>
      </c>
      <c r="R230" s="3" t="s">
        <v>26</v>
      </c>
      <c r="S230" s="3" t="s">
        <v>27</v>
      </c>
      <c r="T230" s="3" t="s">
        <v>712</v>
      </c>
      <c r="U230" s="3" t="s">
        <v>713</v>
      </c>
      <c r="V230" s="3" t="s">
        <v>714</v>
      </c>
      <c r="W230" s="3" t="s">
        <v>715</v>
      </c>
      <c r="X230" s="3" t="s">
        <v>716</v>
      </c>
      <c r="Y230" s="3" t="s">
        <v>717</v>
      </c>
      <c r="Z230" s="3" t="s">
        <v>718</v>
      </c>
      <c r="AA230" s="3" t="s">
        <v>719</v>
      </c>
      <c r="AB230" s="3" t="s">
        <v>720</v>
      </c>
      <c r="AC230" s="3" t="s">
        <v>721</v>
      </c>
      <c r="AD230" s="3" t="s">
        <v>722</v>
      </c>
    </row>
    <row r="231" spans="1:30" s="242" customFormat="1" hidden="1">
      <c r="A231" s="100"/>
      <c r="B231" s="100"/>
      <c r="C231" s="100"/>
      <c r="D231" s="100" t="s">
        <v>0</v>
      </c>
      <c r="E231" s="100"/>
      <c r="F231" s="100"/>
      <c r="G231" s="100">
        <v>150000</v>
      </c>
      <c r="H231" s="100">
        <v>171000</v>
      </c>
      <c r="I231" s="100">
        <v>180000</v>
      </c>
      <c r="J231" s="100">
        <v>150000</v>
      </c>
      <c r="K231" s="100">
        <v>160000</v>
      </c>
      <c r="L231" s="100">
        <v>212000</v>
      </c>
      <c r="M231" s="100">
        <v>219000</v>
      </c>
      <c r="N231" s="100">
        <v>268000</v>
      </c>
      <c r="O231" s="100">
        <v>252000</v>
      </c>
      <c r="P231" s="100">
        <f>O231*(1+P232)</f>
        <v>267120</v>
      </c>
      <c r="Q231" s="100">
        <f t="shared" ref="Q231:AD231" si="337">P231*(1+Q232)</f>
        <v>283147.2</v>
      </c>
      <c r="R231" s="100">
        <f t="shared" si="337"/>
        <v>300136.03200000001</v>
      </c>
      <c r="S231" s="100">
        <f t="shared" si="337"/>
        <v>318144.19392000005</v>
      </c>
      <c r="T231" s="100">
        <f t="shared" si="337"/>
        <v>337232.84555520007</v>
      </c>
      <c r="U231" s="100">
        <f t="shared" si="337"/>
        <v>357466.81628851208</v>
      </c>
      <c r="V231" s="100">
        <f t="shared" si="337"/>
        <v>378914.82526582282</v>
      </c>
      <c r="W231" s="100">
        <f t="shared" si="337"/>
        <v>401649.71478177223</v>
      </c>
      <c r="X231" s="100">
        <f t="shared" si="337"/>
        <v>425748.69766867859</v>
      </c>
      <c r="Y231" s="100">
        <f t="shared" si="337"/>
        <v>451293.61952879932</v>
      </c>
      <c r="Z231" s="100">
        <f t="shared" si="337"/>
        <v>473858.30050523928</v>
      </c>
      <c r="AA231" s="100">
        <f t="shared" si="337"/>
        <v>497551.21553050127</v>
      </c>
      <c r="AB231" s="100">
        <f t="shared" si="337"/>
        <v>522428.77630702633</v>
      </c>
      <c r="AC231" s="100">
        <f t="shared" si="337"/>
        <v>548550.21512237762</v>
      </c>
      <c r="AD231" s="100">
        <f t="shared" si="337"/>
        <v>575977.72587849654</v>
      </c>
    </row>
    <row r="232" spans="1:30" s="248" customFormat="1" ht="11" hidden="1">
      <c r="A232" s="114"/>
      <c r="B232" s="114"/>
      <c r="C232" s="114"/>
      <c r="D232" s="114" t="s">
        <v>974</v>
      </c>
      <c r="E232" s="114"/>
      <c r="F232" s="114"/>
      <c r="G232" s="114"/>
      <c r="H232" s="114">
        <f>H231/G231-1</f>
        <v>0.1399999999999999</v>
      </c>
      <c r="I232" s="114">
        <f t="shared" ref="I232:O232" si="338">I231/H231-1</f>
        <v>5.2631578947368363E-2</v>
      </c>
      <c r="J232" s="114">
        <f t="shared" si="338"/>
        <v>-0.16666666666666663</v>
      </c>
      <c r="K232" s="114">
        <f t="shared" si="338"/>
        <v>6.6666666666666652E-2</v>
      </c>
      <c r="L232" s="114">
        <f t="shared" si="338"/>
        <v>0.32499999999999996</v>
      </c>
      <c r="M232" s="114">
        <f t="shared" si="338"/>
        <v>3.3018867924528239E-2</v>
      </c>
      <c r="N232" s="114">
        <f t="shared" si="338"/>
        <v>0.22374429223744285</v>
      </c>
      <c r="O232" s="114">
        <f t="shared" si="338"/>
        <v>-5.9701492537313383E-2</v>
      </c>
      <c r="P232" s="114">
        <v>0.06</v>
      </c>
      <c r="Q232" s="114">
        <v>0.06</v>
      </c>
      <c r="R232" s="114">
        <f>Q232</f>
        <v>0.06</v>
      </c>
      <c r="S232" s="114">
        <f t="shared" ref="S232:Y232" si="339">R232</f>
        <v>0.06</v>
      </c>
      <c r="T232" s="114">
        <f t="shared" si="339"/>
        <v>0.06</v>
      </c>
      <c r="U232" s="114">
        <f t="shared" si="339"/>
        <v>0.06</v>
      </c>
      <c r="V232" s="114">
        <f t="shared" si="339"/>
        <v>0.06</v>
      </c>
      <c r="W232" s="114">
        <f t="shared" si="339"/>
        <v>0.06</v>
      </c>
      <c r="X232" s="114">
        <f t="shared" si="339"/>
        <v>0.06</v>
      </c>
      <c r="Y232" s="114">
        <f t="shared" si="339"/>
        <v>0.06</v>
      </c>
      <c r="Z232" s="114">
        <v>0.05</v>
      </c>
      <c r="AA232" s="114">
        <f>Z232</f>
        <v>0.05</v>
      </c>
      <c r="AB232" s="114">
        <f t="shared" ref="AB232:AD232" si="340">AA232</f>
        <v>0.05</v>
      </c>
      <c r="AC232" s="114">
        <f t="shared" si="340"/>
        <v>0.05</v>
      </c>
      <c r="AD232" s="114">
        <f t="shared" si="340"/>
        <v>0.05</v>
      </c>
    </row>
    <row r="233" spans="1:30" s="225" customFormat="1" ht="14" hidden="1">
      <c r="A233" s="195"/>
      <c r="B233" s="195"/>
      <c r="C233" s="195"/>
      <c r="D233" s="195" t="s">
        <v>1021</v>
      </c>
      <c r="E233" s="195"/>
      <c r="F233" s="195"/>
      <c r="G233" s="195">
        <v>0.04</v>
      </c>
      <c r="H233" s="195">
        <v>0.06</v>
      </c>
      <c r="I233" s="195">
        <v>0.02</v>
      </c>
      <c r="J233" s="195">
        <v>0.02</v>
      </c>
      <c r="K233" s="195"/>
      <c r="L233" s="195"/>
      <c r="M233" s="195">
        <v>0</v>
      </c>
      <c r="N233" s="195"/>
      <c r="O233" s="195"/>
      <c r="P233" s="195"/>
      <c r="Q233" s="195"/>
      <c r="R233" s="195"/>
      <c r="S233" s="195"/>
      <c r="T233" s="195"/>
      <c r="U233" s="195"/>
      <c r="V233" s="195"/>
      <c r="W233" s="195"/>
      <c r="X233" s="195"/>
      <c r="Y233" s="195"/>
      <c r="Z233" s="195"/>
      <c r="AA233" s="195"/>
      <c r="AB233" s="195"/>
      <c r="AC233" s="195"/>
      <c r="AD233" s="195"/>
    </row>
    <row r="234" spans="1:30" s="225" customFormat="1" ht="14" hidden="1">
      <c r="A234" s="195"/>
      <c r="B234" s="195"/>
      <c r="C234" s="195"/>
      <c r="D234" s="195" t="s">
        <v>1022</v>
      </c>
      <c r="E234" s="195"/>
      <c r="F234" s="195"/>
      <c r="G234" s="195">
        <v>0.08</v>
      </c>
      <c r="H234" s="195">
        <v>0.08</v>
      </c>
      <c r="I234" s="195">
        <v>0</v>
      </c>
      <c r="J234" s="195">
        <v>0</v>
      </c>
      <c r="K234" s="195"/>
      <c r="L234" s="195"/>
      <c r="M234" s="195">
        <v>0.06</v>
      </c>
      <c r="N234" s="195"/>
      <c r="O234" s="195"/>
      <c r="P234" s="195"/>
      <c r="Q234" s="195"/>
      <c r="R234" s="195"/>
      <c r="S234" s="195"/>
      <c r="T234" s="195"/>
      <c r="U234" s="195"/>
      <c r="V234" s="195"/>
      <c r="W234" s="195"/>
      <c r="X234" s="195"/>
      <c r="Y234" s="195"/>
      <c r="Z234" s="195"/>
      <c r="AA234" s="195"/>
      <c r="AB234" s="195"/>
      <c r="AC234" s="195"/>
      <c r="AD234" s="195"/>
    </row>
    <row r="235" spans="1:30" s="245" customFormat="1" ht="14" hidden="1">
      <c r="A235" s="197"/>
      <c r="B235" s="197"/>
      <c r="C235" s="197"/>
      <c r="D235" s="197" t="s">
        <v>499</v>
      </c>
      <c r="E235" s="197"/>
      <c r="F235" s="197"/>
      <c r="G235" s="197">
        <f t="shared" ref="G235:O235" si="341">G231/G5</f>
        <v>0.10645538348422792</v>
      </c>
      <c r="H235" s="197">
        <f t="shared" si="341"/>
        <v>9.0971431246611847E-2</v>
      </c>
      <c r="I235" s="197">
        <f t="shared" si="341"/>
        <v>8.401411997309681E-2</v>
      </c>
      <c r="J235" s="197">
        <f t="shared" si="341"/>
        <v>6.5787482747232645E-2</v>
      </c>
      <c r="K235" s="197">
        <f t="shared" si="341"/>
        <v>7.0537531256943536E-2</v>
      </c>
      <c r="L235" s="197">
        <f t="shared" si="341"/>
        <v>7.2278994190064436E-2</v>
      </c>
      <c r="M235" s="197">
        <f t="shared" si="341"/>
        <v>7.2973729457395331E-2</v>
      </c>
      <c r="N235" s="197">
        <f t="shared" si="341"/>
        <v>7.6747443350793379E-2</v>
      </c>
      <c r="O235" s="197">
        <f t="shared" si="341"/>
        <v>6.5948991595429107E-2</v>
      </c>
      <c r="P235" s="197" t="e">
        <f>P231/#REF!</f>
        <v>#REF!</v>
      </c>
      <c r="Q235" s="197" t="e">
        <f>Q231/#REF!</f>
        <v>#REF!</v>
      </c>
      <c r="R235" s="197" t="e">
        <f>R231/#REF!</f>
        <v>#REF!</v>
      </c>
      <c r="S235" s="197" t="e">
        <f>S231/#REF!</f>
        <v>#REF!</v>
      </c>
      <c r="T235" s="197" t="e">
        <f>T231/#REF!</f>
        <v>#REF!</v>
      </c>
      <c r="U235" s="197" t="e">
        <f>U231/#REF!</f>
        <v>#REF!</v>
      </c>
      <c r="V235" s="197" t="e">
        <f>V231/#REF!</f>
        <v>#REF!</v>
      </c>
      <c r="W235" s="197" t="e">
        <f>W231/#REF!</f>
        <v>#REF!</v>
      </c>
      <c r="X235" s="197" t="e">
        <f>X231/#REF!</f>
        <v>#REF!</v>
      </c>
      <c r="Y235" s="197" t="e">
        <f>Y231/#REF!</f>
        <v>#REF!</v>
      </c>
      <c r="Z235" s="197" t="e">
        <f>Z231/#REF!</f>
        <v>#REF!</v>
      </c>
      <c r="AA235" s="197" t="e">
        <f>AA231/#REF!</f>
        <v>#REF!</v>
      </c>
      <c r="AB235" s="197" t="e">
        <f>AB231/#REF!</f>
        <v>#REF!</v>
      </c>
      <c r="AC235" s="197" t="e">
        <f>AC231/#REF!</f>
        <v>#REF!</v>
      </c>
      <c r="AD235" s="197" t="e">
        <f>AD231/#REF!</f>
        <v>#REF!</v>
      </c>
    </row>
    <row r="236" spans="1:30" s="244" customFormat="1" ht="14" hidden="1">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c r="Z236" s="130"/>
      <c r="AA236" s="130"/>
      <c r="AB236" s="130"/>
      <c r="AC236" s="130"/>
      <c r="AD236" s="130"/>
    </row>
    <row r="237" spans="1:30" s="242" customFormat="1" hidden="1">
      <c r="A237" s="100"/>
      <c r="B237" s="100"/>
      <c r="C237" s="100"/>
      <c r="D237" s="100" t="s">
        <v>451</v>
      </c>
      <c r="E237" s="100"/>
      <c r="F237" s="100"/>
      <c r="G237" s="100"/>
      <c r="H237" s="100">
        <v>16000</v>
      </c>
      <c r="I237" s="100">
        <v>11000</v>
      </c>
      <c r="J237" s="100">
        <v>-3000</v>
      </c>
      <c r="K237" s="100">
        <v>-3000</v>
      </c>
      <c r="L237" s="100">
        <v>7000</v>
      </c>
      <c r="M237" s="100">
        <v>-5000</v>
      </c>
      <c r="N237" s="100">
        <v>16000</v>
      </c>
      <c r="O237" s="100">
        <v>1000</v>
      </c>
      <c r="P237" s="100">
        <f>P231*P239</f>
        <v>1060</v>
      </c>
      <c r="Q237" s="100">
        <f t="shared" ref="Q237:AD237" si="342">Q231*Q239</f>
        <v>1123.5999999999999</v>
      </c>
      <c r="R237" s="100">
        <f t="shared" si="342"/>
        <v>1191.0159999999998</v>
      </c>
      <c r="S237" s="100">
        <f t="shared" si="342"/>
        <v>1262.4769600000002</v>
      </c>
      <c r="T237" s="100">
        <f t="shared" si="342"/>
        <v>1338.2255776000002</v>
      </c>
      <c r="U237" s="100">
        <f t="shared" si="342"/>
        <v>1418.5191122560002</v>
      </c>
      <c r="V237" s="100">
        <f t="shared" si="342"/>
        <v>1503.6302589913603</v>
      </c>
      <c r="W237" s="100">
        <f t="shared" si="342"/>
        <v>1593.848074530842</v>
      </c>
      <c r="X237" s="100">
        <f t="shared" si="342"/>
        <v>1689.4789590026928</v>
      </c>
      <c r="Y237" s="100">
        <f t="shared" si="342"/>
        <v>27077.617171727958</v>
      </c>
      <c r="Z237" s="100">
        <f t="shared" si="342"/>
        <v>28431.498030314357</v>
      </c>
      <c r="AA237" s="100">
        <f t="shared" si="342"/>
        <v>29853.072931830076</v>
      </c>
      <c r="AB237" s="100">
        <f t="shared" si="342"/>
        <v>31345.726578421578</v>
      </c>
      <c r="AC237" s="100">
        <f t="shared" si="342"/>
        <v>32913.012907342658</v>
      </c>
      <c r="AD237" s="100">
        <f t="shared" si="342"/>
        <v>34558.66355270979</v>
      </c>
    </row>
    <row r="238" spans="1:30" s="248" customFormat="1" ht="11" hidden="1">
      <c r="A238" s="114"/>
      <c r="B238" s="114"/>
      <c r="C238" s="114"/>
      <c r="D238" s="114" t="s">
        <v>974</v>
      </c>
      <c r="E238" s="114"/>
      <c r="F238" s="114"/>
      <c r="G238" s="114"/>
      <c r="H238" s="114"/>
      <c r="I238" s="114">
        <f>I237/H237-1</f>
        <v>-0.3125</v>
      </c>
      <c r="J238" s="114">
        <f t="shared" ref="J238:O238" si="343">J237/I237-1</f>
        <v>-1.2727272727272727</v>
      </c>
      <c r="K238" s="114">
        <f t="shared" si="343"/>
        <v>0</v>
      </c>
      <c r="L238" s="114">
        <f>L237/K237-1</f>
        <v>-3.3333333333333335</v>
      </c>
      <c r="M238" s="114">
        <f t="shared" si="343"/>
        <v>-1.7142857142857144</v>
      </c>
      <c r="N238" s="114">
        <f t="shared" si="343"/>
        <v>-4.2</v>
      </c>
      <c r="O238" s="114">
        <f t="shared" si="343"/>
        <v>-0.9375</v>
      </c>
      <c r="P238" s="114">
        <f t="shared" ref="P238" si="344">P237/O237-1</f>
        <v>6.0000000000000053E-2</v>
      </c>
      <c r="Q238" s="114">
        <f t="shared" ref="Q238" si="345">Q237/P237-1</f>
        <v>5.9999999999999831E-2</v>
      </c>
      <c r="R238" s="114">
        <f t="shared" ref="R238" si="346">R237/Q237-1</f>
        <v>6.0000000000000053E-2</v>
      </c>
      <c r="S238" s="114">
        <f t="shared" ref="S238" si="347">S237/R237-1</f>
        <v>6.0000000000000275E-2</v>
      </c>
      <c r="T238" s="114">
        <f t="shared" ref="T238" si="348">T237/S237-1</f>
        <v>6.0000000000000053E-2</v>
      </c>
      <c r="U238" s="114">
        <f t="shared" ref="U238" si="349">U237/T237-1</f>
        <v>6.0000000000000053E-2</v>
      </c>
      <c r="V238" s="114">
        <f t="shared" ref="V238" si="350">V237/U237-1</f>
        <v>6.0000000000000053E-2</v>
      </c>
      <c r="W238" s="114">
        <f t="shared" ref="W238" si="351">W237/V237-1</f>
        <v>6.0000000000000053E-2</v>
      </c>
      <c r="X238" s="114">
        <f t="shared" ref="X238" si="352">X237/W237-1</f>
        <v>6.0000000000000053E-2</v>
      </c>
      <c r="Y238" s="114">
        <f t="shared" ref="Y238" si="353">Y237/X237-1</f>
        <v>15.027200000000001</v>
      </c>
      <c r="Z238" s="114">
        <f t="shared" ref="Z238" si="354">Z237/Y237-1</f>
        <v>5.0000000000000044E-2</v>
      </c>
      <c r="AA238" s="114">
        <f t="shared" ref="AA238" si="355">AA237/Z237-1</f>
        <v>5.0000000000000044E-2</v>
      </c>
      <c r="AB238" s="114">
        <f t="shared" ref="AB238" si="356">AB237/AA237-1</f>
        <v>4.9999999999999822E-2</v>
      </c>
      <c r="AC238" s="114">
        <f t="shared" ref="AC238" si="357">AC237/AB237-1</f>
        <v>5.0000000000000044E-2</v>
      </c>
      <c r="AD238" s="114">
        <f t="shared" ref="AD238" si="358">AD237/AC237-1</f>
        <v>5.0000000000000044E-2</v>
      </c>
    </row>
    <row r="239" spans="1:30" s="248" customFormat="1" ht="11" hidden="1">
      <c r="A239" s="114"/>
      <c r="B239" s="114"/>
      <c r="C239" s="114"/>
      <c r="D239" s="114" t="s">
        <v>978</v>
      </c>
      <c r="E239" s="114"/>
      <c r="F239" s="114"/>
      <c r="G239" s="114"/>
      <c r="H239" s="114">
        <f>H237/H231</f>
        <v>9.3567251461988299E-2</v>
      </c>
      <c r="I239" s="114">
        <f t="shared" ref="I239:O239" si="359">I237/I231</f>
        <v>6.1111111111111109E-2</v>
      </c>
      <c r="J239" s="114">
        <f t="shared" si="359"/>
        <v>-0.02</v>
      </c>
      <c r="K239" s="114">
        <f t="shared" si="359"/>
        <v>-1.8749999999999999E-2</v>
      </c>
      <c r="L239" s="114">
        <f t="shared" si="359"/>
        <v>3.3018867924528301E-2</v>
      </c>
      <c r="M239" s="114">
        <f t="shared" si="359"/>
        <v>-2.2831050228310501E-2</v>
      </c>
      <c r="N239" s="114">
        <f t="shared" si="359"/>
        <v>5.9701492537313432E-2</v>
      </c>
      <c r="O239" s="114">
        <f t="shared" si="359"/>
        <v>3.968253968253968E-3</v>
      </c>
      <c r="P239" s="114">
        <f>O239</f>
        <v>3.968253968253968E-3</v>
      </c>
      <c r="Q239" s="114">
        <f t="shared" ref="Q239:X239" si="360">P239</f>
        <v>3.968253968253968E-3</v>
      </c>
      <c r="R239" s="114">
        <f t="shared" si="360"/>
        <v>3.968253968253968E-3</v>
      </c>
      <c r="S239" s="114">
        <f t="shared" si="360"/>
        <v>3.968253968253968E-3</v>
      </c>
      <c r="T239" s="114">
        <f t="shared" si="360"/>
        <v>3.968253968253968E-3</v>
      </c>
      <c r="U239" s="114">
        <f t="shared" si="360"/>
        <v>3.968253968253968E-3</v>
      </c>
      <c r="V239" s="114">
        <f t="shared" si="360"/>
        <v>3.968253968253968E-3</v>
      </c>
      <c r="W239" s="114">
        <f t="shared" si="360"/>
        <v>3.968253968253968E-3</v>
      </c>
      <c r="X239" s="114">
        <f t="shared" si="360"/>
        <v>3.968253968253968E-3</v>
      </c>
      <c r="Y239" s="114">
        <v>0.06</v>
      </c>
      <c r="Z239" s="114">
        <f>Y239</f>
        <v>0.06</v>
      </c>
      <c r="AA239" s="114">
        <f t="shared" ref="AA239:AD239" si="361">Z239</f>
        <v>0.06</v>
      </c>
      <c r="AB239" s="114">
        <f t="shared" si="361"/>
        <v>0.06</v>
      </c>
      <c r="AC239" s="114">
        <f t="shared" si="361"/>
        <v>0.06</v>
      </c>
      <c r="AD239" s="114">
        <f t="shared" si="361"/>
        <v>0.06</v>
      </c>
    </row>
    <row r="240" spans="1:30" s="248" customFormat="1" ht="11" hidden="1">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row>
    <row r="241" spans="1:30" s="248" customFormat="1" ht="11" hidden="1">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c r="AB241" s="114"/>
      <c r="AC241" s="114"/>
      <c r="AD241" s="114"/>
    </row>
    <row r="242" spans="1:30" hidden="1">
      <c r="A242" s="18"/>
      <c r="B242" s="18"/>
      <c r="C242" s="18"/>
      <c r="D242" s="171" t="s">
        <v>893</v>
      </c>
      <c r="E242" s="3" t="s">
        <v>216</v>
      </c>
      <c r="F242" s="3" t="s">
        <v>217</v>
      </c>
      <c r="G242" s="3" t="s">
        <v>218</v>
      </c>
      <c r="H242" s="3" t="s">
        <v>28</v>
      </c>
      <c r="I242" s="3" t="s">
        <v>17</v>
      </c>
      <c r="J242" s="3" t="s">
        <v>18</v>
      </c>
      <c r="K242" s="3" t="s">
        <v>19</v>
      </c>
      <c r="L242" s="3" t="s">
        <v>20</v>
      </c>
      <c r="M242" s="3" t="s">
        <v>21</v>
      </c>
      <c r="N242" s="3" t="s">
        <v>22</v>
      </c>
      <c r="O242" s="3" t="s">
        <v>23</v>
      </c>
      <c r="P242" s="3" t="s">
        <v>24</v>
      </c>
      <c r="Q242" s="3" t="s">
        <v>25</v>
      </c>
      <c r="R242" s="3" t="s">
        <v>26</v>
      </c>
      <c r="S242" s="3" t="s">
        <v>27</v>
      </c>
      <c r="T242" s="3" t="s">
        <v>712</v>
      </c>
      <c r="U242" s="3" t="s">
        <v>713</v>
      </c>
      <c r="V242" s="3" t="s">
        <v>714</v>
      </c>
      <c r="W242" s="3" t="s">
        <v>715</v>
      </c>
      <c r="X242" s="3" t="s">
        <v>716</v>
      </c>
      <c r="Y242" s="3" t="s">
        <v>717</v>
      </c>
      <c r="Z242" s="3" t="s">
        <v>718</v>
      </c>
      <c r="AA242" s="3" t="s">
        <v>719</v>
      </c>
      <c r="AB242" s="3" t="s">
        <v>720</v>
      </c>
      <c r="AC242" s="3" t="s">
        <v>721</v>
      </c>
      <c r="AD242" s="3" t="s">
        <v>722</v>
      </c>
    </row>
    <row r="243" spans="1:30" ht="16" hidden="1" customHeight="1">
      <c r="A243" s="18"/>
      <c r="B243" s="18"/>
      <c r="C243" s="18"/>
      <c r="D243" s="18" t="s">
        <v>0</v>
      </c>
      <c r="E243" s="18"/>
      <c r="F243" s="18"/>
      <c r="G243" s="18"/>
      <c r="H243" s="18"/>
      <c r="I243" s="18"/>
      <c r="J243" s="18"/>
      <c r="K243" s="18"/>
      <c r="L243" s="18"/>
      <c r="M243" s="18"/>
      <c r="N243" s="18"/>
      <c r="O243" s="18">
        <v>574238</v>
      </c>
      <c r="P243" s="18"/>
      <c r="Q243" s="18"/>
      <c r="R243" s="18"/>
      <c r="S243" s="18"/>
      <c r="T243" s="18"/>
      <c r="U243" s="18"/>
      <c r="V243" s="18"/>
      <c r="W243" s="18"/>
      <c r="X243" s="18"/>
      <c r="Y243" s="18"/>
      <c r="Z243" s="18"/>
      <c r="AA243" s="18"/>
      <c r="AB243" s="18"/>
      <c r="AC243" s="18"/>
      <c r="AD243" s="18"/>
    </row>
    <row r="244" spans="1:30" ht="16" hidden="1"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1:30" ht="16" hidden="1" customHeight="1">
      <c r="A245" s="18"/>
      <c r="B245" s="18"/>
      <c r="C245" s="18"/>
      <c r="D245" s="46" t="s">
        <v>892</v>
      </c>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1:30" ht="16" hidden="1" customHeight="1">
      <c r="A246" s="18"/>
      <c r="B246" s="18"/>
      <c r="C246" s="18"/>
      <c r="D246" s="18" t="s">
        <v>894</v>
      </c>
      <c r="E246" s="18"/>
      <c r="F246" s="18"/>
      <c r="G246" s="18"/>
      <c r="H246" s="18"/>
      <c r="I246" s="18"/>
      <c r="J246" s="18"/>
      <c r="K246" s="18"/>
      <c r="L246" s="18"/>
      <c r="M246" s="18"/>
      <c r="N246" s="18"/>
      <c r="O246" s="18">
        <v>19122</v>
      </c>
      <c r="P246" s="18"/>
      <c r="Q246" s="18"/>
      <c r="R246" s="18"/>
      <c r="S246" s="18"/>
      <c r="T246" s="18"/>
      <c r="U246" s="18"/>
      <c r="V246" s="18"/>
      <c r="W246" s="18"/>
      <c r="X246" s="18"/>
      <c r="Y246" s="18"/>
      <c r="Z246" s="18"/>
      <c r="AA246" s="18"/>
      <c r="AB246" s="18"/>
      <c r="AC246" s="18"/>
      <c r="AD246" s="18"/>
    </row>
    <row r="247" spans="1:30" ht="16" hidden="1" customHeight="1">
      <c r="A247" s="18"/>
      <c r="B247" s="18"/>
      <c r="C247" s="18"/>
      <c r="D247" s="18" t="s">
        <v>895</v>
      </c>
      <c r="E247" s="18"/>
      <c r="F247" s="18"/>
      <c r="G247" s="18"/>
      <c r="H247" s="18"/>
      <c r="I247" s="18"/>
      <c r="J247" s="18"/>
      <c r="K247" s="18"/>
      <c r="L247" s="18"/>
      <c r="M247" s="18"/>
      <c r="N247" s="18"/>
      <c r="O247" s="18">
        <v>8286</v>
      </c>
      <c r="P247" s="18"/>
      <c r="Q247" s="18"/>
      <c r="R247" s="18"/>
      <c r="S247" s="18"/>
      <c r="T247" s="18"/>
      <c r="U247" s="18"/>
      <c r="V247" s="18"/>
      <c r="W247" s="18"/>
      <c r="X247" s="18"/>
      <c r="Y247" s="18"/>
      <c r="Z247" s="18"/>
      <c r="AA247" s="18"/>
      <c r="AB247" s="18"/>
      <c r="AC247" s="18"/>
      <c r="AD247" s="18"/>
    </row>
    <row r="248" spans="1:30" ht="16" hidden="1" customHeight="1">
      <c r="A248" s="18"/>
      <c r="B248" s="18"/>
      <c r="C248" s="18"/>
      <c r="D248" s="18" t="s">
        <v>896</v>
      </c>
      <c r="E248" s="18"/>
      <c r="F248" s="18"/>
      <c r="G248" s="18"/>
      <c r="H248" s="18"/>
      <c r="I248" s="18"/>
      <c r="J248" s="18"/>
      <c r="K248" s="18"/>
      <c r="L248" s="18"/>
      <c r="M248" s="18"/>
      <c r="N248" s="18"/>
      <c r="O248" s="18">
        <v>115737</v>
      </c>
      <c r="P248" s="18"/>
      <c r="Q248" s="18"/>
      <c r="R248" s="18"/>
      <c r="S248" s="18"/>
      <c r="T248" s="18"/>
      <c r="U248" s="18"/>
      <c r="V248" s="18"/>
      <c r="W248" s="18"/>
      <c r="X248" s="18"/>
      <c r="Y248" s="18"/>
      <c r="Z248" s="18"/>
      <c r="AA248" s="18"/>
      <c r="AB248" s="18"/>
      <c r="AC248" s="18"/>
      <c r="AD248" s="18"/>
    </row>
    <row r="249" spans="1:30" ht="16" hidden="1" customHeight="1">
      <c r="A249" s="18"/>
      <c r="B249" s="18"/>
      <c r="C249" s="18"/>
      <c r="D249" s="18" t="s">
        <v>897</v>
      </c>
      <c r="E249" s="18"/>
      <c r="F249" s="18"/>
      <c r="G249" s="18"/>
      <c r="H249" s="18"/>
      <c r="I249" s="18"/>
      <c r="J249" s="18"/>
      <c r="K249" s="18"/>
      <c r="L249" s="18"/>
      <c r="M249" s="18"/>
      <c r="N249" s="18"/>
      <c r="O249" s="18">
        <v>29729</v>
      </c>
      <c r="P249" s="18"/>
      <c r="Q249" s="18"/>
      <c r="R249" s="18"/>
      <c r="S249" s="18"/>
      <c r="T249" s="18"/>
      <c r="U249" s="18"/>
      <c r="V249" s="18"/>
      <c r="W249" s="18"/>
      <c r="X249" s="18"/>
      <c r="Y249" s="18"/>
      <c r="Z249" s="18"/>
      <c r="AA249" s="18"/>
      <c r="AB249" s="18"/>
      <c r="AC249" s="18"/>
      <c r="AD249" s="18"/>
    </row>
    <row r="250" spans="1:30" hidden="1">
      <c r="A250" s="18"/>
      <c r="B250" s="18"/>
      <c r="C250" s="18"/>
      <c r="D250" s="18" t="s">
        <v>898</v>
      </c>
      <c r="E250" s="18"/>
      <c r="F250" s="18"/>
      <c r="G250" s="18"/>
      <c r="H250" s="18"/>
      <c r="I250" s="18"/>
      <c r="J250" s="18"/>
      <c r="K250" s="18"/>
      <c r="L250" s="18"/>
      <c r="M250" s="18"/>
      <c r="N250" s="18"/>
      <c r="O250" s="18" t="s">
        <v>873</v>
      </c>
      <c r="P250" s="18"/>
      <c r="Q250" s="18"/>
      <c r="R250" s="18"/>
      <c r="S250" s="18"/>
      <c r="T250" s="18"/>
      <c r="U250" s="18"/>
      <c r="V250" s="18"/>
      <c r="W250" s="18"/>
      <c r="X250" s="18"/>
      <c r="Y250" s="18"/>
      <c r="Z250" s="18"/>
      <c r="AA250" s="18"/>
      <c r="AB250" s="18"/>
      <c r="AC250" s="18"/>
      <c r="AD250" s="18"/>
    </row>
    <row r="251" spans="1:30" ht="16" hidden="1"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1:30" ht="16" hidden="1"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1:30" ht="16" hidden="1"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1:30" hidden="1">
      <c r="A254" s="18"/>
      <c r="B254" s="18"/>
      <c r="C254" s="18"/>
      <c r="D254" s="18" t="s">
        <v>831</v>
      </c>
      <c r="E254" s="18"/>
      <c r="F254" s="18"/>
      <c r="G254" s="18"/>
      <c r="H254" s="18"/>
      <c r="I254" s="18"/>
      <c r="J254" s="18"/>
      <c r="K254" s="18"/>
      <c r="L254" s="18"/>
      <c r="M254" s="18"/>
      <c r="N254" s="18"/>
      <c r="O254" s="18">
        <f>O243-O256-O258</f>
        <v>372847</v>
      </c>
      <c r="P254" s="18"/>
      <c r="Q254" s="18"/>
      <c r="R254" s="18"/>
      <c r="S254" s="18"/>
      <c r="T254" s="18"/>
      <c r="U254" s="18"/>
      <c r="V254" s="18"/>
      <c r="W254" s="18"/>
      <c r="X254" s="18"/>
      <c r="Y254" s="18"/>
      <c r="Z254" s="18"/>
      <c r="AA254" s="18"/>
      <c r="AB254" s="18"/>
      <c r="AC254" s="18"/>
      <c r="AD254" s="18"/>
    </row>
    <row r="255" spans="1:30" hidden="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1:30" hidden="1">
      <c r="A256" s="18"/>
      <c r="B256" s="18"/>
      <c r="C256" s="18"/>
      <c r="D256" s="18" t="s">
        <v>451</v>
      </c>
      <c r="E256" s="18"/>
      <c r="F256" s="18"/>
      <c r="G256" s="18"/>
      <c r="H256" s="18"/>
      <c r="I256" s="18"/>
      <c r="J256" s="18"/>
      <c r="K256" s="18"/>
      <c r="L256" s="18"/>
      <c r="M256" s="18"/>
      <c r="N256" s="18"/>
      <c r="O256" s="18">
        <v>179612</v>
      </c>
      <c r="P256" s="18"/>
      <c r="Q256" s="18"/>
      <c r="R256" s="18"/>
      <c r="S256" s="18"/>
      <c r="T256" s="18"/>
      <c r="U256" s="18"/>
      <c r="V256" s="18"/>
      <c r="W256" s="18"/>
      <c r="X256" s="18"/>
      <c r="Y256" s="18"/>
      <c r="Z256" s="18"/>
      <c r="AA256" s="18"/>
      <c r="AB256" s="18"/>
      <c r="AC256" s="18"/>
      <c r="AD256" s="18"/>
    </row>
    <row r="257" spans="1:50" hidden="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1:50" hidden="1">
      <c r="A258" s="18"/>
      <c r="B258" s="18"/>
      <c r="C258" s="18"/>
      <c r="D258" s="18" t="s">
        <v>497</v>
      </c>
      <c r="E258" s="18"/>
      <c r="F258" s="18"/>
      <c r="G258" s="18"/>
      <c r="H258" s="18"/>
      <c r="I258" s="18"/>
      <c r="J258" s="18"/>
      <c r="K258" s="18"/>
      <c r="L258" s="18"/>
      <c r="M258" s="18"/>
      <c r="N258" s="18"/>
      <c r="O258" s="18">
        <v>21779</v>
      </c>
      <c r="P258" s="18"/>
      <c r="Q258" s="18"/>
      <c r="R258" s="18"/>
      <c r="S258" s="18"/>
      <c r="T258" s="18"/>
      <c r="U258" s="18"/>
      <c r="V258" s="18"/>
      <c r="W258" s="18"/>
      <c r="X258" s="18"/>
      <c r="Y258" s="18"/>
      <c r="Z258" s="18"/>
      <c r="AA258" s="18"/>
      <c r="AB258" s="18"/>
      <c r="AC258" s="18"/>
      <c r="AD258" s="18"/>
    </row>
    <row r="259" spans="1:50" hidden="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1:50" hidden="1">
      <c r="A260" s="18"/>
      <c r="B260" s="18"/>
      <c r="C260" s="18"/>
      <c r="D260" s="18" t="s">
        <v>498</v>
      </c>
      <c r="E260" s="18"/>
      <c r="F260" s="18"/>
      <c r="G260" s="18"/>
      <c r="H260" s="18"/>
      <c r="I260" s="18"/>
      <c r="J260" s="18"/>
      <c r="K260" s="18"/>
      <c r="L260" s="18"/>
      <c r="M260" s="18"/>
      <c r="N260" s="18"/>
      <c r="O260" s="18">
        <v>11517</v>
      </c>
      <c r="P260" s="18"/>
      <c r="Q260" s="18"/>
      <c r="R260" s="18"/>
      <c r="S260" s="18"/>
      <c r="T260" s="18"/>
      <c r="U260" s="18"/>
      <c r="V260" s="18"/>
      <c r="W260" s="18"/>
      <c r="X260" s="18"/>
      <c r="Y260" s="18"/>
      <c r="Z260" s="18"/>
      <c r="AA260" s="18"/>
      <c r="AB260" s="18"/>
      <c r="AC260" s="18"/>
      <c r="AD260" s="18"/>
    </row>
    <row r="261" spans="1:50" ht="20">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P261" s="1218" t="s">
        <v>1793</v>
      </c>
      <c r="AQ261" s="221"/>
      <c r="AR261" s="221"/>
      <c r="AS261" s="221"/>
      <c r="AT261" s="221"/>
      <c r="AU261" s="221"/>
      <c r="AV261" s="221"/>
      <c r="AW261" s="221"/>
      <c r="AX261" s="221"/>
    </row>
    <row r="262" spans="1:50">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1:50">
      <c r="A263" s="18"/>
      <c r="B263" s="18"/>
      <c r="C263" s="18"/>
      <c r="D263" s="18"/>
      <c r="E263" s="18"/>
      <c r="F263" s="18"/>
      <c r="G263" s="18"/>
      <c r="H263" s="18"/>
      <c r="I263" s="18"/>
      <c r="J263" s="18"/>
      <c r="K263" s="18"/>
      <c r="L263" s="18"/>
      <c r="M263" s="18"/>
      <c r="N263" s="18"/>
      <c r="O263" s="18"/>
      <c r="P263" s="1793"/>
      <c r="Q263" s="18"/>
      <c r="R263" s="18"/>
      <c r="S263" s="18"/>
      <c r="T263" s="18"/>
      <c r="U263" s="18"/>
      <c r="V263" s="18"/>
      <c r="W263" s="18"/>
      <c r="X263" s="18"/>
      <c r="Y263" s="18"/>
      <c r="Z263" s="18"/>
      <c r="AA263" s="18"/>
      <c r="AB263" s="18"/>
      <c r="AC263" s="18"/>
      <c r="AD263" s="18"/>
    </row>
    <row r="264" spans="1:50">
      <c r="A264" s="18"/>
      <c r="B264" s="18"/>
      <c r="C264" s="18"/>
      <c r="D264" s="18"/>
      <c r="E264" s="18"/>
      <c r="F264" s="18"/>
      <c r="G264" s="18"/>
      <c r="H264" s="18"/>
      <c r="I264" s="18"/>
      <c r="J264" s="18"/>
      <c r="K264" s="18"/>
      <c r="L264" s="18"/>
      <c r="M264" s="18"/>
      <c r="N264" s="18"/>
      <c r="O264" s="18"/>
      <c r="P264" s="1793"/>
      <c r="Q264" s="18"/>
      <c r="R264" s="18"/>
      <c r="S264" s="18"/>
      <c r="T264" s="18"/>
      <c r="U264" s="18"/>
      <c r="V264" s="18"/>
      <c r="W264" s="18"/>
      <c r="X264" s="18"/>
      <c r="Y264" s="18"/>
      <c r="Z264" s="18"/>
      <c r="AA264" s="18"/>
      <c r="AB264" s="18"/>
      <c r="AC264" s="18"/>
      <c r="AD264" s="18"/>
    </row>
    <row r="265" spans="1:50">
      <c r="M265" s="18"/>
      <c r="N265" s="18"/>
      <c r="O265" s="18"/>
      <c r="P265" s="204"/>
    </row>
    <row r="266" spans="1:50">
      <c r="P266" s="1793"/>
    </row>
    <row r="267" spans="1:50">
      <c r="P267" s="1793"/>
    </row>
    <row r="272" spans="1:50">
      <c r="AP272" s="246" t="s">
        <v>1658</v>
      </c>
    </row>
    <row r="274" spans="42:49" ht="20">
      <c r="AP274" s="1218" t="s">
        <v>1902</v>
      </c>
      <c r="AW274" s="1218" t="s">
        <v>1794</v>
      </c>
    </row>
    <row r="291" spans="42:49">
      <c r="AP291" s="246" t="s">
        <v>1658</v>
      </c>
      <c r="AW291" s="246" t="s">
        <v>1658</v>
      </c>
    </row>
  </sheetData>
  <mergeCells count="1">
    <mergeCell ref="D2:AF2"/>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2:BK277"/>
  <sheetViews>
    <sheetView showGridLines="0" topLeftCell="B1" zoomScale="75" zoomScaleNormal="75" zoomScalePageLayoutView="75" workbookViewId="0">
      <pane xSplit="3" topLeftCell="E1" activePane="topRight" state="frozen"/>
      <selection activeCell="A169" sqref="A169:XFD279"/>
      <selection pane="topRight" activeCell="X30" sqref="X30"/>
    </sheetView>
  </sheetViews>
  <sheetFormatPr baseColWidth="10" defaultRowHeight="15" x14ac:dyDescent="0"/>
  <cols>
    <col min="2" max="3" width="0" hidden="1" customWidth="1"/>
    <col min="4" max="4" width="51.1640625" customWidth="1"/>
    <col min="5" max="10" width="10.83203125" hidden="1" customWidth="1"/>
    <col min="11" max="11" width="13.6640625" hidden="1" customWidth="1"/>
    <col min="12" max="30" width="13" customWidth="1"/>
    <col min="31" max="32" width="13" style="137" customWidth="1"/>
    <col min="33" max="38" width="10.83203125" style="137"/>
    <col min="39" max="39" width="2.83203125" style="137" customWidth="1"/>
    <col min="40" max="40" width="3.33203125" style="137" customWidth="1"/>
    <col min="41" max="48" width="10.83203125" style="137"/>
    <col min="49" max="49" width="3.5" style="137" customWidth="1"/>
    <col min="50" max="55" width="10.83203125" style="137"/>
    <col min="56" max="56" width="2.1640625" style="137" customWidth="1"/>
    <col min="57" max="57" width="6.33203125" style="137" customWidth="1"/>
    <col min="58" max="61" width="10.83203125" style="137"/>
    <col min="62" max="62" width="6.83203125" style="137" customWidth="1"/>
    <col min="63" max="63" width="10.83203125" style="137"/>
    <col min="64" max="64" width="5.6640625" style="137" customWidth="1"/>
    <col min="65" max="16384" width="10.83203125" style="137"/>
  </cols>
  <sheetData>
    <row r="2" spans="1:63">
      <c r="A2" s="1927" t="s">
        <v>1570</v>
      </c>
      <c r="B2" s="1927"/>
      <c r="C2" s="1927"/>
      <c r="D2" s="1927"/>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row>
    <row r="3" spans="1:63" ht="21" thickBot="1">
      <c r="AD3" s="817"/>
      <c r="AI3" s="1218" t="s">
        <v>1801</v>
      </c>
      <c r="AY3" s="1218" t="s">
        <v>1802</v>
      </c>
      <c r="BF3" s="1218" t="s">
        <v>1803</v>
      </c>
    </row>
    <row r="4" spans="1:63" ht="16" thickBot="1">
      <c r="A4" s="408"/>
      <c r="B4" s="408"/>
      <c r="C4" s="408"/>
      <c r="D4" s="694" t="s">
        <v>1180</v>
      </c>
      <c r="E4" s="695" t="s">
        <v>216</v>
      </c>
      <c r="F4" s="695" t="s">
        <v>217</v>
      </c>
      <c r="G4" s="695" t="s">
        <v>1615</v>
      </c>
      <c r="H4" s="695" t="s">
        <v>28</v>
      </c>
      <c r="I4" s="695" t="s">
        <v>17</v>
      </c>
      <c r="J4" s="695" t="s">
        <v>18</v>
      </c>
      <c r="K4" s="695" t="s">
        <v>19</v>
      </c>
      <c r="L4" s="810" t="s">
        <v>20</v>
      </c>
      <c r="M4" s="810" t="s">
        <v>21</v>
      </c>
      <c r="N4" s="810" t="s">
        <v>22</v>
      </c>
      <c r="O4" s="810" t="s">
        <v>23</v>
      </c>
      <c r="P4" s="404" t="s">
        <v>24</v>
      </c>
      <c r="Q4" s="404" t="s">
        <v>25</v>
      </c>
      <c r="R4" s="404" t="s">
        <v>26</v>
      </c>
      <c r="S4" s="404" t="s">
        <v>27</v>
      </c>
      <c r="T4" s="1380" t="s">
        <v>712</v>
      </c>
      <c r="U4" s="404" t="s">
        <v>713</v>
      </c>
      <c r="V4" s="404" t="s">
        <v>714</v>
      </c>
      <c r="W4" s="404" t="s">
        <v>715</v>
      </c>
      <c r="X4" s="404" t="s">
        <v>716</v>
      </c>
      <c r="Y4" s="404" t="s">
        <v>717</v>
      </c>
      <c r="Z4" s="404" t="s">
        <v>718</v>
      </c>
      <c r="AA4" s="404" t="s">
        <v>719</v>
      </c>
      <c r="AB4" s="404" t="s">
        <v>720</v>
      </c>
      <c r="AC4" s="404" t="s">
        <v>721</v>
      </c>
      <c r="AD4" s="404" t="s">
        <v>722</v>
      </c>
      <c r="AE4" s="1379" t="s">
        <v>1445</v>
      </c>
      <c r="AF4" s="1380" t="s">
        <v>1446</v>
      </c>
      <c r="AI4" s="336"/>
      <c r="AJ4" s="336"/>
      <c r="AK4" s="336"/>
      <c r="AL4" s="336"/>
      <c r="AM4" s="336"/>
      <c r="AN4" s="336"/>
      <c r="AO4" s="336"/>
      <c r="AP4" s="336"/>
      <c r="AQ4" s="336"/>
      <c r="AR4" s="336"/>
      <c r="AS4" s="336"/>
      <c r="AT4" s="336"/>
      <c r="AU4" s="620"/>
      <c r="AV4" s="620"/>
      <c r="AW4" s="620"/>
      <c r="AX4" s="620"/>
      <c r="AY4" s="620"/>
      <c r="AZ4" s="620"/>
      <c r="BA4" s="620"/>
      <c r="BB4" s="620"/>
      <c r="BC4" s="620"/>
      <c r="BD4" s="620"/>
      <c r="BE4" s="620"/>
      <c r="BF4" s="620"/>
      <c r="BG4" s="620"/>
      <c r="BH4" s="620"/>
      <c r="BI4" s="620"/>
      <c r="BJ4" s="620"/>
      <c r="BK4" s="620"/>
    </row>
    <row r="5" spans="1:63" s="1714" customFormat="1" ht="16" thickBot="1">
      <c r="A5" s="1469"/>
      <c r="B5" s="1469"/>
      <c r="C5" s="1469"/>
      <c r="D5" s="1468" t="s">
        <v>0</v>
      </c>
      <c r="E5" s="1722">
        <f>'All Together'!E9</f>
        <v>939091</v>
      </c>
      <c r="F5" s="1722">
        <f>'All Together'!F9</f>
        <v>1071362</v>
      </c>
      <c r="G5" s="1722">
        <f>'All Together'!G9</f>
        <v>1023667</v>
      </c>
      <c r="H5" s="1722">
        <f>'All Together'!H9</f>
        <v>934384</v>
      </c>
      <c r="I5" s="1722">
        <f>'All Together'!I9</f>
        <v>948267</v>
      </c>
      <c r="J5" s="1722">
        <f>'All Together'!J9</f>
        <v>909034</v>
      </c>
      <c r="K5" s="1722">
        <f>'All Together'!K9</f>
        <v>1170907</v>
      </c>
      <c r="L5" s="1712">
        <f>'All Together'!L9</f>
        <v>1435082</v>
      </c>
      <c r="M5" s="1712">
        <f>'All Together'!M9</f>
        <v>1373824</v>
      </c>
      <c r="N5" s="1712">
        <f>'All Together'!N9</f>
        <v>1203470</v>
      </c>
      <c r="O5" s="1712">
        <f>'All Together'!O9</f>
        <v>1314747</v>
      </c>
      <c r="P5" s="1712">
        <f t="shared" ref="P5:AD5" si="0">P23+P32</f>
        <v>1385812.527794118</v>
      </c>
      <c r="Q5" s="1712">
        <f t="shared" si="0"/>
        <v>1432369.2609871542</v>
      </c>
      <c r="R5" s="1712">
        <f t="shared" si="0"/>
        <v>1490104.3303733524</v>
      </c>
      <c r="S5" s="1712">
        <f t="shared" si="0"/>
        <v>1559604.7189282947</v>
      </c>
      <c r="T5" s="1712">
        <f t="shared" si="0"/>
        <v>1638265.0020870746</v>
      </c>
      <c r="U5" s="1713">
        <f t="shared" si="0"/>
        <v>1743613.8741607941</v>
      </c>
      <c r="V5" s="1713">
        <f t="shared" si="0"/>
        <v>1861662.2190873576</v>
      </c>
      <c r="W5" s="1713">
        <f t="shared" si="0"/>
        <v>1996172.1620768984</v>
      </c>
      <c r="X5" s="1713">
        <f t="shared" si="0"/>
        <v>2196874.772746725</v>
      </c>
      <c r="Y5" s="1713">
        <f t="shared" si="0"/>
        <v>2361127.426941081</v>
      </c>
      <c r="Z5" s="1713">
        <f t="shared" si="0"/>
        <v>2541368.9658013657</v>
      </c>
      <c r="AA5" s="1713">
        <f t="shared" si="0"/>
        <v>2741844.2238291511</v>
      </c>
      <c r="AB5" s="1713">
        <f t="shared" si="0"/>
        <v>2964977.6385989334</v>
      </c>
      <c r="AC5" s="1713">
        <f t="shared" si="0"/>
        <v>3213462.726685076</v>
      </c>
      <c r="AD5" s="1713">
        <f t="shared" si="0"/>
        <v>3490280.7369962051</v>
      </c>
      <c r="AE5" s="1398">
        <f>(O5/L5)^(1/3)-1</f>
        <v>-2.8770592500421244E-2</v>
      </c>
      <c r="AF5" s="1399">
        <f>(T5/P5)^(1/4)-1</f>
        <v>4.2725315692242916E-2</v>
      </c>
      <c r="AI5" s="1715"/>
      <c r="AQ5" s="1713"/>
      <c r="AR5" s="1713"/>
      <c r="AS5" s="1713"/>
      <c r="AT5" s="1713"/>
      <c r="AU5" s="1713"/>
      <c r="AV5" s="1713"/>
      <c r="AW5" s="1713"/>
      <c r="AX5" s="1713"/>
      <c r="AY5" s="1713"/>
      <c r="AZ5" s="1713"/>
      <c r="BA5" s="1713"/>
      <c r="BB5" s="1713"/>
      <c r="BC5" s="1713"/>
      <c r="BD5" s="1713"/>
      <c r="BE5" s="1713"/>
      <c r="BF5" s="1713"/>
      <c r="BG5" s="1713"/>
      <c r="BH5" s="1713"/>
      <c r="BI5" s="1713"/>
      <c r="BJ5" s="1396"/>
      <c r="BK5" s="1396"/>
    </row>
    <row r="6" spans="1:63" s="1402" customFormat="1" thickBot="1">
      <c r="A6" s="562"/>
      <c r="B6" s="562"/>
      <c r="C6" s="562"/>
      <c r="D6" s="1418" t="s">
        <v>1576</v>
      </c>
      <c r="M6" s="1402">
        <f t="shared" ref="M6:O6" si="1">(M5/L5)-1</f>
        <v>-4.2686062538586644E-2</v>
      </c>
      <c r="N6" s="1402">
        <f t="shared" si="1"/>
        <v>-0.12399987189043138</v>
      </c>
      <c r="O6" s="1402">
        <f t="shared" si="1"/>
        <v>9.246345982866222E-2</v>
      </c>
      <c r="P6" s="1402">
        <f>(P5/O5)-1</f>
        <v>5.4052625938007859E-2</v>
      </c>
      <c r="Q6" s="1402">
        <f>Q5/P5-1</f>
        <v>3.3595260729200715E-2</v>
      </c>
      <c r="R6" s="1402">
        <f t="shared" ref="R6:AC6" si="2">R5/Q5-1</f>
        <v>4.0307392066211145E-2</v>
      </c>
      <c r="S6" s="1402">
        <f t="shared" si="2"/>
        <v>4.6641290236052679E-2</v>
      </c>
      <c r="T6" s="1402">
        <f t="shared" si="2"/>
        <v>5.0436038185901699E-2</v>
      </c>
      <c r="U6" s="1402">
        <f t="shared" si="2"/>
        <v>6.4305147176744848E-2</v>
      </c>
      <c r="V6" s="1402">
        <f t="shared" si="2"/>
        <v>6.7703260840006996E-2</v>
      </c>
      <c r="W6" s="1402">
        <f t="shared" si="2"/>
        <v>7.2252603942019933E-2</v>
      </c>
      <c r="X6" s="1402">
        <f t="shared" si="2"/>
        <v>0.10054373790134785</v>
      </c>
      <c r="Y6" s="1402">
        <f t="shared" si="2"/>
        <v>7.4766507509662405E-2</v>
      </c>
      <c r="Z6" s="1402">
        <f t="shared" si="2"/>
        <v>7.6337065422086736E-2</v>
      </c>
      <c r="AA6" s="1402">
        <f t="shared" si="2"/>
        <v>7.8884750984818064E-2</v>
      </c>
      <c r="AB6" s="1402">
        <f t="shared" si="2"/>
        <v>8.1380777518484493E-2</v>
      </c>
      <c r="AC6" s="1402">
        <f t="shared" si="2"/>
        <v>8.3806732587555555E-2</v>
      </c>
      <c r="AD6" s="1402">
        <f>AD5/AC5-1</f>
        <v>8.6143214922765665E-2</v>
      </c>
      <c r="AE6" s="1418"/>
      <c r="AF6" s="1452"/>
    </row>
    <row r="7" spans="1:63" s="109" customFormat="1" ht="16" hidden="1" thickBot="1">
      <c r="A7" s="4"/>
      <c r="B7" s="4"/>
      <c r="C7" s="4"/>
      <c r="D7" s="730" t="s">
        <v>502</v>
      </c>
      <c r="E7" s="109">
        <f t="shared" ref="E7:AD7" si="3">E5-E9-E12</f>
        <v>905924</v>
      </c>
      <c r="F7" s="109">
        <f t="shared" si="3"/>
        <v>1006830</v>
      </c>
      <c r="G7" s="109">
        <f t="shared" si="3"/>
        <v>930221</v>
      </c>
      <c r="H7" s="109">
        <f t="shared" si="3"/>
        <v>819828</v>
      </c>
      <c r="I7" s="109">
        <f t="shared" si="3"/>
        <v>743833</v>
      </c>
      <c r="J7" s="109">
        <f t="shared" si="3"/>
        <v>682988</v>
      </c>
      <c r="K7" s="109">
        <f t="shared" si="3"/>
        <v>871911</v>
      </c>
      <c r="L7" s="109">
        <f t="shared" si="3"/>
        <v>1110564</v>
      </c>
      <c r="M7" s="109">
        <f t="shared" si="3"/>
        <v>921906</v>
      </c>
      <c r="N7" s="109">
        <f t="shared" si="3"/>
        <v>806915</v>
      </c>
      <c r="O7" s="109">
        <f t="shared" si="3"/>
        <v>1035958</v>
      </c>
      <c r="P7" s="109">
        <f t="shared" si="3"/>
        <v>1076921.972461571</v>
      </c>
      <c r="Q7" s="109">
        <f t="shared" si="3"/>
        <v>1109175.9427354587</v>
      </c>
      <c r="R7" s="109">
        <f t="shared" si="3"/>
        <v>1149882.6534080296</v>
      </c>
      <c r="S7" s="109">
        <f t="shared" si="3"/>
        <v>1200912.4563384317</v>
      </c>
      <c r="T7" s="109">
        <f t="shared" si="3"/>
        <v>1258769.6762717157</v>
      </c>
      <c r="U7" s="109">
        <f t="shared" si="3"/>
        <v>1345123.358435326</v>
      </c>
      <c r="V7" s="109">
        <f t="shared" si="3"/>
        <v>1433788.4993029484</v>
      </c>
      <c r="W7" s="109">
        <f t="shared" si="3"/>
        <v>1534990.6632750162</v>
      </c>
      <c r="X7" s="109">
        <f t="shared" si="3"/>
        <v>1690302.0154449907</v>
      </c>
      <c r="Y7" s="109">
        <f t="shared" si="3"/>
        <v>1813565.1320321206</v>
      </c>
      <c r="Z7" s="109">
        <f t="shared" si="3"/>
        <v>1948572.0336014605</v>
      </c>
      <c r="AA7" s="109">
        <f t="shared" si="3"/>
        <v>2098646.9565915554</v>
      </c>
      <c r="AB7" s="109">
        <f t="shared" si="3"/>
        <v>2265595.3435392198</v>
      </c>
      <c r="AC7" s="109">
        <f t="shared" si="3"/>
        <v>2451420.6043414255</v>
      </c>
      <c r="AD7" s="109">
        <f t="shared" si="3"/>
        <v>2658336.3683979921</v>
      </c>
      <c r="AE7" s="724"/>
      <c r="AF7" s="725"/>
      <c r="AI7" s="1307"/>
      <c r="BJ7" s="239"/>
      <c r="BK7" s="239"/>
    </row>
    <row r="8" spans="1:63" s="232" customFormat="1" ht="16" hidden="1" thickBot="1">
      <c r="A8" s="105"/>
      <c r="B8" s="105"/>
      <c r="C8" s="105"/>
      <c r="D8" s="1696" t="s">
        <v>832</v>
      </c>
      <c r="E8" s="1432"/>
      <c r="F8" s="1432">
        <f>(F7/E7)-1</f>
        <v>0.11138461946035205</v>
      </c>
      <c r="G8" s="1432">
        <f t="shared" ref="G8:S8" si="4">(G7/F7)-1</f>
        <v>-7.6089310012613876E-2</v>
      </c>
      <c r="H8" s="1394">
        <f t="shared" si="4"/>
        <v>-0.11867394952382282</v>
      </c>
      <c r="I8" s="1394">
        <f t="shared" si="4"/>
        <v>-9.2696272876749752E-2</v>
      </c>
      <c r="J8" s="1394">
        <f t="shared" si="4"/>
        <v>-8.1799274837228264E-2</v>
      </c>
      <c r="K8" s="1394">
        <f t="shared" si="4"/>
        <v>0.27661247342559458</v>
      </c>
      <c r="L8" s="1393">
        <f t="shared" si="4"/>
        <v>0.27371256928746157</v>
      </c>
      <c r="M8" s="1393">
        <f>M7/L7-1</f>
        <v>-0.1698758468669973</v>
      </c>
      <c r="N8" s="1393">
        <f t="shared" si="4"/>
        <v>-0.1247318056287734</v>
      </c>
      <c r="O8" s="1393">
        <f t="shared" si="4"/>
        <v>0.2838502196637811</v>
      </c>
      <c r="P8" s="1393">
        <f t="shared" si="4"/>
        <v>3.9542117017843381E-2</v>
      </c>
      <c r="Q8" s="1393">
        <f t="shared" si="4"/>
        <v>2.9950145970337516E-2</v>
      </c>
      <c r="R8" s="1393">
        <f t="shared" si="4"/>
        <v>3.6699958143862732E-2</v>
      </c>
      <c r="S8" s="1393">
        <f t="shared" si="4"/>
        <v>4.4378270060131397E-2</v>
      </c>
      <c r="T8" s="1393">
        <f t="shared" ref="T8" si="5">(T7/S7)-1</f>
        <v>4.8177716558698958E-2</v>
      </c>
      <c r="U8" s="1393">
        <f t="shared" ref="U8" si="6">(U7/T7)-1</f>
        <v>6.8601654291019276E-2</v>
      </c>
      <c r="V8" s="1393">
        <f t="shared" ref="V8" si="7">(V7/U7)-1</f>
        <v>6.5915992248294142E-2</v>
      </c>
      <c r="W8" s="1393">
        <f t="shared" ref="W8" si="8">(W7/V7)-1</f>
        <v>7.0583746501850397E-2</v>
      </c>
      <c r="X8" s="1393">
        <f t="shared" ref="X8" si="9">(X7/W7)-1</f>
        <v>0.10118064942402083</v>
      </c>
      <c r="Y8" s="1393">
        <f t="shared" ref="Y8" si="10">(Y7/X7)-1</f>
        <v>7.2923723370630578E-2</v>
      </c>
      <c r="Z8" s="1393">
        <f t="shared" ref="Z8" si="11">(Z7/Y7)-1</f>
        <v>7.4442819386399961E-2</v>
      </c>
      <c r="AA8" s="1393">
        <f t="shared" ref="AA8" si="12">(AA7/Z7)-1</f>
        <v>7.7017898441618327E-2</v>
      </c>
      <c r="AB8" s="1393">
        <f t="shared" ref="AB8" si="13">(AB7/AA7)-1</f>
        <v>7.9550486766391648E-2</v>
      </c>
      <c r="AC8" s="1393">
        <f t="shared" ref="AC8" si="14">(AC7/AB7)-1</f>
        <v>8.2020499085206033E-2</v>
      </c>
      <c r="AD8" s="1393">
        <f t="shared" ref="AD8" si="15">(AD7/AC7)-1</f>
        <v>8.4406471778087466E-2</v>
      </c>
      <c r="AE8" s="1431"/>
      <c r="AF8" s="1470"/>
      <c r="AM8" s="1023"/>
      <c r="AN8" s="1023"/>
      <c r="AO8" s="1023"/>
      <c r="AP8" s="1023"/>
      <c r="AQ8" s="1023"/>
      <c r="AR8" s="1023"/>
      <c r="AS8" s="1023"/>
      <c r="AT8" s="1023"/>
      <c r="AU8" s="1023"/>
      <c r="AV8" s="1023"/>
      <c r="AW8" s="1023"/>
      <c r="AX8" s="1023"/>
      <c r="AY8" s="1023"/>
      <c r="AZ8" s="1023"/>
      <c r="BA8" s="1023"/>
      <c r="BB8" s="1023"/>
      <c r="BC8" s="1023"/>
      <c r="BD8" s="1023"/>
      <c r="BE8" s="1023"/>
    </row>
    <row r="9" spans="1:63" s="919" customFormat="1" ht="16" thickBot="1">
      <c r="A9" s="961"/>
      <c r="B9" s="961"/>
      <c r="C9" s="961"/>
      <c r="D9" s="1471" t="s">
        <v>451</v>
      </c>
      <c r="E9" s="843">
        <f>'All Together'!E34</f>
        <v>16867</v>
      </c>
      <c r="F9" s="843">
        <f>'All Together'!F34</f>
        <v>46705</v>
      </c>
      <c r="G9" s="843">
        <f>'All Together'!G34</f>
        <v>73587</v>
      </c>
      <c r="H9" s="843">
        <f>'All Together'!H34</f>
        <v>94267</v>
      </c>
      <c r="I9" s="843">
        <f>'All Together'!I34</f>
        <v>177681</v>
      </c>
      <c r="J9" s="843">
        <f>'All Together'!J34</f>
        <v>196993</v>
      </c>
      <c r="K9" s="843">
        <f>'All Together'!K34</f>
        <v>273795</v>
      </c>
      <c r="L9" s="1716">
        <f>'All Together'!L34</f>
        <v>296578</v>
      </c>
      <c r="M9" s="1716">
        <f>'All Together'!M34</f>
        <v>422504</v>
      </c>
      <c r="N9" s="1716">
        <f>'All Together'!N34</f>
        <v>347251</v>
      </c>
      <c r="O9" s="1716">
        <f>'All Together'!O34</f>
        <v>211020</v>
      </c>
      <c r="P9" s="1716">
        <f t="shared" ref="P9:AD9" si="16">P27+P37</f>
        <v>241451.44742854711</v>
      </c>
      <c r="Q9" s="1716">
        <f t="shared" si="16"/>
        <v>249812.01082089977</v>
      </c>
      <c r="R9" s="1716">
        <f t="shared" si="16"/>
        <v>260157.87285216263</v>
      </c>
      <c r="S9" s="1716">
        <f t="shared" si="16"/>
        <v>272593.2802737609</v>
      </c>
      <c r="T9" s="1716">
        <f t="shared" si="16"/>
        <v>286656.57354172331</v>
      </c>
      <c r="U9" s="1716">
        <f t="shared" si="16"/>
        <v>298133.32190179499</v>
      </c>
      <c r="V9" s="1716">
        <f t="shared" si="16"/>
        <v>319127.89236330905</v>
      </c>
      <c r="W9" s="1716">
        <f t="shared" si="16"/>
        <v>343070.19493174035</v>
      </c>
      <c r="X9" s="1716">
        <f t="shared" si="16"/>
        <v>377991.77577569423</v>
      </c>
      <c r="Y9" s="1716">
        <f t="shared" si="16"/>
        <v>407288.37062185653</v>
      </c>
      <c r="Z9" s="1716">
        <f t="shared" si="16"/>
        <v>439463.1796376725</v>
      </c>
      <c r="AA9" s="1716">
        <f t="shared" si="16"/>
        <v>475273.92636660411</v>
      </c>
      <c r="AB9" s="1716">
        <f t="shared" si="16"/>
        <v>515156.47065113811</v>
      </c>
      <c r="AC9" s="1716">
        <f t="shared" si="16"/>
        <v>559595.44952058815</v>
      </c>
      <c r="AD9" s="1716">
        <f t="shared" si="16"/>
        <v>609127.9222907346</v>
      </c>
      <c r="AE9" s="1398">
        <f>(O9/L9)^(1/3)-1</f>
        <v>-0.10725335070599606</v>
      </c>
      <c r="AF9" s="1399">
        <f>(T9/P9)^(1/4)-1</f>
        <v>4.3837808018342361E-2</v>
      </c>
      <c r="AI9" s="1717"/>
      <c r="AQ9" s="1716"/>
      <c r="AR9" s="1716"/>
      <c r="AS9" s="1716"/>
      <c r="AT9" s="1716"/>
      <c r="AU9" s="1716"/>
      <c r="AV9" s="1716"/>
      <c r="AW9" s="1716"/>
      <c r="AX9" s="1716"/>
      <c r="AY9" s="1716"/>
      <c r="AZ9" s="1716"/>
      <c r="BA9" s="1716"/>
      <c r="BB9" s="1716"/>
      <c r="BC9" s="1716"/>
      <c r="BD9" s="1716"/>
      <c r="BE9" s="1716"/>
      <c r="BF9" s="1716"/>
      <c r="BG9" s="1716"/>
      <c r="BH9" s="1716"/>
      <c r="BI9" s="1716"/>
      <c r="BJ9" s="1396"/>
      <c r="BK9" s="1396"/>
    </row>
    <row r="10" spans="1:63" s="1402" customFormat="1" ht="14">
      <c r="A10" s="562"/>
      <c r="B10" s="562"/>
      <c r="C10" s="562"/>
      <c r="D10" s="1418" t="s">
        <v>832</v>
      </c>
      <c r="P10" s="1402">
        <f t="shared" ref="P10:AC10" si="17">P9/O9-1</f>
        <v>0.1442112000215483</v>
      </c>
      <c r="Q10" s="1402">
        <f t="shared" si="17"/>
        <v>3.4626271581274404E-2</v>
      </c>
      <c r="R10" s="1402">
        <f t="shared" si="17"/>
        <v>4.1414590104237314E-2</v>
      </c>
      <c r="S10" s="1402">
        <f t="shared" si="17"/>
        <v>4.7799466090594933E-2</v>
      </c>
      <c r="T10" s="1402">
        <f t="shared" si="17"/>
        <v>5.1590755479514749E-2</v>
      </c>
      <c r="U10" s="1402">
        <f t="shared" si="17"/>
        <v>4.0036578328810579E-2</v>
      </c>
      <c r="V10" s="1402">
        <f t="shared" si="17"/>
        <v>7.042007356839397E-2</v>
      </c>
      <c r="W10" s="1402">
        <f t="shared" si="17"/>
        <v>7.5024161602190276E-2</v>
      </c>
      <c r="X10" s="1402">
        <f t="shared" si="17"/>
        <v>0.10179135745354428</v>
      </c>
      <c r="Y10" s="1402">
        <f t="shared" si="17"/>
        <v>7.7505905481783044E-2</v>
      </c>
      <c r="Z10" s="1402">
        <f t="shared" si="17"/>
        <v>7.899761283802631E-2</v>
      </c>
      <c r="AA10" s="1402">
        <f t="shared" si="17"/>
        <v>8.1487479243327554E-2</v>
      </c>
      <c r="AB10" s="1402">
        <f t="shared" si="17"/>
        <v>8.3914858509975376E-2</v>
      </c>
      <c r="AC10" s="1402">
        <f t="shared" si="17"/>
        <v>8.6263070350802051E-2</v>
      </c>
      <c r="AD10" s="1402">
        <f>AD9/AC9-1</f>
        <v>8.851478833965043E-2</v>
      </c>
      <c r="AE10" s="1418"/>
      <c r="AF10" s="1452"/>
    </row>
    <row r="11" spans="1:63" s="1402" customFormat="1" thickBot="1">
      <c r="A11" s="562"/>
      <c r="B11" s="562"/>
      <c r="C11" s="562"/>
      <c r="D11" s="1420" t="s">
        <v>978</v>
      </c>
      <c r="E11" s="1411"/>
      <c r="F11" s="1411"/>
      <c r="G11" s="1411"/>
      <c r="H11" s="1411"/>
      <c r="I11" s="1411"/>
      <c r="J11" s="1411"/>
      <c r="K11" s="1411"/>
      <c r="M11" s="1402">
        <f t="shared" ref="M11:AD11" si="18">M9/M5</f>
        <v>0.30753866579707445</v>
      </c>
      <c r="N11" s="1402">
        <f t="shared" si="18"/>
        <v>0.28854146758955357</v>
      </c>
      <c r="O11" s="1402">
        <f t="shared" si="18"/>
        <v>0.16050236281200869</v>
      </c>
      <c r="P11" s="1402">
        <f t="shared" si="18"/>
        <v>0.17423096023881385</v>
      </c>
      <c r="Q11" s="1402">
        <f t="shared" si="18"/>
        <v>0.17440475555076865</v>
      </c>
      <c r="R11" s="1402">
        <f t="shared" si="18"/>
        <v>0.17459037434444533</v>
      </c>
      <c r="S11" s="1402">
        <f t="shared" si="18"/>
        <v>0.17478356981445745</v>
      </c>
      <c r="T11" s="1402">
        <f t="shared" si="18"/>
        <v>0.17497570489300324</v>
      </c>
      <c r="U11" s="1402">
        <f t="shared" si="18"/>
        <v>0.17098586236318367</v>
      </c>
      <c r="V11" s="1402">
        <f t="shared" si="18"/>
        <v>0.171420942580956</v>
      </c>
      <c r="W11" s="1402">
        <f t="shared" si="18"/>
        <v>0.17186403129417266</v>
      </c>
      <c r="X11" s="1402">
        <f t="shared" si="18"/>
        <v>0.17205886310173968</v>
      </c>
      <c r="Y11" s="1402">
        <f t="shared" si="18"/>
        <v>0.17249741203062138</v>
      </c>
      <c r="Z11" s="1402">
        <f t="shared" si="18"/>
        <v>0.17292380034203231</v>
      </c>
      <c r="AA11" s="1402">
        <f t="shared" si="18"/>
        <v>0.17334096599509047</v>
      </c>
      <c r="AB11" s="1402">
        <f t="shared" si="18"/>
        <v>0.17374716893128728</v>
      </c>
      <c r="AC11" s="1402">
        <f t="shared" si="18"/>
        <v>0.17414094922390844</v>
      </c>
      <c r="AD11" s="1402">
        <f t="shared" si="18"/>
        <v>0.17452118273298567</v>
      </c>
      <c r="AE11" s="1420"/>
      <c r="AF11" s="1443"/>
    </row>
    <row r="12" spans="1:63" s="1714" customFormat="1" ht="16" thickBot="1">
      <c r="A12" s="1718"/>
      <c r="B12" s="1718"/>
      <c r="C12" s="1718"/>
      <c r="D12" s="1719" t="s">
        <v>497</v>
      </c>
      <c r="E12" s="1469">
        <f>'All Together'!E93</f>
        <v>16300</v>
      </c>
      <c r="F12" s="1469">
        <f>'All Together'!F93</f>
        <v>17827</v>
      </c>
      <c r="G12" s="1469">
        <f>'All Together'!G93</f>
        <v>19859</v>
      </c>
      <c r="H12" s="1469">
        <f>'All Together'!H93</f>
        <v>20289</v>
      </c>
      <c r="I12" s="1469">
        <f>'All Together'!I93</f>
        <v>26753</v>
      </c>
      <c r="J12" s="1469">
        <f>'All Together'!J93</f>
        <v>29053</v>
      </c>
      <c r="K12" s="1469">
        <f>'All Together'!K93</f>
        <v>25201</v>
      </c>
      <c r="L12" s="1713">
        <f>'All Together'!L93</f>
        <v>27940</v>
      </c>
      <c r="M12" s="1713">
        <f>'All Together'!M93</f>
        <v>29414</v>
      </c>
      <c r="N12" s="1713">
        <f>'All Together'!N93</f>
        <v>49304</v>
      </c>
      <c r="O12" s="1713">
        <f>67769</f>
        <v>67769</v>
      </c>
      <c r="P12" s="1713">
        <f>P15*'2a. Income Statement'!P59</f>
        <v>67439.107904000004</v>
      </c>
      <c r="Q12" s="1713">
        <f>Q15*'2a. Income Statement'!Q59</f>
        <v>73381.307430795525</v>
      </c>
      <c r="R12" s="1713">
        <f>R15*'2a. Income Statement'!R59</f>
        <v>80063.804113160048</v>
      </c>
      <c r="S12" s="1713">
        <f>S15*'2a. Income Statement'!S59</f>
        <v>86098.982316102178</v>
      </c>
      <c r="T12" s="1713">
        <f>T15*'2a. Income Statement'!T59</f>
        <v>92838.752273635575</v>
      </c>
      <c r="U12" s="1713">
        <f>U15*'2a. Income Statement'!U59</f>
        <v>100357.19382367301</v>
      </c>
      <c r="V12" s="1713">
        <f>V15*'2a. Income Statement'!V59</f>
        <v>108745.82742110039</v>
      </c>
      <c r="W12" s="1713">
        <f>W15*'2a. Income Statement'!W59</f>
        <v>118111.30387014164</v>
      </c>
      <c r="X12" s="1713">
        <f>X15*'2a. Income Statement'!X59</f>
        <v>128580.98152603993</v>
      </c>
      <c r="Y12" s="1713">
        <f>Y15*'2a. Income Statement'!Y59</f>
        <v>140273.92428710373</v>
      </c>
      <c r="Z12" s="1713">
        <f>Z15*'2a. Income Statement'!Z59</f>
        <v>153333.75256223275</v>
      </c>
      <c r="AA12" s="1713">
        <f>AA15*'2a. Income Statement'!AA59</f>
        <v>167923.34087099199</v>
      </c>
      <c r="AB12" s="1713">
        <f>AB15*'2a. Income Statement'!AB59</f>
        <v>184225.82440857546</v>
      </c>
      <c r="AC12" s="1713">
        <f>AC15*'2a. Income Statement'!AC59</f>
        <v>202446.67282306278</v>
      </c>
      <c r="AD12" s="1720">
        <f>AD15*'2a. Income Statement'!AD59</f>
        <v>222816.44630747847</v>
      </c>
      <c r="AE12" s="1721"/>
    </row>
    <row r="13" spans="1:63" s="1402" customFormat="1" ht="14">
      <c r="A13" s="1008"/>
      <c r="B13" s="1008"/>
      <c r="C13" s="1008"/>
      <c r="D13" s="1403" t="s">
        <v>469</v>
      </c>
      <c r="E13" s="562"/>
      <c r="F13" s="562">
        <f>(F12/E12)-1</f>
        <v>9.3680981595092083E-2</v>
      </c>
      <c r="G13" s="562">
        <f t="shared" ref="G13:AC13" si="19">(G12/F12)-1</f>
        <v>0.11398440567678247</v>
      </c>
      <c r="H13" s="562">
        <f t="shared" si="19"/>
        <v>2.1652651190895877E-2</v>
      </c>
      <c r="I13" s="562">
        <f t="shared" si="19"/>
        <v>0.31859628370052739</v>
      </c>
      <c r="J13" s="562">
        <f t="shared" si="19"/>
        <v>8.5971666728964946E-2</v>
      </c>
      <c r="K13" s="562">
        <f t="shared" si="19"/>
        <v>-0.13258527518672769</v>
      </c>
      <c r="L13" s="1402">
        <f t="shared" si="19"/>
        <v>0.10868616324749025</v>
      </c>
      <c r="M13" s="1402">
        <f t="shared" si="19"/>
        <v>5.2755905511810974E-2</v>
      </c>
      <c r="N13" s="1402">
        <f t="shared" si="19"/>
        <v>0.67620860814578099</v>
      </c>
      <c r="O13" s="1402">
        <f t="shared" si="19"/>
        <v>0.37451322407918219</v>
      </c>
      <c r="P13" s="1402">
        <f t="shared" si="19"/>
        <v>-4.8678908645545249E-3</v>
      </c>
      <c r="Q13" s="1402">
        <f t="shared" si="19"/>
        <v>8.8112071933903469E-2</v>
      </c>
      <c r="R13" s="1402">
        <f t="shared" si="19"/>
        <v>9.1065380494435244E-2</v>
      </c>
      <c r="S13" s="1402">
        <f t="shared" si="19"/>
        <v>7.5379608423453925E-2</v>
      </c>
      <c r="T13" s="1402">
        <f t="shared" si="19"/>
        <v>7.8279321964447091E-2</v>
      </c>
      <c r="U13" s="1402">
        <f t="shared" si="19"/>
        <v>8.0983871130423601E-2</v>
      </c>
      <c r="V13" s="1402">
        <f t="shared" si="19"/>
        <v>8.3587765638068356E-2</v>
      </c>
      <c r="W13" s="1402">
        <f t="shared" si="19"/>
        <v>8.6122628068983076E-2</v>
      </c>
      <c r="X13" s="1402">
        <f t="shared" si="19"/>
        <v>8.8642469542197677E-2</v>
      </c>
      <c r="Y13" s="1402">
        <f t="shared" si="19"/>
        <v>9.093835357521951E-2</v>
      </c>
      <c r="Z13" s="1402">
        <f t="shared" si="19"/>
        <v>9.3102323482438631E-2</v>
      </c>
      <c r="AA13" s="1402">
        <f t="shared" si="19"/>
        <v>9.5149228822517973E-2</v>
      </c>
      <c r="AB13" s="1402">
        <f t="shared" si="19"/>
        <v>9.7082891830433171E-2</v>
      </c>
      <c r="AC13" s="1402">
        <f t="shared" si="19"/>
        <v>9.8904963367552501E-2</v>
      </c>
      <c r="AD13" s="1402">
        <f>(AD12/AC12)-1</f>
        <v>0.10061797114452342</v>
      </c>
      <c r="AE13" s="1418"/>
      <c r="AI13" s="225" t="s">
        <v>1658</v>
      </c>
    </row>
    <row r="14" spans="1:63" s="1402" customFormat="1" ht="14">
      <c r="A14" s="1008"/>
      <c r="B14" s="1008"/>
      <c r="C14" s="1008"/>
      <c r="D14" s="1403" t="s">
        <v>504</v>
      </c>
      <c r="E14" s="562">
        <f t="shared" ref="E14:O14" si="20">E12/E5</f>
        <v>1.7357210323600162E-2</v>
      </c>
      <c r="F14" s="562">
        <f t="shared" si="20"/>
        <v>1.6639567205109011E-2</v>
      </c>
      <c r="G14" s="562">
        <f t="shared" si="20"/>
        <v>1.9399863432151276E-2</v>
      </c>
      <c r="H14" s="562">
        <f t="shared" si="20"/>
        <v>2.1713770783746297E-2</v>
      </c>
      <c r="I14" s="562">
        <f t="shared" si="20"/>
        <v>2.8212518204261038E-2</v>
      </c>
      <c r="J14" s="562">
        <f t="shared" si="20"/>
        <v>3.1960300714824745E-2</v>
      </c>
      <c r="K14" s="562">
        <f t="shared" si="20"/>
        <v>2.1522631600972578E-2</v>
      </c>
      <c r="L14" s="1402">
        <f t="shared" si="20"/>
        <v>1.946927074550444E-2</v>
      </c>
      <c r="M14" s="1402">
        <f t="shared" si="20"/>
        <v>2.141031165564148E-2</v>
      </c>
      <c r="N14" s="1402">
        <f t="shared" si="20"/>
        <v>4.0968200287501977E-2</v>
      </c>
      <c r="O14" s="1402">
        <f t="shared" si="20"/>
        <v>5.1545278293086048E-2</v>
      </c>
      <c r="P14" s="1402">
        <f>O14-0.5%</f>
        <v>4.6545278293086051E-2</v>
      </c>
      <c r="Q14" s="1402">
        <f>P14</f>
        <v>4.6545278293086051E-2</v>
      </c>
      <c r="R14" s="1402">
        <f t="shared" ref="R14:AC14" si="21">Q14</f>
        <v>4.6545278293086051E-2</v>
      </c>
      <c r="S14" s="1402">
        <f t="shared" si="21"/>
        <v>4.6545278293086051E-2</v>
      </c>
      <c r="T14" s="1402">
        <f t="shared" si="21"/>
        <v>4.6545278293086051E-2</v>
      </c>
      <c r="U14" s="1402">
        <f t="shared" si="21"/>
        <v>4.6545278293086051E-2</v>
      </c>
      <c r="V14" s="1402">
        <f t="shared" si="21"/>
        <v>4.6545278293086051E-2</v>
      </c>
      <c r="W14" s="1402">
        <f t="shared" si="21"/>
        <v>4.6545278293086051E-2</v>
      </c>
      <c r="X14" s="1402">
        <f t="shared" si="21"/>
        <v>4.6545278293086051E-2</v>
      </c>
      <c r="Y14" s="1402">
        <f t="shared" si="21"/>
        <v>4.6545278293086051E-2</v>
      </c>
      <c r="Z14" s="1402">
        <f t="shared" si="21"/>
        <v>4.6545278293086051E-2</v>
      </c>
      <c r="AA14" s="1402">
        <f t="shared" si="21"/>
        <v>4.6545278293086051E-2</v>
      </c>
      <c r="AB14" s="1402">
        <f t="shared" si="21"/>
        <v>4.6545278293086051E-2</v>
      </c>
      <c r="AC14" s="1402">
        <f t="shared" si="21"/>
        <v>4.6545278293086051E-2</v>
      </c>
      <c r="AD14" s="1402">
        <f>AC14</f>
        <v>4.6545278293086051E-2</v>
      </c>
      <c r="AE14" s="1418"/>
    </row>
    <row r="15" spans="1:63" s="1402" customFormat="1" thickBot="1">
      <c r="A15" s="1008"/>
      <c r="B15" s="1008"/>
      <c r="C15" s="1008"/>
      <c r="D15" s="1403" t="s">
        <v>1356</v>
      </c>
      <c r="E15" s="562"/>
      <c r="F15" s="562"/>
      <c r="G15" s="562"/>
      <c r="H15" s="562"/>
      <c r="I15" s="562"/>
      <c r="J15" s="562">
        <f>J12/'2a. Income Statement'!J59</f>
        <v>0.37792520325203249</v>
      </c>
      <c r="K15" s="562">
        <f>K12/'2a. Income Statement'!K59</f>
        <v>0.3263997720473002</v>
      </c>
      <c r="L15" s="1402">
        <f>L12/'2a. Income Statement'!L59</f>
        <v>0.32044224240756031</v>
      </c>
      <c r="M15" s="1402">
        <f>M12/'2a. Income Statement'!M59</f>
        <v>0.287335886214442</v>
      </c>
      <c r="N15" s="1402">
        <f>N12/'2a. Income Statement'!N59</f>
        <v>0.43392622972461564</v>
      </c>
      <c r="O15" s="1402">
        <f>O12/'2a. Income Statement'!O59</f>
        <v>0.38250616635905427</v>
      </c>
      <c r="P15" s="1402">
        <f>'2e. Notes to the New Fin Stat'!P41</f>
        <v>0.32</v>
      </c>
      <c r="Q15" s="1402">
        <f>'2e. Notes to the New Fin Stat'!Q41</f>
        <v>0.32</v>
      </c>
      <c r="R15" s="1402">
        <f>'2e. Notes to the New Fin Stat'!R41</f>
        <v>0.32</v>
      </c>
      <c r="S15" s="1402">
        <f>'2e. Notes to the New Fin Stat'!S41</f>
        <v>0.32</v>
      </c>
      <c r="T15" s="1402">
        <f>'2e. Notes to the New Fin Stat'!T41</f>
        <v>0.32</v>
      </c>
      <c r="U15" s="1402">
        <f>'2e. Notes to the New Fin Stat'!U41</f>
        <v>0.32</v>
      </c>
      <c r="V15" s="1402">
        <f>'2e. Notes to the New Fin Stat'!V41</f>
        <v>0.32</v>
      </c>
      <c r="W15" s="1402">
        <f>'2e. Notes to the New Fin Stat'!W41</f>
        <v>0.32</v>
      </c>
      <c r="X15" s="1402">
        <f>'2e. Notes to the New Fin Stat'!X41</f>
        <v>0.32</v>
      </c>
      <c r="Y15" s="1402">
        <f>'2e. Notes to the New Fin Stat'!Y41</f>
        <v>0.32</v>
      </c>
      <c r="Z15" s="1402">
        <f>'2e. Notes to the New Fin Stat'!Z41</f>
        <v>0.32</v>
      </c>
      <c r="AA15" s="1402">
        <f>'2e. Notes to the New Fin Stat'!AA41</f>
        <v>0.32</v>
      </c>
      <c r="AB15" s="1402">
        <f>'2e. Notes to the New Fin Stat'!AB41</f>
        <v>0.32</v>
      </c>
      <c r="AC15" s="1402">
        <f>'2e. Notes to the New Fin Stat'!AC41</f>
        <v>0.32</v>
      </c>
      <c r="AD15" s="1402">
        <f>'2e. Notes to the New Fin Stat'!AD41</f>
        <v>0.32</v>
      </c>
      <c r="AE15" s="1418"/>
    </row>
    <row r="16" spans="1:63" s="1714" customFormat="1" ht="16" thickBot="1">
      <c r="A16" s="1718"/>
      <c r="B16" s="1718"/>
      <c r="C16" s="1718"/>
      <c r="D16" s="1719" t="s">
        <v>498</v>
      </c>
      <c r="E16" s="1722">
        <f>'All Together'!E69</f>
        <v>11396</v>
      </c>
      <c r="F16" s="1722">
        <f>'All Together'!F69</f>
        <v>15987</v>
      </c>
      <c r="G16" s="1722">
        <f>'All Together'!G69</f>
        <v>2220</v>
      </c>
      <c r="H16" s="1722">
        <f>'All Together'!H69</f>
        <v>75942</v>
      </c>
      <c r="I16" s="1722">
        <f>'All Together'!I69</f>
        <v>36480</v>
      </c>
      <c r="J16" s="1722">
        <f>'All Together'!J69</f>
        <v>29847</v>
      </c>
      <c r="K16" s="1722">
        <f>'All Together'!K69</f>
        <v>29027</v>
      </c>
      <c r="L16" s="1713">
        <f>'All Together'!L69</f>
        <v>16963</v>
      </c>
      <c r="M16" s="1713">
        <f>'All Together'!M69</f>
        <v>31890</v>
      </c>
      <c r="N16" s="1713">
        <f>'All Together'!N69</f>
        <v>97516</v>
      </c>
      <c r="O16" s="1713">
        <v>36147</v>
      </c>
      <c r="P16" s="1713">
        <f>'2e. Notes to the New Fin Stat'!P20</f>
        <v>33366.142799999994</v>
      </c>
      <c r="Q16" s="1713">
        <f>'2e. Notes to the New Fin Stat'!Q20</f>
        <v>37404.708495754108</v>
      </c>
      <c r="R16" s="1713">
        <f>'2e. Notes to the New Fin Stat'!R20</f>
        <v>41858.575789108283</v>
      </c>
      <c r="S16" s="1713">
        <f>'2e. Notes to the New Fin Stat'!S20</f>
        <v>46824.658471102717</v>
      </c>
      <c r="T16" s="1713">
        <f>'2e. Notes to the New Fin Stat'!T20</f>
        <v>52291.318636034892</v>
      </c>
      <c r="U16" s="1713">
        <f>'2e. Notes to the New Fin Stat'!U20</f>
        <v>58332.736164083508</v>
      </c>
      <c r="V16" s="1713">
        <f>'2e. Notes to the New Fin Stat'!V20</f>
        <v>65084.226186936547</v>
      </c>
      <c r="W16" s="1713">
        <f>'2e. Notes to the New Fin Stat'!W20</f>
        <v>72663.179346009798</v>
      </c>
      <c r="X16" s="1713">
        <f>'2e. Notes to the New Fin Stat'!X20</f>
        <v>81230.257675072862</v>
      </c>
      <c r="Y16" s="1713">
        <f>'2e. Notes to the New Fin Stat'!Y20</f>
        <v>90721.107628943239</v>
      </c>
      <c r="Z16" s="1713">
        <f>'2e. Notes to the New Fin Stat'!Z20</f>
        <v>101326.25385875966</v>
      </c>
      <c r="AA16" s="1713">
        <f>'2e. Notes to the New Fin Stat'!AA20</f>
        <v>113195.08170589064</v>
      </c>
      <c r="AB16" s="1713">
        <f>'2e. Notes to the New Fin Stat'!AB20</f>
        <v>126484.78606745758</v>
      </c>
      <c r="AC16" s="1713">
        <f>'2e. Notes to the New Fin Stat'!AC20</f>
        <v>141368.65149171199</v>
      </c>
      <c r="AD16" s="1713">
        <f>'2e. Notes to the New Fin Stat'!AD20</f>
        <v>158041.34599977706</v>
      </c>
      <c r="AE16" s="1721"/>
    </row>
    <row r="17" spans="1:63" s="1402" customFormat="1" ht="14">
      <c r="A17" s="1008"/>
      <c r="B17" s="1008"/>
      <c r="C17" s="1008"/>
      <c r="D17" s="1403" t="s">
        <v>469</v>
      </c>
      <c r="E17" s="562"/>
      <c r="F17" s="562">
        <f>(F16/E16)-1</f>
        <v>0.40286065286065287</v>
      </c>
      <c r="G17" s="562">
        <f t="shared" ref="G17:AC17" si="22">(G16/F16)-1</f>
        <v>-0.86113717395383749</v>
      </c>
      <c r="H17" s="562">
        <f t="shared" si="22"/>
        <v>33.208108108108107</v>
      </c>
      <c r="I17" s="562">
        <f t="shared" si="22"/>
        <v>-0.51963340444023065</v>
      </c>
      <c r="J17" s="562">
        <f t="shared" si="22"/>
        <v>-0.18182565789473681</v>
      </c>
      <c r="K17" s="562">
        <f t="shared" si="22"/>
        <v>-2.7473447917713667E-2</v>
      </c>
      <c r="L17" s="1402">
        <f t="shared" si="22"/>
        <v>-0.41561304991904091</v>
      </c>
      <c r="M17" s="1402">
        <f t="shared" si="22"/>
        <v>0.87997406119200616</v>
      </c>
      <c r="N17" s="1402">
        <f t="shared" si="22"/>
        <v>2.0578864847914708</v>
      </c>
      <c r="O17" s="1402">
        <f t="shared" si="22"/>
        <v>-0.62932236761146887</v>
      </c>
      <c r="P17" s="1402">
        <f t="shared" si="22"/>
        <v>-7.6931894763051067E-2</v>
      </c>
      <c r="Q17" s="1402">
        <f t="shared" si="22"/>
        <v>0.12103783526797462</v>
      </c>
      <c r="R17" s="1402">
        <f t="shared" si="22"/>
        <v>0.11907237009639426</v>
      </c>
      <c r="S17" s="1402">
        <f t="shared" si="22"/>
        <v>0.118639552072066</v>
      </c>
      <c r="T17" s="1402">
        <f t="shared" si="22"/>
        <v>0.11674746476380293</v>
      </c>
      <c r="U17" s="1402">
        <f t="shared" si="22"/>
        <v>0.11553385314489595</v>
      </c>
      <c r="V17" s="1402">
        <f t="shared" si="22"/>
        <v>0.11574101382561319</v>
      </c>
      <c r="W17" s="1402">
        <f t="shared" si="22"/>
        <v>0.11644838700708826</v>
      </c>
      <c r="X17" s="1402">
        <f t="shared" si="22"/>
        <v>0.11790123149261178</v>
      </c>
      <c r="Y17" s="1402">
        <f t="shared" si="22"/>
        <v>0.11683885076216916</v>
      </c>
      <c r="Z17" s="1402">
        <f t="shared" si="22"/>
        <v>0.11689833278041917</v>
      </c>
      <c r="AA17" s="1402">
        <f t="shared" si="22"/>
        <v>0.11713477401103889</v>
      </c>
      <c r="AB17" s="1402">
        <f t="shared" si="22"/>
        <v>0.11740531621415262</v>
      </c>
      <c r="AC17" s="1402">
        <f t="shared" si="22"/>
        <v>0.11767316755642421</v>
      </c>
      <c r="AD17" s="1402">
        <f>(AD16/AC16)-1</f>
        <v>0.11793770635947909</v>
      </c>
      <c r="AE17" s="1418"/>
    </row>
    <row r="18" spans="1:63" s="1402" customFormat="1" ht="14">
      <c r="A18" s="1008"/>
      <c r="B18" s="1008"/>
      <c r="C18" s="1008"/>
      <c r="D18" s="1403" t="s">
        <v>503</v>
      </c>
      <c r="E18" s="562">
        <f t="shared" ref="E18:O18" si="23">E16/E5</f>
        <v>1.2135139193113341E-2</v>
      </c>
      <c r="F18" s="562">
        <f t="shared" si="23"/>
        <v>1.4922127161500967E-2</v>
      </c>
      <c r="G18" s="562">
        <f t="shared" si="23"/>
        <v>2.1686739926167395E-3</v>
      </c>
      <c r="H18" s="562">
        <f t="shared" si="23"/>
        <v>8.1274936214661211E-2</v>
      </c>
      <c r="I18" s="562">
        <f t="shared" si="23"/>
        <v>3.8470177703115262E-2</v>
      </c>
      <c r="J18" s="562">
        <f t="shared" si="23"/>
        <v>3.283375539308761E-2</v>
      </c>
      <c r="K18" s="562">
        <f t="shared" si="23"/>
        <v>2.4790184019738544E-2</v>
      </c>
      <c r="L18" s="1402">
        <f t="shared" si="23"/>
        <v>1.1820230481603142E-2</v>
      </c>
      <c r="M18" s="1402">
        <f t="shared" si="23"/>
        <v>2.32125803596385E-2</v>
      </c>
      <c r="N18" s="1402">
        <f t="shared" si="23"/>
        <v>8.1029024404430522E-2</v>
      </c>
      <c r="O18" s="1402">
        <f t="shared" si="23"/>
        <v>2.7493502552202058E-2</v>
      </c>
      <c r="P18" s="1402">
        <f>O18-0.5%</f>
        <v>2.2493502552202057E-2</v>
      </c>
      <c r="Q18" s="1402">
        <f>P18</f>
        <v>2.2493502552202057E-2</v>
      </c>
      <c r="R18" s="1402">
        <f>Q18</f>
        <v>2.2493502552202057E-2</v>
      </c>
      <c r="S18" s="1402">
        <f t="shared" ref="S18:T18" si="24">R18</f>
        <v>2.2493502552202057E-2</v>
      </c>
      <c r="T18" s="1402">
        <f t="shared" si="24"/>
        <v>2.2493502552202057E-2</v>
      </c>
      <c r="U18" s="1402">
        <v>1.9E-2</v>
      </c>
      <c r="V18" s="1402">
        <f>U18</f>
        <v>1.9E-2</v>
      </c>
      <c r="W18" s="1402">
        <f t="shared" ref="W18:AC18" si="25">V18</f>
        <v>1.9E-2</v>
      </c>
      <c r="X18" s="1402">
        <f t="shared" si="25"/>
        <v>1.9E-2</v>
      </c>
      <c r="Y18" s="1402">
        <f t="shared" si="25"/>
        <v>1.9E-2</v>
      </c>
      <c r="Z18" s="1402">
        <f t="shared" si="25"/>
        <v>1.9E-2</v>
      </c>
      <c r="AA18" s="1402">
        <f t="shared" si="25"/>
        <v>1.9E-2</v>
      </c>
      <c r="AB18" s="1402">
        <f t="shared" si="25"/>
        <v>1.9E-2</v>
      </c>
      <c r="AC18" s="1402">
        <f t="shared" si="25"/>
        <v>1.9E-2</v>
      </c>
      <c r="AD18" s="1402">
        <f>AC18</f>
        <v>1.9E-2</v>
      </c>
      <c r="AE18" s="1418"/>
    </row>
    <row r="19" spans="1:63" s="1402" customFormat="1" thickBot="1">
      <c r="A19" s="1008"/>
      <c r="B19" s="1008"/>
      <c r="C19" s="1008"/>
      <c r="D19" s="1010" t="s">
        <v>505</v>
      </c>
      <c r="E19" s="562">
        <f t="shared" ref="E19:O19" si="26">E16/E12</f>
        <v>0.69914110429447851</v>
      </c>
      <c r="F19" s="562">
        <f t="shared" si="26"/>
        <v>0.89678577438716556</v>
      </c>
      <c r="G19" s="562">
        <f t="shared" si="26"/>
        <v>0.11178810614834583</v>
      </c>
      <c r="H19" s="562">
        <f t="shared" si="26"/>
        <v>3.743013455567056</v>
      </c>
      <c r="I19" s="562">
        <f t="shared" si="26"/>
        <v>1.3635853922924532</v>
      </c>
      <c r="J19" s="562">
        <f t="shared" si="26"/>
        <v>1.0273293635769112</v>
      </c>
      <c r="K19" s="562">
        <f t="shared" si="26"/>
        <v>1.151819372247133</v>
      </c>
      <c r="L19" s="1411">
        <f t="shared" si="26"/>
        <v>0.60712240515390126</v>
      </c>
      <c r="M19" s="1411">
        <f t="shared" si="26"/>
        <v>1.0841776025022098</v>
      </c>
      <c r="N19" s="1411">
        <f t="shared" si="26"/>
        <v>1.9778516956027909</v>
      </c>
      <c r="O19" s="1411">
        <f t="shared" si="26"/>
        <v>0.53338547123315971</v>
      </c>
      <c r="P19" s="1411">
        <f>AVERAGE(E19:O19)</f>
        <v>1.1996363402732368</v>
      </c>
      <c r="Q19" s="1411">
        <f t="shared" ref="Q19:AC19" si="27">AVERAGE(F19:P19)</f>
        <v>1.2451359071803967</v>
      </c>
      <c r="R19" s="1411">
        <f t="shared" si="27"/>
        <v>1.2768041010706903</v>
      </c>
      <c r="S19" s="1411">
        <f t="shared" si="27"/>
        <v>1.3827146460636308</v>
      </c>
      <c r="T19" s="1411">
        <f t="shared" si="27"/>
        <v>1.1681420270178648</v>
      </c>
      <c r="U19" s="1411">
        <f t="shared" si="27"/>
        <v>1.1503744483565386</v>
      </c>
      <c r="V19" s="1411">
        <f t="shared" si="27"/>
        <v>1.1615603651546869</v>
      </c>
      <c r="W19" s="1411">
        <f t="shared" si="27"/>
        <v>1.1624459099644644</v>
      </c>
      <c r="X19" s="1411">
        <f t="shared" si="27"/>
        <v>1.2129298649472426</v>
      </c>
      <c r="Y19" s="1411">
        <f t="shared" si="27"/>
        <v>1.2246346160786095</v>
      </c>
      <c r="Z19" s="1411">
        <f t="shared" si="27"/>
        <v>1.1561603361218658</v>
      </c>
      <c r="AA19" s="1411">
        <f t="shared" si="27"/>
        <v>1.2127762329299299</v>
      </c>
      <c r="AB19" s="1411">
        <f t="shared" si="27"/>
        <v>1.2139707686259928</v>
      </c>
      <c r="AC19" s="1411">
        <f t="shared" si="27"/>
        <v>1.2111375742119561</v>
      </c>
      <c r="AD19" s="1411">
        <f>AVERAGE(S19:AC19)</f>
        <v>1.205167889952071</v>
      </c>
      <c r="AE19" s="1418"/>
    </row>
    <row r="20" spans="1:63" s="232" customFormat="1" ht="11">
      <c r="A20" s="111"/>
      <c r="B20" s="111"/>
      <c r="C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818"/>
    </row>
    <row r="21" spans="1:63" s="232" customFormat="1" ht="12" thickBot="1">
      <c r="A21" s="111"/>
      <c r="B21" s="111"/>
      <c r="C21" s="111"/>
      <c r="D21" s="762"/>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row>
    <row r="22" spans="1:63" ht="21" thickBot="1">
      <c r="A22" s="419"/>
      <c r="B22" s="419"/>
      <c r="C22" s="416"/>
      <c r="D22" s="809" t="s">
        <v>1490</v>
      </c>
      <c r="E22" s="810" t="s">
        <v>216</v>
      </c>
      <c r="F22" s="810" t="s">
        <v>217</v>
      </c>
      <c r="G22" s="810" t="s">
        <v>218</v>
      </c>
      <c r="H22" s="1050" t="s">
        <v>28</v>
      </c>
      <c r="I22" s="1050" t="s">
        <v>17</v>
      </c>
      <c r="J22" s="1050" t="s">
        <v>18</v>
      </c>
      <c r="K22" s="1050" t="s">
        <v>19</v>
      </c>
      <c r="L22" s="1050" t="s">
        <v>20</v>
      </c>
      <c r="M22" s="1050" t="s">
        <v>21</v>
      </c>
      <c r="N22" s="1050" t="s">
        <v>22</v>
      </c>
      <c r="O22" s="1050" t="s">
        <v>23</v>
      </c>
      <c r="P22" s="1051" t="s">
        <v>24</v>
      </c>
      <c r="Q22" s="1051" t="s">
        <v>25</v>
      </c>
      <c r="R22" s="1051" t="s">
        <v>26</v>
      </c>
      <c r="S22" s="1051" t="s">
        <v>27</v>
      </c>
      <c r="T22" s="1051" t="s">
        <v>712</v>
      </c>
      <c r="U22" s="1051" t="s">
        <v>713</v>
      </c>
      <c r="V22" s="1051" t="s">
        <v>714</v>
      </c>
      <c r="W22" s="1051" t="s">
        <v>715</v>
      </c>
      <c r="X22" s="1051" t="s">
        <v>716</v>
      </c>
      <c r="Y22" s="1051" t="s">
        <v>717</v>
      </c>
      <c r="Z22" s="1051" t="s">
        <v>718</v>
      </c>
      <c r="AA22" s="684" t="s">
        <v>719</v>
      </c>
      <c r="AB22" s="684" t="s">
        <v>720</v>
      </c>
      <c r="AC22" s="684" t="s">
        <v>721</v>
      </c>
      <c r="AD22" s="684" t="s">
        <v>722</v>
      </c>
      <c r="AE22" s="1839" t="s">
        <v>1445</v>
      </c>
      <c r="AF22" s="1840" t="s">
        <v>1446</v>
      </c>
      <c r="AI22" s="1218" t="s">
        <v>1799</v>
      </c>
      <c r="AO22" s="1218"/>
      <c r="AY22" s="246" t="s">
        <v>1658</v>
      </c>
      <c r="BF22" s="246" t="s">
        <v>1658</v>
      </c>
    </row>
    <row r="23" spans="1:63" s="109" customFormat="1" ht="16" thickBot="1">
      <c r="A23" s="417"/>
      <c r="B23" s="417"/>
      <c r="C23" s="417"/>
      <c r="D23" s="1466" t="s">
        <v>0</v>
      </c>
      <c r="E23" s="406"/>
      <c r="F23" s="406"/>
      <c r="G23" s="406"/>
      <c r="H23" s="406"/>
      <c r="I23" s="406">
        <v>888300</v>
      </c>
      <c r="J23" s="406">
        <v>859000</v>
      </c>
      <c r="K23" s="406">
        <v>1105900</v>
      </c>
      <c r="L23" s="1426">
        <v>1332100</v>
      </c>
      <c r="M23" s="1426">
        <v>1133800</v>
      </c>
      <c r="N23" s="1426">
        <v>943500</v>
      </c>
      <c r="O23" s="1426">
        <v>874700</v>
      </c>
      <c r="P23" s="1426">
        <f>O23*(1+P24)</f>
        <v>810992.25163869758</v>
      </c>
      <c r="Q23" s="1426">
        <f t="shared" ref="Q23:AC23" si="28">P23*(1+Q24)</f>
        <v>790343.94485619082</v>
      </c>
      <c r="R23" s="1426">
        <f t="shared" si="28"/>
        <v>768986.77180242701</v>
      </c>
      <c r="S23" s="1426">
        <f t="shared" si="28"/>
        <v>746884.04752523138</v>
      </c>
      <c r="T23" s="1426">
        <f t="shared" si="28"/>
        <v>723995.1438373822</v>
      </c>
      <c r="U23" s="1426">
        <f t="shared" si="28"/>
        <v>721283.03285260219</v>
      </c>
      <c r="V23" s="1426">
        <f t="shared" si="28"/>
        <v>716820.62920635391</v>
      </c>
      <c r="W23" s="1426">
        <f t="shared" si="28"/>
        <v>710414.53247097984</v>
      </c>
      <c r="X23" s="1426">
        <f t="shared" si="28"/>
        <v>753678.77749846247</v>
      </c>
      <c r="Y23" s="1426">
        <f t="shared" si="28"/>
        <v>741895.51290547627</v>
      </c>
      <c r="Z23" s="1426">
        <f t="shared" si="28"/>
        <v>727228.85858927423</v>
      </c>
      <c r="AA23" s="1426">
        <f t="shared" si="28"/>
        <v>709334.67404323223</v>
      </c>
      <c r="AB23" s="1426">
        <f t="shared" si="28"/>
        <v>687813.34817404207</v>
      </c>
      <c r="AC23" s="1426">
        <f t="shared" si="28"/>
        <v>662194.41597407439</v>
      </c>
      <c r="AD23" s="1426">
        <f>AC23*(1+AD24)</f>
        <v>631914.29386896302</v>
      </c>
      <c r="AE23" s="1391">
        <f>(O23/L23)^(1/3)-1</f>
        <v>-0.1308245867509058</v>
      </c>
      <c r="AF23" s="1392">
        <f>(T23/P23)^(1/4)-1</f>
        <v>-2.7969847349643029E-2</v>
      </c>
      <c r="AI23" s="336"/>
      <c r="AJ23" s="336"/>
      <c r="AK23" s="336"/>
      <c r="AL23" s="336"/>
      <c r="AM23" s="1217"/>
      <c r="AN23" s="1217"/>
      <c r="AO23" s="1217"/>
      <c r="AP23" s="1217"/>
      <c r="AQ23" s="1217"/>
      <c r="AR23" s="1217"/>
      <c r="AS23" s="1217"/>
      <c r="AT23" s="1217"/>
      <c r="AU23" s="1097"/>
      <c r="AV23" s="1097"/>
      <c r="AW23" s="1097"/>
      <c r="AX23" s="1097"/>
      <c r="AY23" s="1097"/>
      <c r="AZ23" s="1097"/>
      <c r="BA23" s="1097"/>
      <c r="BB23" s="1097"/>
      <c r="BC23" s="1097"/>
      <c r="BD23" s="1097"/>
      <c r="BE23" s="1097"/>
      <c r="BF23" s="1386"/>
      <c r="BG23" s="1386"/>
      <c r="BH23" s="1386"/>
      <c r="BI23" s="1386"/>
      <c r="BJ23" s="1386"/>
      <c r="BK23" s="1386"/>
    </row>
    <row r="24" spans="1:63" s="1409" customFormat="1" ht="14">
      <c r="A24" s="1467"/>
      <c r="B24" s="1467"/>
      <c r="C24" s="1467"/>
      <c r="D24" s="1434" t="s">
        <v>832</v>
      </c>
      <c r="J24" s="1409">
        <f>J23/I23-1</f>
        <v>-3.2984352133288319E-2</v>
      </c>
      <c r="K24" s="1409">
        <f t="shared" ref="K24:O24" si="29">K23/J23-1</f>
        <v>0.2874272409778813</v>
      </c>
      <c r="L24" s="1409">
        <f t="shared" si="29"/>
        <v>0.20453928926666065</v>
      </c>
      <c r="M24" s="1409">
        <f t="shared" si="29"/>
        <v>-0.148862697995646</v>
      </c>
      <c r="N24" s="1409">
        <f t="shared" si="29"/>
        <v>-0.16784265302522494</v>
      </c>
      <c r="O24" s="1409">
        <f t="shared" si="29"/>
        <v>-7.2919978802331697E-2</v>
      </c>
      <c r="P24" s="1409">
        <f>(1+P26)*(1+P25)-1</f>
        <v>-7.2833826867843121E-2</v>
      </c>
      <c r="Q24" s="1409">
        <f t="shared" ref="Q24:AD24" si="30">(1+Q26)*(1+Q25)-1</f>
        <v>-2.5460547546273915E-2</v>
      </c>
      <c r="R24" s="1409">
        <f t="shared" si="30"/>
        <v>-2.7022631340143821E-2</v>
      </c>
      <c r="S24" s="1409">
        <f t="shared" si="30"/>
        <v>-2.8742658635582341E-2</v>
      </c>
      <c r="T24" s="1409">
        <f t="shared" si="30"/>
        <v>-3.0645859640048068E-2</v>
      </c>
      <c r="U24" s="1409">
        <f t="shared" si="30"/>
        <v>-3.7460347736658628E-3</v>
      </c>
      <c r="V24" s="1409">
        <f t="shared" si="30"/>
        <v>-6.1867581004920735E-3</v>
      </c>
      <c r="W24" s="1409">
        <f t="shared" si="30"/>
        <v>-8.9368197208089528E-3</v>
      </c>
      <c r="X24" s="1409">
        <f t="shared" si="30"/>
        <v>6.0899999999999954E-2</v>
      </c>
      <c r="Y24" s="1409">
        <f t="shared" si="30"/>
        <v>-1.563433248325774E-2</v>
      </c>
      <c r="Z24" s="1409">
        <f t="shared" si="30"/>
        <v>-1.9769164337931078E-2</v>
      </c>
      <c r="AA24" s="1409">
        <f t="shared" si="30"/>
        <v>-2.4605987970216625E-2</v>
      </c>
      <c r="AB24" s="1409">
        <f t="shared" si="30"/>
        <v>-3.034015769526377E-2</v>
      </c>
      <c r="AC24" s="1409">
        <f t="shared" si="30"/>
        <v>-3.7246925009494225E-2</v>
      </c>
      <c r="AD24" s="1409">
        <f t="shared" si="30"/>
        <v>-4.5726936643779914E-2</v>
      </c>
      <c r="AE24" s="1298"/>
      <c r="AF24" s="1299"/>
      <c r="AI24" s="825"/>
      <c r="AJ24" s="235"/>
      <c r="AK24" s="235"/>
      <c r="AL24" s="235"/>
      <c r="AM24" s="235"/>
      <c r="AN24" s="235"/>
      <c r="AO24" s="235"/>
      <c r="AP24" s="235"/>
      <c r="AQ24" s="807"/>
      <c r="AR24" s="807"/>
      <c r="AS24" s="807"/>
      <c r="AT24" s="807"/>
      <c r="AU24" s="807"/>
      <c r="AV24" s="807"/>
      <c r="AW24" s="807"/>
      <c r="AX24" s="807"/>
      <c r="AY24" s="807"/>
      <c r="AZ24" s="807"/>
      <c r="BA24" s="807"/>
      <c r="BB24" s="807"/>
      <c r="BC24" s="807"/>
      <c r="BD24" s="807"/>
      <c r="BE24" s="807"/>
      <c r="BF24" s="807"/>
      <c r="BG24" s="807"/>
      <c r="BH24" s="807"/>
      <c r="BI24" s="807"/>
      <c r="BJ24" s="1213"/>
      <c r="BK24" s="1213"/>
    </row>
    <row r="25" spans="1:63" s="1402" customFormat="1" ht="14">
      <c r="A25" s="1008"/>
      <c r="B25" s="1008"/>
      <c r="C25" s="1008"/>
      <c r="D25" s="1418" t="s">
        <v>1174</v>
      </c>
      <c r="K25" s="1402">
        <v>0.18</v>
      </c>
      <c r="P25" s="1402">
        <v>-0.05</v>
      </c>
      <c r="Q25" s="1402">
        <v>0</v>
      </c>
      <c r="R25" s="1402">
        <v>0</v>
      </c>
      <c r="S25" s="1402">
        <f>R25</f>
        <v>0</v>
      </c>
      <c r="T25" s="1402">
        <f t="shared" ref="T25:AC25" si="31">S25</f>
        <v>0</v>
      </c>
      <c r="U25" s="1402">
        <v>0.03</v>
      </c>
      <c r="V25" s="1402">
        <f t="shared" si="31"/>
        <v>0.03</v>
      </c>
      <c r="W25" s="1402">
        <f t="shared" si="31"/>
        <v>0.03</v>
      </c>
      <c r="X25" s="1402">
        <f t="shared" si="31"/>
        <v>0.03</v>
      </c>
      <c r="Y25" s="1402">
        <f t="shared" si="31"/>
        <v>0.03</v>
      </c>
      <c r="Z25" s="1402">
        <f t="shared" si="31"/>
        <v>0.03</v>
      </c>
      <c r="AA25" s="1402">
        <f t="shared" si="31"/>
        <v>0.03</v>
      </c>
      <c r="AB25" s="1402">
        <f t="shared" si="31"/>
        <v>0.03</v>
      </c>
      <c r="AC25" s="1402">
        <f t="shared" si="31"/>
        <v>0.03</v>
      </c>
      <c r="AD25" s="1402">
        <f>AC25</f>
        <v>0.03</v>
      </c>
      <c r="AE25" s="1436"/>
      <c r="AF25" s="1437"/>
      <c r="AI25" s="1409"/>
      <c r="AJ25" s="1409"/>
      <c r="AK25" s="1409"/>
      <c r="AL25" s="1409"/>
      <c r="AM25" s="1409"/>
      <c r="AN25" s="1409"/>
      <c r="AO25" s="1409"/>
      <c r="AP25" s="1409"/>
      <c r="AQ25" s="1409"/>
      <c r="AR25" s="1409"/>
      <c r="AS25" s="1409"/>
      <c r="AT25" s="1409"/>
      <c r="AU25" s="1409"/>
      <c r="AV25" s="1409"/>
      <c r="AW25" s="1409"/>
      <c r="AX25" s="1409"/>
      <c r="AY25" s="1409"/>
      <c r="AZ25" s="1409"/>
      <c r="BA25" s="1409"/>
      <c r="BB25" s="1409"/>
      <c r="BC25" s="1409"/>
      <c r="BD25" s="1409"/>
      <c r="BE25" s="1409"/>
      <c r="BF25" s="1409"/>
      <c r="BG25" s="1409"/>
      <c r="BH25" s="1409"/>
      <c r="BI25" s="1409"/>
      <c r="BJ25" s="1300"/>
      <c r="BK25" s="1300"/>
    </row>
    <row r="26" spans="1:63" s="1402" customFormat="1" thickBot="1">
      <c r="A26" s="1008"/>
      <c r="B26" s="1008"/>
      <c r="C26" s="1008"/>
      <c r="D26" s="1420" t="s">
        <v>1175</v>
      </c>
      <c r="E26" s="1411"/>
      <c r="F26" s="1411"/>
      <c r="G26" s="1411"/>
      <c r="H26" s="1411"/>
      <c r="I26" s="1411"/>
      <c r="J26" s="1411"/>
      <c r="K26" s="1411">
        <v>0.11</v>
      </c>
      <c r="L26" s="1411"/>
      <c r="M26" s="1411"/>
      <c r="N26" s="1411"/>
      <c r="O26" s="1411"/>
      <c r="P26" s="1411">
        <f>'3h. Segmental Volume Drivers'!P160</f>
        <v>-2.4035607229308541E-2</v>
      </c>
      <c r="Q26" s="1411">
        <f>'3h. Segmental Volume Drivers'!Q160</f>
        <v>-2.5460547546273925E-2</v>
      </c>
      <c r="R26" s="1411">
        <f>'3h. Segmental Volume Drivers'!R160</f>
        <v>-2.7022631340143852E-2</v>
      </c>
      <c r="S26" s="1411">
        <f>'3h. Segmental Volume Drivers'!S160</f>
        <v>-2.8742658635582393E-2</v>
      </c>
      <c r="T26" s="1411">
        <f>'3h. Segmental Volume Drivers'!T160</f>
        <v>-3.064585964004812E-2</v>
      </c>
      <c r="U26" s="1411">
        <f>'3h. Segmental Volume Drivers'!U160</f>
        <v>-3.2763140556957192E-2</v>
      </c>
      <c r="V26" s="1411">
        <f>'3h. Segmental Volume Drivers'!V160</f>
        <v>-3.5132774854846713E-2</v>
      </c>
      <c r="W26" s="1411">
        <f>'3h. Segmental Volume Drivers'!W160</f>
        <v>-3.7802737593018408E-2</v>
      </c>
      <c r="X26" s="1411">
        <v>0.03</v>
      </c>
      <c r="Y26" s="1411">
        <f>'3h. Segmental Volume Drivers'!Y160</f>
        <v>-4.4305177168211425E-2</v>
      </c>
      <c r="Z26" s="1411">
        <f>'3h. Segmental Volume Drivers'!Z160</f>
        <v>-4.8319577027117575E-2</v>
      </c>
      <c r="AA26" s="1411">
        <f>'3h. Segmental Volume Drivers'!AA160</f>
        <v>-5.3015522301181256E-2</v>
      </c>
      <c r="AB26" s="1411">
        <f>'3h. Segmental Volume Drivers'!AB160</f>
        <v>-5.8582677374042595E-2</v>
      </c>
      <c r="AC26" s="1411">
        <f>'3h. Segmental Volume Drivers'!AC160</f>
        <v>-6.5288276708246898E-2</v>
      </c>
      <c r="AD26" s="1411">
        <f>'3h. Segmental Volume Drivers'!AD160</f>
        <v>-7.3521297712407674E-2</v>
      </c>
      <c r="AE26" s="1439"/>
      <c r="AF26" s="1440"/>
      <c r="BJ26" s="1435"/>
      <c r="BK26" s="1435"/>
    </row>
    <row r="27" spans="1:63" s="109" customFormat="1" ht="16" thickBot="1">
      <c r="A27" s="103"/>
      <c r="B27" s="103"/>
      <c r="C27" s="103"/>
      <c r="D27" s="726" t="s">
        <v>451</v>
      </c>
      <c r="E27" s="20"/>
      <c r="F27" s="20"/>
      <c r="G27" s="20"/>
      <c r="H27" s="20"/>
      <c r="I27" s="20"/>
      <c r="J27" s="20"/>
      <c r="K27" s="20">
        <f>K9-K37</f>
        <v>263795</v>
      </c>
      <c r="L27" s="1415">
        <f>L9-L37</f>
        <v>290078</v>
      </c>
      <c r="M27" s="1415">
        <f>M9-M37</f>
        <v>382504</v>
      </c>
      <c r="N27" s="1415">
        <f>N9-N37</f>
        <v>290251</v>
      </c>
      <c r="O27" s="1415">
        <f>O9-O37</f>
        <v>133020</v>
      </c>
      <c r="P27" s="1390">
        <f t="shared" ref="P27:AD27" si="32">P29*P23</f>
        <v>139551.48938281345</v>
      </c>
      <c r="Q27" s="1390">
        <f t="shared" si="32"/>
        <v>135998.43205222901</v>
      </c>
      <c r="R27" s="1390">
        <f t="shared" si="32"/>
        <v>132323.396560044</v>
      </c>
      <c r="S27" s="1390">
        <f t="shared" si="32"/>
        <v>128520.07034321787</v>
      </c>
      <c r="T27" s="1390">
        <f t="shared" si="32"/>
        <v>124581.46230655053</v>
      </c>
      <c r="U27" s="1390">
        <f t="shared" si="32"/>
        <v>116901.94548807002</v>
      </c>
      <c r="V27" s="1390">
        <f t="shared" si="32"/>
        <v>116178.70142985843</v>
      </c>
      <c r="W27" s="1390">
        <f t="shared" si="32"/>
        <v>115140.43331978208</v>
      </c>
      <c r="X27" s="1390">
        <f t="shared" si="32"/>
        <v>122152.48570895681</v>
      </c>
      <c r="Y27" s="1390">
        <f t="shared" si="32"/>
        <v>120242.71313372659</v>
      </c>
      <c r="Z27" s="1390">
        <f t="shared" si="32"/>
        <v>117865.61517734724</v>
      </c>
      <c r="AA27" s="1390">
        <f t="shared" si="32"/>
        <v>114965.41526819127</v>
      </c>
      <c r="AB27" s="1390">
        <f t="shared" si="32"/>
        <v>111477.34643945286</v>
      </c>
      <c r="AC27" s="1390">
        <f t="shared" si="32"/>
        <v>107325.15807636514</v>
      </c>
      <c r="AD27" s="1390">
        <f t="shared" si="32"/>
        <v>102417.50737272353</v>
      </c>
      <c r="AE27" s="1398">
        <f>(O27/L27)^(1/3)-1</f>
        <v>-0.2288585453329306</v>
      </c>
      <c r="AF27" s="1399">
        <f>(T27/P27)^(1/4)-1</f>
        <v>-2.7969847349643029E-2</v>
      </c>
    </row>
    <row r="28" spans="1:63" s="1402" customFormat="1" ht="14">
      <c r="A28" s="1008"/>
      <c r="B28" s="1008"/>
      <c r="C28" s="1008"/>
      <c r="D28" s="1401" t="s">
        <v>832</v>
      </c>
      <c r="E28" s="1403"/>
      <c r="F28" s="1403"/>
      <c r="G28" s="1403"/>
      <c r="H28" s="1403"/>
      <c r="I28" s="1403"/>
      <c r="J28" s="1403" t="e">
        <f>J27/I27-1</f>
        <v>#DIV/0!</v>
      </c>
      <c r="K28" s="1403" t="e">
        <f t="shared" ref="K28" si="33">K27/J27-1</f>
        <v>#DIV/0!</v>
      </c>
      <c r="L28" s="1403">
        <f t="shared" ref="L28" si="34">L27/K27-1</f>
        <v>9.9634185636573891E-2</v>
      </c>
      <c r="M28" s="1403">
        <f t="shared" ref="M28" si="35">M27/L27-1</f>
        <v>0.31862464578492689</v>
      </c>
      <c r="N28" s="1403">
        <f t="shared" ref="N28" si="36">N27/M27-1</f>
        <v>-0.24118179156296404</v>
      </c>
      <c r="O28" s="1403">
        <f t="shared" ref="O28" si="37">O27/N27-1</f>
        <v>-0.54170700531608851</v>
      </c>
      <c r="P28" s="1402">
        <f t="shared" ref="P28" si="38">P27/O27-1</f>
        <v>4.9101559034832709E-2</v>
      </c>
      <c r="Q28" s="1402">
        <f t="shared" ref="Q28" si="39">Q27/P27-1</f>
        <v>-2.5460547546273804E-2</v>
      </c>
      <c r="R28" s="1402">
        <f t="shared" ref="R28" si="40">R27/Q27-1</f>
        <v>-2.7022631340144043E-2</v>
      </c>
      <c r="S28" s="1402">
        <f t="shared" ref="S28" si="41">S27/R27-1</f>
        <v>-2.8742658635582341E-2</v>
      </c>
      <c r="T28" s="1402">
        <f t="shared" ref="T28" si="42">T27/S27-1</f>
        <v>-3.0645859640047957E-2</v>
      </c>
      <c r="U28" s="1402">
        <f t="shared" ref="U28" si="43">U27/T27-1</f>
        <v>-6.1642532334256539E-2</v>
      </c>
      <c r="V28" s="1402">
        <f t="shared" ref="V28" si="44">V27/U27-1</f>
        <v>-6.1867581004920735E-3</v>
      </c>
      <c r="W28" s="1402">
        <f t="shared" ref="W28" si="45">W27/V27-1</f>
        <v>-8.9368197208090638E-3</v>
      </c>
      <c r="X28" s="1402">
        <f t="shared" ref="X28" si="46">X27/W27-1</f>
        <v>6.0899999999999954E-2</v>
      </c>
      <c r="Y28" s="1402">
        <f t="shared" ref="Y28" si="47">Y27/X27-1</f>
        <v>-1.563433248325774E-2</v>
      </c>
      <c r="Z28" s="1402">
        <f t="shared" ref="Z28" si="48">Z27/Y27-1</f>
        <v>-1.9769164337931189E-2</v>
      </c>
      <c r="AA28" s="1402">
        <f t="shared" ref="AA28" si="49">AA27/Z27-1</f>
        <v>-2.4605987970216514E-2</v>
      </c>
      <c r="AB28" s="1402">
        <f t="shared" ref="AB28" si="50">AB27/AA27-1</f>
        <v>-3.034015769526377E-2</v>
      </c>
      <c r="AC28" s="1402">
        <f t="shared" ref="AC28" si="51">AC27/AB27-1</f>
        <v>-3.7246925009494225E-2</v>
      </c>
      <c r="AD28" s="1402">
        <f>AD27/AC27-1</f>
        <v>-4.5726936643779914E-2</v>
      </c>
      <c r="AE28" s="1436"/>
      <c r="AF28" s="1437"/>
    </row>
    <row r="29" spans="1:63" s="1402" customFormat="1" thickBot="1">
      <c r="A29" s="1008"/>
      <c r="B29" s="1008"/>
      <c r="C29" s="1008"/>
      <c r="D29" s="1009" t="s">
        <v>978</v>
      </c>
      <c r="E29" s="1010"/>
      <c r="F29" s="1010"/>
      <c r="G29" s="1010"/>
      <c r="H29" s="1010"/>
      <c r="I29" s="1010"/>
      <c r="J29" s="1010">
        <f t="shared" ref="J29:O29" si="52">J27/J23</f>
        <v>0</v>
      </c>
      <c r="K29" s="1010">
        <f t="shared" si="52"/>
        <v>0.23853422551767792</v>
      </c>
      <c r="L29" s="1010">
        <f t="shared" si="52"/>
        <v>0.21775992793333834</v>
      </c>
      <c r="M29" s="1010">
        <f t="shared" si="52"/>
        <v>0.33736461457047096</v>
      </c>
      <c r="N29" s="1010">
        <f t="shared" si="52"/>
        <v>0.30763222045574989</v>
      </c>
      <c r="O29" s="1010">
        <f t="shared" si="52"/>
        <v>0.15207499714187722</v>
      </c>
      <c r="P29" s="1411">
        <f>O29+2%</f>
        <v>0.17207499714187721</v>
      </c>
      <c r="Q29" s="1411">
        <f>P29</f>
        <v>0.17207499714187721</v>
      </c>
      <c r="R29" s="1411">
        <f>Q29</f>
        <v>0.17207499714187721</v>
      </c>
      <c r="S29" s="1411">
        <f>R29</f>
        <v>0.17207499714187721</v>
      </c>
      <c r="T29" s="1411">
        <f>S29</f>
        <v>0.17207499714187721</v>
      </c>
      <c r="U29" s="1411">
        <f>T29-1%</f>
        <v>0.1620749971418772</v>
      </c>
      <c r="V29" s="1411">
        <f>U29</f>
        <v>0.1620749971418772</v>
      </c>
      <c r="W29" s="1411">
        <f t="shared" ref="W29:AC29" si="53">V29</f>
        <v>0.1620749971418772</v>
      </c>
      <c r="X29" s="1411">
        <f t="shared" si="53"/>
        <v>0.1620749971418772</v>
      </c>
      <c r="Y29" s="1411">
        <f t="shared" si="53"/>
        <v>0.1620749971418772</v>
      </c>
      <c r="Z29" s="1411">
        <f t="shared" si="53"/>
        <v>0.1620749971418772</v>
      </c>
      <c r="AA29" s="1411">
        <f t="shared" si="53"/>
        <v>0.1620749971418772</v>
      </c>
      <c r="AB29" s="1411">
        <f t="shared" si="53"/>
        <v>0.1620749971418772</v>
      </c>
      <c r="AC29" s="1411">
        <f t="shared" si="53"/>
        <v>0.1620749971418772</v>
      </c>
      <c r="AD29" s="1411">
        <f>AC29</f>
        <v>0.1620749971418772</v>
      </c>
      <c r="AE29" s="1439"/>
      <c r="AF29" s="1440"/>
    </row>
    <row r="30" spans="1:63" ht="16" thickBot="1">
      <c r="H30" s="969"/>
      <c r="I30" s="969"/>
      <c r="J30" s="969"/>
      <c r="K30" s="969"/>
      <c r="L30" s="969"/>
      <c r="M30" s="969"/>
      <c r="N30" s="969"/>
      <c r="O30" s="969"/>
      <c r="P30" s="969"/>
    </row>
    <row r="31" spans="1:63" ht="16" thickBot="1">
      <c r="A31" s="419"/>
      <c r="B31" s="419"/>
      <c r="C31" s="416"/>
      <c r="D31" s="809" t="s">
        <v>1491</v>
      </c>
      <c r="E31" s="810" t="s">
        <v>216</v>
      </c>
      <c r="F31" s="810" t="s">
        <v>217</v>
      </c>
      <c r="G31" s="810" t="s">
        <v>218</v>
      </c>
      <c r="H31" s="1050" t="s">
        <v>28</v>
      </c>
      <c r="I31" s="1050" t="s">
        <v>17</v>
      </c>
      <c r="J31" s="1050" t="s">
        <v>18</v>
      </c>
      <c r="K31" s="1050" t="s">
        <v>19</v>
      </c>
      <c r="L31" s="1050" t="s">
        <v>20</v>
      </c>
      <c r="M31" s="1050" t="s">
        <v>21</v>
      </c>
      <c r="N31" s="1050" t="s">
        <v>22</v>
      </c>
      <c r="O31" s="1050" t="s">
        <v>23</v>
      </c>
      <c r="P31" s="1051" t="s">
        <v>24</v>
      </c>
      <c r="Q31" s="684" t="s">
        <v>25</v>
      </c>
      <c r="R31" s="684" t="s">
        <v>26</v>
      </c>
      <c r="S31" s="684" t="s">
        <v>27</v>
      </c>
      <c r="T31" s="684" t="s">
        <v>712</v>
      </c>
      <c r="U31" s="684" t="s">
        <v>713</v>
      </c>
      <c r="V31" s="684" t="s">
        <v>714</v>
      </c>
      <c r="W31" s="684" t="s">
        <v>715</v>
      </c>
      <c r="X31" s="684" t="s">
        <v>716</v>
      </c>
      <c r="Y31" s="684" t="s">
        <v>717</v>
      </c>
      <c r="Z31" s="684" t="s">
        <v>718</v>
      </c>
      <c r="AA31" s="684" t="s">
        <v>719</v>
      </c>
      <c r="AB31" s="684" t="s">
        <v>720</v>
      </c>
      <c r="AC31" s="684" t="s">
        <v>721</v>
      </c>
      <c r="AD31" s="684" t="s">
        <v>722</v>
      </c>
      <c r="AE31" s="1377" t="s">
        <v>1445</v>
      </c>
      <c r="AF31" s="1378" t="s">
        <v>1446</v>
      </c>
      <c r="AI31" s="246" t="s">
        <v>1658</v>
      </c>
    </row>
    <row r="32" spans="1:63" s="109" customFormat="1" ht="16" thickBot="1">
      <c r="A32" s="417"/>
      <c r="B32" s="417"/>
      <c r="C32" s="417"/>
      <c r="D32" s="1466" t="s">
        <v>0</v>
      </c>
      <c r="E32" s="406"/>
      <c r="F32" s="406"/>
      <c r="G32" s="406"/>
      <c r="H32" s="1052"/>
      <c r="I32" s="1052">
        <v>60000</v>
      </c>
      <c r="J32" s="1052">
        <v>50000</v>
      </c>
      <c r="K32" s="1052">
        <v>65000</v>
      </c>
      <c r="L32" s="1426">
        <v>103000</v>
      </c>
      <c r="M32" s="1426">
        <v>240000</v>
      </c>
      <c r="N32" s="1426">
        <v>260000</v>
      </c>
      <c r="O32" s="1426">
        <v>440000</v>
      </c>
      <c r="P32" s="1426">
        <f>O32*(1+P33)</f>
        <v>574820.27615542058</v>
      </c>
      <c r="Q32" s="1426">
        <f t="shared" ref="Q32:AC32" si="54">P32*(1+Q33)</f>
        <v>642025.31613096327</v>
      </c>
      <c r="R32" s="1426">
        <f t="shared" si="54"/>
        <v>721117.5585709255</v>
      </c>
      <c r="S32" s="1426">
        <f t="shared" si="54"/>
        <v>812720.67140306323</v>
      </c>
      <c r="T32" s="1426">
        <f t="shared" si="54"/>
        <v>914269.85824969236</v>
      </c>
      <c r="U32" s="1426">
        <f t="shared" si="54"/>
        <v>1022330.841308192</v>
      </c>
      <c r="V32" s="1426">
        <f t="shared" si="54"/>
        <v>1144841.5898810036</v>
      </c>
      <c r="W32" s="1426">
        <f t="shared" si="54"/>
        <v>1285757.6296059184</v>
      </c>
      <c r="X32" s="1426">
        <f t="shared" si="54"/>
        <v>1443195.9952482623</v>
      </c>
      <c r="Y32" s="1426">
        <f t="shared" si="54"/>
        <v>1619231.9140356046</v>
      </c>
      <c r="Z32" s="1426">
        <f t="shared" si="54"/>
        <v>1814140.1072120913</v>
      </c>
      <c r="AA32" s="1426">
        <f t="shared" si="54"/>
        <v>2032509.5497859188</v>
      </c>
      <c r="AB32" s="1426">
        <f t="shared" si="54"/>
        <v>2277164.2904248913</v>
      </c>
      <c r="AC32" s="1426">
        <f t="shared" si="54"/>
        <v>2551268.3107110015</v>
      </c>
      <c r="AD32" s="1426">
        <f>AC32*(1+AD33)</f>
        <v>2858366.4431272419</v>
      </c>
      <c r="AE32" s="1391">
        <f>(O32/L32)^(1/3)-1</f>
        <v>0.62257638363245382</v>
      </c>
      <c r="AF32" s="1392">
        <f>(T32/P32)^(1/4)-1</f>
        <v>0.12301506117229333</v>
      </c>
      <c r="AX32" s="1386"/>
      <c r="AY32" s="1386"/>
      <c r="AZ32" s="1386"/>
      <c r="BA32" s="1386"/>
      <c r="BB32" s="1386"/>
      <c r="BC32" s="1386"/>
      <c r="BD32" s="1386"/>
      <c r="BE32" s="1386"/>
      <c r="BF32" s="1386"/>
      <c r="BG32" s="1386"/>
      <c r="BH32" s="1386"/>
      <c r="BI32" s="1386"/>
      <c r="BJ32" s="1386"/>
      <c r="BK32" s="1386"/>
    </row>
    <row r="33" spans="1:63" s="1409" customFormat="1" ht="14">
      <c r="A33" s="1467"/>
      <c r="B33" s="1467"/>
      <c r="C33" s="1467"/>
      <c r="D33" s="1434" t="s">
        <v>832</v>
      </c>
      <c r="J33" s="1409">
        <f>J32/I32-1</f>
        <v>-0.16666666666666663</v>
      </c>
      <c r="K33" s="1409">
        <f t="shared" ref="K33" si="55">K32/J32-1</f>
        <v>0.30000000000000004</v>
      </c>
      <c r="L33" s="1409">
        <f t="shared" ref="L33" si="56">L32/K32-1</f>
        <v>0.58461538461538454</v>
      </c>
      <c r="M33" s="1409">
        <f t="shared" ref="M33" si="57">M32/L32-1</f>
        <v>1.3300970873786406</v>
      </c>
      <c r="N33" s="1409">
        <f t="shared" ref="N33" si="58">N32/M32-1</f>
        <v>8.3333333333333259E-2</v>
      </c>
      <c r="O33" s="1409">
        <f t="shared" ref="O33" si="59">O32/N32-1</f>
        <v>0.69230769230769229</v>
      </c>
      <c r="P33" s="1409">
        <f t="shared" ref="P33:AD33" si="60">(1+P35)*(1+P34)*(1+P36)-1</f>
        <v>0.30640971853504673</v>
      </c>
      <c r="Q33" s="1409">
        <f t="shared" si="60"/>
        <v>0.11691487368022435</v>
      </c>
      <c r="R33" s="1409">
        <f t="shared" si="60"/>
        <v>0.12319178146524767</v>
      </c>
      <c r="S33" s="1409">
        <f t="shared" si="60"/>
        <v>0.12702937509061929</v>
      </c>
      <c r="T33" s="1409">
        <f t="shared" si="60"/>
        <v>0.12494967880085639</v>
      </c>
      <c r="U33" s="1409">
        <f t="shared" si="60"/>
        <v>0.1181937500000001</v>
      </c>
      <c r="V33" s="1409">
        <f t="shared" si="60"/>
        <v>0.11983473805411626</v>
      </c>
      <c r="W33" s="1409">
        <f t="shared" si="60"/>
        <v>0.12308780618247961</v>
      </c>
      <c r="X33" s="1409">
        <f t="shared" si="60"/>
        <v>0.12244793421182987</v>
      </c>
      <c r="Y33" s="1409">
        <f t="shared" si="60"/>
        <v>0.1219764462809918</v>
      </c>
      <c r="Z33" s="1409">
        <f t="shared" si="60"/>
        <v>0.12037077054065581</v>
      </c>
      <c r="AA33" s="1409">
        <f t="shared" si="60"/>
        <v>0.12037077054065581</v>
      </c>
      <c r="AB33" s="1409">
        <f t="shared" si="60"/>
        <v>0.12037077054065581</v>
      </c>
      <c r="AC33" s="1409">
        <f t="shared" si="60"/>
        <v>0.12037077054065604</v>
      </c>
      <c r="AD33" s="1409">
        <f t="shared" si="60"/>
        <v>0.12037077054065581</v>
      </c>
      <c r="AE33" s="1434"/>
      <c r="AF33" s="1451"/>
      <c r="AX33" s="807"/>
      <c r="AY33" s="807"/>
      <c r="AZ33" s="807"/>
      <c r="BA33" s="807"/>
      <c r="BB33" s="807"/>
      <c r="BC33" s="807"/>
      <c r="BD33" s="807"/>
      <c r="BE33" s="807"/>
      <c r="BF33" s="807"/>
      <c r="BG33" s="807"/>
      <c r="BH33" s="807"/>
      <c r="BI33" s="807"/>
      <c r="BJ33" s="1213"/>
      <c r="BK33" s="1213"/>
    </row>
    <row r="34" spans="1:63" s="1402" customFormat="1" ht="14">
      <c r="A34" s="1008"/>
      <c r="B34" s="1008"/>
      <c r="C34" s="1008"/>
      <c r="D34" s="1418" t="s">
        <v>1174</v>
      </c>
      <c r="K34" s="1402">
        <v>0.25</v>
      </c>
      <c r="P34" s="1402">
        <f>3%</f>
        <v>0.03</v>
      </c>
      <c r="Q34" s="1402">
        <f t="shared" ref="Q34:AC34" si="61">P34</f>
        <v>0.03</v>
      </c>
      <c r="R34" s="1402">
        <f t="shared" si="61"/>
        <v>0.03</v>
      </c>
      <c r="S34" s="1402">
        <f t="shared" si="61"/>
        <v>0.03</v>
      </c>
      <c r="T34" s="1402">
        <f t="shared" si="61"/>
        <v>0.03</v>
      </c>
      <c r="U34" s="1402">
        <f t="shared" si="61"/>
        <v>0.03</v>
      </c>
      <c r="V34" s="1402">
        <f t="shared" si="61"/>
        <v>0.03</v>
      </c>
      <c r="W34" s="1402">
        <f t="shared" si="61"/>
        <v>0.03</v>
      </c>
      <c r="X34" s="1402">
        <f t="shared" si="61"/>
        <v>0.03</v>
      </c>
      <c r="Y34" s="1402">
        <f t="shared" si="61"/>
        <v>0.03</v>
      </c>
      <c r="Z34" s="1402">
        <f t="shared" si="61"/>
        <v>0.03</v>
      </c>
      <c r="AA34" s="1402">
        <f t="shared" si="61"/>
        <v>0.03</v>
      </c>
      <c r="AB34" s="1402">
        <f t="shared" si="61"/>
        <v>0.03</v>
      </c>
      <c r="AC34" s="1402">
        <f t="shared" si="61"/>
        <v>0.03</v>
      </c>
      <c r="AD34" s="1402">
        <f>AC34</f>
        <v>0.03</v>
      </c>
      <c r="AE34" s="1418"/>
      <c r="AF34" s="1452"/>
      <c r="AX34" s="1409"/>
      <c r="AY34" s="1409"/>
      <c r="AZ34" s="1409"/>
      <c r="BA34" s="1409"/>
      <c r="BB34" s="1409"/>
      <c r="BC34" s="1409"/>
      <c r="BD34" s="1409"/>
      <c r="BE34" s="1409"/>
      <c r="BF34" s="1409"/>
      <c r="BG34" s="1409"/>
      <c r="BH34" s="1409"/>
      <c r="BI34" s="1409"/>
      <c r="BJ34" s="1409"/>
      <c r="BK34" s="1409"/>
    </row>
    <row r="35" spans="1:63" s="1402" customFormat="1" ht="20">
      <c r="A35" s="1008"/>
      <c r="B35" s="1008"/>
      <c r="C35" s="1008"/>
      <c r="D35" s="1418" t="s">
        <v>1175</v>
      </c>
      <c r="K35" s="1402">
        <v>0.05</v>
      </c>
      <c r="P35" s="1402">
        <f>'3h. Segmental Volume Drivers'!P163</f>
        <v>4.9062562877263405E-2</v>
      </c>
      <c r="Q35" s="1402">
        <f>'3h. Segmental Volume Drivers'!Q163</f>
        <v>4.7608041600329276E-2</v>
      </c>
      <c r="R35" s="1402">
        <f>'3h. Segmental Volume Drivers'!R163</f>
        <v>1.0000000000000231E-2</v>
      </c>
      <c r="S35" s="1402">
        <f>'3h. Segmental Volume Drivers'!S163</f>
        <v>1.0000000000000009E-2</v>
      </c>
      <c r="T35" s="1402">
        <f>'3h. Segmental Volume Drivers'!T163</f>
        <v>1.0000000000000009E-2</v>
      </c>
      <c r="U35" s="1402">
        <f>'3h. Segmental Volume Drivers'!U163</f>
        <v>1.0000000000000009E-2</v>
      </c>
      <c r="V35" s="1402">
        <f>'3h. Segmental Volume Drivers'!V163</f>
        <v>1.0000000000000009E-2</v>
      </c>
      <c r="W35" s="1402">
        <f>'3h. Segmental Volume Drivers'!W163</f>
        <v>1.0000000000000231E-2</v>
      </c>
      <c r="X35" s="1402">
        <f>'3h. Segmental Volume Drivers'!X163</f>
        <v>1.0000000000000009E-2</v>
      </c>
      <c r="Y35" s="1402">
        <f>'3h. Segmental Volume Drivers'!Y163</f>
        <v>1.0000000000000009E-2</v>
      </c>
      <c r="Z35" s="1402">
        <f>'3h. Segmental Volume Drivers'!Z163</f>
        <v>1.0000000000000009E-2</v>
      </c>
      <c r="AA35" s="1402">
        <f>'3h. Segmental Volume Drivers'!AA163</f>
        <v>1.0000000000000009E-2</v>
      </c>
      <c r="AB35" s="1402">
        <f>'3h. Segmental Volume Drivers'!AB163</f>
        <v>1.0000000000000009E-2</v>
      </c>
      <c r="AC35" s="1402">
        <f>'3h. Segmental Volume Drivers'!AC163</f>
        <v>1.0000000000000231E-2</v>
      </c>
      <c r="AD35" s="1402">
        <f>'3h. Segmental Volume Drivers'!AD163</f>
        <v>1.0000000000000009E-2</v>
      </c>
      <c r="AE35" s="1418"/>
      <c r="AF35" s="1452"/>
      <c r="AI35" s="1218" t="s">
        <v>1800</v>
      </c>
      <c r="AJ35" s="1795"/>
      <c r="AK35" s="1795"/>
      <c r="AL35" s="169"/>
      <c r="AM35" s="169"/>
      <c r="AN35" s="169"/>
      <c r="AO35" s="169"/>
      <c r="AP35" s="169"/>
      <c r="AQ35" s="169"/>
      <c r="AR35" s="169"/>
      <c r="AS35" s="169"/>
      <c r="AT35" s="169"/>
      <c r="AU35" s="169"/>
      <c r="AV35" s="169"/>
      <c r="AW35" s="169"/>
    </row>
    <row r="36" spans="1:63" s="1402" customFormat="1" thickBot="1">
      <c r="A36" s="1008"/>
      <c r="B36" s="1008"/>
      <c r="C36" s="1008"/>
      <c r="D36" s="1418" t="s">
        <v>1050</v>
      </c>
      <c r="K36" s="1402">
        <v>0</v>
      </c>
      <c r="P36" s="1402">
        <f>'3f. Exchange Rate USDZAR'!H6</f>
        <v>0.20904033269026234</v>
      </c>
      <c r="Q36" s="1402">
        <f>'3f. Exchange Rate USDZAR'!I6</f>
        <v>3.5104093749189769E-2</v>
      </c>
      <c r="R36" s="1402">
        <f>'3f. Exchange Rate USDZAR'!J6</f>
        <v>7.9680651221039511E-2</v>
      </c>
      <c r="S36" s="1402">
        <f>'3f. Exchange Rate USDZAR'!K6</f>
        <v>8.3369580977236568E-2</v>
      </c>
      <c r="T36" s="1402">
        <f>'3f. Exchange Rate USDZAR'!L6</f>
        <v>8.1370449678800805E-2</v>
      </c>
      <c r="U36" s="1402">
        <f>'3f. Exchange Rate USDZAR'!M6</f>
        <v>7.4876237623762387E-2</v>
      </c>
      <c r="V36" s="1402">
        <f>'3f. Exchange Rate USDZAR'!N6</f>
        <v>7.6453655728267123E-2</v>
      </c>
      <c r="W36" s="1402">
        <f>'3f. Exchange Rate USDZAR'!O6</f>
        <v>7.9580703818590282E-2</v>
      </c>
      <c r="X36" s="1402">
        <f>'3f. Exchange Rate USDZAR'!P6</f>
        <v>7.8965619736450998E-2</v>
      </c>
      <c r="Y36" s="1402">
        <f>'3f. Exchange Rate USDZAR'!Q6</f>
        <v>7.8512396694214948E-2</v>
      </c>
      <c r="Z36" s="1402">
        <f>'3f. Exchange Rate USDZAR'!R6</f>
        <v>7.6968922945934715E-2</v>
      </c>
      <c r="AA36" s="1402">
        <f>'3f. Exchange Rate USDZAR'!S6</f>
        <v>7.6968922945934715E-2</v>
      </c>
      <c r="AB36" s="1402">
        <f>'3f. Exchange Rate USDZAR'!T6</f>
        <v>7.6968922945934715E-2</v>
      </c>
      <c r="AC36" s="1402">
        <f>'3f. Exchange Rate USDZAR'!U6</f>
        <v>7.6968922945934715E-2</v>
      </c>
      <c r="AD36" s="1402">
        <f>'3f. Exchange Rate USDZAR'!V6</f>
        <v>7.6968922945934715E-2</v>
      </c>
      <c r="AE36" s="1418"/>
      <c r="AF36" s="1452"/>
      <c r="AI36" s="1336"/>
      <c r="AJ36" s="1336"/>
      <c r="AK36" s="1336"/>
      <c r="AL36" s="1336"/>
      <c r="AM36" s="1406"/>
      <c r="AN36" s="1406"/>
      <c r="AO36" s="1406"/>
      <c r="AP36" s="1406"/>
      <c r="AQ36" s="1406"/>
      <c r="AR36" s="1406"/>
      <c r="AS36" s="1406"/>
      <c r="AT36" s="1406"/>
      <c r="AU36" s="1407"/>
      <c r="AV36" s="1408"/>
      <c r="AW36" s="1408"/>
    </row>
    <row r="37" spans="1:63" s="109" customFormat="1" ht="16" thickBot="1">
      <c r="A37" s="103"/>
      <c r="B37" s="103"/>
      <c r="C37" s="103"/>
      <c r="D37" s="688" t="s">
        <v>451</v>
      </c>
      <c r="H37" s="919"/>
      <c r="I37" s="919"/>
      <c r="J37" s="919"/>
      <c r="K37" s="919">
        <v>10000</v>
      </c>
      <c r="L37" s="1390">
        <v>6500</v>
      </c>
      <c r="M37" s="1390">
        <v>40000</v>
      </c>
      <c r="N37" s="1390">
        <v>57000</v>
      </c>
      <c r="O37" s="1390">
        <v>78000</v>
      </c>
      <c r="P37" s="1390">
        <f t="shared" ref="P37:AD37" si="62">P32*P39</f>
        <v>101899.95804573366</v>
      </c>
      <c r="Q37" s="1390">
        <f t="shared" si="62"/>
        <v>113813.57876867076</v>
      </c>
      <c r="R37" s="1390">
        <f t="shared" si="62"/>
        <v>127834.47629211862</v>
      </c>
      <c r="S37" s="1390">
        <f t="shared" si="62"/>
        <v>144073.20993054303</v>
      </c>
      <c r="T37" s="1390">
        <f t="shared" si="62"/>
        <v>162075.11123517275</v>
      </c>
      <c r="U37" s="1390">
        <f t="shared" si="62"/>
        <v>181231.37641372494</v>
      </c>
      <c r="V37" s="1390">
        <f t="shared" si="62"/>
        <v>202949.19093345065</v>
      </c>
      <c r="W37" s="1390">
        <f t="shared" si="62"/>
        <v>227929.76161195827</v>
      </c>
      <c r="X37" s="1390">
        <f t="shared" si="62"/>
        <v>255839.29006673742</v>
      </c>
      <c r="Y37" s="1390">
        <f t="shared" si="62"/>
        <v>287045.65748812992</v>
      </c>
      <c r="Z37" s="1390">
        <f t="shared" si="62"/>
        <v>321597.56446032529</v>
      </c>
      <c r="AA37" s="1390">
        <f t="shared" si="62"/>
        <v>360308.51109841286</v>
      </c>
      <c r="AB37" s="1390">
        <f t="shared" si="62"/>
        <v>403679.12421168527</v>
      </c>
      <c r="AC37" s="1390">
        <f t="shared" si="62"/>
        <v>452270.29144422302</v>
      </c>
      <c r="AD37" s="1390">
        <f t="shared" si="62"/>
        <v>506710.41491801105</v>
      </c>
      <c r="AE37" s="1398">
        <f>(O37/L37)^(1/3)-1</f>
        <v>1.2894284851066637</v>
      </c>
      <c r="AF37" s="1399">
        <f>(T37/P37)^(1/4)-1</f>
        <v>0.12301506117229333</v>
      </c>
      <c r="AI37" s="1393"/>
      <c r="AJ37" s="1393"/>
      <c r="AK37" s="1393"/>
      <c r="AL37" s="1393"/>
      <c r="AM37" s="1393"/>
      <c r="AN37" s="1393"/>
      <c r="AO37" s="1393"/>
      <c r="AP37" s="1393"/>
      <c r="AQ37" s="1393"/>
      <c r="AR37" s="1393"/>
      <c r="AS37" s="1393"/>
      <c r="AT37" s="1393"/>
      <c r="AU37" s="1393"/>
      <c r="AV37" s="1393"/>
      <c r="AW37" s="1393"/>
    </row>
    <row r="38" spans="1:63" s="1402" customFormat="1" ht="14">
      <c r="A38" s="1008"/>
      <c r="B38" s="1008"/>
      <c r="C38" s="1008"/>
      <c r="D38" s="1418" t="s">
        <v>832</v>
      </c>
      <c r="J38" s="1402" t="e">
        <f>J37/I37-1</f>
        <v>#DIV/0!</v>
      </c>
      <c r="K38" s="1402" t="e">
        <f t="shared" ref="K38" si="63">K37/J37-1</f>
        <v>#DIV/0!</v>
      </c>
      <c r="L38" s="1402">
        <f t="shared" ref="L38" si="64">L37/K37-1</f>
        <v>-0.35</v>
      </c>
      <c r="M38" s="1402">
        <f t="shared" ref="M38" si="65">M37/L37-1</f>
        <v>5.1538461538461542</v>
      </c>
      <c r="N38" s="1402">
        <f t="shared" ref="N38" si="66">N37/M37-1</f>
        <v>0.42500000000000004</v>
      </c>
      <c r="O38" s="1402">
        <f t="shared" ref="O38" si="67">O37/N37-1</f>
        <v>0.36842105263157898</v>
      </c>
      <c r="P38" s="1402">
        <f t="shared" ref="P38" si="68">P37/O37-1</f>
        <v>0.30640971853504695</v>
      </c>
      <c r="Q38" s="1402">
        <f t="shared" ref="Q38" si="69">Q37/P37-1</f>
        <v>0.11691487368022435</v>
      </c>
      <c r="R38" s="1402">
        <f t="shared" ref="R38" si="70">R37/Q37-1</f>
        <v>0.1231917814652479</v>
      </c>
      <c r="S38" s="1402">
        <f t="shared" ref="S38" si="71">S37/R37-1</f>
        <v>0.12702937509061929</v>
      </c>
      <c r="T38" s="1402">
        <f t="shared" ref="T38" si="72">T37/S37-1</f>
        <v>0.12494967880085639</v>
      </c>
      <c r="U38" s="1402">
        <f t="shared" ref="U38" si="73">U37/T37-1</f>
        <v>0.11819374999999988</v>
      </c>
      <c r="V38" s="1402">
        <f t="shared" ref="V38" si="74">V37/U37-1</f>
        <v>0.11983473805411649</v>
      </c>
      <c r="W38" s="1402">
        <f t="shared" ref="W38" si="75">W37/V37-1</f>
        <v>0.12308780618247961</v>
      </c>
      <c r="X38" s="1402">
        <f t="shared" ref="X38" si="76">X37/W37-1</f>
        <v>0.12244793421182987</v>
      </c>
      <c r="Y38" s="1402">
        <f t="shared" ref="Y38" si="77">Y37/X37-1</f>
        <v>0.1219764462809918</v>
      </c>
      <c r="Z38" s="1402">
        <f t="shared" ref="Z38" si="78">Z37/Y37-1</f>
        <v>0.12037077054065581</v>
      </c>
      <c r="AA38" s="1402">
        <f t="shared" ref="AA38" si="79">AA37/Z37-1</f>
        <v>0.12037077054065581</v>
      </c>
      <c r="AB38" s="1402">
        <f t="shared" ref="AB38" si="80">AB37/AA37-1</f>
        <v>0.12037077054065581</v>
      </c>
      <c r="AC38" s="1402">
        <f t="shared" ref="AC38" si="81">AC37/AB37-1</f>
        <v>0.12037077054065604</v>
      </c>
      <c r="AD38" s="1402">
        <f>AD37/AC37-1</f>
        <v>0.12037077054065559</v>
      </c>
      <c r="AE38" s="1418"/>
      <c r="AF38" s="1452"/>
      <c r="AI38" s="235"/>
      <c r="AJ38" s="235"/>
      <c r="AK38" s="235"/>
      <c r="AL38" s="235"/>
      <c r="AM38" s="235"/>
      <c r="AN38" s="235"/>
      <c r="AO38" s="235"/>
      <c r="AP38" s="235"/>
      <c r="AQ38" s="235"/>
      <c r="AR38" s="235"/>
      <c r="AS38" s="235"/>
      <c r="AT38" s="235"/>
      <c r="AU38" s="235"/>
      <c r="AV38" s="235"/>
      <c r="AW38" s="235"/>
    </row>
    <row r="39" spans="1:63" s="1402" customFormat="1" thickBot="1">
      <c r="A39" s="1008"/>
      <c r="B39" s="1008"/>
      <c r="C39" s="1008"/>
      <c r="D39" s="1420" t="s">
        <v>978</v>
      </c>
      <c r="E39" s="1411"/>
      <c r="F39" s="1411"/>
      <c r="G39" s="1411"/>
      <c r="H39" s="1411"/>
      <c r="I39" s="1411"/>
      <c r="J39" s="1411">
        <f t="shared" ref="J39:O39" si="82">J37/J32</f>
        <v>0</v>
      </c>
      <c r="K39" s="1411">
        <f t="shared" si="82"/>
        <v>0.15384615384615385</v>
      </c>
      <c r="L39" s="1411">
        <f t="shared" si="82"/>
        <v>6.3106796116504854E-2</v>
      </c>
      <c r="M39" s="1411">
        <f t="shared" si="82"/>
        <v>0.16666666666666666</v>
      </c>
      <c r="N39" s="1411">
        <f t="shared" si="82"/>
        <v>0.21923076923076923</v>
      </c>
      <c r="O39" s="1411">
        <f t="shared" si="82"/>
        <v>0.17727272727272728</v>
      </c>
      <c r="P39" s="1411">
        <f>O39</f>
        <v>0.17727272727272728</v>
      </c>
      <c r="Q39" s="1411">
        <f t="shared" ref="Q39:AC39" si="83">P39</f>
        <v>0.17727272727272728</v>
      </c>
      <c r="R39" s="1411">
        <f t="shared" si="83"/>
        <v>0.17727272727272728</v>
      </c>
      <c r="S39" s="1411">
        <f t="shared" si="83"/>
        <v>0.17727272727272728</v>
      </c>
      <c r="T39" s="1411">
        <f t="shared" si="83"/>
        <v>0.17727272727272728</v>
      </c>
      <c r="U39" s="1411">
        <f t="shared" si="83"/>
        <v>0.17727272727272728</v>
      </c>
      <c r="V39" s="1411">
        <f t="shared" si="83"/>
        <v>0.17727272727272728</v>
      </c>
      <c r="W39" s="1411">
        <f t="shared" si="83"/>
        <v>0.17727272727272728</v>
      </c>
      <c r="X39" s="1411">
        <f t="shared" si="83"/>
        <v>0.17727272727272728</v>
      </c>
      <c r="Y39" s="1411">
        <f t="shared" si="83"/>
        <v>0.17727272727272728</v>
      </c>
      <c r="Z39" s="1411">
        <f t="shared" si="83"/>
        <v>0.17727272727272728</v>
      </c>
      <c r="AA39" s="1411">
        <f t="shared" si="83"/>
        <v>0.17727272727272728</v>
      </c>
      <c r="AB39" s="1411">
        <f t="shared" si="83"/>
        <v>0.17727272727272728</v>
      </c>
      <c r="AC39" s="1411">
        <f t="shared" si="83"/>
        <v>0.17727272727272728</v>
      </c>
      <c r="AD39" s="1411">
        <f>AC39</f>
        <v>0.17727272727272728</v>
      </c>
      <c r="AE39" s="1420"/>
      <c r="AF39" s="1443"/>
    </row>
    <row r="40" spans="1:63" s="232" customFormat="1" hidden="1">
      <c r="A40" s="111"/>
      <c r="B40" s="111"/>
      <c r="C40" s="111"/>
      <c r="D40" s="251"/>
      <c r="E40" s="111"/>
      <c r="F40" s="111"/>
      <c r="G40" s="111"/>
      <c r="H40" s="854"/>
      <c r="I40" s="854"/>
      <c r="J40" s="854"/>
      <c r="K40" s="854"/>
      <c r="L40" s="854"/>
      <c r="M40" s="854"/>
      <c r="N40" s="854"/>
      <c r="O40" s="854"/>
      <c r="P40" s="854"/>
      <c r="Q40" s="111"/>
      <c r="R40" s="111"/>
      <c r="S40" s="111"/>
      <c r="T40" s="111"/>
      <c r="U40" s="111"/>
      <c r="V40" s="111"/>
      <c r="W40" s="111"/>
      <c r="X40" s="111"/>
      <c r="Y40" s="111"/>
      <c r="Z40" s="111"/>
      <c r="AA40" s="111"/>
      <c r="AB40" s="111"/>
      <c r="AC40" s="111"/>
      <c r="AD40" s="111"/>
      <c r="AI40" s="109"/>
      <c r="AJ40" s="109"/>
      <c r="AK40" s="109"/>
      <c r="AL40" s="109"/>
      <c r="AM40" s="109"/>
      <c r="AN40" s="109"/>
      <c r="AO40" s="109"/>
      <c r="AP40" s="109"/>
      <c r="AQ40" s="109"/>
      <c r="AR40" s="109"/>
      <c r="AS40" s="109"/>
      <c r="AT40" s="109"/>
      <c r="AU40" s="109"/>
      <c r="AV40" s="109"/>
      <c r="AW40" s="109"/>
    </row>
    <row r="41" spans="1:63" s="232" customFormat="1" ht="11" hidden="1">
      <c r="A41" s="111"/>
      <c r="B41" s="111"/>
      <c r="C41" s="111"/>
      <c r="D41" s="251"/>
      <c r="E41" s="111"/>
      <c r="F41" s="111"/>
      <c r="G41" s="111"/>
      <c r="H41" s="854"/>
      <c r="I41" s="854"/>
      <c r="J41" s="854"/>
      <c r="K41" s="854"/>
      <c r="L41" s="854"/>
      <c r="M41" s="854"/>
      <c r="N41" s="854"/>
      <c r="O41" s="854"/>
      <c r="P41" s="854"/>
      <c r="Q41" s="111"/>
      <c r="R41" s="111"/>
      <c r="S41" s="111"/>
      <c r="T41" s="111"/>
      <c r="U41" s="111"/>
      <c r="V41" s="111"/>
      <c r="W41" s="111"/>
      <c r="X41" s="111"/>
      <c r="Y41" s="111"/>
      <c r="Z41" s="111"/>
      <c r="AA41" s="111"/>
      <c r="AB41" s="111"/>
      <c r="AC41" s="111"/>
      <c r="AD41" s="111"/>
      <c r="AI41" s="241"/>
      <c r="AJ41" s="241"/>
      <c r="AK41" s="241"/>
      <c r="AL41" s="241"/>
      <c r="AM41" s="241"/>
      <c r="AN41" s="241"/>
      <c r="AO41" s="241"/>
      <c r="AP41" s="241"/>
      <c r="AQ41" s="241"/>
      <c r="AR41" s="241"/>
      <c r="AS41" s="241"/>
      <c r="AT41" s="241"/>
      <c r="AU41" s="241"/>
      <c r="AV41" s="241"/>
      <c r="AW41" s="241"/>
    </row>
    <row r="42" spans="1:63" s="232" customFormat="1" ht="11" hidden="1">
      <c r="A42" s="111"/>
      <c r="B42" s="111"/>
      <c r="C42" s="111"/>
      <c r="D42" s="251"/>
      <c r="E42" s="111"/>
      <c r="F42" s="111"/>
      <c r="G42" s="111"/>
      <c r="H42" s="854"/>
      <c r="I42" s="854"/>
      <c r="J42" s="854"/>
      <c r="K42" s="854"/>
      <c r="L42" s="854"/>
      <c r="M42" s="854"/>
      <c r="N42" s="854"/>
      <c r="O42" s="854"/>
      <c r="P42" s="854"/>
      <c r="Q42" s="111"/>
      <c r="R42" s="111"/>
      <c r="S42" s="111"/>
      <c r="T42" s="111"/>
      <c r="U42" s="111"/>
      <c r="V42" s="111"/>
      <c r="W42" s="111"/>
      <c r="X42" s="111"/>
      <c r="Y42" s="111"/>
      <c r="Z42" s="111"/>
      <c r="AA42" s="111"/>
      <c r="AB42" s="111"/>
      <c r="AC42" s="111"/>
      <c r="AD42" s="111"/>
      <c r="AI42" s="241"/>
      <c r="AJ42" s="241"/>
      <c r="AK42" s="241"/>
      <c r="AL42" s="241"/>
      <c r="AM42" s="241"/>
      <c r="AN42" s="241"/>
      <c r="AO42" s="241"/>
      <c r="AP42" s="241"/>
      <c r="AQ42" s="241"/>
      <c r="AR42" s="241"/>
      <c r="AS42" s="241"/>
      <c r="AT42" s="241"/>
      <c r="AU42" s="241"/>
      <c r="AV42" s="241"/>
      <c r="AW42" s="241"/>
    </row>
    <row r="43" spans="1:63" s="232" customFormat="1" ht="11" hidden="1">
      <c r="A43" s="111"/>
      <c r="B43" s="111"/>
      <c r="C43" s="111"/>
      <c r="D43" s="251"/>
      <c r="E43" s="111"/>
      <c r="F43" s="111"/>
      <c r="G43" s="111"/>
      <c r="H43" s="854"/>
      <c r="I43" s="854"/>
      <c r="J43" s="854"/>
      <c r="K43" s="854"/>
      <c r="L43" s="854"/>
      <c r="M43" s="854"/>
      <c r="N43" s="854"/>
      <c r="O43" s="854"/>
      <c r="P43" s="854"/>
      <c r="Q43" s="111"/>
      <c r="R43" s="111"/>
      <c r="S43" s="111"/>
      <c r="T43" s="111"/>
      <c r="U43" s="111"/>
      <c r="V43" s="111"/>
      <c r="W43" s="111"/>
      <c r="X43" s="111"/>
      <c r="Y43" s="111"/>
      <c r="Z43" s="111"/>
      <c r="AA43" s="111"/>
      <c r="AB43" s="111"/>
      <c r="AC43" s="111"/>
      <c r="AD43" s="111"/>
      <c r="AI43" s="241"/>
      <c r="AJ43" s="241"/>
      <c r="AK43" s="241"/>
      <c r="AL43" s="241"/>
      <c r="AM43" s="241"/>
      <c r="AN43" s="241"/>
      <c r="AO43" s="241"/>
      <c r="AP43" s="241"/>
      <c r="AQ43" s="241"/>
      <c r="AR43" s="241"/>
      <c r="AS43" s="241"/>
      <c r="AT43" s="241"/>
      <c r="AU43" s="241"/>
      <c r="AV43" s="241"/>
      <c r="AW43" s="241"/>
    </row>
    <row r="44" spans="1:63" s="241" customFormat="1" ht="11" hidden="1">
      <c r="A44" s="185"/>
      <c r="B44" s="185"/>
      <c r="C44" s="185"/>
      <c r="D44" s="31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I44" s="232"/>
      <c r="AJ44" s="232"/>
      <c r="AK44" s="232"/>
      <c r="AL44" s="232"/>
      <c r="AM44" s="232"/>
      <c r="AN44" s="232"/>
      <c r="AO44" s="232"/>
      <c r="AP44" s="232"/>
      <c r="AQ44" s="232"/>
      <c r="AR44" s="232"/>
      <c r="AS44" s="232"/>
      <c r="AT44" s="232"/>
      <c r="AU44" s="232"/>
      <c r="AV44" s="232"/>
      <c r="AW44" s="232"/>
    </row>
    <row r="45" spans="1:63" s="224" customFormat="1" ht="14" hidden="1">
      <c r="A45" s="249"/>
      <c r="B45" s="249"/>
      <c r="C45" s="249"/>
      <c r="D45" s="1723" t="s">
        <v>811</v>
      </c>
      <c r="E45" s="252"/>
      <c r="F45" s="252"/>
      <c r="G45" s="252"/>
      <c r="H45" s="252"/>
      <c r="I45" s="252"/>
      <c r="J45" s="252"/>
      <c r="K45" s="252"/>
      <c r="L45" s="252"/>
      <c r="M45" s="252"/>
      <c r="N45" s="252"/>
      <c r="O45" s="252" t="s">
        <v>830</v>
      </c>
      <c r="P45" s="252"/>
      <c r="Q45" s="252"/>
      <c r="R45" s="252"/>
      <c r="S45" s="252"/>
      <c r="T45" s="252"/>
      <c r="U45" s="252"/>
      <c r="V45" s="252"/>
      <c r="W45" s="252"/>
      <c r="X45" s="252"/>
      <c r="Y45" s="252"/>
      <c r="Z45" s="252"/>
      <c r="AA45" s="252"/>
      <c r="AB45" s="252"/>
      <c r="AC45" s="252"/>
      <c r="AD45" s="252"/>
      <c r="AI45" s="232"/>
      <c r="AJ45" s="232"/>
      <c r="AK45" s="232"/>
      <c r="AL45" s="232"/>
      <c r="AM45" s="232"/>
      <c r="AN45" s="232"/>
      <c r="AO45" s="232"/>
      <c r="AP45" s="232"/>
      <c r="AQ45" s="232"/>
      <c r="AR45" s="232"/>
      <c r="AS45" s="232"/>
      <c r="AT45" s="232"/>
      <c r="AU45" s="232"/>
      <c r="AV45" s="232"/>
      <c r="AW45" s="232"/>
    </row>
    <row r="46" spans="1:63" s="224" customFormat="1" ht="14" hidden="1">
      <c r="A46" s="249"/>
      <c r="B46" s="249"/>
      <c r="C46" s="249"/>
      <c r="D46" s="1724" t="s">
        <v>826</v>
      </c>
      <c r="H46" s="826"/>
      <c r="I46" s="826"/>
      <c r="J46" s="826"/>
      <c r="K46" s="826"/>
      <c r="L46" s="826"/>
      <c r="M46" s="826"/>
      <c r="N46" s="826"/>
      <c r="O46" s="826"/>
      <c r="P46" s="826"/>
      <c r="AI46" s="232"/>
      <c r="AJ46" s="232"/>
      <c r="AK46" s="232"/>
      <c r="AL46" s="232"/>
      <c r="AM46" s="232"/>
      <c r="AN46" s="232"/>
      <c r="AO46" s="232"/>
      <c r="AP46" s="232"/>
      <c r="AQ46" s="232"/>
      <c r="AR46" s="232"/>
      <c r="AS46" s="232"/>
      <c r="AT46" s="232"/>
      <c r="AU46" s="232"/>
      <c r="AV46" s="232"/>
      <c r="AW46" s="232"/>
    </row>
    <row r="47" spans="1:63" s="1012" customFormat="1" ht="11" hidden="1">
      <c r="A47" s="1080"/>
      <c r="B47" s="1080"/>
      <c r="C47" s="1080"/>
      <c r="D47" s="1725" t="s">
        <v>805</v>
      </c>
      <c r="E47" s="1070">
        <v>1</v>
      </c>
      <c r="F47" s="1070">
        <v>1</v>
      </c>
      <c r="G47" s="1070">
        <v>1</v>
      </c>
      <c r="H47" s="1070">
        <v>1</v>
      </c>
      <c r="I47" s="1070">
        <v>1</v>
      </c>
      <c r="J47" s="1070">
        <v>1</v>
      </c>
      <c r="K47" s="1070">
        <v>1</v>
      </c>
      <c r="L47" s="1070">
        <v>1</v>
      </c>
      <c r="M47" s="1070">
        <v>1</v>
      </c>
      <c r="N47" s="1070">
        <v>1</v>
      </c>
      <c r="O47" s="1070">
        <v>1</v>
      </c>
      <c r="P47" s="1070"/>
      <c r="Q47" s="1070"/>
      <c r="R47" s="1070"/>
      <c r="S47" s="1070"/>
      <c r="AI47" s="232"/>
      <c r="AJ47" s="232"/>
      <c r="AK47" s="232"/>
      <c r="AL47" s="232"/>
      <c r="AM47" s="232"/>
      <c r="AN47" s="232"/>
      <c r="AO47" s="232"/>
      <c r="AP47" s="232"/>
      <c r="AQ47" s="232"/>
      <c r="AR47" s="232"/>
      <c r="AS47" s="232"/>
      <c r="AT47" s="232"/>
      <c r="AU47" s="232"/>
      <c r="AV47" s="232"/>
      <c r="AW47" s="232"/>
    </row>
    <row r="48" spans="1:63" s="224" customFormat="1" ht="14" hidden="1">
      <c r="A48" s="249"/>
      <c r="B48" s="249"/>
      <c r="C48" s="249"/>
      <c r="D48" s="1726" t="s">
        <v>824</v>
      </c>
      <c r="E48" s="253">
        <v>31500</v>
      </c>
      <c r="F48" s="253" t="s">
        <v>742</v>
      </c>
      <c r="G48" s="253" t="s">
        <v>742</v>
      </c>
      <c r="H48" s="1041" t="s">
        <v>742</v>
      </c>
      <c r="I48" s="1041" t="s">
        <v>742</v>
      </c>
      <c r="J48" s="1041" t="s">
        <v>742</v>
      </c>
      <c r="K48" s="1041" t="s">
        <v>742</v>
      </c>
      <c r="L48" s="1041">
        <v>31500</v>
      </c>
      <c r="M48" s="1041">
        <v>34650</v>
      </c>
      <c r="N48" s="1041">
        <v>38115</v>
      </c>
      <c r="O48" s="1041">
        <v>41927</v>
      </c>
      <c r="P48" s="1041"/>
      <c r="Q48" s="253"/>
      <c r="R48" s="253"/>
      <c r="S48" s="253"/>
      <c r="AI48" s="241"/>
      <c r="AJ48" s="241"/>
      <c r="AK48" s="241"/>
      <c r="AL48" s="241"/>
      <c r="AM48" s="241"/>
      <c r="AN48" s="241"/>
      <c r="AO48" s="241"/>
      <c r="AP48" s="241"/>
      <c r="AQ48" s="241"/>
      <c r="AR48" s="241"/>
      <c r="AS48" s="241"/>
      <c r="AT48" s="241"/>
      <c r="AU48" s="241"/>
      <c r="AV48" s="241"/>
      <c r="AW48" s="241"/>
    </row>
    <row r="49" spans="1:49" s="1012" customFormat="1" ht="14" hidden="1">
      <c r="A49" s="1080"/>
      <c r="B49" s="1080"/>
      <c r="C49" s="1080"/>
      <c r="D49" s="1725" t="s">
        <v>807</v>
      </c>
      <c r="E49" s="1070" t="s">
        <v>728</v>
      </c>
      <c r="F49" s="1070" t="s">
        <v>727</v>
      </c>
      <c r="G49" s="1070" t="s">
        <v>727</v>
      </c>
      <c r="H49" s="1070" t="s">
        <v>727</v>
      </c>
      <c r="I49" s="1070" t="s">
        <v>727</v>
      </c>
      <c r="J49" s="1070" t="s">
        <v>727</v>
      </c>
      <c r="K49" s="1070" t="s">
        <v>727</v>
      </c>
      <c r="L49" s="1070"/>
      <c r="M49" s="1070"/>
      <c r="N49" s="1070"/>
      <c r="O49" s="1070"/>
      <c r="P49" s="1070"/>
      <c r="Q49" s="1070"/>
      <c r="R49" s="1070"/>
      <c r="S49" s="1070"/>
      <c r="AI49" s="224"/>
      <c r="AJ49" s="224"/>
      <c r="AK49" s="224"/>
      <c r="AL49" s="224"/>
      <c r="AM49" s="224"/>
      <c r="AN49" s="224"/>
      <c r="AO49" s="224"/>
      <c r="AP49" s="224"/>
      <c r="AQ49" s="224"/>
      <c r="AR49" s="224"/>
      <c r="AS49" s="224"/>
      <c r="AT49" s="224"/>
      <c r="AU49" s="224"/>
      <c r="AV49" s="224"/>
      <c r="AW49" s="224"/>
    </row>
    <row r="50" spans="1:49" s="224" customFormat="1" ht="14" hidden="1">
      <c r="A50" s="249"/>
      <c r="B50" s="249"/>
      <c r="C50" s="249"/>
      <c r="D50" s="1726" t="s">
        <v>802</v>
      </c>
      <c r="E50" s="253"/>
      <c r="F50" s="253"/>
      <c r="G50" s="253"/>
      <c r="H50" s="253"/>
      <c r="I50" s="253"/>
      <c r="J50" s="253"/>
      <c r="K50" s="253"/>
      <c r="L50" s="253">
        <v>10942</v>
      </c>
      <c r="M50" s="253">
        <v>12035</v>
      </c>
      <c r="N50" s="253">
        <v>13239</v>
      </c>
      <c r="O50" s="253"/>
      <c r="P50" s="253"/>
      <c r="Q50" s="253"/>
      <c r="R50" s="253"/>
      <c r="S50" s="253"/>
    </row>
    <row r="51" spans="1:49" s="224" customFormat="1" ht="14" hidden="1">
      <c r="A51" s="249"/>
      <c r="B51" s="249"/>
      <c r="C51" s="249"/>
      <c r="D51" s="1726" t="s">
        <v>803</v>
      </c>
      <c r="E51" s="253"/>
      <c r="F51" s="253"/>
      <c r="G51" s="253"/>
      <c r="H51" s="253"/>
      <c r="I51" s="253"/>
      <c r="J51" s="253"/>
      <c r="K51" s="253"/>
      <c r="L51" s="253">
        <v>15317</v>
      </c>
      <c r="M51" s="253">
        <v>13589</v>
      </c>
      <c r="N51" s="253">
        <v>14764</v>
      </c>
      <c r="O51" s="253"/>
      <c r="P51" s="253"/>
      <c r="Q51" s="253"/>
      <c r="R51" s="253"/>
      <c r="S51" s="253"/>
      <c r="AI51" s="1012"/>
      <c r="AJ51" s="1012"/>
      <c r="AK51" s="1012"/>
      <c r="AL51" s="1012"/>
      <c r="AM51" s="1012"/>
      <c r="AN51" s="1012"/>
      <c r="AO51" s="1012"/>
      <c r="AP51" s="1012"/>
      <c r="AQ51" s="1012"/>
      <c r="AR51" s="1012"/>
      <c r="AS51" s="1012"/>
      <c r="AT51" s="1012"/>
      <c r="AU51" s="1012"/>
      <c r="AV51" s="1012"/>
      <c r="AW51" s="1012"/>
    </row>
    <row r="52" spans="1:49" s="224" customFormat="1" ht="14" hidden="1">
      <c r="A52" s="249"/>
      <c r="B52" s="249"/>
      <c r="C52" s="249"/>
      <c r="D52" s="1726" t="s">
        <v>819</v>
      </c>
      <c r="E52" s="253"/>
      <c r="F52" s="253"/>
      <c r="G52" s="253"/>
      <c r="H52" s="253"/>
      <c r="I52" s="253"/>
      <c r="J52" s="253"/>
      <c r="K52" s="253"/>
      <c r="L52" s="253">
        <v>5251</v>
      </c>
      <c r="M52" s="253">
        <v>9026</v>
      </c>
      <c r="N52" s="253">
        <f>N48-N50-N51</f>
        <v>10112</v>
      </c>
      <c r="O52" s="253"/>
      <c r="P52" s="253"/>
      <c r="Q52" s="253"/>
      <c r="R52" s="253"/>
      <c r="S52" s="253"/>
    </row>
    <row r="53" spans="1:49" s="224" customFormat="1" hidden="1" thickBot="1">
      <c r="A53" s="249"/>
      <c r="B53" s="249"/>
      <c r="C53" s="249"/>
      <c r="D53" s="1726" t="s">
        <v>808</v>
      </c>
      <c r="E53" s="253"/>
      <c r="F53" s="253"/>
      <c r="G53" s="253" t="s">
        <v>758</v>
      </c>
      <c r="H53" s="253" t="s">
        <v>757</v>
      </c>
      <c r="I53" s="253" t="s">
        <v>771</v>
      </c>
      <c r="J53" s="253"/>
      <c r="K53" s="253" t="s">
        <v>801</v>
      </c>
      <c r="L53" s="253">
        <v>14999</v>
      </c>
      <c r="M53" s="253">
        <v>21700</v>
      </c>
      <c r="N53" s="253"/>
      <c r="O53" s="253"/>
      <c r="P53" s="253"/>
      <c r="Q53" s="253"/>
      <c r="R53" s="253"/>
      <c r="S53" s="253"/>
      <c r="AI53" s="1012"/>
      <c r="AJ53" s="1012"/>
      <c r="AK53" s="1012"/>
      <c r="AL53" s="1012"/>
      <c r="AM53" s="1012"/>
      <c r="AN53" s="1012"/>
      <c r="AO53" s="1012"/>
      <c r="AP53" s="1012"/>
      <c r="AQ53" s="1012"/>
      <c r="AR53" s="1012"/>
      <c r="AS53" s="1012"/>
      <c r="AT53" s="1012"/>
      <c r="AU53" s="1012"/>
      <c r="AV53" s="1012"/>
      <c r="AW53" s="1012"/>
    </row>
    <row r="54" spans="1:49" s="224" customFormat="1" ht="14" hidden="1">
      <c r="A54" s="249"/>
      <c r="B54" s="249"/>
      <c r="C54" s="249"/>
      <c r="D54" s="1726" t="s">
        <v>804</v>
      </c>
      <c r="E54" s="253"/>
      <c r="F54" s="253"/>
      <c r="G54" s="1089"/>
      <c r="H54" s="1090"/>
      <c r="I54" s="1090"/>
      <c r="J54" s="1090"/>
      <c r="K54" s="1090"/>
      <c r="L54" s="1090">
        <v>12642</v>
      </c>
      <c r="M54" s="1090"/>
      <c r="N54" s="1090"/>
      <c r="O54" s="1090"/>
      <c r="P54" s="1090"/>
      <c r="Q54" s="1090"/>
      <c r="R54" s="1090"/>
      <c r="S54" s="1090"/>
      <c r="T54" s="252"/>
      <c r="U54" s="252"/>
      <c r="V54" s="252"/>
      <c r="W54" s="252"/>
      <c r="X54" s="252"/>
      <c r="Y54" s="252"/>
      <c r="Z54" s="1727"/>
    </row>
    <row r="55" spans="1:49" s="224" customFormat="1" ht="14" hidden="1">
      <c r="A55" s="249"/>
      <c r="B55" s="249"/>
      <c r="C55" s="249"/>
      <c r="D55" s="1726" t="s">
        <v>793</v>
      </c>
      <c r="E55" s="253"/>
      <c r="F55" s="253"/>
      <c r="G55" s="1091"/>
      <c r="H55" s="1041"/>
      <c r="I55" s="1041"/>
      <c r="J55" s="1041"/>
      <c r="K55" s="1041" t="s">
        <v>703</v>
      </c>
      <c r="L55" s="1041" t="s">
        <v>703</v>
      </c>
      <c r="M55" s="1041" t="s">
        <v>703</v>
      </c>
      <c r="N55" s="1041" t="s">
        <v>825</v>
      </c>
      <c r="O55" s="1041" t="s">
        <v>825</v>
      </c>
      <c r="P55" s="1041"/>
      <c r="Q55" s="1041"/>
      <c r="R55" s="1041"/>
      <c r="S55" s="1041"/>
      <c r="T55" s="826"/>
      <c r="U55" s="826"/>
      <c r="V55" s="826"/>
      <c r="W55" s="826"/>
      <c r="X55" s="826"/>
      <c r="Y55" s="826"/>
      <c r="Z55" s="1728"/>
    </row>
    <row r="56" spans="1:49" s="1012" customFormat="1" ht="14" hidden="1">
      <c r="A56" s="1080"/>
      <c r="B56" s="1080"/>
      <c r="C56" s="1080"/>
      <c r="D56" s="1725" t="s">
        <v>820</v>
      </c>
      <c r="E56" s="1070"/>
      <c r="F56" s="1070"/>
      <c r="G56" s="1092"/>
      <c r="H56" s="1070"/>
      <c r="I56" s="1070"/>
      <c r="J56" s="1070"/>
      <c r="K56" s="1070"/>
      <c r="L56" s="1070"/>
      <c r="M56" s="1070" t="s">
        <v>821</v>
      </c>
      <c r="N56" s="1070" t="s">
        <v>821</v>
      </c>
      <c r="O56" s="1070" t="s">
        <v>821</v>
      </c>
      <c r="P56" s="1070"/>
      <c r="Q56" s="1070"/>
      <c r="R56" s="1070"/>
      <c r="S56" s="1070"/>
      <c r="Z56" s="1729"/>
      <c r="AI56" s="224"/>
      <c r="AJ56" s="224"/>
      <c r="AK56" s="224"/>
      <c r="AL56" s="224"/>
      <c r="AM56" s="224"/>
      <c r="AN56" s="224"/>
      <c r="AO56" s="224"/>
      <c r="AP56" s="224"/>
      <c r="AQ56" s="224"/>
      <c r="AR56" s="224"/>
      <c r="AS56" s="224"/>
      <c r="AT56" s="224"/>
      <c r="AU56" s="224"/>
      <c r="AV56" s="224"/>
      <c r="AW56" s="224"/>
    </row>
    <row r="57" spans="1:49" s="1068" customFormat="1" ht="14" hidden="1">
      <c r="A57" s="1730"/>
      <c r="B57" s="1730"/>
      <c r="C57" s="1730"/>
      <c r="D57" s="1731" t="s">
        <v>827</v>
      </c>
      <c r="E57" s="1081"/>
      <c r="F57" s="1081"/>
      <c r="G57" s="1093"/>
      <c r="H57" s="1081"/>
      <c r="I57" s="1081"/>
      <c r="J57" s="1081"/>
      <c r="K57" s="1081"/>
      <c r="L57" s="1081"/>
      <c r="M57" s="1081"/>
      <c r="N57" s="1081"/>
      <c r="O57" s="1081"/>
      <c r="P57" s="1081"/>
      <c r="Q57" s="1081"/>
      <c r="R57" s="1081"/>
      <c r="S57" s="1081"/>
      <c r="Z57" s="1732"/>
      <c r="AI57" s="224"/>
      <c r="AJ57" s="224"/>
      <c r="AK57" s="224"/>
      <c r="AL57" s="224"/>
      <c r="AM57" s="224"/>
      <c r="AN57" s="224"/>
      <c r="AO57" s="224"/>
      <c r="AP57" s="224"/>
      <c r="AQ57" s="224"/>
      <c r="AR57" s="224"/>
      <c r="AS57" s="224"/>
      <c r="AT57" s="224"/>
      <c r="AU57" s="224"/>
      <c r="AV57" s="224"/>
      <c r="AW57" s="224"/>
    </row>
    <row r="58" spans="1:49" s="224" customFormat="1" ht="14" hidden="1">
      <c r="A58" s="249"/>
      <c r="B58" s="249"/>
      <c r="C58" s="249"/>
      <c r="D58" s="1726" t="s">
        <v>805</v>
      </c>
      <c r="E58" s="253">
        <v>2</v>
      </c>
      <c r="F58" s="253">
        <v>2</v>
      </c>
      <c r="G58" s="1091">
        <v>2</v>
      </c>
      <c r="H58" s="1041">
        <v>3</v>
      </c>
      <c r="I58" s="1041">
        <v>3</v>
      </c>
      <c r="J58" s="1041">
        <v>3</v>
      </c>
      <c r="K58" s="1041">
        <v>3</v>
      </c>
      <c r="L58" s="1041">
        <v>3</v>
      </c>
      <c r="M58" s="1041">
        <v>3</v>
      </c>
      <c r="N58" s="1041">
        <v>3</v>
      </c>
      <c r="O58" s="1041">
        <v>3</v>
      </c>
      <c r="P58" s="1041"/>
      <c r="Q58" s="1041"/>
      <c r="R58" s="1041"/>
      <c r="S58" s="1041"/>
      <c r="T58" s="826"/>
      <c r="U58" s="826"/>
      <c r="V58" s="826"/>
      <c r="W58" s="826"/>
      <c r="X58" s="826"/>
      <c r="Y58" s="826"/>
      <c r="Z58" s="1728"/>
    </row>
    <row r="59" spans="1:49" s="1012" customFormat="1" ht="14" hidden="1">
      <c r="A59" s="1080"/>
      <c r="B59" s="1080"/>
      <c r="C59" s="1080"/>
      <c r="D59" s="1725" t="s">
        <v>806</v>
      </c>
      <c r="E59" s="1070" t="s">
        <v>724</v>
      </c>
      <c r="F59" s="1070" t="s">
        <v>723</v>
      </c>
      <c r="G59" s="1092" t="s">
        <v>743</v>
      </c>
      <c r="H59" s="1070" t="s">
        <v>754</v>
      </c>
      <c r="I59" s="1070" t="s">
        <v>768</v>
      </c>
      <c r="J59" s="1070" t="s">
        <v>779</v>
      </c>
      <c r="K59" s="1070" t="s">
        <v>724</v>
      </c>
      <c r="L59" s="1070">
        <v>320000</v>
      </c>
      <c r="M59" s="1070">
        <v>350000</v>
      </c>
      <c r="N59" s="1070">
        <v>350000</v>
      </c>
      <c r="O59" s="1070">
        <v>350000</v>
      </c>
      <c r="P59" s="1070"/>
      <c r="Q59" s="1070"/>
      <c r="R59" s="1070"/>
      <c r="S59" s="1070"/>
      <c r="Z59" s="1729"/>
      <c r="AI59" s="224"/>
      <c r="AJ59" s="224"/>
      <c r="AK59" s="224"/>
      <c r="AL59" s="224"/>
      <c r="AM59" s="224"/>
      <c r="AN59" s="224"/>
      <c r="AO59" s="224"/>
      <c r="AP59" s="224"/>
      <c r="AQ59" s="224"/>
      <c r="AR59" s="224"/>
      <c r="AS59" s="224"/>
      <c r="AT59" s="224"/>
      <c r="AU59" s="224"/>
      <c r="AV59" s="224"/>
      <c r="AW59" s="224"/>
    </row>
    <row r="60" spans="1:49" s="224" customFormat="1" ht="14" hidden="1">
      <c r="A60" s="249"/>
      <c r="B60" s="249"/>
      <c r="C60" s="249"/>
      <c r="D60" s="1726" t="s">
        <v>807</v>
      </c>
      <c r="E60" s="253" t="s">
        <v>726</v>
      </c>
      <c r="F60" s="253" t="s">
        <v>725</v>
      </c>
      <c r="G60" s="1091" t="s">
        <v>744</v>
      </c>
      <c r="H60" s="1041" t="s">
        <v>755</v>
      </c>
      <c r="I60" s="1041" t="s">
        <v>769</v>
      </c>
      <c r="J60" s="1041" t="s">
        <v>780</v>
      </c>
      <c r="K60" s="1041" t="s">
        <v>785</v>
      </c>
      <c r="L60" s="1041"/>
      <c r="M60" s="1041"/>
      <c r="N60" s="1041"/>
      <c r="O60" s="1041"/>
      <c r="P60" s="1041"/>
      <c r="Q60" s="1041"/>
      <c r="R60" s="1041"/>
      <c r="S60" s="1041"/>
      <c r="T60" s="826"/>
      <c r="U60" s="826"/>
      <c r="V60" s="826"/>
      <c r="W60" s="826"/>
      <c r="X60" s="826"/>
      <c r="Y60" s="826"/>
      <c r="Z60" s="1728"/>
      <c r="AI60" s="1012"/>
      <c r="AJ60" s="1012"/>
      <c r="AK60" s="1012"/>
      <c r="AL60" s="1012"/>
      <c r="AM60" s="1012"/>
      <c r="AN60" s="1012"/>
      <c r="AO60" s="1012"/>
      <c r="AP60" s="1012"/>
      <c r="AQ60" s="1012"/>
      <c r="AR60" s="1012"/>
      <c r="AS60" s="1012"/>
      <c r="AT60" s="1012"/>
      <c r="AU60" s="1012"/>
      <c r="AV60" s="1012"/>
      <c r="AW60" s="1012"/>
    </row>
    <row r="61" spans="1:49" s="1012" customFormat="1" ht="12" hidden="1" thickBot="1">
      <c r="A61" s="1080"/>
      <c r="B61" s="1080"/>
      <c r="C61" s="1080"/>
      <c r="D61" s="1725" t="s">
        <v>802</v>
      </c>
      <c r="E61" s="1070"/>
      <c r="F61" s="1070"/>
      <c r="G61" s="1094"/>
      <c r="H61" s="1095"/>
      <c r="I61" s="1095"/>
      <c r="J61" s="1095"/>
      <c r="K61" s="1095"/>
      <c r="L61" s="1095">
        <v>45856</v>
      </c>
      <c r="M61" s="1095">
        <v>53015</v>
      </c>
      <c r="N61" s="1095">
        <v>40793</v>
      </c>
      <c r="O61" s="1095"/>
      <c r="P61" s="1095"/>
      <c r="Q61" s="1095"/>
      <c r="R61" s="1095"/>
      <c r="S61" s="1095"/>
      <c r="T61" s="1733"/>
      <c r="U61" s="1733"/>
      <c r="V61" s="1733"/>
      <c r="W61" s="1733"/>
      <c r="X61" s="1733"/>
      <c r="Y61" s="1733"/>
      <c r="Z61" s="1734"/>
      <c r="AI61" s="1068"/>
      <c r="AJ61" s="1068"/>
      <c r="AK61" s="1068"/>
      <c r="AL61" s="1068"/>
      <c r="AM61" s="1068"/>
      <c r="AN61" s="1068"/>
      <c r="AO61" s="1068"/>
      <c r="AP61" s="1068"/>
      <c r="AQ61" s="1068"/>
      <c r="AR61" s="1068"/>
      <c r="AS61" s="1068"/>
      <c r="AT61" s="1068"/>
      <c r="AU61" s="1068"/>
      <c r="AV61" s="1068"/>
      <c r="AW61" s="1068"/>
    </row>
    <row r="62" spans="1:49" s="224" customFormat="1" ht="14" hidden="1">
      <c r="A62" s="249"/>
      <c r="B62" s="249"/>
      <c r="C62" s="249"/>
      <c r="D62" s="1726" t="s">
        <v>803</v>
      </c>
      <c r="E62" s="253"/>
      <c r="F62" s="253"/>
      <c r="G62" s="253"/>
      <c r="H62" s="253"/>
      <c r="I62" s="253"/>
      <c r="J62" s="253"/>
      <c r="K62" s="253"/>
      <c r="L62" s="253">
        <v>45764</v>
      </c>
      <c r="M62" s="253">
        <v>17860</v>
      </c>
      <c r="N62" s="253">
        <v>25881</v>
      </c>
      <c r="O62" s="253"/>
      <c r="P62" s="253"/>
      <c r="Q62" s="253"/>
      <c r="R62" s="253"/>
      <c r="S62" s="253"/>
    </row>
    <row r="63" spans="1:49" s="224" customFormat="1" ht="14" hidden="1">
      <c r="A63" s="249"/>
      <c r="B63" s="249"/>
      <c r="C63" s="249"/>
      <c r="D63" s="1726" t="s">
        <v>819</v>
      </c>
      <c r="E63" s="253"/>
      <c r="F63" s="253"/>
      <c r="G63" s="253"/>
      <c r="H63" s="253"/>
      <c r="I63" s="253"/>
      <c r="J63" s="253"/>
      <c r="K63" s="253"/>
      <c r="L63" s="253">
        <v>228380</v>
      </c>
      <c r="M63" s="253">
        <v>279125</v>
      </c>
      <c r="N63" s="253">
        <f>N59-N61-N62</f>
        <v>283326</v>
      </c>
      <c r="O63" s="253"/>
      <c r="P63" s="253"/>
      <c r="Q63" s="253"/>
      <c r="R63" s="253"/>
      <c r="S63" s="253"/>
      <c r="AI63" s="1012"/>
      <c r="AJ63" s="1012"/>
      <c r="AK63" s="1012"/>
      <c r="AL63" s="1012"/>
      <c r="AM63" s="1012"/>
      <c r="AN63" s="1012"/>
      <c r="AO63" s="1012"/>
      <c r="AP63" s="1012"/>
      <c r="AQ63" s="1012"/>
      <c r="AR63" s="1012"/>
      <c r="AS63" s="1012"/>
      <c r="AT63" s="1012"/>
      <c r="AU63" s="1012"/>
      <c r="AV63" s="1012"/>
      <c r="AW63" s="1012"/>
    </row>
    <row r="64" spans="1:49" s="224" customFormat="1" hidden="1" thickBot="1">
      <c r="A64" s="249"/>
      <c r="B64" s="249"/>
      <c r="C64" s="249"/>
      <c r="D64" s="1726" t="s">
        <v>808</v>
      </c>
      <c r="E64" s="253"/>
      <c r="F64" s="253"/>
      <c r="G64" s="253"/>
      <c r="H64" s="253"/>
      <c r="I64" s="253"/>
      <c r="J64" s="253"/>
      <c r="K64" s="253"/>
      <c r="L64" s="253">
        <v>99544</v>
      </c>
      <c r="M64" s="253"/>
      <c r="N64" s="253"/>
      <c r="O64" s="253"/>
      <c r="P64" s="253"/>
      <c r="Q64" s="253"/>
      <c r="R64" s="253"/>
      <c r="S64" s="253"/>
    </row>
    <row r="65" spans="1:49" s="224" customFormat="1" ht="14" hidden="1">
      <c r="A65" s="249"/>
      <c r="B65" s="249"/>
      <c r="C65" s="249"/>
      <c r="D65" s="1726" t="s">
        <v>804</v>
      </c>
      <c r="E65" s="253"/>
      <c r="F65" s="253"/>
      <c r="G65" s="1114" t="s">
        <v>1616</v>
      </c>
      <c r="H65" s="1115" t="s">
        <v>756</v>
      </c>
      <c r="I65" s="1115" t="s">
        <v>770</v>
      </c>
      <c r="J65" s="1115"/>
      <c r="K65" s="1115"/>
      <c r="L65" s="1115">
        <v>101954</v>
      </c>
      <c r="M65" s="1115"/>
      <c r="N65" s="1115"/>
      <c r="O65" s="1115"/>
      <c r="P65" s="1735"/>
      <c r="Q65" s="253"/>
      <c r="R65" s="253"/>
      <c r="S65" s="253"/>
      <c r="AI65" s="1012"/>
      <c r="AJ65" s="1012"/>
      <c r="AK65" s="1012"/>
      <c r="AL65" s="1012"/>
      <c r="AM65" s="1012"/>
      <c r="AN65" s="1012"/>
      <c r="AO65" s="1012"/>
      <c r="AP65" s="1012"/>
      <c r="AQ65" s="1012"/>
      <c r="AR65" s="1012"/>
      <c r="AS65" s="1012"/>
      <c r="AT65" s="1012"/>
      <c r="AU65" s="1012"/>
      <c r="AV65" s="1012"/>
      <c r="AW65" s="1012"/>
    </row>
    <row r="66" spans="1:49" s="224" customFormat="1" ht="14" hidden="1">
      <c r="A66" s="249"/>
      <c r="B66" s="249"/>
      <c r="C66" s="249"/>
      <c r="D66" s="1726" t="s">
        <v>793</v>
      </c>
      <c r="E66" s="253"/>
      <c r="F66" s="253"/>
      <c r="G66" s="1116"/>
      <c r="H66" s="253"/>
      <c r="I66" s="253"/>
      <c r="J66" s="253"/>
      <c r="K66" s="253" t="s">
        <v>729</v>
      </c>
      <c r="L66" s="253" t="s">
        <v>729</v>
      </c>
      <c r="M66" s="253" t="s">
        <v>729</v>
      </c>
      <c r="N66" s="253" t="s">
        <v>729</v>
      </c>
      <c r="O66" s="253" t="s">
        <v>729</v>
      </c>
      <c r="P66" s="1736"/>
      <c r="Q66" s="253"/>
      <c r="R66" s="253"/>
      <c r="S66" s="253"/>
    </row>
    <row r="67" spans="1:49" s="224" customFormat="1" ht="14" hidden="1">
      <c r="A67" s="249"/>
      <c r="B67" s="249"/>
      <c r="C67" s="249"/>
      <c r="D67" s="1726" t="s">
        <v>820</v>
      </c>
      <c r="E67" s="253"/>
      <c r="F67" s="253"/>
      <c r="G67" s="1116"/>
      <c r="H67" s="1041"/>
      <c r="I67" s="1041"/>
      <c r="J67" s="1041"/>
      <c r="K67" s="1041"/>
      <c r="L67" s="1041"/>
      <c r="M67" s="1041" t="s">
        <v>821</v>
      </c>
      <c r="N67" s="1041" t="s">
        <v>821</v>
      </c>
      <c r="O67" s="1041"/>
      <c r="P67" s="1737"/>
      <c r="Q67" s="253"/>
      <c r="R67" s="253"/>
      <c r="S67" s="253"/>
    </row>
    <row r="68" spans="1:49" s="316" customFormat="1" ht="14" hidden="1">
      <c r="A68" s="1738"/>
      <c r="B68" s="1738"/>
      <c r="C68" s="1738"/>
      <c r="D68" s="1724" t="s">
        <v>790</v>
      </c>
      <c r="E68" s="254"/>
      <c r="F68" s="254"/>
      <c r="G68" s="1117"/>
      <c r="H68" s="1059"/>
      <c r="I68" s="1059"/>
      <c r="J68" s="1059"/>
      <c r="K68" s="1059" t="s">
        <v>794</v>
      </c>
      <c r="L68" s="1059" t="s">
        <v>812</v>
      </c>
      <c r="M68" s="1059"/>
      <c r="N68" s="1059"/>
      <c r="O68" s="1059"/>
      <c r="P68" s="1739"/>
      <c r="Q68" s="254"/>
      <c r="R68" s="254"/>
      <c r="S68" s="254"/>
      <c r="AI68" s="224"/>
      <c r="AJ68" s="224"/>
      <c r="AK68" s="224"/>
      <c r="AL68" s="224"/>
      <c r="AM68" s="224"/>
      <c r="AN68" s="224"/>
      <c r="AO68" s="224"/>
      <c r="AP68" s="224"/>
      <c r="AQ68" s="224"/>
      <c r="AR68" s="224"/>
      <c r="AS68" s="224"/>
      <c r="AT68" s="224"/>
      <c r="AU68" s="224"/>
      <c r="AV68" s="224"/>
      <c r="AW68" s="224"/>
    </row>
    <row r="69" spans="1:49" s="224" customFormat="1" ht="14" hidden="1">
      <c r="A69" s="249"/>
      <c r="B69" s="249"/>
      <c r="C69" s="249"/>
      <c r="D69" s="1726" t="s">
        <v>786</v>
      </c>
      <c r="E69" s="253"/>
      <c r="F69" s="253"/>
      <c r="G69" s="1116"/>
      <c r="H69" s="1041"/>
      <c r="I69" s="1041"/>
      <c r="J69" s="1041"/>
      <c r="K69" s="1041" t="s">
        <v>702</v>
      </c>
      <c r="L69" s="1041" t="s">
        <v>702</v>
      </c>
      <c r="M69" s="1041" t="s">
        <v>702</v>
      </c>
      <c r="N69" s="1041"/>
      <c r="O69" s="1041"/>
      <c r="P69" s="1737"/>
      <c r="Q69" s="253"/>
      <c r="R69" s="253"/>
      <c r="S69" s="253"/>
    </row>
    <row r="70" spans="1:49" s="224" customFormat="1" ht="14" hidden="1">
      <c r="A70" s="249"/>
      <c r="B70" s="249"/>
      <c r="C70" s="249"/>
      <c r="D70" s="1726" t="s">
        <v>787</v>
      </c>
      <c r="E70" s="253"/>
      <c r="F70" s="253"/>
      <c r="G70" s="1116"/>
      <c r="H70" s="1041"/>
      <c r="I70" s="1041"/>
      <c r="J70" s="1041"/>
      <c r="K70" s="1041" t="s">
        <v>702</v>
      </c>
      <c r="L70" s="1041" t="s">
        <v>813</v>
      </c>
      <c r="M70" s="1041" t="s">
        <v>706</v>
      </c>
      <c r="N70" s="1041" t="s">
        <v>706</v>
      </c>
      <c r="O70" s="1041" t="s">
        <v>706</v>
      </c>
      <c r="P70" s="1737"/>
      <c r="Q70" s="253"/>
      <c r="R70" s="253"/>
      <c r="S70" s="253"/>
    </row>
    <row r="71" spans="1:49" s="224" customFormat="1" ht="14" hidden="1">
      <c r="A71" s="249"/>
      <c r="B71" s="249"/>
      <c r="C71" s="249"/>
      <c r="D71" s="1726" t="s">
        <v>788</v>
      </c>
      <c r="E71" s="253"/>
      <c r="F71" s="253" t="s">
        <v>729</v>
      </c>
      <c r="G71" s="1116" t="s">
        <v>729</v>
      </c>
      <c r="H71" s="1041" t="s">
        <v>759</v>
      </c>
      <c r="I71" s="1041" t="s">
        <v>702</v>
      </c>
      <c r="J71" s="1041" t="s">
        <v>729</v>
      </c>
      <c r="K71" s="1041" t="s">
        <v>703</v>
      </c>
      <c r="L71" s="1041" t="s">
        <v>702</v>
      </c>
      <c r="M71" s="1041" t="s">
        <v>703</v>
      </c>
      <c r="N71" s="1041"/>
      <c r="O71" s="1041"/>
      <c r="P71" s="1737"/>
      <c r="Q71" s="253"/>
      <c r="R71" s="253"/>
      <c r="S71" s="253"/>
    </row>
    <row r="72" spans="1:49" s="224" customFormat="1" ht="14" hidden="1">
      <c r="A72" s="249"/>
      <c r="B72" s="249"/>
      <c r="C72" s="249"/>
      <c r="D72" s="1726" t="s">
        <v>789</v>
      </c>
      <c r="E72" s="253"/>
      <c r="F72" s="253" t="s">
        <v>729</v>
      </c>
      <c r="G72" s="1116" t="s">
        <v>729</v>
      </c>
      <c r="H72" s="1041" t="s">
        <v>702</v>
      </c>
      <c r="I72" s="1041" t="s">
        <v>702</v>
      </c>
      <c r="J72" s="1041" t="s">
        <v>781</v>
      </c>
      <c r="K72" s="1041" t="s">
        <v>702</v>
      </c>
      <c r="L72" s="1041" t="s">
        <v>814</v>
      </c>
      <c r="M72" s="1041" t="s">
        <v>814</v>
      </c>
      <c r="N72" s="1041" t="s">
        <v>706</v>
      </c>
      <c r="O72" s="1041"/>
      <c r="P72" s="1737"/>
      <c r="Q72" s="253"/>
      <c r="R72" s="253"/>
      <c r="S72" s="253"/>
      <c r="AI72" s="316"/>
      <c r="AJ72" s="316"/>
      <c r="AK72" s="316"/>
      <c r="AL72" s="316"/>
      <c r="AM72" s="316"/>
      <c r="AN72" s="316"/>
      <c r="AO72" s="316"/>
      <c r="AP72" s="316"/>
      <c r="AQ72" s="316"/>
      <c r="AR72" s="316"/>
      <c r="AS72" s="316"/>
      <c r="AT72" s="316"/>
      <c r="AU72" s="316"/>
      <c r="AV72" s="316"/>
      <c r="AW72" s="316"/>
    </row>
    <row r="73" spans="1:49" s="224" customFormat="1" ht="14" hidden="1">
      <c r="A73" s="249"/>
      <c r="B73" s="249"/>
      <c r="C73" s="249"/>
      <c r="D73" s="1726"/>
      <c r="E73" s="253"/>
      <c r="F73" s="253"/>
      <c r="G73" s="1116"/>
      <c r="H73" s="1041"/>
      <c r="I73" s="1041"/>
      <c r="J73" s="1041"/>
      <c r="K73" s="1041"/>
      <c r="L73" s="1041"/>
      <c r="M73" s="1041"/>
      <c r="N73" s="1041"/>
      <c r="O73" s="1041"/>
      <c r="P73" s="1737"/>
      <c r="Q73" s="253"/>
      <c r="R73" s="253"/>
      <c r="S73" s="253"/>
    </row>
    <row r="74" spans="1:49" s="224" customFormat="1" ht="14" hidden="1">
      <c r="A74" s="249"/>
      <c r="B74" s="249"/>
      <c r="C74" s="249"/>
      <c r="D74" s="1724" t="s">
        <v>828</v>
      </c>
      <c r="E74" s="253"/>
      <c r="F74" s="253"/>
      <c r="G74" s="1116"/>
      <c r="H74" s="1041"/>
      <c r="I74" s="1041"/>
      <c r="J74" s="1041"/>
      <c r="K74" s="1041"/>
      <c r="L74" s="1041"/>
      <c r="M74" s="1041"/>
      <c r="N74" s="1041"/>
      <c r="O74" s="1041" t="s">
        <v>830</v>
      </c>
      <c r="P74" s="1737"/>
      <c r="Q74" s="253"/>
      <c r="R74" s="253"/>
      <c r="S74" s="253"/>
    </row>
    <row r="75" spans="1:49" s="224" customFormat="1" ht="14" hidden="1">
      <c r="A75" s="249"/>
      <c r="B75" s="249"/>
      <c r="C75" s="249"/>
      <c r="D75" s="1726" t="s">
        <v>809</v>
      </c>
      <c r="E75" s="253">
        <v>2</v>
      </c>
      <c r="F75" s="253">
        <v>2</v>
      </c>
      <c r="G75" s="1116">
        <v>2</v>
      </c>
      <c r="H75" s="1041" t="s">
        <v>760</v>
      </c>
      <c r="I75" s="1041" t="s">
        <v>760</v>
      </c>
      <c r="J75" s="1041"/>
      <c r="K75" s="1041" t="s">
        <v>796</v>
      </c>
      <c r="L75" s="1041">
        <v>2</v>
      </c>
      <c r="M75" s="1041">
        <v>4</v>
      </c>
      <c r="N75" s="1041">
        <v>4</v>
      </c>
      <c r="O75" s="1041"/>
      <c r="P75" s="1737"/>
      <c r="Q75" s="253"/>
      <c r="R75" s="253"/>
      <c r="S75" s="253"/>
    </row>
    <row r="76" spans="1:49" s="224" customFormat="1" ht="14" hidden="1">
      <c r="A76" s="249"/>
      <c r="B76" s="249"/>
      <c r="C76" s="249"/>
      <c r="D76" s="1726" t="s">
        <v>734</v>
      </c>
      <c r="E76" s="253" t="s">
        <v>731</v>
      </c>
      <c r="F76" s="253" t="s">
        <v>730</v>
      </c>
      <c r="G76" s="1116" t="s">
        <v>745</v>
      </c>
      <c r="H76" s="1041" t="s">
        <v>761</v>
      </c>
      <c r="I76" s="1041" t="s">
        <v>772</v>
      </c>
      <c r="J76" s="1041" t="s">
        <v>782</v>
      </c>
      <c r="K76" s="1041" t="s">
        <v>782</v>
      </c>
      <c r="L76" s="1041">
        <v>129810</v>
      </c>
      <c r="M76" s="1041">
        <v>130037</v>
      </c>
      <c r="N76" s="1041">
        <f>SUM(N82:N84)</f>
        <v>129658</v>
      </c>
      <c r="O76" s="1041">
        <v>123020</v>
      </c>
      <c r="P76" s="1737"/>
      <c r="Q76" s="253"/>
      <c r="R76" s="253"/>
      <c r="S76" s="253"/>
    </row>
    <row r="77" spans="1:49" s="224" customFormat="1" ht="14" hidden="1">
      <c r="A77" s="249"/>
      <c r="B77" s="249"/>
      <c r="C77" s="249"/>
      <c r="D77" s="1726" t="s">
        <v>735</v>
      </c>
      <c r="E77" s="253" t="s">
        <v>733</v>
      </c>
      <c r="F77" s="253" t="s">
        <v>732</v>
      </c>
      <c r="G77" s="1116" t="s">
        <v>746</v>
      </c>
      <c r="H77" s="1041" t="s">
        <v>762</v>
      </c>
      <c r="I77" s="1041" t="s">
        <v>773</v>
      </c>
      <c r="J77" s="1041" t="s">
        <v>797</v>
      </c>
      <c r="K77" s="1041" t="s">
        <v>798</v>
      </c>
      <c r="L77" s="1041">
        <v>4107</v>
      </c>
      <c r="M77" s="1041">
        <v>9936</v>
      </c>
      <c r="N77" s="1041"/>
      <c r="O77" s="1041"/>
      <c r="P77" s="1737"/>
      <c r="Q77" s="253"/>
      <c r="R77" s="253"/>
      <c r="S77" s="253"/>
    </row>
    <row r="78" spans="1:49" s="224" customFormat="1" ht="14" hidden="1">
      <c r="A78" s="249"/>
      <c r="B78" s="249"/>
      <c r="C78" s="249"/>
      <c r="D78" s="1726" t="s">
        <v>747</v>
      </c>
      <c r="E78" s="253"/>
      <c r="F78" s="253" t="s">
        <v>748</v>
      </c>
      <c r="G78" s="1116" t="s">
        <v>749</v>
      </c>
      <c r="H78" s="1041" t="s">
        <v>763</v>
      </c>
      <c r="I78" s="1041" t="s">
        <v>774</v>
      </c>
      <c r="J78" s="1041"/>
      <c r="K78" s="1041"/>
      <c r="L78" s="1041"/>
      <c r="M78" s="1041"/>
      <c r="N78" s="1041"/>
      <c r="O78" s="1041"/>
      <c r="P78" s="1737"/>
      <c r="Q78" s="253"/>
      <c r="R78" s="253"/>
      <c r="S78" s="253"/>
    </row>
    <row r="79" spans="1:49" s="224" customFormat="1" ht="14" hidden="1">
      <c r="A79" s="249"/>
      <c r="B79" s="249"/>
      <c r="C79" s="249"/>
      <c r="D79" s="1726" t="s">
        <v>736</v>
      </c>
      <c r="E79" s="253" t="s">
        <v>739</v>
      </c>
      <c r="F79" s="253" t="s">
        <v>738</v>
      </c>
      <c r="G79" s="1116" t="s">
        <v>750</v>
      </c>
      <c r="H79" s="1041" t="s">
        <v>764</v>
      </c>
      <c r="I79" s="1041" t="s">
        <v>775</v>
      </c>
      <c r="J79" s="1041" t="s">
        <v>783</v>
      </c>
      <c r="K79" s="1041" t="str">
        <f>J79</f>
        <v>7815t</v>
      </c>
      <c r="L79" s="1041"/>
      <c r="M79" s="1041"/>
      <c r="N79" s="1041"/>
      <c r="O79" s="1041"/>
      <c r="P79" s="1737"/>
      <c r="Q79" s="253"/>
      <c r="R79" s="253"/>
      <c r="S79" s="253"/>
    </row>
    <row r="80" spans="1:49" s="224" customFormat="1" ht="14" hidden="1">
      <c r="A80" s="249"/>
      <c r="B80" s="249"/>
      <c r="C80" s="249"/>
      <c r="D80" s="1726" t="s">
        <v>737</v>
      </c>
      <c r="E80" s="253" t="s">
        <v>741</v>
      </c>
      <c r="F80" s="253" t="s">
        <v>740</v>
      </c>
      <c r="G80" s="1116" t="s">
        <v>751</v>
      </c>
      <c r="H80" s="1041" t="s">
        <v>765</v>
      </c>
      <c r="I80" s="1041" t="s">
        <v>776</v>
      </c>
      <c r="J80" s="1041" t="s">
        <v>800</v>
      </c>
      <c r="K80" s="1041" t="s">
        <v>799</v>
      </c>
      <c r="L80" s="1041"/>
      <c r="M80" s="1041"/>
      <c r="N80" s="1041"/>
      <c r="O80" s="1041"/>
      <c r="P80" s="1737"/>
      <c r="Q80" s="253"/>
      <c r="R80" s="253"/>
      <c r="S80" s="253"/>
    </row>
    <row r="81" spans="1:49" s="224" customFormat="1" ht="14" hidden="1">
      <c r="A81" s="249"/>
      <c r="B81" s="249"/>
      <c r="C81" s="249"/>
      <c r="D81" s="1726" t="s">
        <v>810</v>
      </c>
      <c r="E81" s="253"/>
      <c r="F81" s="253" t="s">
        <v>752</v>
      </c>
      <c r="G81" s="1116" t="s">
        <v>753</v>
      </c>
      <c r="H81" s="1041" t="s">
        <v>766</v>
      </c>
      <c r="I81" s="1041" t="s">
        <v>777</v>
      </c>
      <c r="J81" s="1041"/>
      <c r="K81" s="1041"/>
      <c r="L81" s="1041"/>
      <c r="M81" s="1041"/>
      <c r="N81" s="1041"/>
      <c r="O81" s="1041"/>
      <c r="P81" s="1737"/>
      <c r="Q81" s="253"/>
      <c r="R81" s="253"/>
      <c r="S81" s="253"/>
    </row>
    <row r="82" spans="1:49" s="224" customFormat="1" ht="14" hidden="1">
      <c r="A82" s="249"/>
      <c r="B82" s="249"/>
      <c r="C82" s="249"/>
      <c r="D82" s="1726" t="s">
        <v>802</v>
      </c>
      <c r="E82" s="253"/>
      <c r="F82" s="253"/>
      <c r="G82" s="1116"/>
      <c r="H82" s="1041"/>
      <c r="I82" s="1041"/>
      <c r="J82" s="1041"/>
      <c r="K82" s="1041"/>
      <c r="L82" s="1041">
        <v>4314</v>
      </c>
      <c r="M82" s="1041">
        <v>7826</v>
      </c>
      <c r="N82" s="1041">
        <v>7783</v>
      </c>
      <c r="O82" s="1041">
        <v>13444</v>
      </c>
      <c r="P82" s="1737"/>
      <c r="Q82" s="253"/>
      <c r="R82" s="253"/>
      <c r="S82" s="253"/>
    </row>
    <row r="83" spans="1:49" s="224" customFormat="1" ht="14" hidden="1">
      <c r="A83" s="249"/>
      <c r="B83" s="249"/>
      <c r="C83" s="249"/>
      <c r="D83" s="1726" t="s">
        <v>803</v>
      </c>
      <c r="E83" s="253"/>
      <c r="F83" s="253"/>
      <c r="G83" s="1116"/>
      <c r="H83" s="1041"/>
      <c r="I83" s="1041"/>
      <c r="J83" s="1041"/>
      <c r="K83" s="1041"/>
      <c r="L83" s="1041">
        <v>2778</v>
      </c>
      <c r="M83" s="1041">
        <v>2858</v>
      </c>
      <c r="N83" s="1041">
        <v>2098</v>
      </c>
      <c r="O83" s="1041"/>
      <c r="P83" s="1737"/>
      <c r="Q83" s="253"/>
      <c r="R83" s="253"/>
      <c r="S83" s="253"/>
    </row>
    <row r="84" spans="1:49" s="224" customFormat="1" ht="14" hidden="1">
      <c r="A84" s="249"/>
      <c r="B84" s="249"/>
      <c r="C84" s="249"/>
      <c r="D84" s="1726" t="s">
        <v>819</v>
      </c>
      <c r="E84" s="253"/>
      <c r="F84" s="253"/>
      <c r="G84" s="1116"/>
      <c r="H84" s="1041"/>
      <c r="I84" s="1041"/>
      <c r="J84" s="1041"/>
      <c r="K84" s="1041"/>
      <c r="L84" s="1041">
        <v>129810</v>
      </c>
      <c r="M84" s="1041">
        <v>119353</v>
      </c>
      <c r="N84" s="1041">
        <v>119777</v>
      </c>
      <c r="O84" s="1041"/>
      <c r="P84" s="1737"/>
      <c r="Q84" s="253"/>
      <c r="R84" s="253"/>
      <c r="S84" s="253"/>
    </row>
    <row r="85" spans="1:49" s="224" customFormat="1" ht="14" hidden="1">
      <c r="A85" s="249"/>
      <c r="B85" s="249"/>
      <c r="C85" s="249"/>
      <c r="D85" s="1726" t="s">
        <v>808</v>
      </c>
      <c r="E85" s="253"/>
      <c r="F85" s="253"/>
      <c r="G85" s="1116"/>
      <c r="H85" s="1041"/>
      <c r="I85" s="1041"/>
      <c r="J85" s="1041"/>
      <c r="K85" s="1041"/>
      <c r="L85" s="1041">
        <v>4092</v>
      </c>
      <c r="M85" s="1041"/>
      <c r="N85" s="1041"/>
      <c r="O85" s="1041"/>
      <c r="P85" s="1737"/>
      <c r="Q85" s="253"/>
      <c r="R85" s="253"/>
      <c r="S85" s="253"/>
    </row>
    <row r="86" spans="1:49" s="224" customFormat="1" ht="14" hidden="1">
      <c r="A86" s="249"/>
      <c r="B86" s="249"/>
      <c r="C86" s="249"/>
      <c r="D86" s="1726" t="s">
        <v>804</v>
      </c>
      <c r="E86" s="253"/>
      <c r="F86" s="253"/>
      <c r="G86" s="1116"/>
      <c r="H86" s="1041"/>
      <c r="I86" s="1041"/>
      <c r="J86" s="1041"/>
      <c r="K86" s="1041"/>
      <c r="L86" s="1041">
        <v>3800</v>
      </c>
      <c r="M86" s="1041"/>
      <c r="N86" s="1041"/>
      <c r="O86" s="1041"/>
      <c r="P86" s="1737"/>
      <c r="Q86" s="253"/>
      <c r="R86" s="253"/>
      <c r="S86" s="253"/>
    </row>
    <row r="87" spans="1:49" s="224" customFormat="1" ht="14" hidden="1">
      <c r="A87" s="249"/>
      <c r="B87" s="249"/>
      <c r="C87" s="249"/>
      <c r="D87" s="1726" t="s">
        <v>793</v>
      </c>
      <c r="E87" s="253"/>
      <c r="F87" s="253"/>
      <c r="G87" s="1116"/>
      <c r="H87" s="1041"/>
      <c r="I87" s="1041"/>
      <c r="J87" s="1041"/>
      <c r="K87" s="1041" t="s">
        <v>703</v>
      </c>
      <c r="L87" s="1041" t="s">
        <v>703</v>
      </c>
      <c r="M87" s="1041" t="s">
        <v>703</v>
      </c>
      <c r="N87" s="1041" t="s">
        <v>703</v>
      </c>
      <c r="O87" s="1041"/>
      <c r="P87" s="1737"/>
      <c r="Q87" s="253"/>
      <c r="R87" s="253"/>
      <c r="S87" s="253"/>
    </row>
    <row r="88" spans="1:49" s="224" customFormat="1" ht="14" hidden="1">
      <c r="A88" s="249"/>
      <c r="B88" s="249"/>
      <c r="C88" s="249"/>
      <c r="D88" s="1726" t="s">
        <v>820</v>
      </c>
      <c r="E88" s="253"/>
      <c r="F88" s="253"/>
      <c r="G88" s="1116"/>
      <c r="H88" s="1041"/>
      <c r="I88" s="1041"/>
      <c r="J88" s="1041"/>
      <c r="K88" s="1041"/>
      <c r="L88" s="1041"/>
      <c r="M88" s="1041" t="s">
        <v>821</v>
      </c>
      <c r="N88" s="1041"/>
      <c r="O88" s="1041"/>
      <c r="P88" s="1737"/>
      <c r="Q88" s="253"/>
      <c r="R88" s="253"/>
      <c r="S88" s="253"/>
    </row>
    <row r="89" spans="1:49" s="316" customFormat="1" ht="14" hidden="1">
      <c r="A89" s="1738"/>
      <c r="B89" s="1738"/>
      <c r="C89" s="1738"/>
      <c r="D89" s="1724" t="s">
        <v>790</v>
      </c>
      <c r="E89" s="254"/>
      <c r="F89" s="254"/>
      <c r="G89" s="1117"/>
      <c r="H89" s="1059"/>
      <c r="I89" s="1059"/>
      <c r="J89" s="1059"/>
      <c r="K89" s="1059" t="s">
        <v>794</v>
      </c>
      <c r="L89" s="1059" t="s">
        <v>815</v>
      </c>
      <c r="M89" s="1059" t="s">
        <v>822</v>
      </c>
      <c r="N89" s="1059" t="s">
        <v>829</v>
      </c>
      <c r="O89" s="1059"/>
      <c r="P89" s="1739"/>
      <c r="Q89" s="254"/>
      <c r="R89" s="254"/>
      <c r="S89" s="254"/>
      <c r="AI89" s="224"/>
      <c r="AJ89" s="224"/>
      <c r="AK89" s="224"/>
      <c r="AL89" s="224"/>
      <c r="AM89" s="224"/>
      <c r="AN89" s="224"/>
      <c r="AO89" s="224"/>
      <c r="AP89" s="224"/>
      <c r="AQ89" s="224"/>
      <c r="AR89" s="224"/>
      <c r="AS89" s="224"/>
      <c r="AT89" s="224"/>
      <c r="AU89" s="224"/>
      <c r="AV89" s="224"/>
      <c r="AW89" s="224"/>
    </row>
    <row r="90" spans="1:49" s="224" customFormat="1" ht="14" hidden="1">
      <c r="A90" s="249"/>
      <c r="B90" s="249"/>
      <c r="C90" s="249"/>
      <c r="D90" s="1726" t="s">
        <v>786</v>
      </c>
      <c r="E90" s="253"/>
      <c r="F90" s="253"/>
      <c r="G90" s="1116"/>
      <c r="H90" s="1041"/>
      <c r="I90" s="1041"/>
      <c r="J90" s="1041"/>
      <c r="K90" s="1041" t="s">
        <v>795</v>
      </c>
      <c r="L90" s="1041" t="s">
        <v>816</v>
      </c>
      <c r="M90" s="1041" t="s">
        <v>823</v>
      </c>
      <c r="N90" s="1041"/>
      <c r="O90" s="1041"/>
      <c r="P90" s="1737"/>
      <c r="Q90" s="253"/>
      <c r="R90" s="253"/>
      <c r="S90" s="253"/>
    </row>
    <row r="91" spans="1:49" s="224" customFormat="1" ht="14" hidden="1">
      <c r="A91" s="249"/>
      <c r="B91" s="249"/>
      <c r="C91" s="249"/>
      <c r="D91" s="1726" t="s">
        <v>787</v>
      </c>
      <c r="E91" s="253"/>
      <c r="F91" s="253"/>
      <c r="G91" s="1116"/>
      <c r="H91" s="1041"/>
      <c r="I91" s="1041"/>
      <c r="J91" s="1041"/>
      <c r="K91" s="1041" t="s">
        <v>702</v>
      </c>
      <c r="L91" s="1041" t="s">
        <v>702</v>
      </c>
      <c r="M91" s="1041" t="s">
        <v>702</v>
      </c>
      <c r="N91" s="1041" t="s">
        <v>702</v>
      </c>
      <c r="O91" s="1041"/>
      <c r="P91" s="1737"/>
      <c r="Q91" s="253"/>
      <c r="R91" s="253"/>
      <c r="S91" s="253"/>
    </row>
    <row r="92" spans="1:49" s="224" customFormat="1" ht="14" hidden="1">
      <c r="A92" s="249"/>
      <c r="B92" s="249"/>
      <c r="C92" s="249"/>
      <c r="D92" s="1726" t="s">
        <v>788</v>
      </c>
      <c r="E92" s="253"/>
      <c r="F92" s="253"/>
      <c r="G92" s="1116"/>
      <c r="H92" s="1041"/>
      <c r="I92" s="1041"/>
      <c r="J92" s="1041"/>
      <c r="K92" s="1041" t="s">
        <v>702</v>
      </c>
      <c r="L92" s="1041" t="s">
        <v>703</v>
      </c>
      <c r="M92" s="1041" t="s">
        <v>703</v>
      </c>
      <c r="N92" s="1041"/>
      <c r="O92" s="1041"/>
      <c r="P92" s="1737"/>
      <c r="Q92" s="253"/>
      <c r="R92" s="253"/>
      <c r="S92" s="253"/>
    </row>
    <row r="93" spans="1:49" s="224" customFormat="1" ht="14" hidden="1">
      <c r="A93" s="249"/>
      <c r="B93" s="249"/>
      <c r="C93" s="249"/>
      <c r="D93" s="1726" t="s">
        <v>789</v>
      </c>
      <c r="E93" s="253"/>
      <c r="F93" s="253" t="s">
        <v>729</v>
      </c>
      <c r="G93" s="1116" t="s">
        <v>702</v>
      </c>
      <c r="H93" s="1041" t="s">
        <v>767</v>
      </c>
      <c r="I93" s="1041" t="s">
        <v>778</v>
      </c>
      <c r="J93" s="1041" t="s">
        <v>784</v>
      </c>
      <c r="K93" s="1041" t="s">
        <v>704</v>
      </c>
      <c r="L93" s="1041" t="s">
        <v>704</v>
      </c>
      <c r="M93" s="1041"/>
      <c r="N93" s="1041" t="s">
        <v>816</v>
      </c>
      <c r="O93" s="1041"/>
      <c r="P93" s="1737"/>
      <c r="Q93" s="253"/>
      <c r="R93" s="253"/>
      <c r="S93" s="253"/>
      <c r="AI93" s="316"/>
      <c r="AJ93" s="316"/>
      <c r="AK93" s="316"/>
      <c r="AL93" s="316"/>
      <c r="AM93" s="316"/>
      <c r="AN93" s="316"/>
      <c r="AO93" s="316"/>
      <c r="AP93" s="316"/>
      <c r="AQ93" s="316"/>
      <c r="AR93" s="316"/>
      <c r="AS93" s="316"/>
      <c r="AT93" s="316"/>
      <c r="AU93" s="316"/>
      <c r="AV93" s="316"/>
      <c r="AW93" s="316"/>
    </row>
    <row r="94" spans="1:49" s="224" customFormat="1" ht="14" hidden="1">
      <c r="A94" s="249"/>
      <c r="B94" s="249"/>
      <c r="C94" s="249"/>
      <c r="D94" s="1726" t="s">
        <v>817</v>
      </c>
      <c r="E94" s="253"/>
      <c r="F94" s="253"/>
      <c r="G94" s="1116"/>
      <c r="H94" s="1041"/>
      <c r="I94" s="1041"/>
      <c r="J94" s="1041"/>
      <c r="K94" s="1041"/>
      <c r="L94" s="1041" t="s">
        <v>818</v>
      </c>
      <c r="M94" s="1041" t="s">
        <v>818</v>
      </c>
      <c r="N94" s="1041" t="s">
        <v>818</v>
      </c>
      <c r="O94" s="1041"/>
      <c r="P94" s="1737"/>
      <c r="Q94" s="253"/>
      <c r="R94" s="253"/>
      <c r="S94" s="253"/>
    </row>
    <row r="95" spans="1:49" s="224" customFormat="1" hidden="1" thickBot="1">
      <c r="A95" s="249"/>
      <c r="B95" s="249"/>
      <c r="C95" s="249"/>
      <c r="D95" s="1726"/>
      <c r="E95" s="253"/>
      <c r="F95" s="253"/>
      <c r="G95" s="1116"/>
      <c r="H95" s="1041"/>
      <c r="I95" s="1041"/>
      <c r="J95" s="1041"/>
      <c r="K95" s="1041"/>
      <c r="L95" s="1041"/>
      <c r="M95" s="1041"/>
      <c r="N95" s="1041"/>
      <c r="O95" s="1041"/>
      <c r="P95" s="1737"/>
      <c r="Q95" s="253"/>
      <c r="R95" s="253"/>
      <c r="S95" s="253"/>
    </row>
    <row r="96" spans="1:49" s="233" customFormat="1" hidden="1" thickBot="1">
      <c r="A96" s="250"/>
      <c r="B96" s="250"/>
      <c r="C96" s="250"/>
      <c r="D96" s="1740" t="s">
        <v>695</v>
      </c>
      <c r="E96" s="255"/>
      <c r="F96" s="255">
        <f t="shared" ref="F96:Q96" si="84">SUM(F97:F99)</f>
        <v>0</v>
      </c>
      <c r="G96" s="1118">
        <f t="shared" si="84"/>
        <v>0</v>
      </c>
      <c r="H96" s="1043">
        <f t="shared" si="84"/>
        <v>0</v>
      </c>
      <c r="I96" s="1043">
        <f t="shared" si="84"/>
        <v>0</v>
      </c>
      <c r="J96" s="1043">
        <f t="shared" si="84"/>
        <v>0</v>
      </c>
      <c r="K96" s="1043">
        <f t="shared" si="84"/>
        <v>0</v>
      </c>
      <c r="L96" s="1043">
        <f t="shared" si="84"/>
        <v>0</v>
      </c>
      <c r="M96" s="1043">
        <f t="shared" si="84"/>
        <v>0</v>
      </c>
      <c r="N96" s="1043">
        <f t="shared" si="84"/>
        <v>0</v>
      </c>
      <c r="O96" s="1043">
        <f t="shared" si="84"/>
        <v>0</v>
      </c>
      <c r="P96" s="1741" t="e">
        <f t="shared" si="84"/>
        <v>#DIV/0!</v>
      </c>
      <c r="Q96" s="255" t="e">
        <f t="shared" si="84"/>
        <v>#DIV/0!</v>
      </c>
      <c r="R96" s="255" t="e">
        <f t="shared" ref="R96:AD96" si="85">SUM(R97:R99)</f>
        <v>#DIV/0!</v>
      </c>
      <c r="S96" s="255" t="e">
        <f t="shared" si="85"/>
        <v>#DIV/0!</v>
      </c>
      <c r="T96" s="255" t="e">
        <f t="shared" si="85"/>
        <v>#DIV/0!</v>
      </c>
      <c r="U96" s="255" t="e">
        <f t="shared" si="85"/>
        <v>#DIV/0!</v>
      </c>
      <c r="V96" s="255" t="e">
        <f t="shared" si="85"/>
        <v>#DIV/0!</v>
      </c>
      <c r="W96" s="255" t="e">
        <f t="shared" si="85"/>
        <v>#DIV/0!</v>
      </c>
      <c r="X96" s="255" t="e">
        <f t="shared" si="85"/>
        <v>#DIV/0!</v>
      </c>
      <c r="Y96" s="255" t="e">
        <f t="shared" si="85"/>
        <v>#DIV/0!</v>
      </c>
      <c r="Z96" s="255" t="e">
        <f t="shared" si="85"/>
        <v>#DIV/0!</v>
      </c>
      <c r="AA96" s="255" t="e">
        <f t="shared" si="85"/>
        <v>#DIV/0!</v>
      </c>
      <c r="AB96" s="255" t="e">
        <f t="shared" si="85"/>
        <v>#DIV/0!</v>
      </c>
      <c r="AC96" s="255" t="e">
        <f t="shared" si="85"/>
        <v>#DIV/0!</v>
      </c>
      <c r="AD96" s="255" t="e">
        <f t="shared" si="85"/>
        <v>#DIV/0!</v>
      </c>
      <c r="AI96" s="224"/>
      <c r="AJ96" s="224"/>
      <c r="AK96" s="224"/>
      <c r="AL96" s="224"/>
      <c r="AM96" s="224"/>
      <c r="AN96" s="224"/>
      <c r="AO96" s="224"/>
      <c r="AP96" s="224"/>
      <c r="AQ96" s="224"/>
      <c r="AR96" s="224"/>
      <c r="AS96" s="224"/>
      <c r="AT96" s="224"/>
      <c r="AU96" s="224"/>
      <c r="AV96" s="224"/>
      <c r="AW96" s="224"/>
    </row>
    <row r="97" spans="1:49" s="221" customFormat="1" ht="14" hidden="1">
      <c r="A97" s="206"/>
      <c r="B97" s="206"/>
      <c r="C97" s="206"/>
      <c r="D97" s="1742" t="s">
        <v>693</v>
      </c>
      <c r="G97" s="1119"/>
      <c r="H97" s="826"/>
      <c r="I97" s="826"/>
      <c r="J97" s="826"/>
      <c r="K97" s="826"/>
      <c r="L97" s="826"/>
      <c r="M97" s="826"/>
      <c r="N97" s="826"/>
      <c r="O97" s="826"/>
      <c r="P97" s="1018" t="e">
        <f>AVERAGE(F97:O97)</f>
        <v>#DIV/0!</v>
      </c>
      <c r="Q97" s="221" t="e">
        <f>P97</f>
        <v>#DIV/0!</v>
      </c>
      <c r="R97" s="221" t="e">
        <f>Q97</f>
        <v>#DIV/0!</v>
      </c>
      <c r="S97" s="221" t="e">
        <f t="shared" ref="S97:AC98" si="86">R97</f>
        <v>#DIV/0!</v>
      </c>
      <c r="T97" s="221" t="e">
        <f t="shared" si="86"/>
        <v>#DIV/0!</v>
      </c>
      <c r="U97" s="221" t="e">
        <f t="shared" si="86"/>
        <v>#DIV/0!</v>
      </c>
      <c r="V97" s="221" t="e">
        <f t="shared" si="86"/>
        <v>#DIV/0!</v>
      </c>
      <c r="W97" s="221" t="e">
        <f t="shared" si="86"/>
        <v>#DIV/0!</v>
      </c>
      <c r="X97" s="221" t="e">
        <f t="shared" si="86"/>
        <v>#DIV/0!</v>
      </c>
      <c r="Y97" s="221" t="e">
        <f t="shared" si="86"/>
        <v>#DIV/0!</v>
      </c>
      <c r="Z97" s="221" t="e">
        <f t="shared" si="86"/>
        <v>#DIV/0!</v>
      </c>
      <c r="AA97" s="221" t="e">
        <f t="shared" si="86"/>
        <v>#DIV/0!</v>
      </c>
      <c r="AB97" s="221" t="e">
        <f t="shared" si="86"/>
        <v>#DIV/0!</v>
      </c>
      <c r="AC97" s="221" t="e">
        <f t="shared" si="86"/>
        <v>#DIV/0!</v>
      </c>
      <c r="AD97" s="221" t="e">
        <f>AC97</f>
        <v>#DIV/0!</v>
      </c>
      <c r="AI97" s="224"/>
      <c r="AJ97" s="224"/>
      <c r="AK97" s="224"/>
      <c r="AL97" s="224"/>
      <c r="AM97" s="224"/>
      <c r="AN97" s="224"/>
      <c r="AO97" s="224"/>
      <c r="AP97" s="224"/>
      <c r="AQ97" s="224"/>
      <c r="AR97" s="224"/>
      <c r="AS97" s="224"/>
      <c r="AT97" s="224"/>
      <c r="AU97" s="224"/>
      <c r="AV97" s="224"/>
      <c r="AW97" s="224"/>
    </row>
    <row r="98" spans="1:49" s="221" customFormat="1" ht="14" hidden="1">
      <c r="A98" s="206"/>
      <c r="B98" s="206"/>
      <c r="C98" s="206"/>
      <c r="D98" s="1742" t="s">
        <v>694</v>
      </c>
      <c r="G98" s="1119"/>
      <c r="H98" s="826"/>
      <c r="I98" s="826"/>
      <c r="J98" s="826"/>
      <c r="K98" s="826"/>
      <c r="L98" s="826"/>
      <c r="M98" s="826"/>
      <c r="N98" s="826"/>
      <c r="O98" s="826"/>
      <c r="P98" s="1018" t="e">
        <f>AVERAGE(F98:O98)</f>
        <v>#DIV/0!</v>
      </c>
      <c r="Q98" s="221" t="e">
        <f>P98</f>
        <v>#DIV/0!</v>
      </c>
      <c r="R98" s="221" t="e">
        <f>Q98</f>
        <v>#DIV/0!</v>
      </c>
      <c r="S98" s="221" t="e">
        <f>R98/2</f>
        <v>#DIV/0!</v>
      </c>
      <c r="T98" s="221" t="e">
        <f>S98</f>
        <v>#DIV/0!</v>
      </c>
      <c r="U98" s="221" t="e">
        <f>T98</f>
        <v>#DIV/0!</v>
      </c>
      <c r="V98" s="221" t="e">
        <f>U98/2</f>
        <v>#DIV/0!</v>
      </c>
      <c r="W98" s="221" t="e">
        <f>V98</f>
        <v>#DIV/0!</v>
      </c>
      <c r="X98" s="221" t="e">
        <f t="shared" si="86"/>
        <v>#DIV/0!</v>
      </c>
      <c r="Y98" s="221" t="e">
        <f t="shared" si="86"/>
        <v>#DIV/0!</v>
      </c>
      <c r="Z98" s="221" t="e">
        <f t="shared" si="86"/>
        <v>#DIV/0!</v>
      </c>
      <c r="AA98" s="221" t="e">
        <f t="shared" si="86"/>
        <v>#DIV/0!</v>
      </c>
      <c r="AB98" s="221" t="e">
        <f t="shared" si="86"/>
        <v>#DIV/0!</v>
      </c>
      <c r="AC98" s="221" t="e">
        <f t="shared" si="86"/>
        <v>#DIV/0!</v>
      </c>
      <c r="AD98" s="221" t="e">
        <f>AC98</f>
        <v>#DIV/0!</v>
      </c>
      <c r="AI98" s="224"/>
      <c r="AJ98" s="224"/>
      <c r="AK98" s="224"/>
      <c r="AL98" s="224"/>
      <c r="AM98" s="224"/>
      <c r="AN98" s="224"/>
      <c r="AO98" s="224"/>
      <c r="AP98" s="224"/>
      <c r="AQ98" s="224"/>
      <c r="AR98" s="224"/>
      <c r="AS98" s="224"/>
      <c r="AT98" s="224"/>
      <c r="AU98" s="224"/>
      <c r="AV98" s="224"/>
      <c r="AW98" s="224"/>
    </row>
    <row r="99" spans="1:49" s="221" customFormat="1" ht="14" hidden="1">
      <c r="A99" s="206"/>
      <c r="B99" s="206"/>
      <c r="C99" s="206"/>
      <c r="D99" s="1742" t="s">
        <v>697</v>
      </c>
      <c r="G99" s="1119"/>
      <c r="H99" s="826"/>
      <c r="I99" s="826"/>
      <c r="J99" s="826"/>
      <c r="K99" s="826"/>
      <c r="L99" s="826"/>
      <c r="M99" s="826"/>
      <c r="N99" s="826"/>
      <c r="O99" s="826"/>
      <c r="P99" s="1018"/>
      <c r="AI99" s="224"/>
      <c r="AJ99" s="224"/>
      <c r="AK99" s="224"/>
      <c r="AL99" s="224"/>
      <c r="AM99" s="224"/>
      <c r="AN99" s="224"/>
      <c r="AO99" s="224"/>
      <c r="AP99" s="224"/>
      <c r="AQ99" s="224"/>
      <c r="AR99" s="224"/>
      <c r="AS99" s="224"/>
      <c r="AT99" s="224"/>
      <c r="AU99" s="224"/>
      <c r="AV99" s="224"/>
      <c r="AW99" s="224"/>
    </row>
    <row r="100" spans="1:49" s="317" customFormat="1" hidden="1" thickBot="1">
      <c r="A100" s="1743"/>
      <c r="B100" s="1743"/>
      <c r="C100" s="1743"/>
      <c r="D100" s="1744" t="s">
        <v>696</v>
      </c>
      <c r="E100" s="256"/>
      <c r="F100" s="256" t="e">
        <f>F96-#REF!</f>
        <v>#REF!</v>
      </c>
      <c r="G100" s="1120" t="e">
        <f>G96-#REF!</f>
        <v>#REF!</v>
      </c>
      <c r="H100" s="1046" t="e">
        <f>H96-#REF!</f>
        <v>#REF!</v>
      </c>
      <c r="I100" s="1046" t="e">
        <f>I96-#REF!</f>
        <v>#REF!</v>
      </c>
      <c r="J100" s="1046" t="e">
        <f>J96-#REF!</f>
        <v>#REF!</v>
      </c>
      <c r="K100" s="1046" t="e">
        <f>K96-#REF!</f>
        <v>#REF!</v>
      </c>
      <c r="L100" s="1046" t="e">
        <f>L96-#REF!</f>
        <v>#REF!</v>
      </c>
      <c r="M100" s="1046" t="e">
        <f>M96-#REF!</f>
        <v>#REF!</v>
      </c>
      <c r="N100" s="1046" t="e">
        <f>N96-#REF!</f>
        <v>#REF!</v>
      </c>
      <c r="O100" s="1046" t="e">
        <f>O96-#REF!</f>
        <v>#REF!</v>
      </c>
      <c r="P100" s="1745" t="e">
        <f>P96-#REF!</f>
        <v>#DIV/0!</v>
      </c>
      <c r="Q100" s="256" t="e">
        <f>Q96-#REF!</f>
        <v>#DIV/0!</v>
      </c>
      <c r="R100" s="256" t="e">
        <f>R96-#REF!</f>
        <v>#DIV/0!</v>
      </c>
      <c r="S100" s="256" t="e">
        <f>S96-#REF!</f>
        <v>#DIV/0!</v>
      </c>
      <c r="T100" s="256" t="e">
        <f>T96-#REF!</f>
        <v>#DIV/0!</v>
      </c>
      <c r="U100" s="256" t="e">
        <f>U96-#REF!</f>
        <v>#DIV/0!</v>
      </c>
      <c r="V100" s="256" t="e">
        <f>V96-#REF!</f>
        <v>#DIV/0!</v>
      </c>
      <c r="W100" s="256" t="e">
        <f>W96-#REF!</f>
        <v>#DIV/0!</v>
      </c>
      <c r="X100" s="256" t="e">
        <f>X96-#REF!</f>
        <v>#DIV/0!</v>
      </c>
      <c r="Y100" s="256" t="e">
        <f>Y96-#REF!</f>
        <v>#DIV/0!</v>
      </c>
      <c r="Z100" s="256" t="e">
        <f>Z96-#REF!</f>
        <v>#DIV/0!</v>
      </c>
      <c r="AA100" s="256" t="e">
        <f>AA96-#REF!</f>
        <v>#DIV/0!</v>
      </c>
      <c r="AB100" s="256" t="e">
        <f>AB96-#REF!</f>
        <v>#DIV/0!</v>
      </c>
      <c r="AC100" s="256" t="e">
        <f>AC96-#REF!</f>
        <v>#DIV/0!</v>
      </c>
      <c r="AD100" s="256" t="e">
        <f>AD96-#REF!</f>
        <v>#DIV/0!</v>
      </c>
      <c r="AI100" s="233"/>
      <c r="AJ100" s="233"/>
      <c r="AK100" s="233"/>
      <c r="AL100" s="233"/>
      <c r="AM100" s="233"/>
      <c r="AN100" s="233"/>
      <c r="AO100" s="233"/>
      <c r="AP100" s="233"/>
      <c r="AQ100" s="233"/>
      <c r="AR100" s="233"/>
      <c r="AS100" s="233"/>
      <c r="AT100" s="233"/>
      <c r="AU100" s="233"/>
      <c r="AV100" s="233"/>
      <c r="AW100" s="233"/>
    </row>
    <row r="101" spans="1:49" s="1106" customFormat="1" ht="14" hidden="1">
      <c r="A101" s="1104"/>
      <c r="B101" s="1104"/>
      <c r="C101" s="1104"/>
      <c r="D101" s="1105"/>
      <c r="G101" s="1121"/>
      <c r="H101" s="1063"/>
      <c r="I101" s="1063"/>
      <c r="J101" s="1063"/>
      <c r="K101" s="1063"/>
      <c r="L101" s="1063"/>
      <c r="M101" s="1063"/>
      <c r="N101" s="1063"/>
      <c r="O101" s="1063"/>
      <c r="P101" s="1122"/>
      <c r="Y101" s="1104"/>
      <c r="Z101" s="1104"/>
      <c r="AA101" s="1104"/>
      <c r="AB101" s="1104"/>
      <c r="AC101" s="1104"/>
      <c r="AD101" s="1104"/>
      <c r="AI101" s="221"/>
      <c r="AJ101" s="221"/>
      <c r="AK101" s="221"/>
      <c r="AL101" s="221"/>
      <c r="AM101" s="221"/>
      <c r="AN101" s="221"/>
      <c r="AO101" s="221"/>
      <c r="AP101" s="221"/>
      <c r="AQ101" s="221"/>
      <c r="AR101" s="221"/>
      <c r="AS101" s="221"/>
      <c r="AT101" s="221"/>
      <c r="AU101" s="221"/>
      <c r="AV101" s="221"/>
      <c r="AW101" s="221"/>
    </row>
    <row r="102" spans="1:49" s="1106" customFormat="1" hidden="1" thickBot="1">
      <c r="A102" s="1104"/>
      <c r="B102" s="1104"/>
      <c r="C102" s="1104"/>
      <c r="D102" s="1105"/>
      <c r="G102" s="1123"/>
      <c r="H102" s="1124"/>
      <c r="I102" s="1124"/>
      <c r="J102" s="1124"/>
      <c r="K102" s="1124"/>
      <c r="L102" s="1124"/>
      <c r="M102" s="1124"/>
      <c r="N102" s="1124"/>
      <c r="O102" s="1124"/>
      <c r="P102" s="1125"/>
      <c r="Y102" s="1104"/>
      <c r="Z102" s="1104"/>
      <c r="AA102" s="1104"/>
      <c r="AB102" s="1104"/>
      <c r="AC102" s="1104"/>
      <c r="AD102" s="1104"/>
      <c r="AI102" s="221"/>
      <c r="AJ102" s="221"/>
      <c r="AK102" s="221"/>
      <c r="AL102" s="221"/>
      <c r="AM102" s="221"/>
      <c r="AN102" s="221"/>
      <c r="AO102" s="221"/>
      <c r="AP102" s="221"/>
      <c r="AQ102" s="221"/>
      <c r="AR102" s="221"/>
      <c r="AS102" s="221"/>
      <c r="AT102" s="221"/>
      <c r="AU102" s="221"/>
      <c r="AV102" s="221"/>
      <c r="AW102" s="221"/>
    </row>
    <row r="103" spans="1:49" hidden="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I103" s="221"/>
      <c r="AJ103" s="221"/>
      <c r="AK103" s="221"/>
      <c r="AL103" s="221"/>
      <c r="AM103" s="221"/>
      <c r="AN103" s="221"/>
      <c r="AO103" s="221"/>
      <c r="AP103" s="221"/>
      <c r="AQ103" s="221"/>
      <c r="AR103" s="221"/>
      <c r="AS103" s="221"/>
      <c r="AT103" s="221"/>
      <c r="AU103" s="221"/>
      <c r="AV103" s="221"/>
      <c r="AW103" s="221"/>
    </row>
    <row r="104" spans="1:49" ht="16" hidden="1" thickBo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I104" s="317"/>
      <c r="AJ104" s="317"/>
      <c r="AK104" s="317"/>
      <c r="AL104" s="317"/>
      <c r="AM104" s="317"/>
      <c r="AN104" s="317"/>
      <c r="AO104" s="317"/>
      <c r="AP104" s="317"/>
      <c r="AQ104" s="317"/>
      <c r="AR104" s="317"/>
      <c r="AS104" s="317"/>
      <c r="AT104" s="317"/>
      <c r="AU104" s="317"/>
      <c r="AV104" s="317"/>
      <c r="AW104" s="317"/>
    </row>
    <row r="105" spans="1:49" ht="16" hidden="1" thickBot="1">
      <c r="A105" s="18"/>
      <c r="B105" s="18"/>
      <c r="C105" s="18"/>
      <c r="D105" s="18"/>
      <c r="E105" s="18"/>
      <c r="F105" s="18"/>
      <c r="G105" s="1746" t="s">
        <v>1617</v>
      </c>
      <c r="H105" s="1747"/>
      <c r="I105" s="1747"/>
      <c r="J105" s="1747"/>
      <c r="K105" s="1747"/>
      <c r="L105" s="416"/>
      <c r="M105" s="416"/>
      <c r="N105" s="416"/>
      <c r="O105" s="416"/>
      <c r="P105" s="1748"/>
      <c r="Q105" s="18"/>
      <c r="R105" s="18"/>
      <c r="S105" s="18"/>
      <c r="T105" s="18"/>
      <c r="U105" s="18"/>
      <c r="V105" s="18"/>
      <c r="W105" s="18"/>
      <c r="X105" s="18"/>
      <c r="Y105" s="18"/>
      <c r="Z105" s="18"/>
      <c r="AA105" s="18"/>
      <c r="AB105" s="18"/>
      <c r="AC105" s="18"/>
      <c r="AD105" s="18"/>
      <c r="AI105" s="1106"/>
      <c r="AJ105" s="1106"/>
      <c r="AK105" s="1106"/>
      <c r="AL105" s="1106"/>
      <c r="AM105" s="1106"/>
      <c r="AN105" s="1106"/>
      <c r="AO105" s="1106"/>
      <c r="AP105" s="1106"/>
      <c r="AQ105" s="1106"/>
      <c r="AR105" s="1106"/>
      <c r="AS105" s="1106"/>
      <c r="AT105" s="1106"/>
      <c r="AU105" s="1106"/>
      <c r="AV105" s="1106"/>
      <c r="AW105" s="1106"/>
    </row>
    <row r="106" spans="1:49" hidden="1">
      <c r="G106" s="181"/>
      <c r="H106" s="39"/>
      <c r="I106" s="39"/>
      <c r="J106" s="39"/>
      <c r="K106" s="39"/>
      <c r="L106" s="39"/>
      <c r="M106" s="39"/>
      <c r="N106" s="39"/>
      <c r="O106" s="39"/>
      <c r="P106" s="39"/>
      <c r="Q106" s="39"/>
      <c r="AI106" s="1106"/>
      <c r="AJ106" s="1106"/>
      <c r="AK106" s="1106"/>
      <c r="AL106" s="1106"/>
      <c r="AM106" s="1106"/>
      <c r="AN106" s="1106"/>
      <c r="AO106" s="1106"/>
      <c r="AP106" s="1106"/>
      <c r="AQ106" s="1106"/>
      <c r="AR106" s="1106"/>
      <c r="AS106" s="1106"/>
      <c r="AT106" s="1106"/>
      <c r="AU106" s="1106"/>
      <c r="AV106" s="1106"/>
      <c r="AW106" s="1106"/>
    </row>
    <row r="107" spans="1:49">
      <c r="G107" s="181"/>
      <c r="H107" s="39"/>
      <c r="I107" s="39"/>
      <c r="J107" s="39"/>
      <c r="K107" s="39"/>
      <c r="L107" s="39"/>
      <c r="M107" s="39"/>
      <c r="N107" s="39"/>
      <c r="O107" s="39"/>
      <c r="P107" s="39"/>
      <c r="Q107" s="39"/>
    </row>
    <row r="108" spans="1:49">
      <c r="G108" s="181"/>
      <c r="H108" s="39"/>
      <c r="I108" s="39"/>
      <c r="J108" s="39"/>
      <c r="K108" s="39"/>
      <c r="L108" s="39"/>
      <c r="M108" s="39"/>
      <c r="N108" s="39"/>
      <c r="O108" s="39"/>
      <c r="P108" s="39"/>
      <c r="Q108" s="39"/>
    </row>
    <row r="109" spans="1:49">
      <c r="G109" s="181"/>
      <c r="H109" s="39"/>
      <c r="I109" s="39"/>
      <c r="J109" s="39"/>
      <c r="K109" s="39"/>
      <c r="L109" s="39"/>
      <c r="M109" s="39"/>
      <c r="N109" s="39"/>
      <c r="O109" s="39"/>
      <c r="P109" s="39"/>
      <c r="Q109" s="39"/>
    </row>
    <row r="110" spans="1:49">
      <c r="G110" s="181"/>
      <c r="H110" s="39"/>
      <c r="I110" s="39"/>
      <c r="J110" s="39"/>
      <c r="K110" s="39"/>
      <c r="L110" s="39"/>
      <c r="M110" s="39"/>
      <c r="N110" s="39"/>
      <c r="O110" s="39"/>
      <c r="P110" s="39"/>
      <c r="Q110" s="39"/>
      <c r="AI110" s="246" t="s">
        <v>1658</v>
      </c>
    </row>
    <row r="111" spans="1:49" ht="16" thickBot="1">
      <c r="D111" s="10"/>
      <c r="G111" s="1135"/>
      <c r="H111" s="817"/>
      <c r="I111" s="817"/>
      <c r="J111" s="817"/>
      <c r="K111" s="817"/>
      <c r="L111" s="39"/>
      <c r="M111" s="39"/>
      <c r="N111" s="39"/>
      <c r="O111" s="39"/>
      <c r="P111" s="39"/>
      <c r="Q111" s="39"/>
    </row>
    <row r="112" spans="1:49">
      <c r="D112" s="10"/>
      <c r="L112" s="39"/>
      <c r="M112" s="39"/>
      <c r="N112" s="39"/>
      <c r="O112" s="39"/>
      <c r="P112" s="39"/>
      <c r="Q112" s="39"/>
    </row>
    <row r="113" spans="4:17" ht="16" thickBot="1">
      <c r="D113" s="10"/>
      <c r="L113" s="39"/>
      <c r="M113" s="39"/>
      <c r="N113" s="39"/>
      <c r="O113" s="39"/>
      <c r="P113" s="39"/>
      <c r="Q113" s="39"/>
    </row>
    <row r="114" spans="4:17">
      <c r="G114" s="1112" t="s">
        <v>1618</v>
      </c>
      <c r="H114" s="1113"/>
      <c r="I114" s="1113"/>
      <c r="J114" s="1113"/>
      <c r="K114" s="1113"/>
      <c r="L114" s="39"/>
      <c r="M114" s="39"/>
      <c r="N114" s="39"/>
      <c r="O114" s="39"/>
      <c r="P114" s="39"/>
      <c r="Q114" s="39"/>
    </row>
    <row r="115" spans="4:17">
      <c r="G115" s="181"/>
      <c r="H115" s="39"/>
      <c r="I115" s="39"/>
      <c r="J115" s="39"/>
      <c r="K115" s="39"/>
      <c r="L115" s="39"/>
      <c r="M115" s="39"/>
      <c r="N115" s="39"/>
      <c r="O115" s="39"/>
      <c r="P115" s="39"/>
      <c r="Q115" s="39"/>
    </row>
    <row r="116" spans="4:17">
      <c r="G116" s="181"/>
      <c r="H116" s="39"/>
      <c r="I116" s="39"/>
      <c r="J116" s="39"/>
      <c r="K116" s="39"/>
      <c r="L116" s="39"/>
      <c r="M116" s="39"/>
      <c r="N116" s="39"/>
      <c r="O116" s="39"/>
      <c r="P116" s="39"/>
      <c r="Q116" s="39"/>
    </row>
    <row r="117" spans="4:17">
      <c r="G117" s="181"/>
      <c r="H117" s="39"/>
      <c r="I117" s="39"/>
      <c r="J117" s="39"/>
      <c r="K117" s="39"/>
      <c r="L117" s="39"/>
      <c r="M117" s="39"/>
      <c r="N117" s="39"/>
      <c r="O117" s="39"/>
      <c r="P117" s="39"/>
      <c r="Q117" s="39"/>
    </row>
    <row r="118" spans="4:17">
      <c r="G118" s="181"/>
      <c r="H118" s="39"/>
      <c r="I118" s="39"/>
      <c r="J118" s="39"/>
      <c r="K118" s="39"/>
      <c r="L118" s="39"/>
      <c r="M118" s="39"/>
      <c r="N118" s="39"/>
      <c r="O118" s="39"/>
      <c r="P118" s="39"/>
      <c r="Q118" s="39"/>
    </row>
    <row r="119" spans="4:17">
      <c r="G119" s="181"/>
      <c r="H119" s="39"/>
      <c r="I119" s="39"/>
      <c r="J119" s="39"/>
      <c r="K119" s="39"/>
      <c r="L119" s="39"/>
      <c r="M119" s="39"/>
      <c r="N119" s="39"/>
      <c r="O119" s="39"/>
      <c r="P119" s="39"/>
      <c r="Q119" s="39"/>
    </row>
    <row r="120" spans="4:17">
      <c r="G120" s="181"/>
      <c r="H120" s="39"/>
      <c r="I120" s="39"/>
      <c r="J120" s="39"/>
      <c r="K120" s="39"/>
      <c r="L120" s="39"/>
      <c r="M120" s="39"/>
      <c r="N120" s="39"/>
      <c r="O120" s="39"/>
      <c r="P120" s="39"/>
      <c r="Q120" s="39"/>
    </row>
    <row r="121" spans="4:17">
      <c r="G121" s="181"/>
      <c r="H121" s="39"/>
      <c r="I121" s="39"/>
      <c r="J121" s="39"/>
      <c r="K121" s="39"/>
      <c r="L121" s="39"/>
      <c r="M121" s="39"/>
      <c r="N121" s="39"/>
      <c r="O121" s="39"/>
      <c r="P121" s="39"/>
      <c r="Q121" s="39"/>
    </row>
    <row r="122" spans="4:17">
      <c r="G122" s="181"/>
      <c r="H122" s="39"/>
      <c r="I122" s="39"/>
      <c r="J122" s="39"/>
      <c r="K122" s="39"/>
      <c r="L122" s="39"/>
      <c r="M122" s="39"/>
      <c r="N122" s="39"/>
      <c r="O122" s="39"/>
      <c r="P122" s="39"/>
      <c r="Q122" s="39"/>
    </row>
    <row r="123" spans="4:17">
      <c r="G123" s="181"/>
      <c r="H123" s="39"/>
      <c r="I123" s="39"/>
      <c r="J123" s="39"/>
      <c r="K123" s="39"/>
      <c r="L123" s="39"/>
      <c r="M123" s="39"/>
      <c r="N123" s="39"/>
      <c r="O123" s="39"/>
      <c r="P123" s="39"/>
      <c r="Q123" s="39"/>
    </row>
    <row r="124" spans="4:17">
      <c r="G124" s="181"/>
      <c r="H124" s="39"/>
      <c r="I124" s="39"/>
      <c r="J124" s="39"/>
      <c r="K124" s="39"/>
      <c r="L124" s="39"/>
      <c r="M124" s="39"/>
      <c r="N124" s="39"/>
      <c r="O124" s="39"/>
      <c r="P124" s="39"/>
      <c r="Q124" s="39"/>
    </row>
    <row r="125" spans="4:17">
      <c r="G125" s="181"/>
      <c r="H125" s="39"/>
      <c r="I125" s="39"/>
      <c r="J125" s="39"/>
      <c r="K125" s="39"/>
      <c r="L125" s="39"/>
      <c r="M125" s="39"/>
      <c r="N125" s="39"/>
      <c r="O125" s="39"/>
      <c r="P125" s="39"/>
      <c r="Q125" s="39"/>
    </row>
    <row r="126" spans="4:17">
      <c r="G126" s="181"/>
      <c r="H126" s="39"/>
      <c r="I126" s="39"/>
      <c r="J126" s="39"/>
      <c r="K126" s="39"/>
      <c r="L126" s="39"/>
      <c r="M126" s="39"/>
      <c r="N126" s="39"/>
      <c r="O126" s="39"/>
      <c r="P126" s="39"/>
      <c r="Q126" s="39"/>
    </row>
    <row r="127" spans="4:17">
      <c r="G127" s="181"/>
      <c r="H127" s="39"/>
      <c r="I127" s="39"/>
      <c r="J127" s="39"/>
      <c r="K127" s="39"/>
      <c r="L127" s="39"/>
      <c r="M127" s="39"/>
      <c r="N127" s="39"/>
      <c r="O127" s="39"/>
      <c r="P127" s="39"/>
      <c r="Q127" s="39"/>
    </row>
    <row r="128" spans="4:17">
      <c r="G128" s="181"/>
      <c r="H128" s="39"/>
      <c r="I128" s="39"/>
      <c r="J128" s="39"/>
      <c r="K128" s="39"/>
      <c r="L128" s="39"/>
      <c r="M128" s="39"/>
      <c r="N128" s="39"/>
      <c r="O128" s="39"/>
      <c r="P128" s="39"/>
      <c r="Q128" s="39"/>
    </row>
    <row r="129" spans="7:17">
      <c r="G129" s="181"/>
      <c r="H129" s="39"/>
      <c r="I129" s="39"/>
      <c r="J129" s="39"/>
      <c r="K129" s="39"/>
      <c r="L129" s="39"/>
      <c r="M129" s="39"/>
      <c r="N129" s="39"/>
      <c r="O129" s="39"/>
      <c r="P129" s="39"/>
      <c r="Q129" s="39"/>
    </row>
    <row r="130" spans="7:17">
      <c r="G130" s="181"/>
      <c r="H130" s="39"/>
      <c r="I130" s="39"/>
      <c r="J130" s="39"/>
      <c r="K130" s="39"/>
      <c r="L130" s="39"/>
      <c r="M130" s="39"/>
      <c r="N130" s="39"/>
      <c r="O130" s="39"/>
      <c r="P130" s="39"/>
      <c r="Q130" s="39"/>
    </row>
    <row r="131" spans="7:17">
      <c r="G131" s="181"/>
      <c r="H131" s="39"/>
      <c r="I131" s="39"/>
      <c r="J131" s="39"/>
      <c r="K131" s="39"/>
      <c r="L131" s="39"/>
      <c r="M131" s="39"/>
      <c r="N131" s="39"/>
      <c r="O131" s="39"/>
      <c r="P131" s="39"/>
      <c r="Q131" s="39"/>
    </row>
    <row r="132" spans="7:17">
      <c r="G132" s="181"/>
      <c r="H132" s="39"/>
      <c r="I132" s="39"/>
      <c r="J132" s="39"/>
      <c r="K132" s="39"/>
      <c r="L132" s="39"/>
      <c r="M132" s="39"/>
      <c r="N132" s="39"/>
      <c r="O132" s="39"/>
      <c r="P132" s="39"/>
      <c r="Q132" s="39"/>
    </row>
    <row r="133" spans="7:17">
      <c r="G133" s="181"/>
      <c r="H133" s="39"/>
      <c r="I133" s="39"/>
      <c r="J133" s="39"/>
      <c r="K133" s="39"/>
      <c r="L133" s="39"/>
      <c r="M133" s="39"/>
      <c r="N133" s="39"/>
      <c r="O133" s="39"/>
      <c r="P133" s="39"/>
      <c r="Q133" s="39"/>
    </row>
    <row r="134" spans="7:17">
      <c r="G134" s="181"/>
      <c r="H134" s="39"/>
      <c r="I134" s="39"/>
      <c r="J134" s="39"/>
      <c r="K134" s="39"/>
      <c r="L134" s="39"/>
      <c r="M134" s="39"/>
      <c r="N134" s="39"/>
      <c r="O134" s="39"/>
      <c r="P134" s="39"/>
      <c r="Q134" s="39"/>
    </row>
    <row r="135" spans="7:17">
      <c r="G135" s="181"/>
      <c r="H135" s="39"/>
      <c r="I135" s="39"/>
      <c r="J135" s="39"/>
      <c r="K135" s="39"/>
      <c r="L135" s="39"/>
      <c r="M135" s="39"/>
      <c r="N135" s="39"/>
      <c r="O135" s="39"/>
      <c r="P135" s="39"/>
      <c r="Q135" s="39"/>
    </row>
    <row r="136" spans="7:17">
      <c r="G136" s="181"/>
      <c r="H136" s="39"/>
      <c r="I136" s="39"/>
      <c r="J136" s="39"/>
      <c r="K136" s="39"/>
      <c r="L136" s="39"/>
      <c r="M136" s="39"/>
      <c r="N136" s="39"/>
      <c r="O136" s="39"/>
      <c r="P136" s="39"/>
      <c r="Q136" s="39"/>
    </row>
    <row r="137" spans="7:17">
      <c r="G137" s="181"/>
      <c r="H137" s="39"/>
      <c r="I137" s="39"/>
      <c r="J137" s="39"/>
      <c r="K137" s="39"/>
      <c r="L137" s="39"/>
      <c r="M137" s="39"/>
      <c r="N137" s="39"/>
      <c r="O137" s="39"/>
      <c r="P137" s="39"/>
      <c r="Q137" s="39"/>
    </row>
    <row r="138" spans="7:17">
      <c r="G138" s="181"/>
      <c r="H138" s="39"/>
      <c r="I138" s="39"/>
      <c r="J138" s="39"/>
      <c r="K138" s="39"/>
      <c r="L138" s="39"/>
      <c r="M138" s="39"/>
      <c r="N138" s="39"/>
      <c r="O138" s="39"/>
      <c r="P138" s="39"/>
      <c r="Q138" s="39"/>
    </row>
    <row r="139" spans="7:17">
      <c r="G139" s="181"/>
      <c r="H139" s="39"/>
      <c r="I139" s="39"/>
      <c r="J139" s="39"/>
      <c r="K139" s="39"/>
      <c r="L139" s="39"/>
      <c r="M139" s="39"/>
      <c r="N139" s="39"/>
      <c r="O139" s="39"/>
      <c r="P139" s="39"/>
      <c r="Q139" s="39"/>
    </row>
    <row r="140" spans="7:17">
      <c r="G140" s="181"/>
      <c r="H140" s="39"/>
      <c r="I140" s="39"/>
      <c r="J140" s="39"/>
      <c r="K140" s="39"/>
      <c r="L140" s="39"/>
      <c r="M140" s="39"/>
      <c r="N140" s="39"/>
      <c r="O140" s="39"/>
      <c r="P140" s="39"/>
      <c r="Q140" s="39"/>
    </row>
    <row r="141" spans="7:17">
      <c r="G141" s="181"/>
      <c r="H141" s="39"/>
      <c r="I141" s="39"/>
      <c r="J141" s="39"/>
      <c r="K141" s="39"/>
      <c r="L141" s="39"/>
      <c r="M141" s="39"/>
      <c r="N141" s="39"/>
      <c r="O141" s="39"/>
      <c r="P141" s="39"/>
      <c r="Q141" s="39"/>
    </row>
    <row r="142" spans="7:17">
      <c r="G142" s="181"/>
      <c r="H142" s="39"/>
      <c r="I142" s="39"/>
      <c r="J142" s="39"/>
      <c r="K142" s="39"/>
      <c r="L142" s="39"/>
      <c r="M142" s="39"/>
      <c r="N142" s="39"/>
      <c r="O142" s="39"/>
      <c r="P142" s="39"/>
      <c r="Q142" s="39"/>
    </row>
    <row r="143" spans="7:17">
      <c r="G143" s="181"/>
      <c r="H143" s="39"/>
      <c r="I143" s="39"/>
      <c r="J143" s="39"/>
      <c r="K143" s="39"/>
      <c r="L143" s="39"/>
      <c r="M143" s="39"/>
      <c r="N143" s="39"/>
      <c r="O143" s="39"/>
      <c r="P143" s="39"/>
      <c r="Q143" s="39"/>
    </row>
    <row r="144" spans="7:17">
      <c r="G144" s="181"/>
      <c r="H144" s="39"/>
      <c r="I144" s="39"/>
      <c r="J144" s="39"/>
      <c r="K144" s="39"/>
      <c r="L144" s="39"/>
      <c r="M144" s="39"/>
      <c r="N144" s="39"/>
      <c r="O144" s="39"/>
      <c r="P144" s="39"/>
      <c r="Q144" s="39"/>
    </row>
    <row r="145" spans="7:17">
      <c r="G145" s="181"/>
      <c r="H145" s="39"/>
      <c r="I145" s="39"/>
      <c r="J145" s="39"/>
      <c r="K145" s="39"/>
      <c r="L145" s="39"/>
      <c r="M145" s="39"/>
      <c r="N145" s="39"/>
      <c r="O145" s="39"/>
      <c r="P145" s="39"/>
      <c r="Q145" s="39"/>
    </row>
    <row r="146" spans="7:17" ht="16" thickBot="1">
      <c r="G146" s="1135"/>
      <c r="H146" s="817"/>
      <c r="I146" s="817"/>
      <c r="J146" s="817"/>
      <c r="K146" s="817"/>
      <c r="L146" s="39"/>
      <c r="M146" s="39"/>
      <c r="N146" s="39"/>
      <c r="O146" s="39"/>
      <c r="P146" s="39"/>
      <c r="Q146" s="39"/>
    </row>
    <row r="147" spans="7:17">
      <c r="L147" s="39"/>
      <c r="M147" s="39"/>
      <c r="N147" s="39"/>
      <c r="O147" s="39"/>
      <c r="P147" s="39"/>
      <c r="Q147" s="39"/>
    </row>
    <row r="148" spans="7:17">
      <c r="L148" s="39"/>
      <c r="M148" s="39"/>
      <c r="N148" s="39"/>
      <c r="O148" s="39"/>
      <c r="P148" s="39"/>
      <c r="Q148" s="39"/>
    </row>
    <row r="149" spans="7:17">
      <c r="L149" s="39"/>
      <c r="M149" s="39"/>
      <c r="N149" s="39"/>
      <c r="O149" s="39"/>
      <c r="P149" s="39"/>
      <c r="Q149" s="39"/>
    </row>
    <row r="150" spans="7:17" hidden="1">
      <c r="L150" s="39"/>
      <c r="M150" s="39"/>
      <c r="N150" s="39"/>
      <c r="O150" s="39"/>
      <c r="P150" s="39"/>
      <c r="Q150" s="39"/>
    </row>
    <row r="151" spans="7:17" hidden="1">
      <c r="L151" s="39"/>
      <c r="M151" s="39"/>
      <c r="N151" s="39"/>
      <c r="O151" s="39"/>
      <c r="P151" s="39"/>
      <c r="Q151" s="39"/>
    </row>
    <row r="152" spans="7:17" hidden="1">
      <c r="L152" s="39"/>
      <c r="M152" s="39"/>
      <c r="N152" s="39"/>
      <c r="O152" s="39"/>
      <c r="P152" s="39"/>
      <c r="Q152" s="39"/>
    </row>
    <row r="153" spans="7:17" hidden="1">
      <c r="L153" s="39"/>
      <c r="M153" s="39"/>
      <c r="N153" s="39"/>
      <c r="O153" s="39"/>
      <c r="P153" s="39"/>
      <c r="Q153" s="39"/>
    </row>
    <row r="154" spans="7:17" hidden="1">
      <c r="L154" s="39"/>
      <c r="M154" s="39"/>
      <c r="N154" s="39"/>
      <c r="O154" s="39"/>
      <c r="P154" s="39"/>
      <c r="Q154" s="39"/>
    </row>
    <row r="155" spans="7:17" hidden="1">
      <c r="L155" s="39"/>
      <c r="M155" s="39"/>
      <c r="N155" s="39"/>
      <c r="O155" s="39"/>
      <c r="P155" s="39"/>
      <c r="Q155" s="39"/>
    </row>
    <row r="156" spans="7:17" hidden="1">
      <c r="L156" s="39"/>
      <c r="M156" s="39"/>
      <c r="N156" s="39"/>
      <c r="O156" s="39"/>
      <c r="P156" s="39"/>
      <c r="Q156" s="39"/>
    </row>
    <row r="157" spans="7:17" hidden="1">
      <c r="L157" s="39"/>
      <c r="M157" s="39"/>
      <c r="N157" s="39"/>
      <c r="O157" s="39"/>
      <c r="P157" s="39"/>
      <c r="Q157" s="39"/>
    </row>
    <row r="158" spans="7:17" hidden="1">
      <c r="L158" s="39"/>
      <c r="M158" s="39"/>
      <c r="N158" s="39"/>
      <c r="O158" s="39"/>
      <c r="P158" s="39"/>
      <c r="Q158" s="39"/>
    </row>
    <row r="159" spans="7:17" hidden="1">
      <c r="L159" s="39"/>
      <c r="M159" s="39"/>
      <c r="N159" s="39"/>
      <c r="O159" s="39"/>
      <c r="P159" s="39"/>
      <c r="Q159" s="39"/>
    </row>
    <row r="160" spans="7:17" hidden="1">
      <c r="L160" s="39"/>
      <c r="M160" s="39"/>
      <c r="N160" s="39"/>
      <c r="O160" s="39"/>
      <c r="P160" s="39"/>
      <c r="Q160" s="39"/>
    </row>
    <row r="161" spans="12:17" hidden="1">
      <c r="L161" s="39"/>
      <c r="M161" s="39"/>
      <c r="N161" s="39"/>
      <c r="O161" s="39"/>
      <c r="P161" s="39"/>
      <c r="Q161" s="39"/>
    </row>
    <row r="162" spans="12:17" hidden="1">
      <c r="L162" s="39"/>
      <c r="M162" s="39"/>
      <c r="N162" s="39"/>
      <c r="O162" s="39"/>
      <c r="P162" s="39"/>
      <c r="Q162" s="39"/>
    </row>
    <row r="163" spans="12:17" hidden="1">
      <c r="L163" s="39"/>
      <c r="M163" s="39"/>
      <c r="N163" s="39"/>
      <c r="O163" s="39"/>
      <c r="P163" s="39"/>
      <c r="Q163" s="39"/>
    </row>
    <row r="164" spans="12:17" hidden="1">
      <c r="L164" s="39"/>
      <c r="M164" s="39"/>
      <c r="N164" s="39"/>
      <c r="O164" s="39"/>
      <c r="P164" s="39"/>
      <c r="Q164" s="39"/>
    </row>
    <row r="165" spans="12:17" hidden="1">
      <c r="L165" s="39"/>
      <c r="M165" s="39"/>
      <c r="N165" s="39"/>
      <c r="O165" s="39"/>
      <c r="P165" s="39"/>
      <c r="Q165" s="39"/>
    </row>
    <row r="166" spans="12:17" hidden="1">
      <c r="L166" s="39"/>
      <c r="M166" s="39"/>
      <c r="N166" s="39"/>
      <c r="O166" s="39"/>
      <c r="P166" s="39"/>
      <c r="Q166" s="39"/>
    </row>
    <row r="167" spans="12:17" hidden="1">
      <c r="L167" s="39"/>
      <c r="M167" s="39"/>
      <c r="N167" s="39"/>
      <c r="O167" s="39"/>
      <c r="P167" s="39"/>
      <c r="Q167" s="39"/>
    </row>
    <row r="168" spans="12:17" hidden="1">
      <c r="L168" s="39"/>
      <c r="M168" s="39"/>
      <c r="N168" s="39"/>
      <c r="O168" s="39"/>
      <c r="P168" s="39"/>
      <c r="Q168" s="39"/>
    </row>
    <row r="169" spans="12:17" hidden="1">
      <c r="L169" s="39"/>
      <c r="M169" s="39"/>
      <c r="N169" s="39"/>
      <c r="O169" s="39"/>
      <c r="P169" s="39"/>
      <c r="Q169" s="39"/>
    </row>
    <row r="170" spans="12:17" hidden="1">
      <c r="L170" s="39"/>
      <c r="M170" s="39"/>
      <c r="N170" s="39"/>
      <c r="O170" s="39"/>
      <c r="P170" s="39"/>
      <c r="Q170" s="39"/>
    </row>
    <row r="171" spans="12:17" hidden="1">
      <c r="L171" s="39"/>
      <c r="M171" s="39"/>
      <c r="N171" s="39"/>
      <c r="O171" s="39"/>
      <c r="P171" s="39"/>
      <c r="Q171" s="39"/>
    </row>
    <row r="172" spans="12:17" hidden="1">
      <c r="L172" s="39"/>
      <c r="M172" s="39"/>
      <c r="N172" s="39"/>
      <c r="O172" s="39"/>
      <c r="P172" s="39"/>
      <c r="Q172" s="39"/>
    </row>
    <row r="173" spans="12:17" hidden="1">
      <c r="L173" s="39"/>
      <c r="M173" s="39"/>
      <c r="N173" s="39"/>
      <c r="O173" s="39"/>
      <c r="P173" s="39"/>
      <c r="Q173" s="39"/>
    </row>
    <row r="174" spans="12:17" hidden="1">
      <c r="L174" s="39"/>
      <c r="M174" s="39"/>
      <c r="N174" s="39"/>
      <c r="O174" s="39"/>
      <c r="P174" s="39"/>
      <c r="Q174" s="39"/>
    </row>
    <row r="175" spans="12:17" hidden="1">
      <c r="L175" s="39"/>
      <c r="M175" s="39"/>
      <c r="N175" s="39"/>
      <c r="O175" s="39"/>
      <c r="P175" s="39"/>
      <c r="Q175" s="39"/>
    </row>
    <row r="176" spans="12:17" hidden="1">
      <c r="L176" s="39"/>
      <c r="M176" s="39"/>
      <c r="N176" s="39"/>
      <c r="O176" s="39"/>
      <c r="P176" s="39"/>
      <c r="Q176" s="39"/>
    </row>
    <row r="177" spans="12:17" hidden="1">
      <c r="L177" s="39"/>
      <c r="M177" s="39"/>
      <c r="N177" s="39"/>
      <c r="O177" s="39"/>
      <c r="P177" s="39"/>
      <c r="Q177" s="39"/>
    </row>
    <row r="178" spans="12:17" hidden="1">
      <c r="L178" s="39"/>
      <c r="M178" s="39"/>
      <c r="N178" s="39"/>
      <c r="O178" s="39"/>
      <c r="P178" s="39"/>
      <c r="Q178" s="39"/>
    </row>
    <row r="179" spans="12:17" hidden="1">
      <c r="L179" s="39"/>
      <c r="M179" s="39"/>
      <c r="N179" s="39"/>
      <c r="O179" s="39"/>
      <c r="P179" s="39"/>
      <c r="Q179" s="39"/>
    </row>
    <row r="180" spans="12:17" hidden="1">
      <c r="L180" s="39"/>
      <c r="M180" s="39"/>
      <c r="N180" s="39"/>
      <c r="O180" s="39"/>
      <c r="P180" s="39"/>
      <c r="Q180" s="39"/>
    </row>
    <row r="181" spans="12:17" hidden="1">
      <c r="L181" s="39"/>
      <c r="M181" s="39"/>
      <c r="N181" s="39"/>
      <c r="O181" s="39"/>
      <c r="P181" s="39"/>
      <c r="Q181" s="39"/>
    </row>
    <row r="182" spans="12:17" hidden="1">
      <c r="L182" s="39"/>
      <c r="M182" s="39"/>
      <c r="N182" s="39"/>
      <c r="O182" s="39"/>
      <c r="P182" s="39"/>
      <c r="Q182" s="39"/>
    </row>
    <row r="183" spans="12:17" hidden="1">
      <c r="L183" s="39"/>
      <c r="M183" s="39"/>
      <c r="N183" s="39"/>
      <c r="O183" s="39"/>
      <c r="P183" s="39"/>
      <c r="Q183" s="39"/>
    </row>
    <row r="184" spans="12:17" hidden="1">
      <c r="L184" s="39"/>
      <c r="M184" s="39"/>
      <c r="N184" s="39"/>
      <c r="O184" s="39"/>
      <c r="P184" s="39"/>
      <c r="Q184" s="39"/>
    </row>
    <row r="185" spans="12:17" hidden="1">
      <c r="L185" s="39"/>
      <c r="M185" s="39"/>
      <c r="N185" s="39"/>
      <c r="O185" s="39"/>
      <c r="P185" s="39"/>
      <c r="Q185" s="39"/>
    </row>
    <row r="186" spans="12:17" hidden="1">
      <c r="L186" s="39"/>
      <c r="M186" s="39"/>
      <c r="N186" s="39"/>
      <c r="O186" s="39"/>
      <c r="P186" s="39"/>
      <c r="Q186" s="39"/>
    </row>
    <row r="187" spans="12:17" hidden="1">
      <c r="L187" s="39"/>
      <c r="M187" s="39"/>
      <c r="N187" s="39"/>
      <c r="O187" s="39"/>
      <c r="P187" s="39"/>
      <c r="Q187" s="39"/>
    </row>
    <row r="188" spans="12:17" hidden="1">
      <c r="L188" s="39"/>
      <c r="M188" s="39"/>
      <c r="N188" s="39"/>
      <c r="O188" s="39"/>
      <c r="P188" s="39"/>
      <c r="Q188" s="39"/>
    </row>
    <row r="189" spans="12:17" hidden="1">
      <c r="L189" s="39"/>
      <c r="M189" s="39"/>
      <c r="N189" s="39"/>
      <c r="O189" s="39"/>
      <c r="P189" s="39"/>
      <c r="Q189" s="39"/>
    </row>
    <row r="190" spans="12:17" hidden="1">
      <c r="L190" s="39"/>
      <c r="M190" s="39"/>
      <c r="N190" s="39"/>
      <c r="O190" s="39"/>
      <c r="P190" s="39"/>
      <c r="Q190" s="39"/>
    </row>
    <row r="191" spans="12:17" hidden="1">
      <c r="L191" s="39"/>
      <c r="M191" s="39"/>
      <c r="N191" s="39"/>
      <c r="O191" s="39"/>
      <c r="P191" s="39"/>
      <c r="Q191" s="39"/>
    </row>
    <row r="192" spans="12:17" hidden="1">
      <c r="L192" s="39"/>
      <c r="M192" s="39"/>
      <c r="N192" s="39"/>
      <c r="O192" s="39"/>
      <c r="P192" s="39"/>
      <c r="Q192" s="39"/>
    </row>
    <row r="193" spans="12:17" hidden="1">
      <c r="L193" s="39"/>
      <c r="M193" s="39"/>
      <c r="N193" s="39"/>
      <c r="O193" s="39"/>
      <c r="P193" s="39"/>
      <c r="Q193" s="39"/>
    </row>
    <row r="194" spans="12:17" hidden="1">
      <c r="L194" s="39"/>
      <c r="M194" s="39"/>
      <c r="N194" s="39"/>
      <c r="O194" s="39"/>
      <c r="P194" s="39"/>
      <c r="Q194" s="39"/>
    </row>
    <row r="195" spans="12:17" hidden="1">
      <c r="L195" s="39"/>
      <c r="M195" s="39"/>
      <c r="N195" s="39"/>
      <c r="O195" s="39"/>
      <c r="P195" s="39"/>
      <c r="Q195" s="39"/>
    </row>
    <row r="196" spans="12:17" hidden="1">
      <c r="L196" s="39"/>
      <c r="M196" s="39"/>
      <c r="N196" s="39"/>
      <c r="O196" s="39"/>
      <c r="P196" s="39"/>
      <c r="Q196" s="39"/>
    </row>
    <row r="197" spans="12:17" hidden="1">
      <c r="L197" s="39"/>
      <c r="M197" s="39"/>
      <c r="N197" s="39"/>
      <c r="O197" s="39"/>
      <c r="P197" s="39"/>
      <c r="Q197" s="39"/>
    </row>
    <row r="198" spans="12:17" hidden="1">
      <c r="L198" s="39"/>
      <c r="M198" s="39"/>
      <c r="N198" s="39"/>
      <c r="O198" s="39"/>
      <c r="P198" s="39"/>
      <c r="Q198" s="39"/>
    </row>
    <row r="199" spans="12:17" hidden="1">
      <c r="L199" s="39"/>
      <c r="M199" s="39"/>
      <c r="N199" s="39"/>
      <c r="O199" s="39"/>
      <c r="P199" s="39"/>
      <c r="Q199" s="39"/>
    </row>
    <row r="200" spans="12:17" hidden="1">
      <c r="L200" s="39"/>
      <c r="M200" s="39"/>
      <c r="N200" s="39"/>
      <c r="O200" s="39"/>
      <c r="P200" s="39"/>
      <c r="Q200" s="39"/>
    </row>
    <row r="201" spans="12:17" hidden="1">
      <c r="L201" s="39"/>
      <c r="M201" s="39"/>
      <c r="N201" s="39"/>
      <c r="O201" s="39"/>
      <c r="P201" s="39"/>
      <c r="Q201" s="39"/>
    </row>
    <row r="202" spans="12:17" hidden="1">
      <c r="L202" s="39"/>
      <c r="M202" s="39"/>
      <c r="N202" s="39"/>
      <c r="O202" s="39"/>
      <c r="P202" s="39"/>
      <c r="Q202" s="39"/>
    </row>
    <row r="203" spans="12:17" hidden="1">
      <c r="L203" s="39"/>
      <c r="M203" s="39"/>
      <c r="N203" s="39"/>
      <c r="O203" s="39"/>
      <c r="P203" s="39"/>
      <c r="Q203" s="39"/>
    </row>
    <row r="204" spans="12:17" hidden="1">
      <c r="L204" s="39"/>
      <c r="M204" s="39"/>
      <c r="N204" s="39"/>
      <c r="O204" s="39"/>
      <c r="P204" s="39"/>
      <c r="Q204" s="39"/>
    </row>
    <row r="205" spans="12:17" hidden="1">
      <c r="L205" s="39"/>
      <c r="M205" s="39"/>
      <c r="N205" s="39"/>
      <c r="O205" s="39"/>
      <c r="P205" s="39"/>
      <c r="Q205" s="39"/>
    </row>
    <row r="206" spans="12:17" hidden="1">
      <c r="L206" s="39"/>
      <c r="M206" s="39"/>
      <c r="N206" s="39"/>
      <c r="O206" s="39"/>
      <c r="P206" s="39"/>
      <c r="Q206" s="39"/>
    </row>
    <row r="207" spans="12:17" hidden="1">
      <c r="L207" s="39"/>
      <c r="M207" s="39"/>
      <c r="N207" s="39"/>
      <c r="O207" s="39"/>
      <c r="P207" s="39"/>
      <c r="Q207" s="39"/>
    </row>
    <row r="208" spans="12:17" hidden="1">
      <c r="L208" s="39"/>
      <c r="M208" s="39"/>
      <c r="N208" s="39"/>
      <c r="O208" s="39"/>
      <c r="P208" s="39"/>
      <c r="Q208" s="39"/>
    </row>
    <row r="209" spans="12:17" hidden="1">
      <c r="L209" s="39"/>
      <c r="M209" s="39"/>
      <c r="N209" s="39"/>
      <c r="O209" s="39"/>
      <c r="P209" s="39"/>
      <c r="Q209" s="39"/>
    </row>
    <row r="210" spans="12:17" hidden="1">
      <c r="L210" s="39"/>
      <c r="M210" s="39"/>
      <c r="N210" s="39"/>
      <c r="O210" s="39"/>
      <c r="P210" s="39"/>
      <c r="Q210" s="39"/>
    </row>
    <row r="211" spans="12:17" hidden="1">
      <c r="L211" s="39"/>
      <c r="M211" s="39"/>
      <c r="N211" s="39"/>
      <c r="O211" s="39"/>
      <c r="P211" s="39"/>
      <c r="Q211" s="39"/>
    </row>
    <row r="212" spans="12:17" hidden="1">
      <c r="L212" s="39"/>
      <c r="M212" s="39"/>
      <c r="N212" s="39"/>
      <c r="O212" s="39"/>
      <c r="P212" s="39"/>
      <c r="Q212" s="39"/>
    </row>
    <row r="213" spans="12:17" hidden="1">
      <c r="L213" s="39"/>
      <c r="M213" s="39"/>
      <c r="N213" s="39"/>
      <c r="O213" s="39"/>
      <c r="P213" s="39"/>
      <c r="Q213" s="39"/>
    </row>
    <row r="214" spans="12:17" hidden="1">
      <c r="L214" s="39"/>
      <c r="M214" s="39"/>
      <c r="N214" s="39"/>
      <c r="O214" s="39"/>
      <c r="P214" s="39"/>
      <c r="Q214" s="39"/>
    </row>
    <row r="215" spans="12:17" hidden="1">
      <c r="L215" s="39"/>
      <c r="M215" s="39"/>
      <c r="N215" s="39"/>
      <c r="O215" s="39"/>
      <c r="P215" s="39"/>
      <c r="Q215" s="39"/>
    </row>
    <row r="216" spans="12:17" hidden="1">
      <c r="L216" s="39"/>
      <c r="M216" s="39"/>
      <c r="N216" s="39"/>
      <c r="O216" s="39"/>
      <c r="P216" s="39"/>
      <c r="Q216" s="39"/>
    </row>
    <row r="217" spans="12:17" hidden="1">
      <c r="L217" s="39"/>
      <c r="M217" s="39"/>
      <c r="N217" s="39"/>
      <c r="O217" s="39"/>
      <c r="P217" s="39"/>
      <c r="Q217" s="39"/>
    </row>
    <row r="218" spans="12:17" hidden="1">
      <c r="L218" s="39"/>
      <c r="M218" s="39"/>
      <c r="N218" s="39"/>
      <c r="O218" s="39"/>
      <c r="P218" s="39"/>
      <c r="Q218" s="39"/>
    </row>
    <row r="219" spans="12:17" hidden="1">
      <c r="L219" s="39"/>
      <c r="M219" s="39"/>
      <c r="N219" s="39"/>
      <c r="O219" s="39"/>
      <c r="P219" s="39"/>
      <c r="Q219" s="39"/>
    </row>
    <row r="220" spans="12:17" hidden="1">
      <c r="L220" s="39"/>
      <c r="M220" s="39"/>
      <c r="N220" s="39"/>
      <c r="O220" s="39"/>
      <c r="P220" s="39"/>
      <c r="Q220" s="39"/>
    </row>
    <row r="221" spans="12:17" hidden="1">
      <c r="L221" s="39"/>
      <c r="M221" s="39"/>
      <c r="N221" s="39"/>
      <c r="O221" s="39"/>
      <c r="P221" s="39"/>
      <c r="Q221" s="39"/>
    </row>
    <row r="222" spans="12:17" hidden="1">
      <c r="L222" s="39"/>
      <c r="M222" s="39"/>
      <c r="N222" s="39"/>
      <c r="O222" s="39"/>
      <c r="P222" s="39"/>
      <c r="Q222" s="39"/>
    </row>
    <row r="223" spans="12:17" hidden="1">
      <c r="L223" s="39"/>
      <c r="M223" s="39"/>
      <c r="N223" s="39"/>
      <c r="O223" s="39"/>
      <c r="P223" s="39"/>
      <c r="Q223" s="39"/>
    </row>
    <row r="224" spans="12:17" hidden="1">
      <c r="L224" s="39"/>
      <c r="M224" s="39"/>
      <c r="N224" s="39"/>
      <c r="O224" s="39"/>
      <c r="P224" s="39"/>
      <c r="Q224" s="39"/>
    </row>
    <row r="225" spans="12:17" hidden="1">
      <c r="L225" s="39"/>
      <c r="M225" s="39"/>
      <c r="N225" s="39"/>
      <c r="O225" s="39"/>
      <c r="P225" s="39"/>
      <c r="Q225" s="39"/>
    </row>
    <row r="226" spans="12:17" hidden="1">
      <c r="L226" s="39"/>
      <c r="M226" s="39"/>
      <c r="N226" s="39"/>
      <c r="O226" s="39"/>
      <c r="P226" s="39"/>
      <c r="Q226" s="39"/>
    </row>
    <row r="227" spans="12:17" hidden="1">
      <c r="L227" s="39"/>
      <c r="M227" s="39"/>
      <c r="N227" s="39"/>
      <c r="O227" s="39"/>
      <c r="P227" s="39"/>
      <c r="Q227" s="39"/>
    </row>
    <row r="228" spans="12:17" hidden="1">
      <c r="L228" s="39"/>
      <c r="M228" s="39"/>
      <c r="N228" s="39"/>
      <c r="O228" s="39"/>
      <c r="P228" s="39"/>
      <c r="Q228" s="39"/>
    </row>
    <row r="229" spans="12:17" hidden="1">
      <c r="L229" s="39"/>
      <c r="M229" s="39"/>
      <c r="N229" s="39"/>
      <c r="O229" s="39"/>
      <c r="P229" s="39"/>
      <c r="Q229" s="39"/>
    </row>
    <row r="230" spans="12:17" hidden="1">
      <c r="L230" s="39"/>
      <c r="M230" s="39"/>
      <c r="N230" s="39"/>
      <c r="O230" s="39"/>
      <c r="P230" s="39"/>
      <c r="Q230" s="39"/>
    </row>
    <row r="231" spans="12:17" hidden="1">
      <c r="L231" s="39"/>
      <c r="M231" s="39"/>
      <c r="N231" s="39"/>
      <c r="O231" s="39"/>
      <c r="P231" s="39"/>
      <c r="Q231" s="39"/>
    </row>
    <row r="232" spans="12:17" hidden="1">
      <c r="L232" s="39"/>
      <c r="M232" s="39"/>
      <c r="N232" s="39"/>
      <c r="O232" s="39"/>
      <c r="P232" s="39"/>
      <c r="Q232" s="39"/>
    </row>
    <row r="233" spans="12:17" hidden="1">
      <c r="L233" s="39"/>
      <c r="M233" s="39"/>
      <c r="N233" s="39"/>
      <c r="O233" s="39"/>
      <c r="P233" s="39"/>
      <c r="Q233" s="39"/>
    </row>
    <row r="234" spans="12:17" hidden="1">
      <c r="L234" s="39"/>
      <c r="M234" s="39"/>
      <c r="N234" s="39"/>
      <c r="O234" s="39"/>
      <c r="P234" s="39"/>
      <c r="Q234" s="39"/>
    </row>
    <row r="235" spans="12:17" hidden="1">
      <c r="L235" s="39"/>
      <c r="M235" s="39"/>
      <c r="N235" s="39"/>
      <c r="O235" s="39"/>
      <c r="P235" s="39"/>
      <c r="Q235" s="39"/>
    </row>
    <row r="236" spans="12:17" hidden="1">
      <c r="L236" s="39"/>
      <c r="M236" s="39"/>
      <c r="N236" s="39"/>
      <c r="O236" s="39"/>
      <c r="P236" s="39"/>
      <c r="Q236" s="39"/>
    </row>
    <row r="237" spans="12:17" hidden="1">
      <c r="L237" s="39"/>
      <c r="M237" s="39"/>
      <c r="N237" s="39"/>
      <c r="O237" s="39"/>
      <c r="P237" s="39"/>
      <c r="Q237" s="39"/>
    </row>
    <row r="238" spans="12:17" hidden="1">
      <c r="L238" s="39"/>
      <c r="M238" s="39"/>
      <c r="N238" s="39"/>
      <c r="O238" s="39"/>
      <c r="P238" s="39"/>
      <c r="Q238" s="39"/>
    </row>
    <row r="239" spans="12:17" hidden="1">
      <c r="L239" s="39"/>
      <c r="M239" s="39"/>
      <c r="N239" s="39"/>
      <c r="O239" s="39"/>
      <c r="P239" s="39"/>
      <c r="Q239" s="39"/>
    </row>
    <row r="240" spans="12:17" hidden="1">
      <c r="L240" s="39"/>
      <c r="M240" s="39"/>
      <c r="N240" s="39"/>
      <c r="O240" s="39"/>
      <c r="P240" s="39"/>
      <c r="Q240" s="39"/>
    </row>
    <row r="241" spans="12:17" hidden="1">
      <c r="L241" s="39"/>
      <c r="M241" s="39"/>
      <c r="N241" s="39"/>
      <c r="O241" s="39"/>
      <c r="P241" s="39"/>
      <c r="Q241" s="39"/>
    </row>
    <row r="242" spans="12:17" hidden="1">
      <c r="L242" s="39"/>
      <c r="M242" s="39"/>
      <c r="N242" s="39"/>
      <c r="O242" s="39"/>
      <c r="P242" s="39"/>
      <c r="Q242" s="39"/>
    </row>
    <row r="243" spans="12:17" hidden="1">
      <c r="L243" s="39"/>
      <c r="M243" s="39"/>
      <c r="N243" s="39"/>
      <c r="O243" s="39"/>
      <c r="P243" s="39"/>
      <c r="Q243" s="39"/>
    </row>
    <row r="244" spans="12:17" hidden="1">
      <c r="L244" s="39"/>
      <c r="M244" s="39"/>
      <c r="N244" s="39"/>
      <c r="O244" s="39"/>
      <c r="P244" s="39"/>
      <c r="Q244" s="39"/>
    </row>
    <row r="245" spans="12:17" hidden="1">
      <c r="L245" s="39"/>
      <c r="M245" s="39"/>
      <c r="N245" s="39"/>
      <c r="O245" s="39"/>
      <c r="P245" s="39"/>
      <c r="Q245" s="39"/>
    </row>
    <row r="246" spans="12:17" hidden="1">
      <c r="L246" s="39"/>
      <c r="M246" s="39"/>
      <c r="N246" s="39"/>
      <c r="O246" s="39"/>
      <c r="P246" s="39"/>
      <c r="Q246" s="39"/>
    </row>
    <row r="247" spans="12:17" hidden="1">
      <c r="L247" s="39"/>
      <c r="M247" s="39"/>
      <c r="N247" s="39"/>
      <c r="O247" s="39"/>
      <c r="P247" s="39"/>
      <c r="Q247" s="39"/>
    </row>
    <row r="248" spans="12:17" hidden="1">
      <c r="L248" s="39"/>
      <c r="M248" s="39"/>
      <c r="N248" s="39"/>
      <c r="O248" s="39"/>
      <c r="P248" s="39"/>
      <c r="Q248" s="39"/>
    </row>
    <row r="249" spans="12:17" hidden="1">
      <c r="L249" s="39"/>
      <c r="M249" s="39"/>
      <c r="N249" s="39"/>
      <c r="O249" s="39"/>
      <c r="P249" s="39"/>
      <c r="Q249" s="39"/>
    </row>
    <row r="250" spans="12:17" hidden="1">
      <c r="L250" s="39"/>
      <c r="M250" s="39"/>
      <c r="N250" s="39"/>
      <c r="O250" s="39"/>
      <c r="P250" s="39"/>
      <c r="Q250" s="39"/>
    </row>
    <row r="251" spans="12:17" hidden="1">
      <c r="L251" s="39"/>
      <c r="M251" s="39"/>
      <c r="N251" s="39"/>
      <c r="O251" s="39"/>
      <c r="P251" s="39"/>
      <c r="Q251" s="39"/>
    </row>
    <row r="252" spans="12:17" hidden="1">
      <c r="L252" s="39"/>
      <c r="M252" s="39"/>
      <c r="N252" s="39"/>
      <c r="O252" s="39"/>
      <c r="P252" s="39"/>
      <c r="Q252" s="39"/>
    </row>
    <row r="253" spans="12:17" hidden="1">
      <c r="L253" s="39"/>
      <c r="M253" s="39"/>
      <c r="N253" s="39"/>
      <c r="O253" s="39"/>
      <c r="P253" s="39"/>
      <c r="Q253" s="39"/>
    </row>
    <row r="254" spans="12:17" hidden="1">
      <c r="L254" s="39"/>
      <c r="M254" s="39"/>
      <c r="N254" s="39"/>
      <c r="O254" s="39"/>
      <c r="P254" s="39"/>
      <c r="Q254" s="39"/>
    </row>
    <row r="255" spans="12:17" hidden="1">
      <c r="L255" s="39"/>
      <c r="M255" s="39"/>
      <c r="N255" s="39"/>
      <c r="O255" s="39"/>
      <c r="P255" s="39"/>
      <c r="Q255" s="39"/>
    </row>
    <row r="256" spans="12:17" hidden="1">
      <c r="L256" s="39"/>
      <c r="M256" s="39"/>
      <c r="N256" s="39"/>
      <c r="O256" s="39"/>
      <c r="P256" s="39"/>
      <c r="Q256" s="39"/>
    </row>
    <row r="257" spans="12:17" hidden="1">
      <c r="L257" s="39"/>
      <c r="M257" s="39"/>
      <c r="N257" s="39"/>
      <c r="O257" s="39"/>
      <c r="P257" s="39"/>
      <c r="Q257" s="39"/>
    </row>
    <row r="258" spans="12:17" hidden="1">
      <c r="L258" s="39"/>
      <c r="M258" s="39"/>
      <c r="N258" s="39"/>
      <c r="O258" s="39"/>
      <c r="P258" s="39"/>
      <c r="Q258" s="39"/>
    </row>
    <row r="259" spans="12:17" hidden="1">
      <c r="L259" s="39"/>
      <c r="M259" s="39"/>
      <c r="N259" s="39"/>
      <c r="O259" s="39"/>
      <c r="P259" s="39"/>
      <c r="Q259" s="39"/>
    </row>
    <row r="260" spans="12:17" hidden="1">
      <c r="L260" s="39"/>
      <c r="M260" s="39"/>
      <c r="N260" s="39"/>
      <c r="O260" s="39"/>
      <c r="P260" s="39"/>
      <c r="Q260" s="39"/>
    </row>
    <row r="261" spans="12:17">
      <c r="L261" s="39"/>
      <c r="M261" s="39"/>
      <c r="N261" s="39"/>
      <c r="O261" s="39"/>
      <c r="P261" s="39"/>
      <c r="Q261" s="39"/>
    </row>
    <row r="262" spans="12:17">
      <c r="L262" s="39"/>
      <c r="M262" s="39"/>
      <c r="N262" s="39"/>
      <c r="O262" s="39"/>
      <c r="P262" s="39"/>
      <c r="Q262" s="39"/>
    </row>
    <row r="263" spans="12:17">
      <c r="L263" s="39"/>
      <c r="M263" s="39"/>
      <c r="N263" s="39"/>
      <c r="O263" s="39"/>
      <c r="P263" s="39"/>
      <c r="Q263" s="39"/>
    </row>
    <row r="264" spans="12:17">
      <c r="L264" s="39"/>
      <c r="M264" s="39"/>
      <c r="N264" s="39"/>
      <c r="O264" s="39"/>
      <c r="P264" s="39"/>
      <c r="Q264" s="39"/>
    </row>
    <row r="265" spans="12:17">
      <c r="L265" s="39"/>
      <c r="M265" s="39"/>
      <c r="N265" s="39"/>
      <c r="O265" s="39"/>
      <c r="P265" s="39"/>
      <c r="Q265" s="39"/>
    </row>
    <row r="266" spans="12:17">
      <c r="L266" s="39"/>
      <c r="M266" s="39"/>
      <c r="N266" s="39"/>
      <c r="O266" s="39"/>
      <c r="P266" s="39"/>
      <c r="Q266" s="39"/>
    </row>
    <row r="267" spans="12:17">
      <c r="L267" s="39"/>
      <c r="M267" s="39"/>
      <c r="N267" s="39"/>
      <c r="O267" s="39"/>
      <c r="P267" s="39"/>
      <c r="Q267" s="39"/>
    </row>
    <row r="268" spans="12:17">
      <c r="L268" s="39"/>
      <c r="M268" s="39"/>
      <c r="N268" s="39"/>
      <c r="O268" s="39"/>
      <c r="P268" s="39"/>
      <c r="Q268" s="39"/>
    </row>
    <row r="269" spans="12:17">
      <c r="L269" s="39"/>
      <c r="M269" s="39"/>
      <c r="N269" s="39"/>
      <c r="O269" s="39"/>
      <c r="P269" s="39"/>
      <c r="Q269" s="39"/>
    </row>
    <row r="270" spans="12:17">
      <c r="L270" s="39"/>
      <c r="M270" s="39"/>
      <c r="N270" s="39"/>
      <c r="O270" s="39"/>
      <c r="P270" s="39"/>
      <c r="Q270" s="39"/>
    </row>
    <row r="271" spans="12:17">
      <c r="L271" s="39"/>
      <c r="M271" s="39"/>
      <c r="N271" s="39"/>
      <c r="O271" s="39"/>
      <c r="P271" s="39"/>
      <c r="Q271" s="39"/>
    </row>
    <row r="272" spans="12:17">
      <c r="L272" s="39"/>
      <c r="M272" s="39"/>
      <c r="N272" s="39"/>
      <c r="O272" s="39"/>
      <c r="P272" s="39"/>
      <c r="Q272" s="39"/>
    </row>
    <row r="273" spans="12:17">
      <c r="L273" s="39"/>
      <c r="M273" s="39"/>
      <c r="N273" s="39"/>
      <c r="O273" s="39"/>
      <c r="P273" s="39"/>
      <c r="Q273" s="39"/>
    </row>
    <row r="274" spans="12:17">
      <c r="L274" s="39"/>
      <c r="M274" s="39"/>
      <c r="N274" s="39"/>
      <c r="O274" s="39"/>
      <c r="P274" s="39"/>
      <c r="Q274" s="39"/>
    </row>
    <row r="275" spans="12:17">
      <c r="L275" s="39"/>
      <c r="M275" s="39"/>
      <c r="N275" s="39"/>
      <c r="O275" s="39"/>
      <c r="P275" s="39"/>
      <c r="Q275" s="39"/>
    </row>
    <row r="276" spans="12:17">
      <c r="L276" s="39"/>
      <c r="M276" s="39"/>
      <c r="N276" s="39"/>
      <c r="O276" s="39"/>
      <c r="P276" s="39"/>
      <c r="Q276" s="39"/>
    </row>
    <row r="277" spans="12:17">
      <c r="L277" s="39"/>
      <c r="M277" s="39"/>
      <c r="N277" s="39"/>
      <c r="O277" s="39"/>
      <c r="P277" s="39"/>
      <c r="Q277" s="39"/>
    </row>
  </sheetData>
  <mergeCells count="1">
    <mergeCell ref="A2:AF2"/>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B2:K45"/>
  <sheetViews>
    <sheetView showGridLines="0" zoomScale="75" zoomScaleNormal="75" zoomScalePageLayoutView="75" workbookViewId="0">
      <selection activeCell="B42" sqref="B42"/>
    </sheetView>
  </sheetViews>
  <sheetFormatPr baseColWidth="10" defaultRowHeight="15" x14ac:dyDescent="0"/>
  <cols>
    <col min="1" max="1" width="1.6640625" customWidth="1"/>
    <col min="2" max="2" width="51" bestFit="1" customWidth="1"/>
    <col min="3" max="3" width="12.6640625" bestFit="1" customWidth="1"/>
    <col min="4" max="4" width="12.33203125" bestFit="1" customWidth="1"/>
    <col min="5" max="10" width="13.6640625" bestFit="1" customWidth="1"/>
    <col min="11" max="11" width="1.6640625" customWidth="1"/>
  </cols>
  <sheetData>
    <row r="2" spans="2:10" ht="21" thickBot="1">
      <c r="B2" s="1310" t="s">
        <v>1905</v>
      </c>
    </row>
    <row r="3" spans="2:10" ht="16" thickBot="1">
      <c r="B3" s="694" t="s">
        <v>1909</v>
      </c>
      <c r="C3" s="695" t="s">
        <v>21</v>
      </c>
      <c r="D3" s="695" t="s">
        <v>22</v>
      </c>
      <c r="E3" s="695" t="s">
        <v>23</v>
      </c>
      <c r="F3" s="404" t="s">
        <v>1458</v>
      </c>
      <c r="G3" s="404" t="s">
        <v>1472</v>
      </c>
      <c r="H3" s="404" t="s">
        <v>1473</v>
      </c>
      <c r="I3" s="404" t="s">
        <v>1474</v>
      </c>
      <c r="J3" s="1846" t="s">
        <v>1475</v>
      </c>
    </row>
    <row r="4" spans="2:10" s="749" customFormat="1">
      <c r="B4" s="1888" t="str">
        <f>'2a. Income Statement'!D6</f>
        <v>Revenue</v>
      </c>
      <c r="C4" s="1365">
        <f>'2a. Income Statement'!M6</f>
        <v>4701224</v>
      </c>
      <c r="D4" s="1365">
        <f>'2a. Income Statement'!N6</f>
        <v>5039134</v>
      </c>
      <c r="E4" s="1365">
        <f>'2a. Income Statement'!O6</f>
        <v>6168777</v>
      </c>
      <c r="F4" s="1365">
        <f>'2a. Income Statement'!P6</f>
        <v>8453950.3387853839</v>
      </c>
      <c r="G4" s="1365">
        <f>'2a. Income Statement'!Q6</f>
        <v>9241127.2927219532</v>
      </c>
      <c r="H4" s="1365">
        <f>'2a. Income Statement'!R6</f>
        <v>10047111.711007658</v>
      </c>
      <c r="I4" s="1365">
        <f>'2a. Income Statement'!S6</f>
        <v>10910346.048071465</v>
      </c>
      <c r="J4" s="1889">
        <f>'2a. Income Statement'!T6</f>
        <v>11785818.337516539</v>
      </c>
    </row>
    <row r="5" spans="2:10" s="749" customFormat="1">
      <c r="B5" s="1888" t="str">
        <f>'2a. Income Statement'!D56</f>
        <v>EBITDA</v>
      </c>
      <c r="C5" s="1365">
        <f>'2a. Income Statement'!M56</f>
        <v>845928</v>
      </c>
      <c r="D5" s="1365">
        <f>'2a. Income Statement'!N56</f>
        <v>993189</v>
      </c>
      <c r="E5" s="1365">
        <f>'2a. Income Statement'!O56</f>
        <v>1184426</v>
      </c>
      <c r="F5" s="1365">
        <f>'2a. Income Statement'!P56</f>
        <v>1864591.3164273296</v>
      </c>
      <c r="G5" s="1365">
        <f>'2a. Income Statement'!Q56</f>
        <v>2030599.0349216142</v>
      </c>
      <c r="H5" s="1365">
        <f>'2a. Income Statement'!R56</f>
        <v>2163285.9973571985</v>
      </c>
      <c r="I5" s="1365">
        <f>'2a. Income Statement'!S56</f>
        <v>2356637.9312349157</v>
      </c>
      <c r="J5" s="1889">
        <f>'2a. Income Statement'!T56</f>
        <v>2556930.4796997467</v>
      </c>
    </row>
    <row r="6" spans="2:10" s="749" customFormat="1">
      <c r="B6" s="1888" t="str">
        <f>'2a. Income Statement'!D58</f>
        <v xml:space="preserve">    EBITDA margin</v>
      </c>
      <c r="C6" s="1472">
        <f>'2a. Income Statement'!M58</f>
        <v>0.17993782044846193</v>
      </c>
      <c r="D6" s="1472">
        <f>'2a. Income Statement'!N58</f>
        <v>0.19709517548054883</v>
      </c>
      <c r="E6" s="1472">
        <f>'2a. Income Statement'!O58</f>
        <v>0.19200337441278878</v>
      </c>
      <c r="F6" s="1472">
        <f>'2a. Income Statement'!P58</f>
        <v>0.22055858405896711</v>
      </c>
      <c r="G6" s="1472">
        <f>'2a. Income Statement'!Q58</f>
        <v>0.21973499234458721</v>
      </c>
      <c r="H6" s="1472">
        <f>'2a. Income Statement'!R58</f>
        <v>0.21531421761610287</v>
      </c>
      <c r="I6" s="1472">
        <f>'2a. Income Statement'!S58</f>
        <v>0.21600029191113329</v>
      </c>
      <c r="J6" s="1473">
        <f>'2a. Income Statement'!T58</f>
        <v>0.21694976169457342</v>
      </c>
    </row>
    <row r="7" spans="2:10" s="749" customFormat="1">
      <c r="B7" s="1888" t="str">
        <f>'2a. Income Statement'!D62</f>
        <v>EBIT</v>
      </c>
      <c r="C7" s="1365">
        <f>'2a. Income Statement'!M62</f>
        <v>743560</v>
      </c>
      <c r="D7" s="1365">
        <f>'2a. Income Statement'!N62</f>
        <v>879566</v>
      </c>
      <c r="E7" s="1365">
        <f>'2a. Income Statement'!O62</f>
        <v>1007255</v>
      </c>
      <c r="F7" s="1365">
        <f>'2a. Income Statement'!P62</f>
        <v>1653844.1042273296</v>
      </c>
      <c r="G7" s="1365">
        <f>'2a. Income Statement'!Q62</f>
        <v>1801282.4492003783</v>
      </c>
      <c r="H7" s="1365">
        <f>'2a. Income Statement'!R62</f>
        <v>1913086.6095035733</v>
      </c>
      <c r="I7" s="1365">
        <f>'2a. Income Statement'!S62</f>
        <v>2087578.6114970965</v>
      </c>
      <c r="J7" s="1889">
        <f>'2a. Income Statement'!T62</f>
        <v>2266809.3788446356</v>
      </c>
    </row>
    <row r="8" spans="2:10" s="749" customFormat="1">
      <c r="B8" s="1888" t="str">
        <f>'2a. Income Statement'!D64</f>
        <v xml:space="preserve">    EBIT margin</v>
      </c>
      <c r="C8" s="1472">
        <f>'2a. Income Statement'!M64</f>
        <v>0.1581630656186559</v>
      </c>
      <c r="D8" s="1472">
        <f>'2a. Income Statement'!N64</f>
        <v>0.17454705510907231</v>
      </c>
      <c r="E8" s="1472">
        <f>'2a. Income Statement'!O64</f>
        <v>0.16328277063670804</v>
      </c>
      <c r="F8" s="1472">
        <f>'2a. Income Statement'!P64</f>
        <v>0.19562973970165817</v>
      </c>
      <c r="G8" s="1472">
        <f>'2a. Income Statement'!Q64</f>
        <v>0.19492020747501407</v>
      </c>
      <c r="H8" s="1472">
        <f>'2a. Income Statement'!R64</f>
        <v>0.19041159932636037</v>
      </c>
      <c r="I8" s="1472">
        <f>'2a. Income Statement'!S64</f>
        <v>0.19133935828424994</v>
      </c>
      <c r="J8" s="1473">
        <f>'2a. Income Statement'!T64</f>
        <v>0.19233364319123628</v>
      </c>
    </row>
    <row r="9" spans="2:10" s="749" customFormat="1">
      <c r="B9" s="1888" t="str">
        <f>'2a. Income Statement'!D41</f>
        <v>Investment Income</v>
      </c>
      <c r="C9" s="1365">
        <f>'2a. Income Statement'!M41</f>
        <v>16451</v>
      </c>
      <c r="D9" s="1365">
        <f>'2a. Income Statement'!N41</f>
        <v>13273</v>
      </c>
      <c r="E9" s="1365">
        <f>'2a. Income Statement'!O41</f>
        <v>61558</v>
      </c>
      <c r="F9" s="1365">
        <f>'2a. Income Statement'!P41</f>
        <v>53568.098538384831</v>
      </c>
      <c r="G9" s="1365">
        <f>'2a. Income Statement'!Q41</f>
        <v>1464.164400403203</v>
      </c>
      <c r="H9" s="1365">
        <f>'2a. Income Statement'!R41</f>
        <v>5317.2219369511722</v>
      </c>
      <c r="I9" s="1365">
        <f>'2a. Income Statement'!S41</f>
        <v>6919.9562203362038</v>
      </c>
      <c r="J9" s="1889">
        <f>'2a. Income Statement'!T41</f>
        <v>8390.0637170864265</v>
      </c>
    </row>
    <row r="10" spans="2:10" s="749" customFormat="1">
      <c r="B10" s="1888" t="str">
        <f>'2a. Income Statement'!D42</f>
        <v>Interest paid</v>
      </c>
      <c r="C10" s="1365">
        <f>'2a. Income Statement'!M42</f>
        <v>-7485</v>
      </c>
      <c r="D10" s="1365">
        <f>'2a. Income Statement'!N42</f>
        <v>-17102</v>
      </c>
      <c r="E10" s="1365">
        <f>'2a. Income Statement'!O42</f>
        <v>-158442</v>
      </c>
      <c r="F10" s="1365">
        <f>'2a. Income Statement'!P42</f>
        <v>-220455.89597000001</v>
      </c>
      <c r="G10" s="1365">
        <f>'2a. Income Statement'!Q42</f>
        <v>-172211.34640000001</v>
      </c>
      <c r="H10" s="1365">
        <f>'2a. Income Statement'!R42</f>
        <v>-177325.01490000001</v>
      </c>
      <c r="I10" s="1365">
        <f>'2a. Income Statement'!S42</f>
        <v>-183101.7524</v>
      </c>
      <c r="J10" s="1889">
        <f>'2a. Income Statement'!T42</f>
        <v>-189210.02439999999</v>
      </c>
    </row>
    <row r="11" spans="2:10" s="749" customFormat="1">
      <c r="B11" s="1888" t="str">
        <f>'2a. Income Statement'!D43</f>
        <v>Profit before taxation</v>
      </c>
      <c r="C11" s="1365">
        <f>'2a. Income Statement'!M43</f>
        <v>752526</v>
      </c>
      <c r="D11" s="1365">
        <f>'2a. Income Statement'!N43</f>
        <v>875737</v>
      </c>
      <c r="E11" s="1365">
        <f>'2a. Income Statement'!O43</f>
        <v>928717</v>
      </c>
      <c r="F11" s="1365">
        <f>'2a. Income Statement'!P43</f>
        <v>1486956.3067957144</v>
      </c>
      <c r="G11" s="1365">
        <f>'2a. Income Statement'!Q43</f>
        <v>1630535.2672007815</v>
      </c>
      <c r="H11" s="1365">
        <f>'2a. Income Statement'!R43</f>
        <v>1741078.8165405244</v>
      </c>
      <c r="I11" s="1365">
        <f>'2a. Income Statement'!S43</f>
        <v>1911396.8153174329</v>
      </c>
      <c r="J11" s="1889">
        <f>'2a. Income Statement'!T43</f>
        <v>2085989.4181617219</v>
      </c>
    </row>
    <row r="12" spans="2:10" s="749" customFormat="1">
      <c r="B12" s="1888" t="str">
        <f>'2a. Income Statement'!D46</f>
        <v>Taxation</v>
      </c>
      <c r="C12" s="1365">
        <f>'2a. Income Statement'!M46</f>
        <v>228135</v>
      </c>
      <c r="D12" s="1365">
        <f>'2a. Income Statement'!N46</f>
        <v>266818</v>
      </c>
      <c r="E12" s="1365">
        <f>'2a. Income Statement'!O46</f>
        <v>286515</v>
      </c>
      <c r="F12" s="1365">
        <f>'2a. Income Statement'!P46</f>
        <v>520434.70737850002</v>
      </c>
      <c r="G12" s="1365">
        <f>'2a. Income Statement'!Q46</f>
        <v>570687.34352027345</v>
      </c>
      <c r="H12" s="1365">
        <f>'2a. Income Statement'!R46</f>
        <v>609377.5857891835</v>
      </c>
      <c r="I12" s="1365">
        <f>'2a. Income Statement'!S46</f>
        <v>668988.88536110148</v>
      </c>
      <c r="J12" s="1889">
        <f>'2a. Income Statement'!T46</f>
        <v>730096.29635660257</v>
      </c>
    </row>
    <row r="13" spans="2:10" s="749" customFormat="1" ht="16" thickBot="1">
      <c r="B13" s="1890" t="str">
        <f>'2a. Income Statement'!D48</f>
        <v>Profit after taxation</v>
      </c>
      <c r="C13" s="1891">
        <f>'2a. Income Statement'!M48</f>
        <v>524391</v>
      </c>
      <c r="D13" s="1891">
        <f>'2a. Income Statement'!N48</f>
        <v>608919</v>
      </c>
      <c r="E13" s="1891">
        <f>'2a. Income Statement'!O48</f>
        <v>642202</v>
      </c>
      <c r="F13" s="1891">
        <f>'2a. Income Statement'!P48</f>
        <v>966521.5994172144</v>
      </c>
      <c r="G13" s="1891">
        <f>'2a. Income Statement'!Q48</f>
        <v>1059847.923680508</v>
      </c>
      <c r="H13" s="1891">
        <f>'2a. Income Statement'!R48</f>
        <v>1131701.2307513407</v>
      </c>
      <c r="I13" s="1891">
        <f>'2a. Income Statement'!S48</f>
        <v>1242407.9299563314</v>
      </c>
      <c r="J13" s="1892">
        <f>'2a. Income Statement'!T48</f>
        <v>1355893.1218051193</v>
      </c>
    </row>
    <row r="14" spans="2:10" s="749" customFormat="1">
      <c r="B14" s="1365" t="s">
        <v>1658</v>
      </c>
      <c r="C14" s="1364"/>
      <c r="D14" s="1364"/>
      <c r="E14" s="1364"/>
      <c r="F14" s="1364"/>
      <c r="G14" s="1364"/>
      <c r="H14" s="1364"/>
      <c r="I14" s="1364"/>
      <c r="J14" s="1364"/>
    </row>
    <row r="15" spans="2:10" s="749" customFormat="1" ht="14">
      <c r="B15" s="1364"/>
      <c r="C15" s="1364"/>
      <c r="D15" s="1364"/>
      <c r="E15" s="1364"/>
      <c r="F15" s="1364"/>
      <c r="G15" s="1364"/>
      <c r="H15" s="1364"/>
      <c r="I15" s="1364"/>
      <c r="J15" s="1364"/>
    </row>
    <row r="16" spans="2:10" s="749" customFormat="1" ht="21" thickBot="1">
      <c r="B16" s="1886" t="s">
        <v>1906</v>
      </c>
      <c r="C16" s="1887"/>
      <c r="D16" s="1887"/>
      <c r="E16" s="1887"/>
      <c r="F16" s="1887"/>
      <c r="G16" s="1887"/>
      <c r="H16" s="1887"/>
      <c r="I16" s="1887"/>
      <c r="J16" s="1887"/>
    </row>
    <row r="17" spans="2:10" s="749" customFormat="1" ht="16" thickBot="1">
      <c r="B17" s="694" t="s">
        <v>1910</v>
      </c>
      <c r="C17" s="695" t="s">
        <v>21</v>
      </c>
      <c r="D17" s="695" t="s">
        <v>22</v>
      </c>
      <c r="E17" s="695" t="s">
        <v>23</v>
      </c>
      <c r="F17" s="404" t="s">
        <v>1458</v>
      </c>
      <c r="G17" s="404" t="s">
        <v>1472</v>
      </c>
      <c r="H17" s="404" t="s">
        <v>1473</v>
      </c>
      <c r="I17" s="404" t="s">
        <v>1474</v>
      </c>
      <c r="J17" s="1846" t="s">
        <v>1475</v>
      </c>
    </row>
    <row r="18" spans="2:10" s="749" customFormat="1">
      <c r="B18" s="756" t="s">
        <v>41</v>
      </c>
      <c r="C18" s="1874"/>
      <c r="D18" s="1874"/>
      <c r="E18" s="1874"/>
      <c r="F18" s="1874"/>
      <c r="G18" s="1874"/>
      <c r="H18" s="1874"/>
      <c r="I18" s="1874"/>
      <c r="J18" s="1875"/>
    </row>
    <row r="19" spans="2:10">
      <c r="B19" s="1876" t="str">
        <f>'2b. Balance Sheet'!D6</f>
        <v>Non Current Assets</v>
      </c>
      <c r="C19" s="1877">
        <f>SUM(C20:C21)</f>
        <v>814277</v>
      </c>
      <c r="D19" s="1877">
        <f t="shared" ref="D19:J19" si="0">SUM(D20:D21)</f>
        <v>859640</v>
      </c>
      <c r="E19" s="1877">
        <f t="shared" si="0"/>
        <v>6502886</v>
      </c>
      <c r="F19" s="1877">
        <f t="shared" si="0"/>
        <v>6477506.2478</v>
      </c>
      <c r="G19" s="1877">
        <f t="shared" si="0"/>
        <v>6455993.5981662869</v>
      </c>
      <c r="H19" s="1877">
        <f t="shared" si="0"/>
        <v>6438341.8535854854</v>
      </c>
      <c r="I19" s="1877">
        <f t="shared" si="0"/>
        <v>6429419.5253537921</v>
      </c>
      <c r="J19" s="1880">
        <f t="shared" si="0"/>
        <v>6429805.7502544299</v>
      </c>
    </row>
    <row r="20" spans="2:10">
      <c r="B20" s="1878" t="str">
        <f>'2b. Balance Sheet'!D7</f>
        <v>Property, Plant and Equipment</v>
      </c>
      <c r="C20" s="1879">
        <f>'2b. Balance Sheet'!M7</f>
        <v>458200</v>
      </c>
      <c r="D20" s="1879">
        <f>'2b. Balance Sheet'!N7</f>
        <v>512342</v>
      </c>
      <c r="E20" s="1879">
        <f>'2b. Balance Sheet'!O7</f>
        <v>1537293</v>
      </c>
      <c r="F20" s="1879">
        <f>'2b. Balance Sheet'!P7</f>
        <v>1511913.2478</v>
      </c>
      <c r="G20" s="1879">
        <f>'2b. Balance Sheet'!Q7</f>
        <v>1490400.5981662867</v>
      </c>
      <c r="H20" s="1879">
        <f>'2b. Balance Sheet'!R7</f>
        <v>1472748.8535854851</v>
      </c>
      <c r="I20" s="1879">
        <f>'2b. Balance Sheet'!S7</f>
        <v>1463826.5253537921</v>
      </c>
      <c r="J20" s="1881">
        <f>'2b. Balance Sheet'!T7</f>
        <v>1464212.7502544303</v>
      </c>
    </row>
    <row r="21" spans="2:10">
      <c r="B21" s="1878" t="s">
        <v>1904</v>
      </c>
      <c r="C21" s="1879">
        <f>SUM('2b. Balance Sheet'!M11:M14)</f>
        <v>356077</v>
      </c>
      <c r="D21" s="1879">
        <f>SUM('2b. Balance Sheet'!N11:N14)</f>
        <v>347298</v>
      </c>
      <c r="E21" s="1879">
        <f>SUM('2b. Balance Sheet'!O11:O14)</f>
        <v>4965593</v>
      </c>
      <c r="F21" s="1879">
        <f>SUM('2b. Balance Sheet'!P11:P14)</f>
        <v>4965593</v>
      </c>
      <c r="G21" s="1879">
        <f>SUM('2b. Balance Sheet'!Q11:Q14)</f>
        <v>4965593</v>
      </c>
      <c r="H21" s="1879">
        <f>SUM('2b. Balance Sheet'!R11:R14)</f>
        <v>4965593</v>
      </c>
      <c r="I21" s="1879">
        <f>SUM('2b. Balance Sheet'!S11:S14)</f>
        <v>4965593</v>
      </c>
      <c r="J21" s="1881">
        <f>SUM('2b. Balance Sheet'!T11:T14)</f>
        <v>4965593</v>
      </c>
    </row>
    <row r="22" spans="2:10">
      <c r="B22" s="1876" t="str">
        <f>'2b. Balance Sheet'!D18</f>
        <v>Current Assets</v>
      </c>
      <c r="C22" s="1877">
        <f>SUM(C23:C27)</f>
        <v>2019292</v>
      </c>
      <c r="D22" s="1877">
        <f>'2b. Balance Sheet'!N18</f>
        <v>2115657</v>
      </c>
      <c r="E22" s="1877">
        <f>'2b. Balance Sheet'!O18</f>
        <v>3970700</v>
      </c>
      <c r="F22" s="1877">
        <f>'2b. Balance Sheet'!P18</f>
        <v>3855035.0379540715</v>
      </c>
      <c r="G22" s="1877">
        <f>'2b. Balance Sheet'!Q18</f>
        <v>4295951.3211991312</v>
      </c>
      <c r="H22" s="1877">
        <f>'2b. Balance Sheet'!R18</f>
        <v>4695748.3748484803</v>
      </c>
      <c r="I22" s="1877">
        <f>'2b. Balance Sheet'!S18</f>
        <v>5118508.3103851536</v>
      </c>
      <c r="J22" s="1880">
        <f>'2b. Balance Sheet'!T18</f>
        <v>5552207.3729053168</v>
      </c>
    </row>
    <row r="23" spans="2:10">
      <c r="B23" s="1878" t="str">
        <f>'2b. Balance Sheet'!D19</f>
        <v>Inventories</v>
      </c>
      <c r="C23" s="1879">
        <f>'2b. Balance Sheet'!M19</f>
        <v>1213169</v>
      </c>
      <c r="D23" s="1879">
        <f>'2b. Balance Sheet'!N19</f>
        <v>838615</v>
      </c>
      <c r="E23" s="1879">
        <f>'2b. Balance Sheet'!O19</f>
        <v>1316266</v>
      </c>
      <c r="F23" s="1879">
        <f>'2b. Balance Sheet'!P19</f>
        <v>1803866.0494019613</v>
      </c>
      <c r="G23" s="1879">
        <f>'2b. Balance Sheet'!Q19</f>
        <v>1971830.3412624502</v>
      </c>
      <c r="H23" s="1879">
        <f>'2b. Balance Sheet'!R19</f>
        <v>2143807.6856078939</v>
      </c>
      <c r="I23" s="1879">
        <f>'2b. Balance Sheet'!S19</f>
        <v>2328000.761141282</v>
      </c>
      <c r="J23" s="1881">
        <f>'2b. Balance Sheet'!T19</f>
        <v>2514805.1161274826</v>
      </c>
    </row>
    <row r="24" spans="2:10">
      <c r="B24" s="1878" t="str">
        <f>'2b. Balance Sheet'!D20</f>
        <v>Accounts Receivable</v>
      </c>
      <c r="C24" s="1879">
        <f>'2b. Balance Sheet'!M20</f>
        <v>681872</v>
      </c>
      <c r="D24" s="1879">
        <f>'2b. Balance Sheet'!N20</f>
        <v>900818</v>
      </c>
      <c r="E24" s="1879">
        <f>'2b. Balance Sheet'!O20</f>
        <v>1445221</v>
      </c>
      <c r="F24" s="1879">
        <f>'2b. Balance Sheet'!P20</f>
        <v>2018881.527900168</v>
      </c>
      <c r="G24" s="1879">
        <f>'2b. Balance Sheet'!Q20</f>
        <v>2206866.6647657333</v>
      </c>
      <c r="H24" s="1879">
        <f>'2b. Balance Sheet'!R20</f>
        <v>2399343.1980601265</v>
      </c>
      <c r="I24" s="1879">
        <f>'2b. Balance Sheet'!S20</f>
        <v>2605491.5414389279</v>
      </c>
      <c r="J24" s="1881">
        <f>'2b. Balance Sheet'!T20</f>
        <v>2814562.4210300036</v>
      </c>
    </row>
    <row r="25" spans="2:10">
      <c r="B25" s="1878" t="str">
        <f>'2b. Balance Sheet'!D21</f>
        <v>Taxation</v>
      </c>
      <c r="C25" s="1879">
        <f>'2b. Balance Sheet'!M21</f>
        <v>13048</v>
      </c>
      <c r="D25" s="1879">
        <f>'2b. Balance Sheet'!N21</f>
        <v>32221</v>
      </c>
      <c r="E25" s="1879">
        <f>'2b. Balance Sheet'!O21</f>
        <v>27940</v>
      </c>
      <c r="F25" s="1879">
        <f>'2b. Balance Sheet'!P21</f>
        <v>0</v>
      </c>
      <c r="G25" s="1879">
        <f>'2b. Balance Sheet'!Q21</f>
        <v>0</v>
      </c>
      <c r="H25" s="1879">
        <f>'2b. Balance Sheet'!R21</f>
        <v>0</v>
      </c>
      <c r="I25" s="1879">
        <f>'2b. Balance Sheet'!S21</f>
        <v>0</v>
      </c>
      <c r="J25" s="1881">
        <f>'2b. Balance Sheet'!T21</f>
        <v>0</v>
      </c>
    </row>
    <row r="26" spans="2:10">
      <c r="B26" s="1878" t="str">
        <f>'2b. Balance Sheet'!D22</f>
        <v>Amounts owing by subsidiaries, associates and joint ventures</v>
      </c>
      <c r="C26" s="1879"/>
      <c r="D26" s="1879"/>
      <c r="E26" s="1879"/>
      <c r="F26" s="1879"/>
      <c r="G26" s="1879"/>
      <c r="H26" s="1879"/>
      <c r="I26" s="1879"/>
      <c r="J26" s="1881"/>
    </row>
    <row r="27" spans="2:10">
      <c r="B27" s="1878" t="str">
        <f>'2b. Balance Sheet'!D23</f>
        <v>Cash and Cash equivalents</v>
      </c>
      <c r="C27" s="1879">
        <f>'2b. Balance Sheet'!M23</f>
        <v>111203</v>
      </c>
      <c r="D27" s="1879">
        <f>'2b. Balance Sheet'!N23</f>
        <v>344003</v>
      </c>
      <c r="E27" s="1879">
        <f>'2b. Balance Sheet'!O23</f>
        <v>1181273</v>
      </c>
      <c r="F27" s="1879">
        <f>'2b. Balance Sheet'!P23</f>
        <v>32287.460651942762</v>
      </c>
      <c r="G27" s="1879">
        <f>'2b. Balance Sheet'!Q23</f>
        <v>117254.31517094703</v>
      </c>
      <c r="H27" s="1879">
        <f>'2b. Balance Sheet'!R23</f>
        <v>152597.49118046032</v>
      </c>
      <c r="I27" s="1879">
        <f>'2b. Balance Sheet'!S23</f>
        <v>185016.0078049443</v>
      </c>
      <c r="J27" s="1881">
        <f>'2b. Balance Sheet'!T23</f>
        <v>222839.83574783057</v>
      </c>
    </row>
    <row r="28" spans="2:10" ht="16" thickBot="1">
      <c r="B28" s="1876" t="s">
        <v>1907</v>
      </c>
      <c r="C28" s="1877">
        <f>'2b. Balance Sheet'!M25</f>
        <v>0</v>
      </c>
      <c r="D28" s="1877">
        <f>'2b. Balance Sheet'!N25</f>
        <v>0</v>
      </c>
      <c r="E28" s="1877">
        <f>'2b. Balance Sheet'!O25</f>
        <v>39478</v>
      </c>
      <c r="F28" s="1877">
        <f>'2b. Balance Sheet'!P25</f>
        <v>39478</v>
      </c>
      <c r="G28" s="1877">
        <f>'2b. Balance Sheet'!Q25</f>
        <v>39478</v>
      </c>
      <c r="H28" s="1877">
        <f>'2b. Balance Sheet'!R25</f>
        <v>39478</v>
      </c>
      <c r="I28" s="1877">
        <f>'2b. Balance Sheet'!S25</f>
        <v>39478</v>
      </c>
      <c r="J28" s="1880">
        <f>'2b. Balance Sheet'!T25</f>
        <v>39478</v>
      </c>
    </row>
    <row r="29" spans="2:10" ht="19" thickBot="1">
      <c r="B29" s="1882" t="str">
        <f>'2b. Balance Sheet'!D27</f>
        <v>Total Assets</v>
      </c>
      <c r="C29" s="1883">
        <f>C19+C22+C28</f>
        <v>2833569</v>
      </c>
      <c r="D29" s="1883">
        <f t="shared" ref="D29:J29" si="1">D19+D22+D28</f>
        <v>2975297</v>
      </c>
      <c r="E29" s="1883">
        <f t="shared" si="1"/>
        <v>10513064</v>
      </c>
      <c r="F29" s="1883">
        <f t="shared" si="1"/>
        <v>10372019.285754072</v>
      </c>
      <c r="G29" s="1883">
        <f t="shared" si="1"/>
        <v>10791422.919365417</v>
      </c>
      <c r="H29" s="1883">
        <f t="shared" si="1"/>
        <v>11173568.228433967</v>
      </c>
      <c r="I29" s="1883">
        <f t="shared" si="1"/>
        <v>11587405.835738946</v>
      </c>
      <c r="J29" s="1884">
        <f t="shared" si="1"/>
        <v>12021491.123159748</v>
      </c>
    </row>
    <row r="30" spans="2:10" s="131" customFormat="1" ht="14">
      <c r="B30" s="757"/>
      <c r="C30" s="758"/>
      <c r="D30" s="758"/>
      <c r="E30" s="758"/>
      <c r="F30" s="758"/>
      <c r="G30" s="758"/>
      <c r="H30" s="758"/>
      <c r="I30" s="758"/>
      <c r="J30" s="759"/>
    </row>
    <row r="31" spans="2:10">
      <c r="B31" s="756" t="str">
        <f>'2b. Balance Sheet'!D31</f>
        <v>Capital and reserves</v>
      </c>
      <c r="C31" s="1877">
        <f>SUM(C32:C33)</f>
        <v>1789371</v>
      </c>
      <c r="D31" s="1877">
        <f t="shared" ref="D31:J31" si="2">SUM(D32:D33)</f>
        <v>1746906</v>
      </c>
      <c r="E31" s="1877">
        <f t="shared" si="2"/>
        <v>3564286</v>
      </c>
      <c r="F31" s="1877">
        <f t="shared" si="2"/>
        <v>3805916.3998543033</v>
      </c>
      <c r="G31" s="1877">
        <f t="shared" si="2"/>
        <v>4017885.9845904047</v>
      </c>
      <c r="H31" s="1877">
        <f t="shared" si="2"/>
        <v>4187641.1692031054</v>
      </c>
      <c r="I31" s="1877">
        <f t="shared" si="2"/>
        <v>4374002.3586965548</v>
      </c>
      <c r="J31" s="1880">
        <f t="shared" si="2"/>
        <v>4577386.3269673232</v>
      </c>
    </row>
    <row r="32" spans="2:10">
      <c r="B32" s="1878" t="str">
        <f>'2b. Balance Sheet'!D39</f>
        <v>Interest of own shareholders</v>
      </c>
      <c r="C32" s="1879">
        <f>'2b. Balance Sheet'!M39</f>
        <v>1728610</v>
      </c>
      <c r="D32" s="1879">
        <f>'2b. Balance Sheet'!N39</f>
        <v>1677370</v>
      </c>
      <c r="E32" s="1879">
        <f>'2b. Balance Sheet'!O39</f>
        <v>3483914</v>
      </c>
      <c r="F32" s="1879">
        <f>'2b. Balance Sheet'!P39</f>
        <v>3720095.8139391746</v>
      </c>
      <c r="G32" s="1879">
        <f>'2b. Balance Sheet'!Q39</f>
        <v>3927285.6420944603</v>
      </c>
      <c r="H32" s="1879">
        <f>'2b. Balance Sheet'!R39</f>
        <v>4093212.9734715647</v>
      </c>
      <c r="I32" s="1879">
        <f>'2b. Balance Sheet'!S39</f>
        <v>4275371.856662442</v>
      </c>
      <c r="J32" s="1881">
        <f>'2b. Balance Sheet'!T39</f>
        <v>4474169.667622081</v>
      </c>
    </row>
    <row r="33" spans="2:11">
      <c r="B33" s="1878" t="str">
        <f>'2b. Balance Sheet'!D40</f>
        <v>Non-controlling interests</v>
      </c>
      <c r="C33" s="1879">
        <f>'2b. Balance Sheet'!M40</f>
        <v>60761</v>
      </c>
      <c r="D33" s="1879">
        <f>'2b. Balance Sheet'!N40</f>
        <v>69536</v>
      </c>
      <c r="E33" s="1879">
        <f>'2b. Balance Sheet'!O40</f>
        <v>80372</v>
      </c>
      <c r="F33" s="1879">
        <f>'2b. Balance Sheet'!P40</f>
        <v>85820.5859151287</v>
      </c>
      <c r="G33" s="1879">
        <f>'2b. Balance Sheet'!Q40</f>
        <v>90600.342495944351</v>
      </c>
      <c r="H33" s="1879">
        <f>'2b. Balance Sheet'!R40</f>
        <v>94428.195731540676</v>
      </c>
      <c r="I33" s="1879">
        <f>'2b. Balance Sheet'!S40</f>
        <v>98630.502034112811</v>
      </c>
      <c r="J33" s="1881">
        <f>'2b. Balance Sheet'!T40</f>
        <v>103216.65934524219</v>
      </c>
    </row>
    <row r="34" spans="2:11">
      <c r="B34" s="1876" t="str">
        <f>'2b. Balance Sheet'!D42</f>
        <v>Non Current Liablities</v>
      </c>
      <c r="C34" s="1877">
        <f>SUM(C35:C36)</f>
        <v>180577</v>
      </c>
      <c r="D34" s="1877">
        <f t="shared" ref="D34:J34" si="3">SUM(D35:D36)</f>
        <v>439403</v>
      </c>
      <c r="E34" s="1877">
        <f t="shared" si="3"/>
        <v>5000698</v>
      </c>
      <c r="F34" s="1877">
        <f t="shared" si="3"/>
        <v>4015842.2</v>
      </c>
      <c r="G34" s="1877">
        <f t="shared" si="3"/>
        <v>4015842.2</v>
      </c>
      <c r="H34" s="1877">
        <f t="shared" si="3"/>
        <v>4015842.2</v>
      </c>
      <c r="I34" s="1877">
        <f t="shared" si="3"/>
        <v>4015842.2</v>
      </c>
      <c r="J34" s="1880">
        <f t="shared" si="3"/>
        <v>4015842.2</v>
      </c>
    </row>
    <row r="35" spans="2:11">
      <c r="B35" s="1878" t="str">
        <f>'2b. Balance Sheet'!D44</f>
        <v>Long-term loan</v>
      </c>
      <c r="C35" s="1879"/>
      <c r="D35" s="1879">
        <f>'2b. Balance Sheet'!N44</f>
        <v>300000</v>
      </c>
      <c r="E35" s="1879">
        <f>'2b. Balance Sheet'!O44</f>
        <v>4374483</v>
      </c>
      <c r="F35" s="1879">
        <f>'2b. Balance Sheet'!P44</f>
        <v>3389627.2</v>
      </c>
      <c r="G35" s="1879">
        <f>'2b. Balance Sheet'!Q44</f>
        <v>3389627.2</v>
      </c>
      <c r="H35" s="1879">
        <f>'2b. Balance Sheet'!R44</f>
        <v>3389627.2</v>
      </c>
      <c r="I35" s="1879">
        <f>'2b. Balance Sheet'!S44</f>
        <v>3389627.2</v>
      </c>
      <c r="J35" s="1881">
        <f>'2b. Balance Sheet'!T44</f>
        <v>3389627.2</v>
      </c>
    </row>
    <row r="36" spans="2:11">
      <c r="B36" s="1885" t="s">
        <v>1908</v>
      </c>
      <c r="C36" s="1088">
        <f>SUM('2b. Balance Sheet'!M43,'2b. Balance Sheet'!M45,'2b. Balance Sheet'!M46)</f>
        <v>180577</v>
      </c>
      <c r="D36" s="1088">
        <f>SUM('2b. Balance Sheet'!N43,'2b. Balance Sheet'!N45,'2b. Balance Sheet'!N46)</f>
        <v>139403</v>
      </c>
      <c r="E36" s="1088">
        <f>SUM('2b. Balance Sheet'!O43,'2b. Balance Sheet'!O45,'2b. Balance Sheet'!O46)</f>
        <v>626215</v>
      </c>
      <c r="F36" s="1088">
        <f>SUM('2b. Balance Sheet'!P43,'2b. Balance Sheet'!P45,'2b. Balance Sheet'!P46)</f>
        <v>626215</v>
      </c>
      <c r="G36" s="1088">
        <f>SUM('2b. Balance Sheet'!Q43,'2b. Balance Sheet'!Q45,'2b. Balance Sheet'!Q46)</f>
        <v>626215</v>
      </c>
      <c r="H36" s="1088">
        <f>SUM('2b. Balance Sheet'!R43,'2b. Balance Sheet'!R45,'2b. Balance Sheet'!R46)</f>
        <v>626215</v>
      </c>
      <c r="I36" s="1088">
        <f>SUM('2b. Balance Sheet'!S43,'2b. Balance Sheet'!S45,'2b. Balance Sheet'!S46)</f>
        <v>626215</v>
      </c>
      <c r="J36" s="1871">
        <f>SUM('2b. Balance Sheet'!T43,'2b. Balance Sheet'!T45,'2b. Balance Sheet'!T46)</f>
        <v>626215</v>
      </c>
    </row>
    <row r="37" spans="2:11">
      <c r="B37" s="1876" t="str">
        <f>'2b. Balance Sheet'!D48</f>
        <v>Current Liabilities</v>
      </c>
      <c r="C37" s="1877">
        <f>SUM(C38:C42)</f>
        <v>863621</v>
      </c>
      <c r="D37" s="1877">
        <f t="shared" ref="D37:J37" si="4">SUM(D38:D42)</f>
        <v>788988</v>
      </c>
      <c r="E37" s="1877">
        <f t="shared" si="4"/>
        <v>1948080</v>
      </c>
      <c r="F37" s="1877">
        <f t="shared" si="4"/>
        <v>2550260.685899768</v>
      </c>
      <c r="G37" s="1877">
        <f t="shared" si="4"/>
        <v>2757694.7347750124</v>
      </c>
      <c r="H37" s="1877">
        <f t="shared" si="4"/>
        <v>2970084.8592308597</v>
      </c>
      <c r="I37" s="1877">
        <f t="shared" si="4"/>
        <v>3197561.2770423903</v>
      </c>
      <c r="J37" s="1880">
        <f t="shared" si="4"/>
        <v>3428262.5961924237</v>
      </c>
      <c r="K37" s="1877"/>
    </row>
    <row r="38" spans="2:11">
      <c r="B38" s="1878" t="str">
        <f>'2b. Balance Sheet'!D49</f>
        <v xml:space="preserve">Accounts payables </v>
      </c>
      <c r="C38" s="1879">
        <f>'2b. Balance Sheet'!M49</f>
        <v>576131</v>
      </c>
      <c r="D38" s="1879">
        <f>'2b. Balance Sheet'!N49</f>
        <v>762604</v>
      </c>
      <c r="E38" s="1879">
        <f>'2b. Balance Sheet'!O49</f>
        <v>1418454</v>
      </c>
      <c r="F38" s="1879">
        <f>'2b. Balance Sheet'!P49</f>
        <v>2227754.685899768</v>
      </c>
      <c r="G38" s="1879">
        <f>'2b. Balance Sheet'!Q49</f>
        <v>2435188.7347750124</v>
      </c>
      <c r="H38" s="1879">
        <f>'2b. Balance Sheet'!R49</f>
        <v>2647578.8592308597</v>
      </c>
      <c r="I38" s="1879">
        <f>'2b. Balance Sheet'!S49</f>
        <v>2875055.2770423903</v>
      </c>
      <c r="J38" s="1881">
        <f>'2b. Balance Sheet'!T49</f>
        <v>3105756.5961924237</v>
      </c>
    </row>
    <row r="39" spans="2:11">
      <c r="B39" s="1878" t="str">
        <f>'2b. Balance Sheet'!D50</f>
        <v>Interest in subsidiaries, associates and joint ventures</v>
      </c>
      <c r="C39" s="1879"/>
      <c r="D39" s="1879"/>
      <c r="E39" s="1879"/>
      <c r="F39" s="1879"/>
      <c r="G39" s="1879"/>
      <c r="H39" s="1879"/>
      <c r="I39" s="1879"/>
      <c r="J39" s="1881"/>
    </row>
    <row r="40" spans="2:11">
      <c r="B40" s="1878" t="str">
        <f>'2b. Balance Sheet'!D51</f>
        <v>Provisions</v>
      </c>
      <c r="C40" s="1879">
        <f>'2b. Balance Sheet'!M51</f>
        <v>9265</v>
      </c>
      <c r="D40" s="1879">
        <f>'2b. Balance Sheet'!N51</f>
        <v>9168</v>
      </c>
      <c r="E40" s="1879">
        <f>'2b. Balance Sheet'!O51</f>
        <v>207120</v>
      </c>
      <c r="F40" s="1879"/>
      <c r="G40" s="1879"/>
      <c r="H40" s="1879"/>
      <c r="I40" s="1879"/>
      <c r="J40" s="1881"/>
    </row>
    <row r="41" spans="2:11">
      <c r="B41" s="1878" t="str">
        <f>'2b. Balance Sheet'!D52</f>
        <v>Taxation</v>
      </c>
      <c r="C41" s="1879">
        <f>'2b. Balance Sheet'!M52</f>
        <v>21225</v>
      </c>
      <c r="D41" s="1879">
        <f>'2b. Balance Sheet'!N52</f>
        <v>17216</v>
      </c>
      <c r="E41" s="1879">
        <f>'2b. Balance Sheet'!O52</f>
        <v>322506</v>
      </c>
      <c r="F41" s="1879">
        <f>'2b. Balance Sheet'!P52</f>
        <v>322506</v>
      </c>
      <c r="G41" s="1879">
        <f>'2b. Balance Sheet'!Q52</f>
        <v>322506</v>
      </c>
      <c r="H41" s="1879">
        <f>'2b. Balance Sheet'!R52</f>
        <v>322506</v>
      </c>
      <c r="I41" s="1879">
        <f>'2b. Balance Sheet'!S52</f>
        <v>322506</v>
      </c>
      <c r="J41" s="1881">
        <f>'2b. Balance Sheet'!T52</f>
        <v>322506</v>
      </c>
    </row>
    <row r="42" spans="2:11" ht="16" thickBot="1">
      <c r="B42" s="1878" t="str">
        <f>'2b. Balance Sheet'!D53</f>
        <v>Bank overdrafts</v>
      </c>
      <c r="C42" s="1879">
        <f>'2b. Balance Sheet'!M53</f>
        <v>257000</v>
      </c>
      <c r="D42" s="1879"/>
      <c r="E42" s="1879"/>
      <c r="F42" s="1879"/>
      <c r="G42" s="1879"/>
      <c r="H42" s="1879"/>
      <c r="I42" s="1879"/>
      <c r="J42" s="1881"/>
    </row>
    <row r="43" spans="2:11" ht="19" thickBot="1">
      <c r="B43" s="1882" t="str">
        <f>'2b. Balance Sheet'!D54</f>
        <v>Total Equity and Liabilities</v>
      </c>
      <c r="C43" s="1883">
        <f>C31+C34+C37</f>
        <v>2833569</v>
      </c>
      <c r="D43" s="1883">
        <f t="shared" ref="D43:J43" si="5">D31+D34+D37</f>
        <v>2975297</v>
      </c>
      <c r="E43" s="1883">
        <f t="shared" si="5"/>
        <v>10513064</v>
      </c>
      <c r="F43" s="1883">
        <f t="shared" si="5"/>
        <v>10372019.285754072</v>
      </c>
      <c r="G43" s="1883">
        <f t="shared" si="5"/>
        <v>10791422.919365417</v>
      </c>
      <c r="H43" s="1883">
        <f t="shared" si="5"/>
        <v>11173568.228433965</v>
      </c>
      <c r="I43" s="1883">
        <f t="shared" si="5"/>
        <v>11587405.835738946</v>
      </c>
      <c r="J43" s="1884">
        <f t="shared" si="5"/>
        <v>12021491.123159748</v>
      </c>
    </row>
    <row r="44" spans="2:11">
      <c r="B44" s="1365" t="s">
        <v>1658</v>
      </c>
      <c r="C44" s="755"/>
      <c r="D44" s="755"/>
      <c r="E44" s="755"/>
      <c r="F44" s="755"/>
      <c r="G44" s="755"/>
      <c r="H44" s="755"/>
      <c r="I44" s="755"/>
      <c r="J44" s="755"/>
    </row>
    <row r="45" spans="2:11">
      <c r="B45" s="754"/>
      <c r="C45" s="755"/>
      <c r="D45" s="755"/>
      <c r="E45" s="755"/>
      <c r="F45" s="755"/>
      <c r="G45" s="755"/>
      <c r="H45" s="755"/>
      <c r="I45" s="755"/>
      <c r="J45" s="755"/>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1:BL263"/>
  <sheetViews>
    <sheetView showGridLines="0" topLeftCell="B1" zoomScale="75" zoomScaleNormal="75" zoomScalePageLayoutView="75" workbookViewId="0">
      <pane xSplit="3" topLeftCell="E1" activePane="topRight" state="frozen"/>
      <selection activeCell="A169" sqref="A169:XFD279"/>
      <selection pane="topRight" activeCell="AJ39" sqref="AJ39:AO39"/>
    </sheetView>
  </sheetViews>
  <sheetFormatPr baseColWidth="10" defaultRowHeight="15" x14ac:dyDescent="0"/>
  <cols>
    <col min="1" max="1" width="10.83203125" style="137"/>
    <col min="2" max="3" width="0" style="137" hidden="1" customWidth="1"/>
    <col min="4" max="4" width="43" style="137" customWidth="1"/>
    <col min="5" max="11" width="10.83203125" style="137" hidden="1" customWidth="1"/>
    <col min="12" max="30" width="13" style="137" customWidth="1"/>
    <col min="31" max="32" width="13" style="243" customWidth="1"/>
    <col min="33" max="33" width="10.83203125" style="243" customWidth="1"/>
    <col min="34" max="39" width="10.83203125" style="243"/>
    <col min="40" max="40" width="3.33203125" style="243" customWidth="1"/>
    <col min="41" max="41" width="8.33203125" style="243" customWidth="1"/>
    <col min="42" max="16384" width="10.83203125" style="243"/>
  </cols>
  <sheetData>
    <row r="1" spans="1:64">
      <c r="A1"/>
      <c r="B1"/>
      <c r="C1"/>
      <c r="D1"/>
      <c r="E1"/>
      <c r="F1"/>
      <c r="G1"/>
      <c r="H1"/>
      <c r="I1"/>
      <c r="J1"/>
      <c r="K1"/>
      <c r="L1"/>
      <c r="M1"/>
      <c r="N1"/>
      <c r="O1"/>
      <c r="P1"/>
      <c r="Q1"/>
      <c r="R1"/>
      <c r="S1"/>
      <c r="T1"/>
      <c r="U1"/>
      <c r="V1"/>
      <c r="W1"/>
      <c r="X1"/>
      <c r="Y1"/>
      <c r="Z1"/>
      <c r="AA1"/>
      <c r="AB1"/>
      <c r="AC1"/>
      <c r="AD1"/>
    </row>
    <row r="2" spans="1:64" ht="20">
      <c r="A2"/>
      <c r="B2"/>
      <c r="C2"/>
      <c r="D2" s="1927" t="s">
        <v>1577</v>
      </c>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G2" s="831"/>
      <c r="AJ2" s="1330" t="s">
        <v>1817</v>
      </c>
      <c r="AK2" s="1798"/>
      <c r="AL2" s="1798"/>
      <c r="AM2" s="1798"/>
      <c r="AN2" s="1798"/>
      <c r="AO2" s="1798"/>
    </row>
    <row r="3" spans="1:64" ht="16" thickBot="1">
      <c r="A3"/>
      <c r="B3"/>
      <c r="C3"/>
      <c r="D3"/>
      <c r="E3"/>
      <c r="F3"/>
      <c r="G3"/>
      <c r="H3"/>
      <c r="I3"/>
      <c r="J3"/>
      <c r="K3"/>
      <c r="L3"/>
      <c r="M3"/>
      <c r="N3"/>
      <c r="O3"/>
      <c r="P3"/>
      <c r="Q3"/>
      <c r="R3"/>
      <c r="S3"/>
      <c r="T3"/>
      <c r="U3"/>
      <c r="V3"/>
      <c r="W3"/>
      <c r="X3"/>
      <c r="Y3"/>
      <c r="Z3"/>
      <c r="AA3"/>
      <c r="AB3"/>
      <c r="AC3"/>
      <c r="AD3"/>
      <c r="AJ3" s="336"/>
      <c r="AK3" s="336"/>
      <c r="AL3" s="336"/>
      <c r="AM3" s="336"/>
      <c r="AN3" s="336"/>
      <c r="AO3" s="336"/>
      <c r="AP3" s="336"/>
      <c r="AQ3" s="336"/>
      <c r="AR3" s="336"/>
      <c r="AS3" s="336"/>
      <c r="AT3" s="336"/>
      <c r="AU3" s="336"/>
      <c r="AV3" s="620"/>
      <c r="AW3" s="620"/>
      <c r="AX3" s="620"/>
      <c r="AY3" s="620"/>
      <c r="AZ3" s="620"/>
      <c r="BA3" s="620"/>
      <c r="BB3" s="620"/>
      <c r="BC3" s="620"/>
      <c r="BD3" s="620"/>
      <c r="BE3" s="620"/>
      <c r="BF3" s="620"/>
      <c r="BG3" s="620"/>
      <c r="BH3" s="620"/>
      <c r="BI3" s="620"/>
      <c r="BJ3" s="620"/>
      <c r="BK3" s="377"/>
      <c r="BL3" s="377"/>
    </row>
    <row r="4" spans="1:64" ht="16" thickBot="1">
      <c r="A4" s="408"/>
      <c r="B4" s="408"/>
      <c r="C4" s="408"/>
      <c r="D4" s="694" t="s">
        <v>689</v>
      </c>
      <c r="E4" s="695" t="s">
        <v>216</v>
      </c>
      <c r="F4" s="695" t="s">
        <v>217</v>
      </c>
      <c r="G4" s="695" t="s">
        <v>1615</v>
      </c>
      <c r="H4" s="695" t="s">
        <v>28</v>
      </c>
      <c r="I4" s="695" t="s">
        <v>17</v>
      </c>
      <c r="J4" s="695" t="s">
        <v>18</v>
      </c>
      <c r="K4" s="695" t="s">
        <v>19</v>
      </c>
      <c r="L4" s="810" t="s">
        <v>20</v>
      </c>
      <c r="M4" s="810" t="s">
        <v>21</v>
      </c>
      <c r="N4" s="810" t="s">
        <v>22</v>
      </c>
      <c r="O4" s="810" t="s">
        <v>23</v>
      </c>
      <c r="P4" s="684" t="s">
        <v>24</v>
      </c>
      <c r="Q4" s="684" t="s">
        <v>25</v>
      </c>
      <c r="R4" s="684" t="s">
        <v>26</v>
      </c>
      <c r="S4" s="684" t="s">
        <v>27</v>
      </c>
      <c r="T4" s="684" t="s">
        <v>712</v>
      </c>
      <c r="U4" s="684" t="s">
        <v>713</v>
      </c>
      <c r="V4" s="684" t="s">
        <v>714</v>
      </c>
      <c r="W4" s="684" t="s">
        <v>715</v>
      </c>
      <c r="X4" s="684" t="s">
        <v>716</v>
      </c>
      <c r="Y4" s="684" t="s">
        <v>717</v>
      </c>
      <c r="Z4" s="684" t="s">
        <v>718</v>
      </c>
      <c r="AA4" s="684" t="s">
        <v>719</v>
      </c>
      <c r="AB4" s="684" t="s">
        <v>720</v>
      </c>
      <c r="AC4" s="684" t="s">
        <v>721</v>
      </c>
      <c r="AD4" s="684" t="s">
        <v>722</v>
      </c>
      <c r="AE4" s="733" t="s">
        <v>1445</v>
      </c>
      <c r="AF4" s="513" t="s">
        <v>1446</v>
      </c>
      <c r="AJ4" s="825"/>
      <c r="AK4" s="169"/>
      <c r="AL4" s="169"/>
      <c r="AM4" s="169"/>
      <c r="AN4" s="807"/>
      <c r="AO4" s="807"/>
      <c r="AP4" s="807"/>
      <c r="AQ4" s="807"/>
      <c r="AR4" s="807"/>
      <c r="AS4" s="807"/>
      <c r="AT4" s="807"/>
      <c r="AU4" s="807"/>
      <c r="AV4" s="826"/>
      <c r="AW4" s="826"/>
      <c r="AX4" s="826"/>
      <c r="AY4" s="826"/>
      <c r="AZ4" s="826"/>
      <c r="BA4" s="826"/>
      <c r="BB4" s="826"/>
      <c r="BC4" s="826"/>
      <c r="BD4" s="826"/>
      <c r="BE4" s="826"/>
      <c r="BF4" s="826"/>
      <c r="BG4" s="826"/>
      <c r="BH4" s="826"/>
      <c r="BI4" s="826"/>
      <c r="BJ4" s="826"/>
      <c r="BK4" s="213"/>
      <c r="BL4" s="213"/>
    </row>
    <row r="5" spans="1:64" ht="16" thickBot="1">
      <c r="A5" s="1657"/>
      <c r="B5" s="1657"/>
      <c r="C5" s="1657"/>
      <c r="D5" s="1466" t="s">
        <v>0</v>
      </c>
      <c r="E5" s="190">
        <f>'All Together'!E13</f>
        <v>166835</v>
      </c>
      <c r="F5" s="190">
        <f>'All Together'!F13</f>
        <v>154247</v>
      </c>
      <c r="G5" s="190">
        <f>'All Together'!G13</f>
        <v>176186</v>
      </c>
      <c r="H5" s="1390">
        <f>'All Together'!H13</f>
        <v>188381</v>
      </c>
      <c r="I5" s="1390">
        <f>'All Together'!I13</f>
        <v>210524</v>
      </c>
      <c r="J5" s="1390">
        <f>'All Together'!J13</f>
        <v>234116</v>
      </c>
      <c r="K5" s="1390">
        <f>'All Together'!K13</f>
        <v>217993</v>
      </c>
      <c r="L5" s="1426">
        <f>'All Together'!L13</f>
        <v>279790</v>
      </c>
      <c r="M5" s="1426">
        <f>'All Together'!M13</f>
        <v>326320</v>
      </c>
      <c r="N5" s="1426">
        <f>'All Together'!N13</f>
        <v>343691</v>
      </c>
      <c r="O5" s="1426">
        <f>'All Together'!O13</f>
        <v>458567</v>
      </c>
      <c r="P5" s="1559">
        <f>O5*(1+P6)</f>
        <v>500755.16400000005</v>
      </c>
      <c r="Q5" s="1559">
        <f>P5*(1+Q6)</f>
        <v>544195.67447700002</v>
      </c>
      <c r="R5" s="1559">
        <f t="shared" ref="R5:AD5" si="0">Q5*(1+R6)</f>
        <v>582942.40649976255</v>
      </c>
      <c r="S5" s="1559">
        <f t="shared" si="0"/>
        <v>621416.60532874684</v>
      </c>
      <c r="T5" s="1559">
        <f t="shared" si="0"/>
        <v>659198.73493273463</v>
      </c>
      <c r="U5" s="1559">
        <f t="shared" si="0"/>
        <v>699278.01801664487</v>
      </c>
      <c r="V5" s="1559">
        <f t="shared" si="0"/>
        <v>741794.12151205691</v>
      </c>
      <c r="W5" s="1559">
        <f t="shared" si="0"/>
        <v>786895.20409998996</v>
      </c>
      <c r="X5" s="1559">
        <f t="shared" si="0"/>
        <v>834738.43250926933</v>
      </c>
      <c r="Y5" s="1559">
        <f t="shared" si="0"/>
        <v>885490.52920583286</v>
      </c>
      <c r="Z5" s="1559">
        <f t="shared" si="0"/>
        <v>939328.35338154749</v>
      </c>
      <c r="AA5" s="1559">
        <f t="shared" si="0"/>
        <v>996439.51726714557</v>
      </c>
      <c r="AB5" s="1559">
        <f t="shared" si="0"/>
        <v>1057023.039916988</v>
      </c>
      <c r="AC5" s="1559">
        <f t="shared" si="0"/>
        <v>1121290.0407439407</v>
      </c>
      <c r="AD5" s="1559">
        <f t="shared" si="0"/>
        <v>1189464.4752211722</v>
      </c>
      <c r="AE5" s="1560">
        <f>(O5/L5)^(1/3)-1</f>
        <v>0.17902641903599426</v>
      </c>
      <c r="AF5" s="1561">
        <f>(T5/P5)^(1/4)-1</f>
        <v>7.1143686058077416E-2</v>
      </c>
      <c r="AJ5" s="1395"/>
      <c r="AK5" s="1395"/>
      <c r="AL5" s="1395"/>
      <c r="AM5" s="1395"/>
      <c r="AN5" s="1395"/>
      <c r="AO5" s="1395"/>
      <c r="AP5" s="1395"/>
      <c r="AQ5" s="1395"/>
      <c r="AR5" s="1395"/>
      <c r="AS5" s="1395"/>
      <c r="AT5" s="1395"/>
      <c r="AU5" s="1395"/>
      <c r="AV5" s="1395"/>
      <c r="AW5" s="1395"/>
      <c r="AX5" s="1395"/>
      <c r="AY5" s="1395"/>
      <c r="AZ5" s="1395"/>
      <c r="BA5" s="1395"/>
      <c r="BB5" s="1395"/>
      <c r="BC5" s="1395"/>
      <c r="BD5" s="1395"/>
      <c r="BE5" s="1395"/>
      <c r="BF5" s="1395"/>
      <c r="BG5" s="1395"/>
      <c r="BH5" s="1395"/>
      <c r="BI5" s="1395"/>
      <c r="BJ5" s="1395"/>
      <c r="BK5" s="1416"/>
      <c r="BL5" s="1416"/>
    </row>
    <row r="6" spans="1:64" s="1409" customFormat="1" ht="14">
      <c r="A6" s="1433"/>
      <c r="B6" s="1433"/>
      <c r="C6" s="1433"/>
      <c r="D6" s="1434" t="s">
        <v>1576</v>
      </c>
      <c r="L6" s="1409">
        <f t="shared" ref="L6:N6" si="1">L5/K5-1</f>
        <v>0.28348157968375132</v>
      </c>
      <c r="M6" s="1409">
        <f t="shared" si="1"/>
        <v>0.16630329890274842</v>
      </c>
      <c r="N6" s="1409">
        <f t="shared" si="1"/>
        <v>5.3233022799705765E-2</v>
      </c>
      <c r="O6" s="1409">
        <f>O5/N5-1</f>
        <v>0.33424209537055094</v>
      </c>
      <c r="P6" s="1409">
        <f t="shared" ref="P6:AD6" si="2">(1+P8)*(1+P7)-1</f>
        <v>9.2000000000000082E-2</v>
      </c>
      <c r="Q6" s="1409">
        <f t="shared" si="2"/>
        <v>8.6749999999999883E-2</v>
      </c>
      <c r="R6" s="1409">
        <f t="shared" si="2"/>
        <v>7.1200000000000152E-2</v>
      </c>
      <c r="S6" s="1409">
        <f t="shared" si="2"/>
        <v>6.5999999999999837E-2</v>
      </c>
      <c r="T6" s="1409">
        <f t="shared" si="2"/>
        <v>6.0799999999999965E-2</v>
      </c>
      <c r="U6" s="1409">
        <f t="shared" si="2"/>
        <v>6.0799999999999965E-2</v>
      </c>
      <c r="V6" s="1409">
        <f t="shared" si="2"/>
        <v>6.0799999999999965E-2</v>
      </c>
      <c r="W6" s="1409">
        <f t="shared" si="2"/>
        <v>6.0799999999999965E-2</v>
      </c>
      <c r="X6" s="1409">
        <f t="shared" si="2"/>
        <v>6.0799999999999965E-2</v>
      </c>
      <c r="Y6" s="1409">
        <f t="shared" si="2"/>
        <v>6.0799999999999965E-2</v>
      </c>
      <c r="Z6" s="1409">
        <f t="shared" si="2"/>
        <v>6.0799999999999965E-2</v>
      </c>
      <c r="AA6" s="1409">
        <f t="shared" si="2"/>
        <v>6.0799999999999965E-2</v>
      </c>
      <c r="AB6" s="1409">
        <f t="shared" si="2"/>
        <v>6.0799999999999965E-2</v>
      </c>
      <c r="AC6" s="1409">
        <f t="shared" si="2"/>
        <v>6.0799999999999965E-2</v>
      </c>
      <c r="AD6" s="1409">
        <f t="shared" si="2"/>
        <v>6.0799999999999965E-2</v>
      </c>
      <c r="AE6" s="1298"/>
      <c r="AF6" s="1299"/>
      <c r="AJ6" s="1402"/>
      <c r="AK6" s="1402"/>
      <c r="AL6" s="1402"/>
      <c r="AM6" s="1402"/>
      <c r="AN6" s="1402"/>
      <c r="AO6" s="1402"/>
      <c r="AP6" s="1402"/>
      <c r="AQ6" s="1402"/>
      <c r="AR6" s="1402"/>
      <c r="AS6" s="1402"/>
      <c r="AT6" s="1402"/>
      <c r="AU6" s="1402"/>
      <c r="AV6" s="1402"/>
      <c r="AW6" s="1402"/>
      <c r="AX6" s="1402"/>
      <c r="AY6" s="1402"/>
      <c r="AZ6" s="1402"/>
      <c r="BA6" s="1402"/>
      <c r="BB6" s="1402"/>
      <c r="BC6" s="1402"/>
      <c r="BD6" s="1402"/>
      <c r="BE6" s="1402"/>
      <c r="BF6" s="1402"/>
      <c r="BG6" s="1402"/>
      <c r="BH6" s="1402"/>
      <c r="BI6" s="1402"/>
      <c r="BJ6" s="1402"/>
      <c r="BK6" s="1300"/>
      <c r="BL6" s="1300"/>
    </row>
    <row r="7" spans="1:64" s="1402" customFormat="1" ht="15" customHeight="1">
      <c r="A7" s="562"/>
      <c r="B7" s="562"/>
      <c r="C7" s="562"/>
      <c r="D7" s="1418" t="s">
        <v>1174</v>
      </c>
      <c r="P7" s="1402">
        <f>(3%+2%)</f>
        <v>0.05</v>
      </c>
      <c r="Q7" s="1402">
        <f t="shared" ref="Q7" si="3">P7</f>
        <v>0.05</v>
      </c>
      <c r="R7" s="1402">
        <f>Q7-1%</f>
        <v>0.04</v>
      </c>
      <c r="S7" s="1402">
        <f t="shared" ref="S7" si="4">R7</f>
        <v>0.04</v>
      </c>
      <c r="T7" s="1402">
        <f t="shared" ref="T7" si="5">S7</f>
        <v>0.04</v>
      </c>
      <c r="U7" s="1402">
        <f>3%+1%</f>
        <v>0.04</v>
      </c>
      <c r="V7" s="1402">
        <f>U7</f>
        <v>0.04</v>
      </c>
      <c r="W7" s="1402">
        <f t="shared" ref="W7:AD7" si="6">V7</f>
        <v>0.04</v>
      </c>
      <c r="X7" s="1402">
        <f t="shared" si="6"/>
        <v>0.04</v>
      </c>
      <c r="Y7" s="1402">
        <f t="shared" si="6"/>
        <v>0.04</v>
      </c>
      <c r="Z7" s="1402">
        <f t="shared" si="6"/>
        <v>0.04</v>
      </c>
      <c r="AA7" s="1402">
        <f t="shared" si="6"/>
        <v>0.04</v>
      </c>
      <c r="AB7" s="1402">
        <f t="shared" si="6"/>
        <v>0.04</v>
      </c>
      <c r="AC7" s="1402">
        <f t="shared" si="6"/>
        <v>0.04</v>
      </c>
      <c r="AD7" s="1402">
        <f t="shared" si="6"/>
        <v>0.04</v>
      </c>
      <c r="AE7" s="1298"/>
      <c r="AF7" s="1299"/>
      <c r="BK7" s="1300"/>
      <c r="BL7" s="1300"/>
    </row>
    <row r="8" spans="1:64" s="1402" customFormat="1" thickBot="1">
      <c r="A8" s="562"/>
      <c r="B8" s="562"/>
      <c r="C8" s="562"/>
      <c r="D8" s="1418" t="s">
        <v>1175</v>
      </c>
      <c r="P8" s="1402">
        <f>'3h. Segmental Volume Drivers'!P173</f>
        <v>0.04</v>
      </c>
      <c r="Q8" s="1402">
        <f>'3h. Segmental Volume Drivers'!Q173</f>
        <v>3.5000000000000003E-2</v>
      </c>
      <c r="R8" s="1402">
        <f>'3h. Segmental Volume Drivers'!R173</f>
        <v>3.0000000000000002E-2</v>
      </c>
      <c r="S8" s="1402">
        <f>'3h. Segmental Volume Drivers'!S173</f>
        <v>2.5000000000000001E-2</v>
      </c>
      <c r="T8" s="1402">
        <f>'3h. Segmental Volume Drivers'!T173</f>
        <v>0.02</v>
      </c>
      <c r="U8" s="1402">
        <f>'3h. Segmental Volume Drivers'!U173</f>
        <v>0.02</v>
      </c>
      <c r="V8" s="1402">
        <f>'3h. Segmental Volume Drivers'!V173</f>
        <v>0.02</v>
      </c>
      <c r="W8" s="1402">
        <f>'3h. Segmental Volume Drivers'!W173</f>
        <v>0.02</v>
      </c>
      <c r="X8" s="1402">
        <f>'3h. Segmental Volume Drivers'!X173</f>
        <v>0.02</v>
      </c>
      <c r="Y8" s="1402">
        <f>'3h. Segmental Volume Drivers'!Y173</f>
        <v>0.02</v>
      </c>
      <c r="Z8" s="1402">
        <f>'3h. Segmental Volume Drivers'!Z173</f>
        <v>0.02</v>
      </c>
      <c r="AA8" s="1402">
        <f>'3h. Segmental Volume Drivers'!AA173</f>
        <v>0.02</v>
      </c>
      <c r="AB8" s="1402">
        <f>'3h. Segmental Volume Drivers'!AB173</f>
        <v>0.02</v>
      </c>
      <c r="AC8" s="1402">
        <f>'3h. Segmental Volume Drivers'!AC173</f>
        <v>0.02</v>
      </c>
      <c r="AD8" s="1402">
        <f>'3h. Segmental Volume Drivers'!AD173</f>
        <v>0.02</v>
      </c>
      <c r="AE8" s="1298"/>
      <c r="AF8" s="1299"/>
      <c r="AN8" s="1038"/>
      <c r="AO8" s="1038"/>
      <c r="AP8" s="1038"/>
      <c r="AQ8" s="1038"/>
      <c r="AR8" s="1038"/>
      <c r="AS8" s="1038"/>
      <c r="AT8" s="1038"/>
      <c r="AU8" s="1038"/>
      <c r="AV8" s="1038"/>
      <c r="AW8" s="1038"/>
      <c r="AX8" s="1038"/>
      <c r="AY8" s="1038"/>
      <c r="AZ8" s="1038"/>
      <c r="BA8" s="1038"/>
      <c r="BB8" s="1038"/>
      <c r="BC8" s="1038"/>
      <c r="BD8" s="1038"/>
      <c r="BE8" s="1038"/>
      <c r="BF8" s="1038"/>
      <c r="BK8" s="1453"/>
      <c r="BL8" s="1453"/>
    </row>
    <row r="9" spans="1:64" s="242" customFormat="1" hidden="1">
      <c r="A9" s="46"/>
      <c r="B9" s="46"/>
      <c r="C9" s="46"/>
      <c r="D9" s="734" t="s">
        <v>502</v>
      </c>
      <c r="E9" s="109">
        <f t="shared" ref="E9:AC9" si="7">E5-E11-E14</f>
        <v>90740</v>
      </c>
      <c r="F9" s="109">
        <f t="shared" si="7"/>
        <v>79092</v>
      </c>
      <c r="G9" s="109">
        <f t="shared" si="7"/>
        <v>96523</v>
      </c>
      <c r="H9" s="109">
        <f t="shared" si="7"/>
        <v>107809</v>
      </c>
      <c r="I9" s="109">
        <f t="shared" si="7"/>
        <v>119280</v>
      </c>
      <c r="J9" s="109">
        <f t="shared" si="7"/>
        <v>133362</v>
      </c>
      <c r="K9" s="109">
        <f t="shared" si="7"/>
        <v>136781</v>
      </c>
      <c r="L9" s="109">
        <f t="shared" si="7"/>
        <v>181517</v>
      </c>
      <c r="M9" s="109">
        <f t="shared" si="7"/>
        <v>213037</v>
      </c>
      <c r="N9" s="109">
        <f t="shared" si="7"/>
        <v>210439</v>
      </c>
      <c r="O9" s="109">
        <f t="shared" si="7"/>
        <v>314010</v>
      </c>
      <c r="P9" s="109">
        <f t="shared" si="7"/>
        <v>342891.414292</v>
      </c>
      <c r="Q9" s="109">
        <f t="shared" si="7"/>
        <v>372597.05708102696</v>
      </c>
      <c r="R9" s="109">
        <f t="shared" si="7"/>
        <v>398488.20297313097</v>
      </c>
      <c r="S9" s="109">
        <f t="shared" si="7"/>
        <v>424459.87624933792</v>
      </c>
      <c r="T9" s="109">
        <f t="shared" si="7"/>
        <v>449608.6202984851</v>
      </c>
      <c r="U9" s="109">
        <f t="shared" si="7"/>
        <v>476125.01704497036</v>
      </c>
      <c r="V9" s="109">
        <f t="shared" si="7"/>
        <v>504072.8922381397</v>
      </c>
      <c r="W9" s="109">
        <f t="shared" si="7"/>
        <v>533515.76714916434</v>
      </c>
      <c r="X9" s="109">
        <f t="shared" si="7"/>
        <v>564514.80250032386</v>
      </c>
      <c r="Y9" s="109">
        <f t="shared" si="7"/>
        <v>597141.89414297079</v>
      </c>
      <c r="Z9" s="109">
        <f t="shared" si="7"/>
        <v>631465.73282253137</v>
      </c>
      <c r="AA9" s="109">
        <f t="shared" si="7"/>
        <v>667554.58231121441</v>
      </c>
      <c r="AB9" s="109">
        <f t="shared" si="7"/>
        <v>705476.32523521199</v>
      </c>
      <c r="AC9" s="109">
        <f t="shared" si="7"/>
        <v>745298.07155744266</v>
      </c>
      <c r="AD9" s="109" t="e">
        <f>#REF!-#REF!-AD14</f>
        <v>#REF!</v>
      </c>
      <c r="AE9" s="827"/>
      <c r="AF9" s="828"/>
      <c r="AJ9" s="232"/>
      <c r="AK9" s="232"/>
      <c r="AL9" s="232"/>
      <c r="AM9" s="232"/>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1331"/>
      <c r="BL9" s="1331"/>
    </row>
    <row r="10" spans="1:64" s="318" customFormat="1" ht="16" hidden="1" thickBot="1">
      <c r="A10" s="111"/>
      <c r="B10" s="111"/>
      <c r="C10" s="111"/>
      <c r="D10" s="1431" t="s">
        <v>690</v>
      </c>
      <c r="E10" s="1432"/>
      <c r="F10" s="1432">
        <f>(F9/E9)-1</f>
        <v>-0.12836676217765042</v>
      </c>
      <c r="G10" s="1432">
        <f t="shared" ref="G10:S10" si="8">(G9/F9)-1</f>
        <v>0.22038891417589634</v>
      </c>
      <c r="H10" s="1432">
        <f t="shared" si="8"/>
        <v>0.11692549962185184</v>
      </c>
      <c r="I10" s="1432">
        <f t="shared" si="8"/>
        <v>0.10640113534120532</v>
      </c>
      <c r="J10" s="1432">
        <f t="shared" si="8"/>
        <v>0.11805835010060362</v>
      </c>
      <c r="K10" s="1432">
        <f t="shared" si="8"/>
        <v>2.5636988047569753E-2</v>
      </c>
      <c r="L10" s="1432">
        <f t="shared" si="8"/>
        <v>0.32706296927204792</v>
      </c>
      <c r="M10" s="1432">
        <f t="shared" si="8"/>
        <v>0.17364764732779858</v>
      </c>
      <c r="N10" s="1432">
        <f t="shared" si="8"/>
        <v>-1.2195064707069658E-2</v>
      </c>
      <c r="O10" s="1432">
        <f t="shared" si="8"/>
        <v>0.4921663760044479</v>
      </c>
      <c r="P10" s="1432">
        <f t="shared" si="8"/>
        <v>9.1976097232572274E-2</v>
      </c>
      <c r="Q10" s="1432">
        <f t="shared" si="8"/>
        <v>8.6632798462927374E-2</v>
      </c>
      <c r="R10" s="1432">
        <f t="shared" si="8"/>
        <v>6.9488326330160888E-2</v>
      </c>
      <c r="S10" s="1432">
        <f t="shared" si="8"/>
        <v>6.5175513559577514E-2</v>
      </c>
      <c r="T10" s="1432"/>
      <c r="U10" s="1432"/>
      <c r="V10" s="1432"/>
      <c r="W10" s="1432"/>
      <c r="X10" s="1432"/>
      <c r="Y10" s="1432"/>
      <c r="Z10" s="1432"/>
      <c r="AA10" s="1432"/>
      <c r="AB10" s="1432"/>
      <c r="AC10" s="1432"/>
      <c r="AD10" s="1432"/>
      <c r="AE10" s="1562"/>
      <c r="AF10" s="1563"/>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1331"/>
      <c r="BL10" s="1331"/>
    </row>
    <row r="11" spans="1:64" ht="16" thickBot="1">
      <c r="A11" s="1421"/>
      <c r="B11" s="1421"/>
      <c r="C11" s="1421"/>
      <c r="D11" s="734" t="s">
        <v>451</v>
      </c>
      <c r="E11" s="190">
        <f>'All Together'!E39</f>
        <v>61287</v>
      </c>
      <c r="F11" s="190">
        <f>'All Together'!F39</f>
        <v>58681</v>
      </c>
      <c r="G11" s="190">
        <f>'All Together'!G39</f>
        <v>57274</v>
      </c>
      <c r="H11" s="190">
        <f>'All Together'!H39</f>
        <v>58672</v>
      </c>
      <c r="I11" s="190">
        <f>'All Together'!I39</f>
        <v>67734</v>
      </c>
      <c r="J11" s="190">
        <f>'All Together'!J39</f>
        <v>76421</v>
      </c>
      <c r="K11" s="190">
        <f>'All Together'!K39</f>
        <v>53734</v>
      </c>
      <c r="L11" s="1390">
        <f>'All Together'!L39</f>
        <v>65968</v>
      </c>
      <c r="M11" s="1390">
        <f>'All Together'!M39</f>
        <v>82798</v>
      </c>
      <c r="N11" s="1390">
        <f>'All Together'!N39</f>
        <v>106514</v>
      </c>
      <c r="O11" s="1390">
        <f>'All Together'!O39</f>
        <v>117545</v>
      </c>
      <c r="P11" s="1458">
        <f t="shared" ref="P11:AD11" si="9">P13*P5</f>
        <v>128359.14000000001</v>
      </c>
      <c r="Q11" s="1458">
        <f t="shared" si="9"/>
        <v>139494.29539499999</v>
      </c>
      <c r="R11" s="1458">
        <f t="shared" si="9"/>
        <v>149426.28922712404</v>
      </c>
      <c r="S11" s="1458">
        <f t="shared" si="9"/>
        <v>159288.42431611422</v>
      </c>
      <c r="T11" s="1458">
        <f t="shared" si="9"/>
        <v>168973.16051453396</v>
      </c>
      <c r="U11" s="1458">
        <f t="shared" si="9"/>
        <v>179246.72867381762</v>
      </c>
      <c r="V11" s="1458">
        <f t="shared" si="9"/>
        <v>190144.92977718572</v>
      </c>
      <c r="W11" s="1458">
        <f t="shared" si="9"/>
        <v>201705.74150763862</v>
      </c>
      <c r="X11" s="1458">
        <f t="shared" si="9"/>
        <v>213969.45059130303</v>
      </c>
      <c r="Y11" s="1458">
        <f t="shared" si="9"/>
        <v>226978.79318725425</v>
      </c>
      <c r="Z11" s="1458">
        <f t="shared" si="9"/>
        <v>240779.10381303931</v>
      </c>
      <c r="AA11" s="1458">
        <f t="shared" si="9"/>
        <v>255418.47332487209</v>
      </c>
      <c r="AB11" s="1458">
        <f t="shared" si="9"/>
        <v>270947.91650302429</v>
      </c>
      <c r="AC11" s="1458">
        <f t="shared" si="9"/>
        <v>287421.54982640815</v>
      </c>
      <c r="AD11" s="1458">
        <f t="shared" si="9"/>
        <v>304896.78005585377</v>
      </c>
      <c r="AE11" s="827">
        <f>(O11/L11)^(1/3)-1</f>
        <v>0.21233771027482717</v>
      </c>
      <c r="AF11" s="828">
        <f>(T11/P11)^(1/4)-1</f>
        <v>7.1143686058077416E-2</v>
      </c>
      <c r="AJ11" s="1393"/>
      <c r="AK11" s="237"/>
      <c r="AL11" s="237"/>
      <c r="AM11" s="237"/>
      <c r="AN11" s="237"/>
      <c r="AO11" s="237"/>
      <c r="AP11" s="237"/>
      <c r="AQ11" s="237"/>
      <c r="AR11" s="1393"/>
      <c r="AS11" s="1393"/>
      <c r="AT11" s="1393"/>
      <c r="AU11" s="1393"/>
      <c r="AV11" s="1393"/>
      <c r="AW11" s="1393"/>
      <c r="AX11" s="1393"/>
      <c r="AY11" s="1393"/>
      <c r="AZ11" s="1393"/>
      <c r="BA11" s="1393"/>
      <c r="BB11" s="1393"/>
      <c r="BC11" s="1393"/>
      <c r="BD11" s="1393"/>
      <c r="BE11" s="1393"/>
      <c r="BF11" s="1393"/>
      <c r="BG11" s="1393"/>
      <c r="BH11" s="1393"/>
      <c r="BI11" s="1393"/>
      <c r="BJ11" s="1393"/>
      <c r="BK11" s="1332"/>
      <c r="BL11" s="1332"/>
    </row>
    <row r="12" spans="1:64" s="245" customFormat="1" ht="14">
      <c r="A12" s="1564"/>
      <c r="B12" s="1564"/>
      <c r="C12" s="1564"/>
      <c r="D12" s="1418" t="s">
        <v>832</v>
      </c>
      <c r="E12" s="737"/>
      <c r="F12" s="737"/>
      <c r="G12" s="737"/>
      <c r="H12" s="737"/>
      <c r="I12" s="737"/>
      <c r="J12" s="737"/>
      <c r="K12" s="737"/>
      <c r="L12" s="1402"/>
      <c r="M12" s="1402">
        <f t="shared" ref="M12:N12" si="10">M11/L11-1</f>
        <v>0.25512369633761822</v>
      </c>
      <c r="N12" s="1402">
        <f t="shared" si="10"/>
        <v>0.28643203942124207</v>
      </c>
      <c r="O12" s="1402">
        <f>O11/N11-1</f>
        <v>0.10356385076140229</v>
      </c>
      <c r="P12" s="1402">
        <f>P11/O11-1</f>
        <v>9.2000000000000082E-2</v>
      </c>
      <c r="Q12" s="1402">
        <f t="shared" ref="Q12:AD12" si="11">Q11/P11-1</f>
        <v>8.6749999999999883E-2</v>
      </c>
      <c r="R12" s="1402">
        <f t="shared" si="11"/>
        <v>7.1200000000000374E-2</v>
      </c>
      <c r="S12" s="1402">
        <f t="shared" si="11"/>
        <v>6.6000000000000059E-2</v>
      </c>
      <c r="T12" s="1402">
        <f t="shared" si="11"/>
        <v>6.0799999999999965E-2</v>
      </c>
      <c r="U12" s="1402">
        <f t="shared" si="11"/>
        <v>6.0799999999999965E-2</v>
      </c>
      <c r="V12" s="1402">
        <f t="shared" si="11"/>
        <v>6.0799999999999965E-2</v>
      </c>
      <c r="W12" s="1402">
        <f t="shared" si="11"/>
        <v>6.0799999999999965E-2</v>
      </c>
      <c r="X12" s="1402">
        <f t="shared" si="11"/>
        <v>6.0799999999999965E-2</v>
      </c>
      <c r="Y12" s="1402">
        <f t="shared" si="11"/>
        <v>6.0799999999999965E-2</v>
      </c>
      <c r="Z12" s="1402">
        <f t="shared" si="11"/>
        <v>6.0799999999999965E-2</v>
      </c>
      <c r="AA12" s="1402">
        <f t="shared" si="11"/>
        <v>6.0799999999999965E-2</v>
      </c>
      <c r="AB12" s="1402">
        <f t="shared" si="11"/>
        <v>6.0799999999999965E-2</v>
      </c>
      <c r="AC12" s="1402">
        <f t="shared" si="11"/>
        <v>6.0799999999999965E-2</v>
      </c>
      <c r="AD12" s="1402">
        <f t="shared" si="11"/>
        <v>6.0799999999999965E-2</v>
      </c>
      <c r="AE12" s="1565"/>
      <c r="AF12" s="1566"/>
      <c r="AJ12" s="1402"/>
      <c r="AK12" s="1402"/>
      <c r="AL12" s="1402"/>
      <c r="AM12" s="1402"/>
      <c r="AN12" s="1402"/>
      <c r="AO12" s="1402"/>
      <c r="AP12" s="1402"/>
      <c r="AQ12" s="1402"/>
      <c r="AR12" s="1402"/>
      <c r="AS12" s="1402"/>
      <c r="AT12" s="1402"/>
      <c r="AU12" s="1402"/>
      <c r="AV12" s="1402"/>
      <c r="AW12" s="1402"/>
      <c r="AX12" s="1402"/>
      <c r="AY12" s="1402"/>
      <c r="AZ12" s="1402"/>
      <c r="BA12" s="1402"/>
      <c r="BB12" s="1402"/>
      <c r="BC12" s="1402"/>
      <c r="BD12" s="1402"/>
      <c r="BE12" s="1402"/>
      <c r="BF12" s="1402"/>
      <c r="BG12" s="1402"/>
      <c r="BH12" s="1402"/>
      <c r="BI12" s="1402"/>
      <c r="BJ12" s="1402"/>
      <c r="BK12" s="1300"/>
      <c r="BL12" s="1300"/>
    </row>
    <row r="13" spans="1:64" s="1402" customFormat="1" thickBot="1">
      <c r="A13" s="562"/>
      <c r="B13" s="562"/>
      <c r="C13" s="562"/>
      <c r="D13" s="1402" t="s">
        <v>978</v>
      </c>
      <c r="L13" s="1402">
        <f>L11/L5</f>
        <v>0.23577683262446836</v>
      </c>
      <c r="M13" s="1402">
        <f>M11/M5</f>
        <v>0.25373253248345184</v>
      </c>
      <c r="N13" s="1402">
        <f>N11/N5</f>
        <v>0.30991210127701918</v>
      </c>
      <c r="O13" s="1402">
        <f>O11/O5</f>
        <v>0.25633113590816609</v>
      </c>
      <c r="P13" s="1402">
        <f>O13</f>
        <v>0.25633113590816609</v>
      </c>
      <c r="Q13" s="1402">
        <f>P13</f>
        <v>0.25633113590816609</v>
      </c>
      <c r="R13" s="1402">
        <f t="shared" ref="R13:AD13" si="12">Q13</f>
        <v>0.25633113590816609</v>
      </c>
      <c r="S13" s="1402">
        <f t="shared" si="12"/>
        <v>0.25633113590816609</v>
      </c>
      <c r="T13" s="1402">
        <f t="shared" si="12"/>
        <v>0.25633113590816609</v>
      </c>
      <c r="U13" s="1402">
        <f t="shared" si="12"/>
        <v>0.25633113590816609</v>
      </c>
      <c r="V13" s="1402">
        <f t="shared" si="12"/>
        <v>0.25633113590816609</v>
      </c>
      <c r="W13" s="1402">
        <f t="shared" si="12"/>
        <v>0.25633113590816609</v>
      </c>
      <c r="X13" s="1402">
        <f t="shared" si="12"/>
        <v>0.25633113590816609</v>
      </c>
      <c r="Y13" s="1402">
        <f t="shared" si="12"/>
        <v>0.25633113590816609</v>
      </c>
      <c r="Z13" s="1402">
        <f t="shared" si="12"/>
        <v>0.25633113590816609</v>
      </c>
      <c r="AA13" s="1402">
        <f t="shared" si="12"/>
        <v>0.25633113590816609</v>
      </c>
      <c r="AB13" s="1402">
        <f t="shared" si="12"/>
        <v>0.25633113590816609</v>
      </c>
      <c r="AC13" s="1402">
        <f t="shared" si="12"/>
        <v>0.25633113590816609</v>
      </c>
      <c r="AD13" s="1452">
        <f t="shared" si="12"/>
        <v>0.25633113590816609</v>
      </c>
      <c r="AE13" s="1300"/>
      <c r="AF13" s="1299"/>
      <c r="AJ13" s="225" t="s">
        <v>1658</v>
      </c>
    </row>
    <row r="14" spans="1:64" ht="16" thickBot="1">
      <c r="A14" s="1421"/>
      <c r="B14" s="1421"/>
      <c r="C14" s="1421"/>
      <c r="D14" s="1307" t="s">
        <v>497</v>
      </c>
      <c r="E14" s="1657">
        <f>'All Together'!E97</f>
        <v>14808</v>
      </c>
      <c r="F14" s="1657">
        <f>'All Together'!F97</f>
        <v>16474</v>
      </c>
      <c r="G14" s="1657">
        <f>'All Together'!G97</f>
        <v>22389</v>
      </c>
      <c r="H14" s="1657">
        <f>'All Together'!H97</f>
        <v>21900</v>
      </c>
      <c r="I14" s="1657">
        <f>'All Together'!I97</f>
        <v>23510</v>
      </c>
      <c r="J14" s="1657">
        <f>'All Together'!J97</f>
        <v>24333</v>
      </c>
      <c r="K14" s="1657">
        <f>'All Together'!K97</f>
        <v>27478</v>
      </c>
      <c r="L14" s="1390">
        <f>'All Together'!L97</f>
        <v>32305</v>
      </c>
      <c r="M14" s="1390">
        <f>'All Together'!M97</f>
        <v>30485</v>
      </c>
      <c r="N14" s="1390">
        <f>'All Together'!N97</f>
        <v>26738</v>
      </c>
      <c r="O14" s="1390">
        <v>27012</v>
      </c>
      <c r="P14" s="1390">
        <f>P17*'2a. Income Statement'!P59</f>
        <v>29504.609708000004</v>
      </c>
      <c r="Q14" s="1390">
        <f>Q17*'2a. Income Statement'!Q59</f>
        <v>32104.322000973047</v>
      </c>
      <c r="R14" s="1390">
        <f>R17*'2a. Income Statement'!R59</f>
        <v>35027.914299507524</v>
      </c>
      <c r="S14" s="1390">
        <f>S17*'2a. Income Statement'!S59</f>
        <v>37668.304763294705</v>
      </c>
      <c r="T14" s="1390">
        <f>T17*'2a. Income Statement'!T59</f>
        <v>40616.954119715563</v>
      </c>
      <c r="U14" s="1390">
        <f>U17*'2a. Income Statement'!U59</f>
        <v>43906.272297856944</v>
      </c>
      <c r="V14" s="1390">
        <f>V17*'2a. Income Statement'!V59</f>
        <v>47576.299496731423</v>
      </c>
      <c r="W14" s="1390">
        <f>W17*'2a. Income Statement'!W59</f>
        <v>51673.695443186974</v>
      </c>
      <c r="X14" s="1390">
        <f>X17*'2a. Income Statement'!X59</f>
        <v>56254.179417642474</v>
      </c>
      <c r="Y14" s="1390">
        <f>Y17*'2a. Income Statement'!Y59</f>
        <v>61369.84187560789</v>
      </c>
      <c r="Z14" s="1390">
        <f>Z17*'2a. Income Statement'!Z59</f>
        <v>67083.516745976827</v>
      </c>
      <c r="AA14" s="1390">
        <f>AA17*'2a. Income Statement'!AA59</f>
        <v>73466.461631059006</v>
      </c>
      <c r="AB14" s="1390">
        <f>AB17*'2a. Income Statement'!AB59</f>
        <v>80598.798178751764</v>
      </c>
      <c r="AC14" s="1390">
        <f>AC17*'2a. Income Statement'!AC59</f>
        <v>88570.41936008996</v>
      </c>
      <c r="AD14" s="1390">
        <f>AD17*'2a. Income Statement'!AD59</f>
        <v>97482.195259521846</v>
      </c>
      <c r="AE14" s="829"/>
      <c r="AF14" s="830"/>
    </row>
    <row r="15" spans="1:64" s="1751" customFormat="1" ht="15" customHeight="1">
      <c r="A15" s="562"/>
      <c r="B15" s="562"/>
      <c r="C15" s="562"/>
      <c r="D15" s="1403" t="s">
        <v>469</v>
      </c>
      <c r="E15" s="562"/>
      <c r="F15" s="562">
        <f>(F14/E14)-1</f>
        <v>0.11250675310642899</v>
      </c>
      <c r="G15" s="562">
        <f t="shared" ref="G15:Q15" si="13">(G14/F14)-1</f>
        <v>0.35905062522763131</v>
      </c>
      <c r="H15" s="562">
        <f t="shared" si="13"/>
        <v>-2.1841082674527668E-2</v>
      </c>
      <c r="I15" s="562">
        <f t="shared" si="13"/>
        <v>7.351598173515983E-2</v>
      </c>
      <c r="J15" s="562">
        <f t="shared" si="13"/>
        <v>3.5006380263717496E-2</v>
      </c>
      <c r="K15" s="562">
        <f t="shared" si="13"/>
        <v>0.12924834586775158</v>
      </c>
      <c r="L15" s="1402">
        <f t="shared" si="13"/>
        <v>0.175667806972851</v>
      </c>
      <c r="M15" s="1402">
        <f t="shared" si="13"/>
        <v>-5.633802816901412E-2</v>
      </c>
      <c r="N15" s="1402">
        <f t="shared" si="13"/>
        <v>-0.12291290798753485</v>
      </c>
      <c r="O15" s="1402">
        <f t="shared" si="13"/>
        <v>1.0247587702894689E-2</v>
      </c>
      <c r="P15" s="1402">
        <f t="shared" si="13"/>
        <v>9.2277865689323502E-2</v>
      </c>
      <c r="Q15" s="1402">
        <f t="shared" si="13"/>
        <v>8.8112071933903469E-2</v>
      </c>
      <c r="R15" s="1402">
        <f t="shared" ref="R15" si="14">(R14/Q14)-1</f>
        <v>9.1065380494435244E-2</v>
      </c>
      <c r="S15" s="1402">
        <f t="shared" ref="S15" si="15">(S14/R14)-1</f>
        <v>7.5379608423453925E-2</v>
      </c>
      <c r="T15" s="1402">
        <f t="shared" ref="T15" si="16">(T14/S14)-1</f>
        <v>7.8279321964446869E-2</v>
      </c>
      <c r="U15" s="1402">
        <f t="shared" ref="U15" si="17">(U14/T14)-1</f>
        <v>8.0983871130423823E-2</v>
      </c>
      <c r="V15" s="1402">
        <f t="shared" ref="V15" si="18">(V14/U14)-1</f>
        <v>8.3587765638068356E-2</v>
      </c>
      <c r="W15" s="1402">
        <f t="shared" ref="W15" si="19">(W14/V14)-1</f>
        <v>8.6122628068983076E-2</v>
      </c>
      <c r="X15" s="1402">
        <f t="shared" ref="X15" si="20">(X14/W14)-1</f>
        <v>8.8642469542197677E-2</v>
      </c>
      <c r="Y15" s="1402">
        <f t="shared" ref="Y15" si="21">(Y14/X14)-1</f>
        <v>9.0938353575219733E-2</v>
      </c>
      <c r="Z15" s="1402">
        <f t="shared" ref="Z15" si="22">(Z14/Y14)-1</f>
        <v>9.3102323482438409E-2</v>
      </c>
      <c r="AA15" s="1402">
        <f t="shared" ref="AA15" si="23">(AA14/Z14)-1</f>
        <v>9.5149228822518195E-2</v>
      </c>
      <c r="AB15" s="1402">
        <f t="shared" ref="AB15" si="24">(AB14/AA14)-1</f>
        <v>9.7082891830432949E-2</v>
      </c>
      <c r="AC15" s="1402">
        <f t="shared" ref="AC15" si="25">(AC14/AB14)-1</f>
        <v>9.8904963367552501E-2</v>
      </c>
      <c r="AD15" s="1402">
        <f t="shared" ref="AD15" si="26">(AD14/AC14)-1</f>
        <v>0.10061797114452364</v>
      </c>
      <c r="AE15" s="1749"/>
      <c r="AF15" s="1750"/>
      <c r="AJ15" s="1218" t="s">
        <v>1818</v>
      </c>
      <c r="AK15" s="1797"/>
      <c r="AL15" s="1797"/>
      <c r="AM15" s="1797"/>
    </row>
    <row r="16" spans="1:64" s="1751" customFormat="1" ht="14">
      <c r="A16" s="562"/>
      <c r="B16" s="562"/>
      <c r="C16" s="562"/>
      <c r="D16" s="1403" t="s">
        <v>504</v>
      </c>
      <c r="E16" s="562">
        <f t="shared" ref="E16:O16" si="27">E14/E5</f>
        <v>8.8758354062396974E-2</v>
      </c>
      <c r="F16" s="562">
        <f t="shared" si="27"/>
        <v>0.1068027254987131</v>
      </c>
      <c r="G16" s="562">
        <f t="shared" si="27"/>
        <v>0.12707593111825002</v>
      </c>
      <c r="H16" s="562">
        <f t="shared" si="27"/>
        <v>0.11625376232210255</v>
      </c>
      <c r="I16" s="562">
        <f t="shared" si="27"/>
        <v>0.11167372841101252</v>
      </c>
      <c r="J16" s="562">
        <f t="shared" si="27"/>
        <v>0.10393565582873447</v>
      </c>
      <c r="K16" s="562">
        <f t="shared" si="27"/>
        <v>0.12604991903409743</v>
      </c>
      <c r="L16" s="1402">
        <f t="shared" si="27"/>
        <v>0.11546159619714787</v>
      </c>
      <c r="M16" s="1402">
        <f t="shared" si="27"/>
        <v>9.3420568766854617E-2</v>
      </c>
      <c r="N16" s="1402">
        <f t="shared" si="27"/>
        <v>7.779662545716938E-2</v>
      </c>
      <c r="O16" s="1402">
        <f t="shared" si="27"/>
        <v>5.8905241764017034E-2</v>
      </c>
      <c r="P16" s="1402">
        <f>O16</f>
        <v>5.8905241764017034E-2</v>
      </c>
      <c r="Q16" s="1402">
        <f>P16</f>
        <v>5.8905241764017034E-2</v>
      </c>
      <c r="R16" s="1402">
        <f t="shared" ref="R16:AD16" si="28">Q16</f>
        <v>5.8905241764017034E-2</v>
      </c>
      <c r="S16" s="1402">
        <f>R16</f>
        <v>5.8905241764017034E-2</v>
      </c>
      <c r="T16" s="1402">
        <f>S16</f>
        <v>5.8905241764017034E-2</v>
      </c>
      <c r="U16" s="1402">
        <f>T16</f>
        <v>5.8905241764017034E-2</v>
      </c>
      <c r="V16" s="1402">
        <f>U16</f>
        <v>5.8905241764017034E-2</v>
      </c>
      <c r="W16" s="1402">
        <f t="shared" si="28"/>
        <v>5.8905241764017034E-2</v>
      </c>
      <c r="X16" s="1402">
        <f t="shared" si="28"/>
        <v>5.8905241764017034E-2</v>
      </c>
      <c r="Y16" s="1402">
        <f t="shared" si="28"/>
        <v>5.8905241764017034E-2</v>
      </c>
      <c r="Z16" s="1402">
        <f t="shared" si="28"/>
        <v>5.8905241764017034E-2</v>
      </c>
      <c r="AA16" s="1402">
        <f t="shared" si="28"/>
        <v>5.8905241764017034E-2</v>
      </c>
      <c r="AB16" s="1402">
        <f t="shared" si="28"/>
        <v>5.8905241764017034E-2</v>
      </c>
      <c r="AC16" s="1402">
        <f t="shared" si="28"/>
        <v>5.8905241764017034E-2</v>
      </c>
      <c r="AD16" s="1402">
        <f t="shared" si="28"/>
        <v>5.8905241764017034E-2</v>
      </c>
      <c r="AE16" s="1749"/>
      <c r="AF16" s="1750"/>
    </row>
    <row r="17" spans="1:32" s="1751" customFormat="1" thickBot="1">
      <c r="A17" s="562"/>
      <c r="B17" s="562"/>
      <c r="C17" s="562"/>
      <c r="D17" s="1403" t="s">
        <v>1356</v>
      </c>
      <c r="E17" s="562"/>
      <c r="F17" s="562"/>
      <c r="G17" s="562"/>
      <c r="H17" s="562"/>
      <c r="I17" s="562"/>
      <c r="J17" s="562">
        <f>J14/'2a. Income Statement'!J59</f>
        <v>0.31652682926829268</v>
      </c>
      <c r="K17" s="562">
        <f>K14/'2a. Income Statement'!K59</f>
        <v>0.35589115258583842</v>
      </c>
      <c r="L17" s="1402">
        <f>L14/'2a. Income Statement'!L59</f>
        <v>0.37050417469492614</v>
      </c>
      <c r="M17" s="1402">
        <f>M14/'2a. Income Statement'!M59</f>
        <v>0.2977981400437637</v>
      </c>
      <c r="N17" s="1402">
        <f>N14/'2a. Income Statement'!N59</f>
        <v>0.2353220738758878</v>
      </c>
      <c r="O17" s="1402">
        <f>O14/'2a. Income Statement'!O59</f>
        <v>0.15246287484972146</v>
      </c>
      <c r="P17" s="1402">
        <f>'2e. Notes to the New Fin Stat'!P42</f>
        <v>0.14000000000000001</v>
      </c>
      <c r="Q17" s="1402">
        <f>'2e. Notes to the New Fin Stat'!Q42</f>
        <v>0.14000000000000001</v>
      </c>
      <c r="R17" s="1402">
        <f>'2e. Notes to the New Fin Stat'!R42</f>
        <v>0.14000000000000001</v>
      </c>
      <c r="S17" s="1402">
        <f>'2e. Notes to the New Fin Stat'!S42</f>
        <v>0.14000000000000001</v>
      </c>
      <c r="T17" s="1402">
        <f>'2e. Notes to the New Fin Stat'!T42</f>
        <v>0.14000000000000001</v>
      </c>
      <c r="U17" s="1402">
        <f>'2e. Notes to the New Fin Stat'!U42</f>
        <v>0.14000000000000001</v>
      </c>
      <c r="V17" s="1402">
        <f>'2e. Notes to the New Fin Stat'!V42</f>
        <v>0.14000000000000001</v>
      </c>
      <c r="W17" s="1402">
        <f>'2e. Notes to the New Fin Stat'!W42</f>
        <v>0.14000000000000001</v>
      </c>
      <c r="X17" s="1402">
        <f>'2e. Notes to the New Fin Stat'!X42</f>
        <v>0.14000000000000001</v>
      </c>
      <c r="Y17" s="1402">
        <f>'2e. Notes to the New Fin Stat'!Y42</f>
        <v>0.14000000000000001</v>
      </c>
      <c r="Z17" s="1402">
        <f>'2e. Notes to the New Fin Stat'!Z42</f>
        <v>0.14000000000000001</v>
      </c>
      <c r="AA17" s="1402">
        <f>'2e. Notes to the New Fin Stat'!AA42</f>
        <v>0.14000000000000001</v>
      </c>
      <c r="AB17" s="1402">
        <f>'2e. Notes to the New Fin Stat'!AB42</f>
        <v>0.14000000000000001</v>
      </c>
      <c r="AC17" s="1402">
        <f>'2e. Notes to the New Fin Stat'!AC42</f>
        <v>0.14000000000000001</v>
      </c>
      <c r="AD17" s="1402">
        <f>'2e. Notes to the New Fin Stat'!AD42</f>
        <v>0.14000000000000001</v>
      </c>
      <c r="AE17" s="1749"/>
      <c r="AF17" s="1750"/>
    </row>
    <row r="18" spans="1:32" ht="16" thickBot="1">
      <c r="A18" s="1421"/>
      <c r="B18" s="1421"/>
      <c r="C18" s="1421"/>
      <c r="D18" s="1307" t="s">
        <v>498</v>
      </c>
      <c r="E18" s="1421">
        <f>'All Together'!E73</f>
        <v>8867</v>
      </c>
      <c r="F18" s="1421">
        <f>'All Together'!F73</f>
        <v>66841</v>
      </c>
      <c r="G18" s="1421">
        <f>'All Together'!G73</f>
        <v>6210</v>
      </c>
      <c r="H18" s="1421">
        <f>'All Together'!H73</f>
        <v>23099</v>
      </c>
      <c r="I18" s="1421">
        <f>'All Together'!I73</f>
        <v>31737</v>
      </c>
      <c r="J18" s="1421">
        <f>'All Together'!J73</f>
        <v>40258</v>
      </c>
      <c r="K18" s="1421">
        <f>'All Together'!K73</f>
        <v>41581</v>
      </c>
      <c r="L18" s="1390">
        <f>'All Together'!L73</f>
        <v>31053</v>
      </c>
      <c r="M18" s="1390">
        <f>'All Together'!M73</f>
        <v>13478</v>
      </c>
      <c r="N18" s="1390">
        <f>'All Together'!N73</f>
        <v>36005</v>
      </c>
      <c r="O18" s="1390">
        <v>39854</v>
      </c>
      <c r="P18" s="1390">
        <f>'2e. Notes to the New Fin Stat'!P21</f>
        <v>37073.491999999998</v>
      </c>
      <c r="Q18" s="1390">
        <f>'2e. Notes to the New Fin Stat'!Q21</f>
        <v>41560.78721750457</v>
      </c>
      <c r="R18" s="1390">
        <f>'2e. Notes to the New Fin Stat'!R21</f>
        <v>46509.528654564761</v>
      </c>
      <c r="S18" s="1390">
        <f>'2e. Notes to the New Fin Stat'!S21</f>
        <v>52027.398301225243</v>
      </c>
      <c r="T18" s="1390">
        <f>'2e. Notes to the New Fin Stat'!T21</f>
        <v>58101.465151149889</v>
      </c>
      <c r="U18" s="1390">
        <f>'2e. Notes to the New Fin Stat'!U21</f>
        <v>64814.151293426126</v>
      </c>
      <c r="V18" s="1390">
        <f>'2e. Notes to the New Fin Stat'!V21</f>
        <v>72315.806874373942</v>
      </c>
      <c r="W18" s="1390">
        <f>'2e. Notes to the New Fin Stat'!W21</f>
        <v>80736.865940010888</v>
      </c>
      <c r="X18" s="1390">
        <f>'2e. Notes to the New Fin Stat'!X21</f>
        <v>90255.841861192079</v>
      </c>
      <c r="Y18" s="1390">
        <f>'2e. Notes to the New Fin Stat'!Y21</f>
        <v>100801.23069882584</v>
      </c>
      <c r="Z18" s="1390">
        <f>'2e. Notes to the New Fin Stat'!Z21</f>
        <v>112584.72650973297</v>
      </c>
      <c r="AA18" s="1390">
        <f>'2e. Notes to the New Fin Stat'!AA21</f>
        <v>125772.31300654517</v>
      </c>
      <c r="AB18" s="1390">
        <f>'2e. Notes to the New Fin Stat'!AB21</f>
        <v>140538.65118606397</v>
      </c>
      <c r="AC18" s="1390">
        <f>'2e. Notes to the New Fin Stat'!AC21</f>
        <v>157076.27943523554</v>
      </c>
      <c r="AD18" s="1390">
        <f>'2e. Notes to the New Fin Stat'!AD21</f>
        <v>175601.49555530783</v>
      </c>
      <c r="AE18" s="829"/>
      <c r="AF18" s="830"/>
    </row>
    <row r="19" spans="1:32" s="1751" customFormat="1" ht="14">
      <c r="A19" s="562"/>
      <c r="B19" s="562"/>
      <c r="C19" s="562"/>
      <c r="D19" s="1403" t="s">
        <v>469</v>
      </c>
      <c r="E19" s="562"/>
      <c r="F19" s="562">
        <f>(F18/E18)-1</f>
        <v>6.5381752565693017</v>
      </c>
      <c r="G19" s="562">
        <f t="shared" ref="G19:P19" si="29">(G18/F18)-1</f>
        <v>-0.90709295193070116</v>
      </c>
      <c r="H19" s="562">
        <f t="shared" si="29"/>
        <v>2.7196457326892109</v>
      </c>
      <c r="I19" s="562">
        <f t="shared" si="29"/>
        <v>0.37395558249274852</v>
      </c>
      <c r="J19" s="562">
        <f t="shared" si="29"/>
        <v>0.26848788480322661</v>
      </c>
      <c r="K19" s="562">
        <f t="shared" si="29"/>
        <v>3.2863033434348488E-2</v>
      </c>
      <c r="L19" s="1402">
        <f t="shared" si="29"/>
        <v>-0.25319256391140188</v>
      </c>
      <c r="M19" s="1402">
        <f t="shared" si="29"/>
        <v>-0.56596786139825461</v>
      </c>
      <c r="N19" s="1402">
        <f t="shared" si="29"/>
        <v>1.6713904140080129</v>
      </c>
      <c r="O19" s="1402">
        <f t="shared" si="29"/>
        <v>0.10690181919177899</v>
      </c>
      <c r="P19" s="1402">
        <f t="shared" si="29"/>
        <v>-6.9767350830531427E-2</v>
      </c>
      <c r="Q19" s="1402">
        <f t="shared" ref="Q19" si="30">(Q18/P18)-1</f>
        <v>0.12103783526797462</v>
      </c>
      <c r="R19" s="1402">
        <f t="shared" ref="R19" si="31">(R18/Q18)-1</f>
        <v>0.11907237009639404</v>
      </c>
      <c r="S19" s="1402">
        <f t="shared" ref="S19" si="32">(S18/R18)-1</f>
        <v>0.118639552072066</v>
      </c>
      <c r="T19" s="1402">
        <f t="shared" ref="T19" si="33">(T18/S18)-1</f>
        <v>0.11674746476380315</v>
      </c>
      <c r="U19" s="1402">
        <f t="shared" ref="U19" si="34">(U18/T18)-1</f>
        <v>0.11553385314489595</v>
      </c>
      <c r="V19" s="1402">
        <f t="shared" ref="V19" si="35">(V18/U18)-1</f>
        <v>0.11574101382561319</v>
      </c>
      <c r="W19" s="1402">
        <f t="shared" ref="W19" si="36">(W18/V18)-1</f>
        <v>0.11644838700708826</v>
      </c>
      <c r="X19" s="1402">
        <f t="shared" ref="X19" si="37">(X18/W18)-1</f>
        <v>0.11790123149261178</v>
      </c>
      <c r="Y19" s="1402">
        <f t="shared" ref="Y19" si="38">(Y18/X18)-1</f>
        <v>0.11683885076216916</v>
      </c>
      <c r="Z19" s="1402">
        <f t="shared" ref="Z19" si="39">(Z18/Y18)-1</f>
        <v>0.11689833278041895</v>
      </c>
      <c r="AA19" s="1402">
        <f t="shared" ref="AA19" si="40">(AA18/Z18)-1</f>
        <v>0.11713477401103911</v>
      </c>
      <c r="AB19" s="1402">
        <f t="shared" ref="AB19" si="41">(AB18/AA18)-1</f>
        <v>0.11740531621415262</v>
      </c>
      <c r="AC19" s="1402">
        <f t="shared" ref="AC19" si="42">(AC18/AB18)-1</f>
        <v>0.11767316755642421</v>
      </c>
      <c r="AD19" s="1402">
        <f t="shared" ref="AD19" si="43">(AD18/AC18)-1</f>
        <v>0.11793770635947909</v>
      </c>
      <c r="AE19" s="1749"/>
      <c r="AF19" s="1750"/>
    </row>
    <row r="20" spans="1:32" s="1751" customFormat="1" ht="14">
      <c r="A20" s="562"/>
      <c r="B20" s="562"/>
      <c r="C20" s="562"/>
      <c r="D20" s="1403" t="s">
        <v>503</v>
      </c>
      <c r="E20" s="562">
        <f t="shared" ref="E20:O20" si="44">E18/E5</f>
        <v>5.3148320196601435E-2</v>
      </c>
      <c r="F20" s="562">
        <f t="shared" si="44"/>
        <v>0.43333743930189889</v>
      </c>
      <c r="G20" s="562">
        <f t="shared" si="44"/>
        <v>3.5246841406241132E-2</v>
      </c>
      <c r="H20" s="562">
        <f t="shared" si="44"/>
        <v>0.12261852309946332</v>
      </c>
      <c r="I20" s="562">
        <f t="shared" si="44"/>
        <v>0.15075240827649103</v>
      </c>
      <c r="J20" s="562">
        <f t="shared" si="44"/>
        <v>0.17195749115822925</v>
      </c>
      <c r="K20" s="562">
        <f t="shared" si="44"/>
        <v>0.19074465693852555</v>
      </c>
      <c r="L20" s="1402">
        <f t="shared" si="44"/>
        <v>0.11098681153722435</v>
      </c>
      <c r="M20" s="1402">
        <f t="shared" si="44"/>
        <v>4.1303015444962003E-2</v>
      </c>
      <c r="N20" s="1402">
        <f t="shared" si="44"/>
        <v>0.10475979877273481</v>
      </c>
      <c r="O20" s="1402">
        <f t="shared" si="44"/>
        <v>8.6909873584448946E-2</v>
      </c>
      <c r="P20" s="1402">
        <f>O20</f>
        <v>8.6909873584448946E-2</v>
      </c>
      <c r="Q20" s="1402">
        <f>P20</f>
        <v>8.6909873584448946E-2</v>
      </c>
      <c r="R20" s="1402">
        <f>Q20</f>
        <v>8.6909873584448946E-2</v>
      </c>
      <c r="S20" s="1402">
        <f t="shared" ref="S20:AD20" si="45">S16</f>
        <v>5.8905241764017034E-2</v>
      </c>
      <c r="T20" s="1402">
        <f t="shared" si="45"/>
        <v>5.8905241764017034E-2</v>
      </c>
      <c r="U20" s="1402">
        <f t="shared" si="45"/>
        <v>5.8905241764017034E-2</v>
      </c>
      <c r="V20" s="1402">
        <f t="shared" si="45"/>
        <v>5.8905241764017034E-2</v>
      </c>
      <c r="W20" s="1402">
        <f t="shared" si="45"/>
        <v>5.8905241764017034E-2</v>
      </c>
      <c r="X20" s="1402">
        <f t="shared" si="45"/>
        <v>5.8905241764017034E-2</v>
      </c>
      <c r="Y20" s="1402">
        <f t="shared" si="45"/>
        <v>5.8905241764017034E-2</v>
      </c>
      <c r="Z20" s="1402">
        <f t="shared" si="45"/>
        <v>5.8905241764017034E-2</v>
      </c>
      <c r="AA20" s="1402">
        <f t="shared" si="45"/>
        <v>5.8905241764017034E-2</v>
      </c>
      <c r="AB20" s="1402">
        <f t="shared" si="45"/>
        <v>5.8905241764017034E-2</v>
      </c>
      <c r="AC20" s="1402">
        <f t="shared" si="45"/>
        <v>5.8905241764017034E-2</v>
      </c>
      <c r="AD20" s="1402">
        <f t="shared" si="45"/>
        <v>5.8905241764017034E-2</v>
      </c>
      <c r="AE20" s="1749"/>
      <c r="AF20" s="1750"/>
    </row>
    <row r="21" spans="1:32" s="1751" customFormat="1" thickBot="1">
      <c r="A21" s="562"/>
      <c r="B21" s="562"/>
      <c r="C21" s="562"/>
      <c r="D21" s="1010" t="s">
        <v>505</v>
      </c>
      <c r="E21" s="562">
        <f t="shared" ref="E21:AD21" si="46">E18/E14</f>
        <v>0.5987979470556456</v>
      </c>
      <c r="F21" s="562">
        <f t="shared" si="46"/>
        <v>4.0573631176399179</v>
      </c>
      <c r="G21" s="562">
        <f t="shared" si="46"/>
        <v>0.27736835052927777</v>
      </c>
      <c r="H21" s="562">
        <f t="shared" si="46"/>
        <v>1.0547488584474887</v>
      </c>
      <c r="I21" s="562">
        <f t="shared" si="46"/>
        <v>1.3499361973628243</v>
      </c>
      <c r="J21" s="562">
        <f t="shared" si="46"/>
        <v>1.6544610200139729</v>
      </c>
      <c r="K21" s="562">
        <f t="shared" si="46"/>
        <v>1.5132469612053279</v>
      </c>
      <c r="L21" s="1411">
        <f t="shared" si="46"/>
        <v>0.96124438941340351</v>
      </c>
      <c r="M21" s="1411">
        <f t="shared" si="46"/>
        <v>0.44211907495489583</v>
      </c>
      <c r="N21" s="1411">
        <f t="shared" si="46"/>
        <v>1.346585384097539</v>
      </c>
      <c r="O21" s="1411">
        <f t="shared" si="46"/>
        <v>1.4754183325929218</v>
      </c>
      <c r="P21" s="1411">
        <f t="shared" si="46"/>
        <v>1.2565321950335013</v>
      </c>
      <c r="Q21" s="1411">
        <f t="shared" si="46"/>
        <v>1.2945542726691102</v>
      </c>
      <c r="R21" s="1411">
        <f t="shared" si="46"/>
        <v>1.3277846992796447</v>
      </c>
      <c r="S21" s="1411">
        <f t="shared" si="46"/>
        <v>1.3811982946448531</v>
      </c>
      <c r="T21" s="1411">
        <f t="shared" si="46"/>
        <v>1.430473220121331</v>
      </c>
      <c r="U21" s="1411">
        <f t="shared" si="46"/>
        <v>1.4761934434727608</v>
      </c>
      <c r="V21" s="1411">
        <f t="shared" si="46"/>
        <v>1.5199964612494119</v>
      </c>
      <c r="W21" s="1411">
        <f t="shared" si="46"/>
        <v>1.5624364630313237</v>
      </c>
      <c r="X21" s="1411">
        <f t="shared" si="46"/>
        <v>1.60442908945688</v>
      </c>
      <c r="Y21" s="1411">
        <f t="shared" si="46"/>
        <v>1.6425206195437563</v>
      </c>
      <c r="Z21" s="1411">
        <f t="shared" si="46"/>
        <v>1.6782770488323417</v>
      </c>
      <c r="AA21" s="1411">
        <f t="shared" si="46"/>
        <v>1.7119691109959909</v>
      </c>
      <c r="AB21" s="1411">
        <f t="shared" si="46"/>
        <v>1.7436817218338392</v>
      </c>
      <c r="AC21" s="1411">
        <f t="shared" si="46"/>
        <v>1.7734620719885006</v>
      </c>
      <c r="AD21" s="1411">
        <f t="shared" si="46"/>
        <v>1.8013699331227921</v>
      </c>
      <c r="AE21" s="1752"/>
      <c r="AF21" s="1753"/>
    </row>
    <row r="22" spans="1:32" s="318" customFormat="1" ht="12" hidden="1" thickBot="1">
      <c r="A22" s="111"/>
      <c r="B22" s="111"/>
      <c r="C22" s="111"/>
      <c r="D22" s="232"/>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row>
    <row r="23" spans="1:32" s="221" customFormat="1" ht="14" hidden="1">
      <c r="A23" s="143"/>
      <c r="B23" s="143"/>
      <c r="C23" s="143"/>
      <c r="D23" s="820" t="s">
        <v>698</v>
      </c>
      <c r="E23" s="223"/>
      <c r="F23" s="223"/>
      <c r="G23" s="223"/>
      <c r="H23" s="223"/>
      <c r="I23" s="223"/>
      <c r="J23" s="223"/>
      <c r="K23" s="223"/>
      <c r="L23" s="223"/>
      <c r="M23" s="223"/>
      <c r="N23" s="223"/>
      <c r="O23" s="223"/>
      <c r="P23" s="153"/>
      <c r="Q23" s="153"/>
      <c r="R23" s="153"/>
      <c r="S23" s="153"/>
      <c r="T23" s="154"/>
      <c r="U23" s="154"/>
      <c r="V23" s="154"/>
      <c r="W23" s="154"/>
      <c r="X23" s="154"/>
      <c r="Y23" s="230"/>
      <c r="Z23" s="230"/>
      <c r="AA23" s="230"/>
      <c r="AB23" s="230"/>
      <c r="AC23" s="230"/>
      <c r="AD23" s="230"/>
    </row>
    <row r="24" spans="1:32" s="224" customFormat="1" ht="14" hidden="1">
      <c r="A24" s="149"/>
      <c r="B24" s="149"/>
      <c r="C24" s="149"/>
      <c r="D24" s="821" t="s">
        <v>699</v>
      </c>
      <c r="E24" s="253"/>
      <c r="F24" s="253" t="s">
        <v>702</v>
      </c>
      <c r="G24" s="253" t="s">
        <v>707</v>
      </c>
      <c r="H24" s="253" t="s">
        <v>707</v>
      </c>
      <c r="I24" s="253" t="s">
        <v>706</v>
      </c>
      <c r="J24" s="253" t="s">
        <v>704</v>
      </c>
      <c r="K24" s="253" t="s">
        <v>706</v>
      </c>
      <c r="L24" s="253" t="s">
        <v>704</v>
      </c>
      <c r="M24" s="253" t="s">
        <v>707</v>
      </c>
      <c r="N24" s="253" t="s">
        <v>707</v>
      </c>
      <c r="O24" s="253" t="s">
        <v>707</v>
      </c>
      <c r="P24" s="150"/>
      <c r="Q24" s="150"/>
      <c r="R24" s="150"/>
      <c r="S24" s="150"/>
      <c r="T24" s="148"/>
      <c r="U24" s="148"/>
      <c r="V24" s="148"/>
      <c r="W24" s="148"/>
      <c r="X24" s="148"/>
      <c r="Y24" s="231"/>
      <c r="Z24" s="231"/>
      <c r="AA24" s="231"/>
      <c r="AB24" s="231"/>
      <c r="AC24" s="231"/>
      <c r="AD24" s="231"/>
    </row>
    <row r="25" spans="1:32" s="224" customFormat="1" ht="14" hidden="1">
      <c r="A25" s="149"/>
      <c r="B25" s="149"/>
      <c r="C25" s="149"/>
      <c r="D25" s="821" t="s">
        <v>700</v>
      </c>
      <c r="E25" s="253"/>
      <c r="F25" s="253" t="s">
        <v>702</v>
      </c>
      <c r="G25" s="253" t="s">
        <v>707</v>
      </c>
      <c r="H25" s="1041" t="s">
        <v>706</v>
      </c>
      <c r="I25" s="1041" t="s">
        <v>707</v>
      </c>
      <c r="J25" s="1041" t="s">
        <v>704</v>
      </c>
      <c r="K25" s="1041" t="s">
        <v>706</v>
      </c>
      <c r="L25" s="1041" t="s">
        <v>704</v>
      </c>
      <c r="M25" s="1041" t="s">
        <v>707</v>
      </c>
      <c r="N25" s="1041" t="s">
        <v>707</v>
      </c>
      <c r="O25" s="1041" t="s">
        <v>704</v>
      </c>
      <c r="P25" s="1042"/>
      <c r="Q25" s="150"/>
      <c r="R25" s="150"/>
      <c r="S25" s="150"/>
      <c r="T25" s="148"/>
      <c r="U25" s="148"/>
      <c r="V25" s="148"/>
      <c r="W25" s="148"/>
      <c r="X25" s="148"/>
      <c r="Y25" s="231"/>
      <c r="Z25" s="231"/>
      <c r="AA25" s="231"/>
      <c r="AB25" s="231"/>
      <c r="AC25" s="231"/>
      <c r="AD25" s="231"/>
    </row>
    <row r="26" spans="1:32" s="224" customFormat="1" ht="14" hidden="1">
      <c r="A26" s="149"/>
      <c r="B26" s="149"/>
      <c r="C26" s="149"/>
      <c r="D26" s="821" t="s">
        <v>705</v>
      </c>
      <c r="E26" s="253"/>
      <c r="F26" s="253" t="s">
        <v>707</v>
      </c>
      <c r="G26" s="253" t="s">
        <v>708</v>
      </c>
      <c r="H26" s="1041" t="s">
        <v>709</v>
      </c>
      <c r="I26" s="1041" t="s">
        <v>709</v>
      </c>
      <c r="J26" s="1041" t="s">
        <v>707</v>
      </c>
      <c r="K26" s="1041" t="s">
        <v>706</v>
      </c>
      <c r="L26" s="1041" t="s">
        <v>707</v>
      </c>
      <c r="M26" s="1041" t="s">
        <v>704</v>
      </c>
      <c r="N26" s="1041" t="s">
        <v>707</v>
      </c>
      <c r="O26" s="1041" t="s">
        <v>707</v>
      </c>
      <c r="P26" s="1042"/>
      <c r="Q26" s="150"/>
      <c r="R26" s="150"/>
      <c r="S26" s="150"/>
      <c r="T26" s="148"/>
      <c r="U26" s="148"/>
      <c r="V26" s="148"/>
      <c r="W26" s="148"/>
      <c r="X26" s="148"/>
      <c r="Y26" s="231"/>
      <c r="Z26" s="231"/>
      <c r="AA26" s="231"/>
      <c r="AB26" s="231"/>
      <c r="AC26" s="231"/>
      <c r="AD26" s="231"/>
    </row>
    <row r="27" spans="1:32" s="224" customFormat="1" ht="14" hidden="1">
      <c r="A27" s="149"/>
      <c r="B27" s="149"/>
      <c r="C27" s="149"/>
      <c r="D27" s="821" t="s">
        <v>701</v>
      </c>
      <c r="E27" s="253"/>
      <c r="F27" s="253">
        <v>8</v>
      </c>
      <c r="G27" s="253">
        <v>8</v>
      </c>
      <c r="H27" s="1041">
        <v>8</v>
      </c>
      <c r="I27" s="1041">
        <v>8</v>
      </c>
      <c r="J27" s="1041">
        <v>8</v>
      </c>
      <c r="K27" s="1041">
        <v>8</v>
      </c>
      <c r="L27" s="1041">
        <v>8</v>
      </c>
      <c r="M27" s="1041">
        <v>10</v>
      </c>
      <c r="N27" s="1041">
        <v>10</v>
      </c>
      <c r="O27" s="1041">
        <v>13</v>
      </c>
      <c r="P27" s="1042"/>
      <c r="Q27" s="150"/>
      <c r="R27" s="150"/>
      <c r="S27" s="150"/>
      <c r="T27" s="148"/>
      <c r="U27" s="148"/>
      <c r="V27" s="148"/>
      <c r="W27" s="148"/>
      <c r="X27" s="148"/>
      <c r="Y27" s="231"/>
      <c r="Z27" s="231"/>
      <c r="AA27" s="231"/>
      <c r="AB27" s="231"/>
      <c r="AC27" s="231"/>
      <c r="AD27" s="231"/>
    </row>
    <row r="28" spans="1:32" s="221" customFormat="1" ht="14" hidden="1">
      <c r="A28" s="143"/>
      <c r="B28" s="143"/>
      <c r="C28" s="143"/>
      <c r="D28" s="822" t="s">
        <v>710</v>
      </c>
      <c r="E28" s="260"/>
      <c r="F28" s="260" t="s">
        <v>703</v>
      </c>
      <c r="G28" s="260" t="s">
        <v>704</v>
      </c>
      <c r="H28" s="1041" t="s">
        <v>707</v>
      </c>
      <c r="I28" s="1041" t="s">
        <v>711</v>
      </c>
      <c r="J28" s="1041" t="s">
        <v>707</v>
      </c>
      <c r="K28" s="1041" t="s">
        <v>707</v>
      </c>
      <c r="L28" s="1041" t="s">
        <v>704</v>
      </c>
      <c r="M28" s="1041" t="s">
        <v>704</v>
      </c>
      <c r="N28" s="1041" t="s">
        <v>704</v>
      </c>
      <c r="O28" s="1041" t="s">
        <v>704</v>
      </c>
      <c r="P28" s="1042"/>
      <c r="Q28" s="151"/>
      <c r="R28" s="151"/>
      <c r="S28" s="151"/>
      <c r="T28" s="145"/>
      <c r="U28" s="145"/>
      <c r="V28" s="145"/>
      <c r="W28" s="145"/>
      <c r="X28" s="145"/>
      <c r="Y28" s="222"/>
      <c r="Z28" s="222"/>
      <c r="AA28" s="222"/>
      <c r="AB28" s="222"/>
      <c r="AC28" s="222"/>
      <c r="AD28" s="222"/>
    </row>
    <row r="29" spans="1:32" s="221" customFormat="1" hidden="1" thickBot="1">
      <c r="A29" s="143"/>
      <c r="B29" s="143"/>
      <c r="C29" s="143"/>
      <c r="D29" s="822"/>
      <c r="E29" s="260"/>
      <c r="F29" s="260"/>
      <c r="G29" s="260"/>
      <c r="H29" s="1041"/>
      <c r="I29" s="1041"/>
      <c r="J29" s="1041"/>
      <c r="K29" s="1041"/>
      <c r="L29" s="1041"/>
      <c r="M29" s="1041"/>
      <c r="N29" s="1041"/>
      <c r="O29" s="1041"/>
      <c r="P29" s="1042"/>
      <c r="Q29" s="151"/>
      <c r="R29" s="151"/>
      <c r="S29" s="151"/>
      <c r="T29" s="145"/>
      <c r="U29" s="145"/>
      <c r="V29" s="145"/>
      <c r="W29" s="145"/>
      <c r="X29" s="145"/>
      <c r="Y29" s="222"/>
      <c r="Z29" s="222"/>
      <c r="AA29" s="222"/>
      <c r="AB29" s="222"/>
      <c r="AC29" s="222"/>
      <c r="AD29" s="222"/>
    </row>
    <row r="30" spans="1:32" s="233" customFormat="1" hidden="1" thickBot="1">
      <c r="A30" s="146"/>
      <c r="B30" s="146"/>
      <c r="C30" s="146"/>
      <c r="D30" s="823" t="s">
        <v>695</v>
      </c>
      <c r="E30" s="255"/>
      <c r="F30" s="255">
        <f t="shared" ref="F30:Q30" si="47">SUM(F31:F33)</f>
        <v>-7.5499999999999998E-2</v>
      </c>
      <c r="G30" s="255">
        <f t="shared" si="47"/>
        <v>0.14219999999999999</v>
      </c>
      <c r="H30" s="1043">
        <f t="shared" si="47"/>
        <v>6.9199999999999998E-2</v>
      </c>
      <c r="I30" s="1043">
        <f t="shared" si="47"/>
        <v>0.11749999999999999</v>
      </c>
      <c r="J30" s="1043">
        <f t="shared" si="47"/>
        <v>0.11210000000000001</v>
      </c>
      <c r="K30" s="1043">
        <f t="shared" si="47"/>
        <v>-6.8900000000000003E-2</v>
      </c>
      <c r="L30" s="1043">
        <f t="shared" si="47"/>
        <v>0.28349999999999997</v>
      </c>
      <c r="M30" s="1043">
        <f t="shared" si="47"/>
        <v>0.1663</v>
      </c>
      <c r="N30" s="1043">
        <f t="shared" si="47"/>
        <v>5.3199999999999997E-2</v>
      </c>
      <c r="O30" s="1043">
        <f t="shared" si="47"/>
        <v>0.3342</v>
      </c>
      <c r="P30" s="1044">
        <f t="shared" si="47"/>
        <v>0.11116000000000001</v>
      </c>
      <c r="Q30" s="152">
        <f t="shared" si="47"/>
        <v>0.11116000000000001</v>
      </c>
      <c r="R30" s="152">
        <f t="shared" ref="R30:AD30" si="48">SUM(R31:R33)</f>
        <v>0.11116000000000001</v>
      </c>
      <c r="S30" s="152">
        <f t="shared" si="48"/>
        <v>6.9175E-2</v>
      </c>
      <c r="T30" s="156">
        <f t="shared" si="48"/>
        <v>6.9175E-2</v>
      </c>
      <c r="U30" s="156">
        <f t="shared" si="48"/>
        <v>6.9175E-2</v>
      </c>
      <c r="V30" s="156">
        <f t="shared" si="48"/>
        <v>4.8182500000000003E-2</v>
      </c>
      <c r="W30" s="156">
        <f t="shared" si="48"/>
        <v>4.8182500000000003E-2</v>
      </c>
      <c r="X30" s="156">
        <f t="shared" si="48"/>
        <v>4.8182500000000003E-2</v>
      </c>
      <c r="Y30" s="257">
        <f t="shared" si="48"/>
        <v>4.8182500000000003E-2</v>
      </c>
      <c r="Z30" s="257">
        <f t="shared" si="48"/>
        <v>4.8182500000000003E-2</v>
      </c>
      <c r="AA30" s="257">
        <f t="shared" si="48"/>
        <v>4.8182500000000003E-2</v>
      </c>
      <c r="AB30" s="257">
        <f t="shared" si="48"/>
        <v>4.8182500000000003E-2</v>
      </c>
      <c r="AC30" s="257">
        <f t="shared" si="48"/>
        <v>4.8182500000000003E-2</v>
      </c>
      <c r="AD30" s="257">
        <f t="shared" si="48"/>
        <v>4.8182500000000003E-2</v>
      </c>
    </row>
    <row r="31" spans="1:32" s="221" customFormat="1" ht="14" hidden="1">
      <c r="A31" s="143"/>
      <c r="B31" s="143"/>
      <c r="C31" s="143"/>
      <c r="D31" s="822" t="s">
        <v>693</v>
      </c>
      <c r="F31" s="221">
        <v>-3.5499999999999997E-2</v>
      </c>
      <c r="G31" s="221">
        <v>0.03</v>
      </c>
      <c r="H31" s="826">
        <v>0.05</v>
      </c>
      <c r="I31" s="826">
        <v>0.08</v>
      </c>
      <c r="J31" s="826">
        <v>5.21E-2</v>
      </c>
      <c r="K31" s="826">
        <v>-1.89E-2</v>
      </c>
      <c r="L31" s="826">
        <v>-0.02</v>
      </c>
      <c r="M31" s="826">
        <v>0.04</v>
      </c>
      <c r="N31" s="826">
        <v>0.03</v>
      </c>
      <c r="O31" s="826">
        <v>6.4199999999999993E-2</v>
      </c>
      <c r="P31" s="1045">
        <f>AVERAGE(F31:O31)</f>
        <v>2.7190000000000002E-2</v>
      </c>
      <c r="Q31" s="144">
        <f>P31</f>
        <v>2.7190000000000002E-2</v>
      </c>
      <c r="R31" s="144">
        <f>Q31</f>
        <v>2.7190000000000002E-2</v>
      </c>
      <c r="S31" s="144">
        <f t="shared" ref="S31:AD31" si="49">R31</f>
        <v>2.7190000000000002E-2</v>
      </c>
      <c r="T31" s="145">
        <f t="shared" si="49"/>
        <v>2.7190000000000002E-2</v>
      </c>
      <c r="U31" s="145">
        <f t="shared" si="49"/>
        <v>2.7190000000000002E-2</v>
      </c>
      <c r="V31" s="145">
        <f t="shared" si="49"/>
        <v>2.7190000000000002E-2</v>
      </c>
      <c r="W31" s="145">
        <f t="shared" si="49"/>
        <v>2.7190000000000002E-2</v>
      </c>
      <c r="X31" s="145">
        <f t="shared" si="49"/>
        <v>2.7190000000000002E-2</v>
      </c>
      <c r="Y31" s="222">
        <f t="shared" si="49"/>
        <v>2.7190000000000002E-2</v>
      </c>
      <c r="Z31" s="222">
        <f t="shared" si="49"/>
        <v>2.7190000000000002E-2</v>
      </c>
      <c r="AA31" s="222">
        <f t="shared" si="49"/>
        <v>2.7190000000000002E-2</v>
      </c>
      <c r="AB31" s="222">
        <f t="shared" si="49"/>
        <v>2.7190000000000002E-2</v>
      </c>
      <c r="AC31" s="222">
        <f t="shared" si="49"/>
        <v>2.7190000000000002E-2</v>
      </c>
      <c r="AD31" s="222">
        <f t="shared" si="49"/>
        <v>2.7190000000000002E-2</v>
      </c>
    </row>
    <row r="32" spans="1:32" s="221" customFormat="1" ht="14" hidden="1">
      <c r="A32" s="143"/>
      <c r="B32" s="143"/>
      <c r="C32" s="143"/>
      <c r="D32" s="822" t="s">
        <v>694</v>
      </c>
      <c r="F32" s="221">
        <v>-0.04</v>
      </c>
      <c r="G32" s="221">
        <v>0.09</v>
      </c>
      <c r="H32" s="826">
        <v>1.9199999999999998E-2</v>
      </c>
      <c r="I32" s="826">
        <v>3.7499999999999999E-2</v>
      </c>
      <c r="J32" s="826">
        <v>0.06</v>
      </c>
      <c r="K32" s="826">
        <v>-0.05</v>
      </c>
      <c r="L32" s="826">
        <v>0.30349999999999999</v>
      </c>
      <c r="M32" s="826">
        <v>0.1263</v>
      </c>
      <c r="N32" s="826">
        <v>2.3199999999999998E-2</v>
      </c>
      <c r="O32" s="826">
        <v>0.27</v>
      </c>
      <c r="P32" s="1045">
        <f>AVERAGE(F32:O32)</f>
        <v>8.3970000000000003E-2</v>
      </c>
      <c r="Q32" s="144">
        <f>P32</f>
        <v>8.3970000000000003E-2</v>
      </c>
      <c r="R32" s="144">
        <f>Q32</f>
        <v>8.3970000000000003E-2</v>
      </c>
      <c r="S32" s="144">
        <f>R32/2</f>
        <v>4.1985000000000001E-2</v>
      </c>
      <c r="T32" s="145">
        <f>S32</f>
        <v>4.1985000000000001E-2</v>
      </c>
      <c r="U32" s="145">
        <f>T32</f>
        <v>4.1985000000000001E-2</v>
      </c>
      <c r="V32" s="145">
        <f>U32/2</f>
        <v>2.0992500000000001E-2</v>
      </c>
      <c r="W32" s="145">
        <f>V32</f>
        <v>2.0992500000000001E-2</v>
      </c>
      <c r="X32" s="145">
        <f t="shared" ref="X32:AD32" si="50">W32</f>
        <v>2.0992500000000001E-2</v>
      </c>
      <c r="Y32" s="222">
        <f t="shared" si="50"/>
        <v>2.0992500000000001E-2</v>
      </c>
      <c r="Z32" s="222">
        <f t="shared" si="50"/>
        <v>2.0992500000000001E-2</v>
      </c>
      <c r="AA32" s="222">
        <f t="shared" si="50"/>
        <v>2.0992500000000001E-2</v>
      </c>
      <c r="AB32" s="222">
        <f t="shared" si="50"/>
        <v>2.0992500000000001E-2</v>
      </c>
      <c r="AC32" s="222">
        <f t="shared" si="50"/>
        <v>2.0992500000000001E-2</v>
      </c>
      <c r="AD32" s="222">
        <f t="shared" si="50"/>
        <v>2.0992500000000001E-2</v>
      </c>
    </row>
    <row r="33" spans="1:42" s="221" customFormat="1" ht="14" hidden="1">
      <c r="A33" s="143"/>
      <c r="B33" s="143"/>
      <c r="C33" s="143"/>
      <c r="D33" s="822" t="s">
        <v>697</v>
      </c>
      <c r="F33" s="221">
        <v>0</v>
      </c>
      <c r="G33" s="221">
        <v>2.2200000000000001E-2</v>
      </c>
      <c r="H33" s="826"/>
      <c r="I33" s="826"/>
      <c r="J33" s="826"/>
      <c r="K33" s="826"/>
      <c r="L33" s="826"/>
      <c r="M33" s="826"/>
      <c r="N33" s="826"/>
      <c r="O33" s="826"/>
      <c r="P33" s="1045"/>
      <c r="Q33" s="144"/>
      <c r="R33" s="144"/>
      <c r="S33" s="144"/>
      <c r="T33" s="145"/>
      <c r="U33" s="145"/>
      <c r="V33" s="145"/>
      <c r="W33" s="145"/>
      <c r="X33" s="145"/>
      <c r="Y33" s="222"/>
      <c r="Z33" s="222"/>
      <c r="AA33" s="222"/>
      <c r="AB33" s="222"/>
      <c r="AC33" s="222"/>
      <c r="AD33" s="222"/>
    </row>
    <row r="34" spans="1:42" s="319" customFormat="1" hidden="1" thickBot="1">
      <c r="A34" s="147"/>
      <c r="B34" s="147"/>
      <c r="C34" s="147"/>
      <c r="D34" s="824" t="s">
        <v>696</v>
      </c>
      <c r="E34" s="256"/>
      <c r="F34" s="256" t="e">
        <f>F30-#REF!</f>
        <v>#REF!</v>
      </c>
      <c r="G34" s="256" t="e">
        <f>G30-#REF!</f>
        <v>#REF!</v>
      </c>
      <c r="H34" s="1046" t="e">
        <f>H30-#REF!</f>
        <v>#REF!</v>
      </c>
      <c r="I34" s="1046" t="e">
        <f>I30-#REF!</f>
        <v>#REF!</v>
      </c>
      <c r="J34" s="1046" t="e">
        <f>J30-#REF!</f>
        <v>#REF!</v>
      </c>
      <c r="K34" s="1046" t="e">
        <f>K30-#REF!</f>
        <v>#REF!</v>
      </c>
      <c r="L34" s="1046" t="e">
        <f>L30-#REF!</f>
        <v>#REF!</v>
      </c>
      <c r="M34" s="1046" t="e">
        <f>M30-#REF!</f>
        <v>#REF!</v>
      </c>
      <c r="N34" s="1046" t="e">
        <f>N30-#REF!</f>
        <v>#REF!</v>
      </c>
      <c r="O34" s="1046" t="e">
        <f>O30-#REF!</f>
        <v>#REF!</v>
      </c>
      <c r="P34" s="1047" t="e">
        <f>P30-#REF!</f>
        <v>#REF!</v>
      </c>
      <c r="Q34" s="155" t="e">
        <f>Q30-#REF!</f>
        <v>#REF!</v>
      </c>
      <c r="R34" s="155" t="e">
        <f>R30-#REF!</f>
        <v>#REF!</v>
      </c>
      <c r="S34" s="155" t="e">
        <f>S30-#REF!</f>
        <v>#REF!</v>
      </c>
      <c r="T34" s="157" t="e">
        <f>T30-#REF!</f>
        <v>#REF!</v>
      </c>
      <c r="U34" s="157" t="e">
        <f>U30-#REF!</f>
        <v>#REF!</v>
      </c>
      <c r="V34" s="157" t="e">
        <f>V30-#REF!</f>
        <v>#REF!</v>
      </c>
      <c r="W34" s="157" t="e">
        <f>W30-#REF!</f>
        <v>#REF!</v>
      </c>
      <c r="X34" s="157" t="e">
        <f>X30-#REF!</f>
        <v>#REF!</v>
      </c>
      <c r="Y34" s="258" t="e">
        <f>Y30-#REF!</f>
        <v>#REF!</v>
      </c>
      <c r="Z34" s="258" t="e">
        <f>Z30-#REF!</f>
        <v>#REF!</v>
      </c>
      <c r="AA34" s="258" t="e">
        <f>AA30-#REF!</f>
        <v>#REF!</v>
      </c>
      <c r="AB34" s="258" t="e">
        <f>AB30-#REF!</f>
        <v>#REF!</v>
      </c>
      <c r="AC34" s="258" t="e">
        <f>AC30-#REF!</f>
        <v>#REF!</v>
      </c>
      <c r="AD34" s="258" t="e">
        <f>AD30-#REF!</f>
        <v>#REF!</v>
      </c>
    </row>
    <row r="35" spans="1:42" s="233" customFormat="1" ht="14">
      <c r="A35" s="250"/>
      <c r="B35" s="250"/>
      <c r="C35" s="250"/>
      <c r="H35" s="1048"/>
      <c r="I35" s="1048"/>
      <c r="J35" s="1048"/>
      <c r="K35" s="1048"/>
      <c r="L35" s="1048"/>
      <c r="M35" s="1048"/>
      <c r="N35" s="1048"/>
      <c r="O35" s="1048"/>
      <c r="P35" s="1068"/>
      <c r="Y35" s="250"/>
      <c r="Z35" s="250"/>
      <c r="AA35" s="250"/>
      <c r="AB35" s="250"/>
      <c r="AC35" s="250"/>
      <c r="AD35" s="250"/>
    </row>
    <row r="36" spans="1:42" s="233" customFormat="1">
      <c r="A36" s="250"/>
      <c r="B36" s="250"/>
      <c r="C36" s="250"/>
      <c r="H36" s="1048"/>
      <c r="I36" s="1048"/>
      <c r="J36" s="1048"/>
      <c r="K36" s="1048"/>
      <c r="L36" s="1048"/>
      <c r="M36" s="1048"/>
      <c r="N36" s="1048"/>
      <c r="O36" s="1048"/>
      <c r="P36" s="1048"/>
      <c r="Y36" s="250"/>
      <c r="Z36" s="250"/>
      <c r="AA36" s="250"/>
      <c r="AB36" s="250"/>
      <c r="AC36" s="250"/>
      <c r="AD36" s="250"/>
      <c r="AJ36" s="246" t="s">
        <v>1658</v>
      </c>
    </row>
    <row r="37" spans="1:42" s="233" customFormat="1" ht="14">
      <c r="A37" s="250"/>
      <c r="B37" s="250"/>
      <c r="C37" s="250"/>
      <c r="H37" s="1048"/>
      <c r="I37" s="1048"/>
      <c r="J37" s="1048"/>
      <c r="K37" s="1048"/>
      <c r="L37" s="1048"/>
      <c r="M37" s="1048"/>
      <c r="N37" s="1048"/>
      <c r="O37" s="1048"/>
      <c r="P37" s="1048"/>
      <c r="Y37" s="250"/>
      <c r="Z37" s="250"/>
      <c r="AA37" s="250"/>
      <c r="AB37" s="250"/>
      <c r="AC37" s="250"/>
      <c r="AD37" s="250"/>
    </row>
    <row r="38" spans="1:42" s="234" customFormat="1" ht="14">
      <c r="A38" s="131"/>
      <c r="B38" s="131"/>
      <c r="C38" s="131"/>
      <c r="E38" s="131"/>
      <c r="F38" s="131"/>
      <c r="G38" s="131"/>
      <c r="H38" s="1049"/>
      <c r="I38" s="1049"/>
      <c r="J38" s="1049"/>
      <c r="K38" s="1049"/>
      <c r="L38" s="1049"/>
      <c r="M38" s="1049"/>
      <c r="N38" s="1049"/>
      <c r="O38" s="1049"/>
      <c r="P38" s="1049"/>
      <c r="Q38" s="131"/>
      <c r="R38" s="131"/>
      <c r="S38" s="131"/>
      <c r="T38" s="131"/>
      <c r="U38" s="131"/>
      <c r="V38" s="131"/>
      <c r="W38" s="131"/>
      <c r="X38" s="131"/>
      <c r="Y38" s="131"/>
      <c r="Z38" s="131"/>
      <c r="AA38" s="131"/>
      <c r="AB38" s="131"/>
      <c r="AC38" s="131"/>
      <c r="AD38" s="131"/>
    </row>
    <row r="39" spans="1:42" ht="20">
      <c r="A39"/>
      <c r="B39"/>
      <c r="C39"/>
      <c r="D39"/>
      <c r="E39"/>
      <c r="F39"/>
      <c r="G39"/>
      <c r="H39" s="969"/>
      <c r="I39" s="969"/>
      <c r="J39" s="969"/>
      <c r="K39" s="969"/>
      <c r="L39" s="969"/>
      <c r="M39" s="969"/>
      <c r="N39" s="969"/>
      <c r="O39" s="969"/>
      <c r="P39" s="969"/>
      <c r="Q39"/>
      <c r="R39"/>
      <c r="S39"/>
      <c r="T39"/>
      <c r="U39"/>
      <c r="V39"/>
      <c r="W39"/>
      <c r="X39"/>
      <c r="Y39"/>
      <c r="Z39"/>
      <c r="AA39"/>
      <c r="AB39"/>
      <c r="AC39"/>
      <c r="AD39"/>
      <c r="AJ39" s="1218" t="s">
        <v>1819</v>
      </c>
      <c r="AK39" s="1798"/>
      <c r="AL39" s="1798"/>
      <c r="AM39" s="1798"/>
      <c r="AN39" s="1798"/>
      <c r="AO39" s="1798"/>
      <c r="AP39" s="1798"/>
    </row>
    <row r="40" spans="1:42">
      <c r="A40"/>
      <c r="B40"/>
      <c r="C40"/>
      <c r="D40"/>
      <c r="E40"/>
      <c r="F40"/>
      <c r="G40"/>
      <c r="H40" s="969"/>
      <c r="I40" s="969"/>
      <c r="J40" s="969"/>
      <c r="K40" s="969"/>
      <c r="L40" s="969"/>
      <c r="M40" s="969"/>
      <c r="N40" s="969"/>
      <c r="O40" s="969"/>
      <c r="P40" s="969"/>
      <c r="Q40"/>
      <c r="R40"/>
      <c r="S40"/>
      <c r="T40"/>
      <c r="U40"/>
      <c r="V40"/>
      <c r="W40"/>
      <c r="X40"/>
      <c r="Y40"/>
      <c r="Z40"/>
      <c r="AA40"/>
      <c r="AB40"/>
      <c r="AC40"/>
      <c r="AD40"/>
    </row>
    <row r="41" spans="1:42">
      <c r="A41"/>
      <c r="B41"/>
      <c r="C41"/>
      <c r="D41"/>
      <c r="E41"/>
      <c r="F41"/>
      <c r="G41"/>
      <c r="H41" s="969"/>
      <c r="I41" s="969"/>
      <c r="J41" s="969"/>
      <c r="K41" s="969"/>
      <c r="L41" s="969"/>
      <c r="M41" s="969"/>
      <c r="N41" s="969"/>
      <c r="O41" s="969"/>
      <c r="P41" s="969"/>
      <c r="Q41"/>
      <c r="R41"/>
      <c r="S41"/>
      <c r="T41"/>
      <c r="U41"/>
      <c r="V41"/>
      <c r="W41"/>
      <c r="X41"/>
      <c r="Y41"/>
      <c r="Z41"/>
      <c r="AA41"/>
      <c r="AB41"/>
      <c r="AC41"/>
      <c r="AD41"/>
    </row>
    <row r="42" spans="1:42">
      <c r="A42"/>
      <c r="B42"/>
      <c r="C42"/>
      <c r="D42"/>
      <c r="E42"/>
      <c r="F42"/>
      <c r="G42"/>
      <c r="H42" s="969"/>
      <c r="I42" s="969"/>
      <c r="J42" s="969"/>
      <c r="K42" s="969"/>
      <c r="L42" s="969"/>
      <c r="M42" s="969"/>
      <c r="N42" s="969"/>
      <c r="O42" s="969"/>
      <c r="P42" s="969"/>
      <c r="Q42"/>
      <c r="R42"/>
      <c r="S42"/>
      <c r="T42"/>
      <c r="U42"/>
      <c r="V42"/>
      <c r="W42"/>
      <c r="X42"/>
      <c r="Y42"/>
      <c r="Z42"/>
      <c r="AA42"/>
      <c r="AB42"/>
      <c r="AC42"/>
      <c r="AD42"/>
    </row>
    <row r="43" spans="1:42">
      <c r="A43"/>
      <c r="B43"/>
      <c r="C43"/>
      <c r="D43"/>
      <c r="E43"/>
      <c r="F43"/>
      <c r="G43"/>
      <c r="H43" s="969"/>
      <c r="I43" s="969"/>
      <c r="J43" s="969"/>
      <c r="K43" s="969"/>
      <c r="L43" s="969"/>
      <c r="M43" s="969"/>
      <c r="N43" s="969"/>
      <c r="O43" s="969"/>
      <c r="P43" s="969"/>
      <c r="Q43"/>
      <c r="R43"/>
      <c r="S43"/>
      <c r="T43"/>
      <c r="U43"/>
      <c r="V43"/>
      <c r="W43"/>
      <c r="X43"/>
      <c r="Y43"/>
      <c r="Z43"/>
      <c r="AA43"/>
      <c r="AB43"/>
      <c r="AC43"/>
      <c r="AD43"/>
    </row>
    <row r="44" spans="1:42">
      <c r="A44"/>
      <c r="B44"/>
      <c r="C44"/>
      <c r="D44"/>
      <c r="E44"/>
      <c r="F44"/>
      <c r="G44"/>
      <c r="H44" s="969"/>
      <c r="I44" s="969"/>
      <c r="J44" s="969"/>
      <c r="K44" s="969"/>
      <c r="L44" s="969"/>
      <c r="M44" s="969"/>
      <c r="N44" s="969"/>
      <c r="O44" s="969"/>
      <c r="P44" s="969"/>
      <c r="Q44"/>
      <c r="R44"/>
      <c r="S44"/>
      <c r="T44"/>
      <c r="U44"/>
      <c r="V44"/>
      <c r="W44"/>
      <c r="X44"/>
      <c r="Y44"/>
      <c r="Z44"/>
      <c r="AA44"/>
      <c r="AB44"/>
      <c r="AC44"/>
      <c r="AD44"/>
    </row>
    <row r="45" spans="1:42">
      <c r="A45"/>
      <c r="B45"/>
      <c r="C45"/>
      <c r="D45"/>
      <c r="E45"/>
      <c r="F45"/>
      <c r="G45"/>
      <c r="H45" s="969"/>
      <c r="I45" s="969"/>
      <c r="J45" s="969"/>
      <c r="K45" s="969"/>
      <c r="L45" s="969"/>
      <c r="M45" s="969"/>
      <c r="N45" s="969"/>
      <c r="O45" s="969"/>
      <c r="P45" s="969"/>
      <c r="Q45"/>
      <c r="R45"/>
      <c r="S45"/>
      <c r="T45"/>
      <c r="U45"/>
      <c r="V45"/>
      <c r="W45"/>
      <c r="X45"/>
      <c r="Y45"/>
      <c r="Z45"/>
      <c r="AA45"/>
      <c r="AB45"/>
      <c r="AC45"/>
      <c r="AD45"/>
    </row>
    <row r="46" spans="1:42">
      <c r="A46"/>
      <c r="B46"/>
      <c r="C46"/>
      <c r="D46"/>
      <c r="E46"/>
      <c r="F46"/>
      <c r="G46"/>
      <c r="H46" s="969"/>
      <c r="I46" s="969"/>
      <c r="J46" s="969"/>
      <c r="K46" s="969"/>
      <c r="L46" s="969"/>
      <c r="M46" s="969"/>
      <c r="N46" s="969"/>
      <c r="O46" s="969"/>
      <c r="P46" s="969"/>
      <c r="Q46"/>
      <c r="R46"/>
      <c r="S46"/>
      <c r="T46"/>
      <c r="U46"/>
      <c r="V46"/>
      <c r="W46"/>
      <c r="X46"/>
      <c r="Y46"/>
      <c r="Z46"/>
      <c r="AA46"/>
      <c r="AB46"/>
      <c r="AC46"/>
      <c r="AD46"/>
    </row>
    <row r="47" spans="1:42" s="1012" customFormat="1" ht="11">
      <c r="A47" s="1065"/>
      <c r="B47" s="1065"/>
      <c r="C47" s="1065"/>
      <c r="D47" s="1069"/>
      <c r="E47" s="1065"/>
      <c r="F47" s="1065"/>
      <c r="G47" s="1065"/>
      <c r="H47" s="1065"/>
      <c r="I47" s="1065"/>
      <c r="J47" s="1065"/>
      <c r="K47" s="1065"/>
      <c r="L47" s="1065"/>
      <c r="M47" s="1065"/>
      <c r="N47" s="1065"/>
      <c r="O47" s="1065"/>
      <c r="P47" s="1065"/>
      <c r="Q47" s="1065"/>
      <c r="R47" s="1065"/>
      <c r="S47" s="1065"/>
      <c r="T47" s="1065"/>
      <c r="U47" s="1065"/>
      <c r="V47" s="1065"/>
      <c r="W47" s="1065"/>
      <c r="X47" s="1065"/>
      <c r="Y47" s="1065"/>
      <c r="Z47" s="1065"/>
      <c r="AA47" s="1065"/>
      <c r="AB47" s="1065"/>
      <c r="AC47" s="1065"/>
      <c r="AD47" s="1065"/>
    </row>
    <row r="48" spans="1:42">
      <c r="A48"/>
      <c r="B48"/>
      <c r="C48"/>
      <c r="D48" s="10"/>
      <c r="E48"/>
      <c r="F48"/>
      <c r="G48"/>
      <c r="H48"/>
      <c r="I48"/>
      <c r="J48"/>
      <c r="K48"/>
      <c r="L48"/>
      <c r="M48"/>
      <c r="N48"/>
      <c r="O48"/>
      <c r="P48"/>
      <c r="Q48"/>
      <c r="R48"/>
      <c r="S48"/>
      <c r="T48"/>
      <c r="U48"/>
      <c r="V48"/>
      <c r="W48"/>
      <c r="X48"/>
      <c r="Y48"/>
      <c r="Z48"/>
      <c r="AA48"/>
      <c r="AB48"/>
      <c r="AC48"/>
      <c r="AD48"/>
    </row>
    <row r="49" spans="1:36">
      <c r="A49"/>
      <c r="B49"/>
      <c r="C49"/>
      <c r="D49" s="10"/>
      <c r="E49"/>
      <c r="F49"/>
      <c r="G49"/>
      <c r="H49" s="969"/>
      <c r="I49" s="969"/>
      <c r="J49" s="969"/>
      <c r="K49" s="969"/>
      <c r="L49" s="969"/>
      <c r="M49" s="969"/>
      <c r="N49" s="969"/>
      <c r="O49" s="969"/>
      <c r="P49" s="969"/>
      <c r="Q49"/>
      <c r="R49"/>
      <c r="S49"/>
      <c r="T49"/>
      <c r="U49"/>
      <c r="V49"/>
      <c r="W49"/>
      <c r="X49"/>
      <c r="Y49"/>
      <c r="Z49"/>
      <c r="AA49"/>
      <c r="AB49"/>
      <c r="AC49"/>
      <c r="AD49"/>
    </row>
    <row r="50" spans="1:36" s="1012" customFormat="1" ht="11">
      <c r="A50" s="1065"/>
      <c r="B50" s="1065"/>
      <c r="C50" s="1065"/>
      <c r="D50" s="1069"/>
      <c r="E50" s="1065"/>
      <c r="F50" s="1065"/>
      <c r="G50" s="1065"/>
      <c r="H50" s="1065"/>
      <c r="I50" s="1065"/>
      <c r="J50" s="1065"/>
      <c r="K50" s="1065"/>
      <c r="L50" s="1065"/>
      <c r="M50" s="1065"/>
      <c r="N50" s="1065"/>
      <c r="O50" s="1065"/>
      <c r="P50" s="1065"/>
      <c r="Q50" s="1065"/>
      <c r="R50" s="1065"/>
      <c r="S50" s="1065"/>
      <c r="T50" s="1065"/>
      <c r="U50" s="1065"/>
      <c r="V50" s="1065"/>
      <c r="W50" s="1065"/>
      <c r="X50" s="1065"/>
      <c r="Y50" s="1065"/>
      <c r="Z50" s="1065"/>
      <c r="AA50" s="1065"/>
      <c r="AB50" s="1065"/>
      <c r="AC50" s="1065"/>
      <c r="AD50" s="1065"/>
    </row>
    <row r="51" spans="1:36">
      <c r="A51"/>
      <c r="B51"/>
      <c r="C51"/>
      <c r="D51" s="10"/>
      <c r="E51"/>
      <c r="F51"/>
      <c r="G51"/>
      <c r="H51" s="969"/>
      <c r="I51" s="969"/>
      <c r="J51" s="969"/>
      <c r="K51" s="969"/>
      <c r="L51" s="969"/>
      <c r="M51" s="969"/>
      <c r="N51" s="969"/>
      <c r="O51" s="969"/>
      <c r="P51" s="969"/>
      <c r="Q51"/>
      <c r="R51"/>
      <c r="S51"/>
      <c r="T51"/>
      <c r="U51"/>
      <c r="V51"/>
      <c r="W51"/>
      <c r="X51"/>
      <c r="Y51"/>
      <c r="Z51"/>
      <c r="AA51"/>
      <c r="AB51"/>
      <c r="AC51"/>
      <c r="AD51"/>
    </row>
    <row r="52" spans="1:36" s="1012" customFormat="1" ht="11">
      <c r="A52" s="1065"/>
      <c r="B52" s="1065"/>
      <c r="C52" s="1065"/>
      <c r="D52" s="1069"/>
      <c r="E52" s="1065"/>
      <c r="F52" s="1065"/>
      <c r="G52" s="1065"/>
      <c r="H52" s="1065"/>
      <c r="I52" s="1065"/>
      <c r="J52" s="1065"/>
      <c r="K52" s="1065"/>
      <c r="L52" s="1065"/>
      <c r="M52" s="1065"/>
      <c r="N52" s="1065"/>
      <c r="O52" s="1065"/>
      <c r="P52" s="1065"/>
      <c r="Q52" s="1065"/>
      <c r="R52" s="1065"/>
      <c r="S52" s="1065"/>
      <c r="T52" s="1065"/>
      <c r="U52" s="1065"/>
      <c r="V52" s="1065"/>
      <c r="W52" s="1065"/>
      <c r="X52" s="1065"/>
      <c r="Y52" s="1065"/>
      <c r="Z52" s="1065"/>
      <c r="AA52" s="1065"/>
      <c r="AB52" s="1065"/>
      <c r="AC52" s="1065"/>
      <c r="AD52" s="1065"/>
    </row>
    <row r="53" spans="1:36">
      <c r="A53"/>
      <c r="B53"/>
      <c r="C53"/>
      <c r="D53" s="10"/>
      <c r="E53"/>
      <c r="F53"/>
      <c r="G53"/>
      <c r="H53"/>
      <c r="I53"/>
      <c r="J53"/>
      <c r="K53"/>
      <c r="L53"/>
      <c r="M53"/>
      <c r="N53"/>
      <c r="O53"/>
      <c r="P53"/>
      <c r="Q53"/>
      <c r="R53"/>
      <c r="S53"/>
      <c r="T53"/>
      <c r="U53"/>
      <c r="V53"/>
      <c r="W53"/>
      <c r="X53"/>
      <c r="Y53"/>
      <c r="Z53"/>
      <c r="AA53"/>
      <c r="AB53"/>
      <c r="AC53"/>
      <c r="AD53"/>
      <c r="AJ53" s="246" t="s">
        <v>1658</v>
      </c>
    </row>
    <row r="54" spans="1:36">
      <c r="A54"/>
      <c r="B54"/>
      <c r="C54"/>
      <c r="D54" s="10"/>
      <c r="E54"/>
      <c r="F54"/>
      <c r="G54"/>
      <c r="H54"/>
      <c r="I54"/>
      <c r="J54"/>
      <c r="K54"/>
      <c r="L54"/>
      <c r="M54"/>
      <c r="N54"/>
      <c r="O54"/>
      <c r="P54"/>
      <c r="Q54"/>
      <c r="R54"/>
      <c r="S54"/>
      <c r="T54"/>
      <c r="U54"/>
      <c r="V54"/>
      <c r="W54"/>
      <c r="X54"/>
      <c r="Y54"/>
      <c r="Z54"/>
      <c r="AA54"/>
      <c r="AB54"/>
      <c r="AC54"/>
      <c r="AD54"/>
    </row>
    <row r="55" spans="1:36">
      <c r="D55" s="819"/>
    </row>
    <row r="56" spans="1:36">
      <c r="D56" s="819"/>
    </row>
    <row r="57" spans="1:36">
      <c r="D57" s="819"/>
    </row>
    <row r="58" spans="1:36">
      <c r="D58" s="819"/>
      <c r="H58" s="844"/>
      <c r="I58" s="844"/>
      <c r="J58" s="844"/>
      <c r="K58" s="844"/>
      <c r="L58" s="844"/>
      <c r="M58" s="844"/>
      <c r="N58" s="844"/>
      <c r="O58" s="844"/>
      <c r="P58" s="844"/>
      <c r="Q58" s="844"/>
      <c r="R58" s="844"/>
      <c r="S58" s="844"/>
      <c r="T58" s="844"/>
      <c r="U58" s="844"/>
      <c r="V58" s="844"/>
      <c r="W58" s="844"/>
      <c r="X58" s="844"/>
      <c r="Y58" s="844"/>
      <c r="Z58" s="844"/>
    </row>
    <row r="59" spans="1:36" s="1012" customFormat="1" ht="11">
      <c r="A59" s="1011"/>
      <c r="B59" s="1011"/>
      <c r="C59" s="1011"/>
      <c r="D59" s="1754"/>
      <c r="E59" s="1011"/>
      <c r="F59" s="1011"/>
      <c r="G59" s="1011"/>
      <c r="H59" s="1011"/>
      <c r="I59" s="1011"/>
      <c r="J59" s="1011"/>
      <c r="K59" s="1011"/>
      <c r="L59" s="1011"/>
      <c r="M59" s="1011"/>
      <c r="N59" s="1011"/>
      <c r="O59" s="1011"/>
      <c r="P59" s="1011"/>
      <c r="Q59" s="1011"/>
      <c r="R59" s="1011"/>
      <c r="S59" s="1011"/>
      <c r="T59" s="1011"/>
      <c r="U59" s="1011"/>
      <c r="V59" s="1011"/>
      <c r="W59" s="1011"/>
      <c r="X59" s="1011"/>
      <c r="Y59" s="1011"/>
      <c r="Z59" s="1011"/>
      <c r="AA59" s="1011"/>
      <c r="AB59" s="1011"/>
      <c r="AC59" s="1011"/>
      <c r="AD59" s="1011"/>
    </row>
    <row r="60" spans="1:36" s="1012" customFormat="1" ht="11">
      <c r="A60" s="1011"/>
      <c r="B60" s="1011"/>
      <c r="C60" s="1011"/>
      <c r="D60" s="1754"/>
      <c r="E60" s="1011"/>
      <c r="F60" s="1011"/>
      <c r="G60" s="1011"/>
      <c r="H60" s="1011"/>
      <c r="I60" s="1011"/>
      <c r="J60" s="1011"/>
      <c r="K60" s="1011"/>
      <c r="L60" s="1011"/>
      <c r="M60" s="1011"/>
      <c r="N60" s="1011"/>
      <c r="O60" s="1011"/>
      <c r="P60" s="1011"/>
      <c r="Q60" s="1011"/>
      <c r="R60" s="1011"/>
      <c r="S60" s="1011"/>
      <c r="T60" s="1011"/>
      <c r="U60" s="1011"/>
      <c r="V60" s="1011"/>
      <c r="W60" s="1011"/>
      <c r="X60" s="1011"/>
      <c r="Y60" s="1011"/>
      <c r="Z60" s="1011"/>
      <c r="AA60" s="1011"/>
      <c r="AB60" s="1011"/>
      <c r="AC60" s="1011"/>
      <c r="AD60" s="1011"/>
    </row>
    <row r="61" spans="1:36">
      <c r="H61" s="844"/>
      <c r="I61" s="844"/>
      <c r="J61" s="844"/>
      <c r="K61" s="844"/>
      <c r="L61" s="844"/>
      <c r="M61" s="844"/>
      <c r="N61" s="844"/>
      <c r="O61" s="844"/>
      <c r="P61" s="844"/>
      <c r="Q61" s="844"/>
      <c r="R61" s="844"/>
      <c r="S61" s="844"/>
      <c r="T61" s="844"/>
      <c r="U61" s="844"/>
      <c r="V61" s="844"/>
      <c r="W61" s="844"/>
      <c r="X61" s="844"/>
      <c r="Y61" s="844"/>
      <c r="Z61" s="844"/>
    </row>
    <row r="62" spans="1:36" s="1012" customFormat="1" ht="11">
      <c r="A62" s="1011"/>
      <c r="B62" s="1011"/>
      <c r="C62" s="1011"/>
      <c r="D62" s="1011"/>
      <c r="E62" s="1011"/>
      <c r="F62" s="1011"/>
      <c r="G62" s="1011"/>
      <c r="H62" s="1011"/>
      <c r="I62" s="1011"/>
      <c r="J62" s="1011"/>
      <c r="K62" s="1011"/>
      <c r="L62" s="1011"/>
      <c r="M62" s="1011"/>
      <c r="N62" s="1011"/>
      <c r="O62" s="1011"/>
      <c r="P62" s="1011"/>
      <c r="Q62" s="1011"/>
      <c r="R62" s="1011"/>
      <c r="S62" s="1011"/>
      <c r="T62" s="1011"/>
      <c r="U62" s="1011"/>
      <c r="V62" s="1011"/>
      <c r="W62" s="1011"/>
      <c r="X62" s="1011"/>
      <c r="Y62" s="1011"/>
      <c r="Z62" s="1011"/>
      <c r="AA62" s="1011"/>
      <c r="AB62" s="1011"/>
      <c r="AC62" s="1011"/>
      <c r="AD62" s="1011"/>
    </row>
    <row r="63" spans="1:36">
      <c r="H63" s="844"/>
      <c r="I63" s="844"/>
      <c r="J63" s="844"/>
      <c r="K63" s="844"/>
      <c r="L63" s="844"/>
      <c r="M63" s="844"/>
      <c r="N63" s="844"/>
      <c r="O63" s="844"/>
      <c r="P63" s="844"/>
      <c r="Q63" s="844"/>
      <c r="R63" s="844"/>
      <c r="S63" s="844"/>
      <c r="T63" s="844"/>
      <c r="U63" s="844"/>
      <c r="V63" s="844"/>
      <c r="W63" s="844"/>
      <c r="X63" s="844"/>
      <c r="Y63" s="844"/>
      <c r="Z63" s="844"/>
    </row>
    <row r="64" spans="1:36" s="1012" customFormat="1" ht="11">
      <c r="A64" s="1011"/>
      <c r="B64" s="1011"/>
      <c r="C64" s="1011"/>
      <c r="D64" s="1011"/>
      <c r="E64" s="1011"/>
      <c r="F64" s="1011"/>
      <c r="G64" s="1011"/>
      <c r="H64" s="1011"/>
      <c r="I64" s="1011"/>
      <c r="J64" s="1011"/>
      <c r="K64" s="1011"/>
      <c r="L64" s="1011"/>
      <c r="M64" s="1011"/>
      <c r="N64" s="1011"/>
      <c r="O64" s="1011"/>
      <c r="P64" s="1011"/>
      <c r="Q64" s="1011"/>
      <c r="R64" s="1011"/>
      <c r="S64" s="1011"/>
      <c r="T64" s="1011"/>
      <c r="U64" s="1011"/>
      <c r="V64" s="1011"/>
      <c r="W64" s="1011"/>
      <c r="X64" s="1011"/>
      <c r="Y64" s="1011"/>
      <c r="Z64" s="1011"/>
      <c r="AA64" s="1011"/>
      <c r="AB64" s="1011"/>
      <c r="AC64" s="1011"/>
      <c r="AD64" s="1011"/>
    </row>
    <row r="70" spans="8:16">
      <c r="H70" s="844"/>
      <c r="I70" s="844"/>
      <c r="J70" s="844"/>
      <c r="K70" s="844"/>
      <c r="L70" s="844"/>
      <c r="M70" s="844"/>
      <c r="N70" s="844"/>
      <c r="O70" s="844"/>
      <c r="P70" s="844"/>
    </row>
    <row r="71" spans="8:16">
      <c r="H71" s="844"/>
      <c r="I71" s="844"/>
      <c r="J71" s="844"/>
      <c r="K71" s="844"/>
      <c r="L71" s="844"/>
      <c r="M71" s="844"/>
      <c r="N71" s="844"/>
      <c r="O71" s="844"/>
      <c r="P71" s="844"/>
    </row>
    <row r="72" spans="8:16">
      <c r="H72" s="844"/>
      <c r="I72" s="844"/>
      <c r="J72" s="844"/>
      <c r="K72" s="844"/>
      <c r="L72" s="844"/>
      <c r="M72" s="844"/>
      <c r="N72" s="844"/>
      <c r="O72" s="844"/>
      <c r="P72" s="844"/>
    </row>
    <row r="73" spans="8:16">
      <c r="H73" s="844"/>
      <c r="I73" s="844"/>
      <c r="J73" s="844"/>
      <c r="K73" s="844"/>
      <c r="L73" s="844"/>
      <c r="M73" s="844"/>
      <c r="N73" s="844"/>
      <c r="O73" s="844"/>
      <c r="P73" s="844"/>
    </row>
    <row r="74" spans="8:16">
      <c r="H74" s="844"/>
      <c r="I74" s="844"/>
      <c r="J74" s="844"/>
      <c r="K74" s="844"/>
      <c r="L74" s="844"/>
      <c r="M74" s="844"/>
      <c r="N74" s="844"/>
      <c r="O74" s="844"/>
      <c r="P74" s="844"/>
    </row>
    <row r="75" spans="8:16">
      <c r="H75" s="844"/>
      <c r="I75" s="844"/>
      <c r="J75" s="844"/>
      <c r="K75" s="844"/>
      <c r="L75" s="844"/>
      <c r="M75" s="844"/>
      <c r="N75" s="844"/>
      <c r="O75" s="844"/>
      <c r="P75" s="844"/>
    </row>
    <row r="76" spans="8:16">
      <c r="H76" s="844"/>
      <c r="I76" s="844"/>
      <c r="J76" s="844"/>
      <c r="K76" s="844"/>
      <c r="L76" s="844"/>
      <c r="M76" s="844"/>
      <c r="N76" s="844"/>
      <c r="O76" s="844"/>
      <c r="P76" s="844"/>
    </row>
    <row r="77" spans="8:16">
      <c r="H77" s="844"/>
      <c r="I77" s="844"/>
      <c r="J77" s="844"/>
      <c r="K77" s="844"/>
      <c r="L77" s="844"/>
      <c r="M77" s="844"/>
      <c r="N77" s="844"/>
      <c r="O77" s="844"/>
      <c r="P77" s="844"/>
    </row>
    <row r="78" spans="8:16">
      <c r="H78" s="844"/>
      <c r="I78" s="844"/>
      <c r="J78" s="844"/>
      <c r="K78" s="844"/>
      <c r="L78" s="844"/>
      <c r="M78" s="844"/>
      <c r="N78" s="844"/>
      <c r="O78" s="844"/>
      <c r="P78" s="844"/>
    </row>
    <row r="79" spans="8:16">
      <c r="H79" s="844"/>
      <c r="I79" s="844"/>
      <c r="J79" s="844"/>
      <c r="K79" s="844"/>
      <c r="L79" s="844"/>
      <c r="M79" s="844"/>
      <c r="N79" s="844"/>
      <c r="O79" s="844"/>
      <c r="P79" s="844"/>
    </row>
    <row r="80" spans="8:16">
      <c r="H80" s="844"/>
      <c r="I80" s="844"/>
      <c r="J80" s="844"/>
      <c r="K80" s="844"/>
      <c r="L80" s="844"/>
      <c r="M80" s="844"/>
      <c r="N80" s="844"/>
      <c r="O80" s="844"/>
      <c r="P80" s="844"/>
    </row>
    <row r="81" spans="8:16">
      <c r="H81" s="844"/>
      <c r="I81" s="844"/>
      <c r="J81" s="844"/>
      <c r="K81" s="844"/>
      <c r="L81" s="844"/>
      <c r="M81" s="844"/>
      <c r="N81" s="844"/>
      <c r="O81" s="844"/>
      <c r="P81" s="844"/>
    </row>
    <row r="82" spans="8:16">
      <c r="H82" s="844"/>
      <c r="I82" s="844"/>
      <c r="J82" s="844"/>
      <c r="K82" s="844"/>
      <c r="L82" s="844"/>
      <c r="M82" s="844"/>
      <c r="N82" s="844"/>
      <c r="O82" s="844"/>
      <c r="P82" s="844"/>
    </row>
    <row r="83" spans="8:16">
      <c r="H83" s="844"/>
      <c r="I83" s="844"/>
      <c r="J83" s="844"/>
      <c r="K83" s="844"/>
      <c r="L83" s="844"/>
      <c r="M83" s="844"/>
      <c r="N83" s="844"/>
      <c r="O83" s="844"/>
      <c r="P83" s="844"/>
    </row>
    <row r="84" spans="8:16">
      <c r="H84" s="844"/>
      <c r="I84" s="844"/>
      <c r="J84" s="844"/>
      <c r="K84" s="844"/>
      <c r="L84" s="844"/>
      <c r="M84" s="844"/>
      <c r="N84" s="844"/>
      <c r="O84" s="844"/>
      <c r="P84" s="844"/>
    </row>
    <row r="85" spans="8:16">
      <c r="H85" s="844"/>
      <c r="I85" s="844"/>
      <c r="J85" s="844"/>
      <c r="K85" s="844"/>
      <c r="L85" s="844"/>
      <c r="M85" s="844"/>
      <c r="N85" s="844"/>
      <c r="O85" s="844"/>
      <c r="P85" s="844"/>
    </row>
    <row r="86" spans="8:16">
      <c r="H86" s="844"/>
      <c r="I86" s="844"/>
      <c r="J86" s="844"/>
      <c r="K86" s="844"/>
      <c r="L86" s="844"/>
      <c r="M86" s="844"/>
      <c r="N86" s="844"/>
      <c r="O86" s="844"/>
      <c r="P86" s="844"/>
    </row>
    <row r="87" spans="8:16">
      <c r="H87" s="844"/>
      <c r="I87" s="844"/>
      <c r="J87" s="844"/>
      <c r="K87" s="844"/>
      <c r="L87" s="844"/>
      <c r="M87" s="844"/>
      <c r="N87" s="844"/>
      <c r="O87" s="844"/>
      <c r="P87" s="844"/>
    </row>
    <row r="88" spans="8:16">
      <c r="H88" s="844"/>
      <c r="I88" s="844"/>
      <c r="J88" s="844"/>
      <c r="K88" s="844"/>
      <c r="L88" s="844"/>
      <c r="M88" s="844"/>
      <c r="N88" s="844"/>
      <c r="O88" s="844"/>
      <c r="P88" s="844"/>
    </row>
    <row r="89" spans="8:16">
      <c r="H89" s="844"/>
      <c r="I89" s="844"/>
      <c r="J89" s="844"/>
      <c r="K89" s="844"/>
      <c r="L89" s="844"/>
      <c r="M89" s="844"/>
      <c r="N89" s="844"/>
      <c r="O89" s="844"/>
      <c r="P89" s="844"/>
    </row>
    <row r="90" spans="8:16">
      <c r="H90" s="844"/>
      <c r="I90" s="844"/>
      <c r="J90" s="844"/>
      <c r="K90" s="844"/>
      <c r="L90" s="844"/>
      <c r="M90" s="844"/>
      <c r="N90" s="844"/>
      <c r="O90" s="844"/>
      <c r="P90" s="844"/>
    </row>
    <row r="91" spans="8:16">
      <c r="H91" s="844"/>
      <c r="I91" s="844"/>
      <c r="J91" s="844"/>
      <c r="K91" s="844"/>
      <c r="L91" s="844"/>
      <c r="M91" s="844"/>
      <c r="N91" s="844"/>
      <c r="O91" s="844"/>
      <c r="P91" s="844"/>
    </row>
    <row r="92" spans="8:16">
      <c r="H92" s="844"/>
      <c r="I92" s="844"/>
      <c r="J92" s="844"/>
      <c r="K92" s="844"/>
      <c r="L92" s="844"/>
      <c r="M92" s="844"/>
      <c r="N92" s="844"/>
      <c r="O92" s="844"/>
      <c r="P92" s="844"/>
    </row>
    <row r="93" spans="8:16">
      <c r="H93" s="844"/>
      <c r="I93" s="844"/>
      <c r="J93" s="844"/>
      <c r="K93" s="844"/>
      <c r="L93" s="844"/>
      <c r="M93" s="844"/>
      <c r="N93" s="844"/>
      <c r="O93" s="844"/>
      <c r="P93" s="844"/>
    </row>
    <row r="94" spans="8:16">
      <c r="H94" s="844"/>
      <c r="I94" s="844"/>
      <c r="J94" s="844"/>
      <c r="K94" s="844"/>
      <c r="L94" s="844"/>
      <c r="M94" s="844"/>
      <c r="N94" s="844"/>
      <c r="O94" s="844"/>
      <c r="P94" s="844"/>
    </row>
    <row r="95" spans="8:16">
      <c r="H95" s="844"/>
      <c r="I95" s="844"/>
      <c r="J95" s="844"/>
      <c r="K95" s="844"/>
      <c r="L95" s="844"/>
      <c r="M95" s="844"/>
      <c r="N95" s="844"/>
      <c r="O95" s="844"/>
      <c r="P95" s="844"/>
    </row>
    <row r="96" spans="8:16">
      <c r="H96" s="844"/>
      <c r="I96" s="844"/>
      <c r="J96" s="844"/>
      <c r="K96" s="844"/>
      <c r="L96" s="844"/>
      <c r="M96" s="844"/>
      <c r="N96" s="844"/>
      <c r="O96" s="844"/>
      <c r="P96" s="844"/>
    </row>
    <row r="97" spans="1:30">
      <c r="H97" s="844"/>
      <c r="I97" s="844"/>
      <c r="J97" s="844"/>
      <c r="K97" s="844"/>
      <c r="L97" s="844"/>
      <c r="M97" s="844"/>
      <c r="N97" s="844"/>
      <c r="O97" s="844"/>
      <c r="P97" s="844"/>
    </row>
    <row r="98" spans="1:30">
      <c r="H98" s="844"/>
      <c r="I98" s="844"/>
      <c r="J98" s="844"/>
      <c r="K98" s="844"/>
      <c r="L98" s="844"/>
      <c r="M98" s="844"/>
      <c r="N98" s="844"/>
      <c r="O98" s="844"/>
      <c r="P98" s="844"/>
    </row>
    <row r="99" spans="1:30">
      <c r="H99" s="844"/>
      <c r="I99" s="844"/>
      <c r="J99" s="844"/>
      <c r="K99" s="844"/>
      <c r="L99" s="844"/>
      <c r="M99" s="844"/>
      <c r="N99" s="844"/>
      <c r="O99" s="844"/>
      <c r="P99" s="844"/>
    </row>
    <row r="100" spans="1:30">
      <c r="H100" s="844"/>
      <c r="I100" s="844"/>
      <c r="J100" s="844"/>
      <c r="K100" s="844"/>
      <c r="L100" s="844"/>
      <c r="M100" s="844"/>
      <c r="N100" s="844"/>
      <c r="O100" s="844"/>
      <c r="P100" s="844"/>
    </row>
    <row r="101" spans="1:30">
      <c r="H101" s="844"/>
      <c r="I101" s="844"/>
      <c r="J101" s="844"/>
      <c r="K101" s="844"/>
      <c r="L101" s="844"/>
      <c r="M101" s="844"/>
      <c r="N101" s="844"/>
      <c r="O101" s="844"/>
      <c r="P101" s="844"/>
    </row>
    <row r="102" spans="1:30">
      <c r="H102" s="844"/>
      <c r="I102" s="844"/>
      <c r="J102" s="844"/>
      <c r="K102" s="844"/>
      <c r="L102" s="844"/>
      <c r="M102" s="844"/>
      <c r="N102" s="844"/>
      <c r="O102" s="844"/>
      <c r="P102" s="844"/>
    </row>
    <row r="103" spans="1:30">
      <c r="H103" s="844"/>
      <c r="I103" s="844"/>
      <c r="J103" s="844"/>
      <c r="K103" s="844"/>
      <c r="L103" s="844"/>
      <c r="M103" s="844"/>
      <c r="N103" s="844"/>
      <c r="O103" s="844"/>
      <c r="P103" s="844"/>
    </row>
    <row r="104" spans="1:30" s="1064" customFormat="1" ht="11">
      <c r="A104" s="1175"/>
      <c r="B104" s="1175"/>
      <c r="C104" s="1175"/>
      <c r="D104" s="1175"/>
      <c r="E104" s="1175"/>
      <c r="F104" s="1175"/>
      <c r="G104" s="1175"/>
      <c r="H104" s="1176"/>
      <c r="I104" s="1176"/>
      <c r="J104" s="1176"/>
      <c r="K104" s="1176"/>
      <c r="L104" s="1176"/>
      <c r="M104" s="1176"/>
      <c r="N104" s="1176"/>
      <c r="O104" s="1176"/>
      <c r="P104" s="1176"/>
      <c r="Q104" s="1175"/>
      <c r="R104" s="1175"/>
      <c r="S104" s="1175"/>
      <c r="T104" s="1175"/>
      <c r="U104" s="1175"/>
      <c r="V104" s="1175"/>
      <c r="W104" s="1175"/>
      <c r="X104" s="1175"/>
      <c r="Y104" s="1175"/>
      <c r="Z104" s="1175"/>
      <c r="AA104" s="1175"/>
      <c r="AB104" s="1175"/>
      <c r="AC104" s="1175"/>
      <c r="AD104" s="1175"/>
    </row>
    <row r="105" spans="1:30" s="1064" customFormat="1" ht="11">
      <c r="A105" s="1175"/>
      <c r="B105" s="1175"/>
      <c r="C105" s="1175"/>
      <c r="D105" s="1175"/>
      <c r="E105" s="1175"/>
      <c r="F105" s="1175"/>
      <c r="G105" s="1175"/>
      <c r="H105" s="1176"/>
      <c r="I105" s="1176"/>
      <c r="J105" s="1176"/>
      <c r="K105" s="1176"/>
      <c r="L105" s="1176"/>
      <c r="M105" s="1176"/>
      <c r="N105" s="1176"/>
      <c r="O105" s="1176"/>
      <c r="P105" s="1176"/>
      <c r="Q105" s="1175"/>
      <c r="R105" s="1175"/>
      <c r="S105" s="1175"/>
      <c r="T105" s="1175"/>
      <c r="U105" s="1175"/>
      <c r="V105" s="1175"/>
      <c r="W105" s="1175"/>
      <c r="X105" s="1175"/>
      <c r="Y105" s="1175"/>
      <c r="Z105" s="1175"/>
      <c r="AA105" s="1175"/>
      <c r="AB105" s="1175"/>
      <c r="AC105" s="1175"/>
      <c r="AD105" s="1175"/>
    </row>
    <row r="108" spans="1:30">
      <c r="G108" s="1177"/>
      <c r="H108" s="1177"/>
      <c r="I108" s="1177"/>
      <c r="J108" s="1177"/>
      <c r="K108" s="1177"/>
    </row>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sheetData>
  <mergeCells count="1">
    <mergeCell ref="D2:AF2"/>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2:BA289"/>
  <sheetViews>
    <sheetView showGridLines="0" topLeftCell="G1" zoomScale="75" zoomScaleNormal="75" zoomScalePageLayoutView="75" workbookViewId="0">
      <selection activeCell="U39" sqref="U39"/>
    </sheetView>
  </sheetViews>
  <sheetFormatPr baseColWidth="10" defaultRowHeight="15" x14ac:dyDescent="0"/>
  <cols>
    <col min="1" max="3" width="0" hidden="1" customWidth="1"/>
    <col min="4" max="6" width="0" style="39" hidden="1" customWidth="1"/>
    <col min="7" max="7" width="54.83203125" bestFit="1" customWidth="1"/>
    <col min="8" max="26" width="13" customWidth="1"/>
    <col min="27" max="28" width="13" style="39" customWidth="1"/>
    <col min="29" max="32" width="10.83203125" style="137"/>
    <col min="33" max="33" width="27" style="137" customWidth="1"/>
    <col min="34" max="34" width="8.6640625" style="137" customWidth="1"/>
    <col min="35" max="35" width="3.1640625" style="137" customWidth="1"/>
    <col min="36" max="36" width="9.5" style="137" customWidth="1"/>
    <col min="37" max="37" width="6.1640625" style="137" customWidth="1"/>
    <col min="38" max="38" width="4" style="137" customWidth="1"/>
    <col min="39" max="47" width="9.5" style="137" customWidth="1"/>
    <col min="48" max="53" width="10.83203125" style="137"/>
    <col min="54" max="54" width="6.1640625" style="137" customWidth="1"/>
    <col min="55" max="16384" width="10.83203125" style="137"/>
  </cols>
  <sheetData>
    <row r="2" spans="1:53">
      <c r="G2" s="1927" t="s">
        <v>1762</v>
      </c>
      <c r="H2" s="1927"/>
      <c r="I2" s="1927"/>
      <c r="J2" s="1927"/>
      <c r="K2" s="1927"/>
      <c r="L2" s="1927"/>
      <c r="M2" s="1927"/>
      <c r="N2" s="1927"/>
      <c r="O2" s="1927"/>
      <c r="P2" s="1927"/>
      <c r="Q2" s="1927"/>
      <c r="R2" s="1927"/>
      <c r="S2" s="1927"/>
      <c r="T2" s="1927"/>
      <c r="U2" s="1927"/>
      <c r="V2" s="1927"/>
      <c r="W2" s="1927"/>
      <c r="X2" s="1927"/>
      <c r="Y2" s="1927"/>
      <c r="Z2" s="1927"/>
      <c r="AA2" s="1927"/>
      <c r="AB2" s="1927"/>
      <c r="AC2" s="831"/>
      <c r="AD2" s="831"/>
      <c r="AE2" s="831"/>
      <c r="AF2" s="831"/>
      <c r="AG2" s="831"/>
      <c r="AH2" s="831"/>
      <c r="AI2" s="831"/>
    </row>
    <row r="3" spans="1:53" ht="16" thickBot="1"/>
    <row r="4" spans="1:53" s="377" customFormat="1" ht="21" thickBot="1">
      <c r="A4" s="421"/>
      <c r="B4" s="421"/>
      <c r="C4" s="421"/>
      <c r="G4" s="722" t="s">
        <v>1615</v>
      </c>
      <c r="H4" s="695" t="s">
        <v>20</v>
      </c>
      <c r="I4" s="695" t="s">
        <v>21</v>
      </c>
      <c r="J4" s="695" t="s">
        <v>22</v>
      </c>
      <c r="K4" s="695" t="s">
        <v>964</v>
      </c>
      <c r="L4" s="404" t="s">
        <v>24</v>
      </c>
      <c r="M4" s="404" t="s">
        <v>25</v>
      </c>
      <c r="N4" s="404" t="s">
        <v>26</v>
      </c>
      <c r="O4" s="404" t="s">
        <v>27</v>
      </c>
      <c r="P4" s="404" t="s">
        <v>712</v>
      </c>
      <c r="Q4" s="404" t="s">
        <v>713</v>
      </c>
      <c r="R4" s="404" t="s">
        <v>714</v>
      </c>
      <c r="S4" s="404" t="s">
        <v>715</v>
      </c>
      <c r="T4" s="404" t="s">
        <v>716</v>
      </c>
      <c r="U4" s="404" t="s">
        <v>717</v>
      </c>
      <c r="V4" s="404" t="s">
        <v>718</v>
      </c>
      <c r="W4" s="404" t="s">
        <v>719</v>
      </c>
      <c r="X4" s="404" t="s">
        <v>720</v>
      </c>
      <c r="Y4" s="404" t="s">
        <v>721</v>
      </c>
      <c r="Z4" s="404" t="s">
        <v>722</v>
      </c>
      <c r="AA4" s="1789" t="s">
        <v>1485</v>
      </c>
      <c r="AB4" s="1790" t="s">
        <v>1446</v>
      </c>
      <c r="AG4" s="1315" t="s">
        <v>1812</v>
      </c>
      <c r="AH4" s="832"/>
      <c r="AI4" s="832"/>
      <c r="AJ4" s="832"/>
      <c r="AK4" s="832"/>
      <c r="AL4" s="832"/>
      <c r="AM4" s="832"/>
      <c r="AN4" s="832"/>
      <c r="AO4" s="832"/>
      <c r="AP4" s="832"/>
      <c r="AQ4" s="832"/>
      <c r="AR4" s="832"/>
      <c r="AS4" s="832"/>
      <c r="AT4" s="832"/>
      <c r="AU4" s="832"/>
    </row>
    <row r="5" spans="1:53" s="423" customFormat="1">
      <c r="A5" s="101"/>
      <c r="B5" s="101"/>
      <c r="C5" s="295"/>
      <c r="D5" s="438"/>
      <c r="E5" s="438"/>
      <c r="F5" s="438"/>
      <c r="G5" s="1508" t="s">
        <v>0</v>
      </c>
      <c r="H5" s="919">
        <v>84308</v>
      </c>
      <c r="I5" s="919">
        <v>90499</v>
      </c>
      <c r="J5" s="919">
        <v>123981</v>
      </c>
      <c r="K5" s="919">
        <f>(K7*K9)/1000</f>
        <v>132605.71428571429</v>
      </c>
      <c r="L5" s="919">
        <f>(L7*L9)/1000</f>
        <v>139236</v>
      </c>
      <c r="M5" s="919">
        <f t="shared" ref="M5:Z5" si="0">(M7*M9)/1000</f>
        <v>145529.46719999998</v>
      </c>
      <c r="N5" s="919">
        <f t="shared" si="0"/>
        <v>151394.30472815997</v>
      </c>
      <c r="O5" s="919">
        <f t="shared" si="0"/>
        <v>156738.52368506402</v>
      </c>
      <c r="P5" s="919">
        <f t="shared" si="0"/>
        <v>161472.02710035295</v>
      </c>
      <c r="Q5" s="919">
        <f t="shared" si="0"/>
        <v>165524.97498057177</v>
      </c>
      <c r="R5" s="919">
        <f t="shared" si="0"/>
        <v>169679.65185258409</v>
      </c>
      <c r="S5" s="919">
        <f t="shared" si="0"/>
        <v>173938.61111408391</v>
      </c>
      <c r="T5" s="919">
        <f t="shared" si="0"/>
        <v>178304.47025304745</v>
      </c>
      <c r="U5" s="919">
        <f t="shared" si="0"/>
        <v>182779.91245639892</v>
      </c>
      <c r="V5" s="919">
        <f t="shared" si="0"/>
        <v>187367.6882590545</v>
      </c>
      <c r="W5" s="919">
        <f t="shared" si="0"/>
        <v>192070.61723435679</v>
      </c>
      <c r="X5" s="919">
        <f t="shared" si="0"/>
        <v>196891.58972693913</v>
      </c>
      <c r="Y5" s="919">
        <f t="shared" si="0"/>
        <v>201833.56862908529</v>
      </c>
      <c r="Z5" s="919">
        <f t="shared" si="0"/>
        <v>206899.59120167536</v>
      </c>
      <c r="AA5" s="989">
        <f>(K5/H5)^(1/3)-1</f>
        <v>0.16295921457638096</v>
      </c>
      <c r="AB5" s="725">
        <f>(P5/L5)^(1/4)-1</f>
        <v>3.7734940772710113E-2</v>
      </c>
      <c r="AF5" s="242"/>
      <c r="AG5" s="336"/>
      <c r="AH5" s="336"/>
      <c r="AI5" s="336"/>
      <c r="AJ5" s="336"/>
      <c r="AK5" s="1386"/>
      <c r="AL5" s="1386"/>
      <c r="AM5" s="1386"/>
      <c r="AN5" s="1386"/>
      <c r="AO5" s="1386"/>
      <c r="AP5" s="1386"/>
      <c r="AQ5" s="1386"/>
      <c r="AR5" s="1386"/>
      <c r="AS5" s="1386"/>
      <c r="AT5" s="1386"/>
      <c r="AU5" s="1386"/>
      <c r="AV5" s="1386"/>
      <c r="AW5" s="1386"/>
      <c r="AX5" s="1386"/>
      <c r="AY5" s="1386"/>
      <c r="AZ5" s="1386"/>
      <c r="BA5" s="1386"/>
    </row>
    <row r="6" spans="1:53" s="1393" customFormat="1">
      <c r="A6" s="1665"/>
      <c r="B6" s="1665"/>
      <c r="C6" s="1665"/>
      <c r="D6" s="1397"/>
      <c r="E6" s="1397"/>
      <c r="F6" s="1397"/>
      <c r="G6" s="1418" t="s">
        <v>832</v>
      </c>
      <c r="H6" s="1432"/>
      <c r="I6" s="1400">
        <f>(I5/H5)-1</f>
        <v>7.3433126156473794E-2</v>
      </c>
      <c r="J6" s="1400">
        <f>(J5/I5)-1</f>
        <v>0.36997093890540222</v>
      </c>
      <c r="K6" s="1400">
        <f>(K5/J5)-1</f>
        <v>6.9564806589027972E-2</v>
      </c>
      <c r="L6" s="1400">
        <f t="shared" ref="L6:P6" si="1">(L5/K5)-1</f>
        <v>5.0000000000000044E-2</v>
      </c>
      <c r="M6" s="1400">
        <f t="shared" si="1"/>
        <v>4.5199999999999907E-2</v>
      </c>
      <c r="N6" s="1400">
        <f t="shared" si="1"/>
        <v>4.0300000000000002E-2</v>
      </c>
      <c r="O6" s="1400">
        <f t="shared" si="1"/>
        <v>3.5300000000000109E-2</v>
      </c>
      <c r="P6" s="1400">
        <f t="shared" si="1"/>
        <v>3.0200000000000005E-2</v>
      </c>
      <c r="Q6" s="1400">
        <f t="shared" ref="Q6" si="2">(Q5/P5)-1</f>
        <v>2.5099999999999678E-2</v>
      </c>
      <c r="R6" s="1400">
        <f t="shared" ref="R6" si="3">(R5/Q5)-1</f>
        <v>2.50999999999999E-2</v>
      </c>
      <c r="S6" s="1400">
        <f t="shared" ref="S6" si="4">(S5/R5)-1</f>
        <v>2.5099999999999678E-2</v>
      </c>
      <c r="T6" s="1400">
        <f t="shared" ref="T6" si="5">(T5/S5)-1</f>
        <v>2.5100000000000122E-2</v>
      </c>
      <c r="U6" s="1400">
        <f t="shared" ref="U6" si="6">(U5/T5)-1</f>
        <v>2.50999999999999E-2</v>
      </c>
      <c r="V6" s="1400">
        <f t="shared" ref="V6" si="7">(V5/U5)-1</f>
        <v>2.50999999999999E-2</v>
      </c>
      <c r="W6" s="1400">
        <f t="shared" ref="W6" si="8">(W5/V5)-1</f>
        <v>2.5100000000000122E-2</v>
      </c>
      <c r="X6" s="1400">
        <f t="shared" ref="X6" si="9">(X5/W5)-1</f>
        <v>2.50999999999999E-2</v>
      </c>
      <c r="Y6" s="1400">
        <f t="shared" ref="Y6" si="10">(Y5/X5)-1</f>
        <v>2.50999999999999E-2</v>
      </c>
      <c r="Z6" s="1400">
        <f t="shared" ref="Z6" si="11">(Z5/Y5)-1</f>
        <v>2.5100000000000122E-2</v>
      </c>
      <c r="AA6" s="724"/>
      <c r="AB6" s="725"/>
      <c r="AF6" s="434"/>
      <c r="AG6" s="919"/>
      <c r="AH6" s="919"/>
      <c r="AI6" s="919"/>
      <c r="AJ6" s="919"/>
      <c r="AK6" s="919"/>
      <c r="AL6" s="919"/>
      <c r="AM6" s="919"/>
      <c r="AN6" s="919"/>
      <c r="AO6" s="919"/>
      <c r="AP6" s="919"/>
      <c r="AQ6" s="919"/>
      <c r="AR6" s="919"/>
      <c r="AS6" s="919"/>
      <c r="AT6" s="919"/>
      <c r="AU6" s="919"/>
      <c r="AV6" s="919"/>
      <c r="AW6" s="919"/>
      <c r="AX6" s="919"/>
      <c r="AY6" s="919"/>
      <c r="AZ6" s="239"/>
      <c r="BA6" s="239"/>
    </row>
    <row r="7" spans="1:53" s="1512" customFormat="1">
      <c r="A7" s="1755"/>
      <c r="B7" s="1755"/>
      <c r="C7" s="1755"/>
      <c r="D7" s="1756"/>
      <c r="E7" s="1756"/>
      <c r="F7" s="1756"/>
      <c r="G7" s="1509" t="s">
        <v>1811</v>
      </c>
      <c r="H7" s="1458">
        <f>(H5/H9)*1000</f>
        <v>1258.3283582089553</v>
      </c>
      <c r="I7" s="1458">
        <f>(I5/I9)*1000</f>
        <v>1131.2375</v>
      </c>
      <c r="J7" s="1458">
        <f>(J5/J9)*1000</f>
        <v>1771.1571428571428</v>
      </c>
      <c r="K7" s="1458">
        <f>'3g. Peruvian Fishmeal Prices'!C25</f>
        <v>1848.1632653061224</v>
      </c>
      <c r="L7" s="1458">
        <f>K7*(1+L8)</f>
        <v>1848.1632653061224</v>
      </c>
      <c r="M7" s="1458">
        <f t="shared" ref="M7:P7" si="12">L7*(1+M8)</f>
        <v>1857.4040816326528</v>
      </c>
      <c r="N7" s="1458">
        <f t="shared" si="12"/>
        <v>1875.9781224489793</v>
      </c>
      <c r="O7" s="1458">
        <f t="shared" si="12"/>
        <v>1904.1177942857139</v>
      </c>
      <c r="P7" s="1458">
        <f t="shared" si="12"/>
        <v>1942.2001501714283</v>
      </c>
      <c r="Q7" s="1458">
        <f t="shared" ref="Q7" si="13">P7*(1+Q8)</f>
        <v>1981.0441531748568</v>
      </c>
      <c r="R7" s="1458">
        <f t="shared" ref="R7" si="14">Q7*(1+R8)</f>
        <v>2020.6650362383539</v>
      </c>
      <c r="S7" s="1458">
        <f t="shared" ref="S7" si="15">R7*(1+S8)</f>
        <v>2061.0783369631208</v>
      </c>
      <c r="T7" s="1458">
        <f t="shared" ref="T7" si="16">S7*(1+T8)</f>
        <v>2102.2999037023833</v>
      </c>
      <c r="U7" s="1458">
        <f t="shared" ref="U7" si="17">T7*(1+U8)</f>
        <v>2144.3459017764312</v>
      </c>
      <c r="V7" s="1458">
        <f t="shared" ref="V7" si="18">U7*(1+V8)</f>
        <v>2187.2328198119599</v>
      </c>
      <c r="W7" s="1458">
        <f t="shared" ref="W7" si="19">V7*(1+W8)</f>
        <v>2230.9774762081993</v>
      </c>
      <c r="X7" s="1458">
        <f t="shared" ref="X7" si="20">W7*(1+X8)</f>
        <v>2275.5970257323634</v>
      </c>
      <c r="Y7" s="1458">
        <f t="shared" ref="Y7" si="21">X7*(1+Y8)</f>
        <v>2321.1089662470108</v>
      </c>
      <c r="Z7" s="1458">
        <f t="shared" ref="Z7" si="22">Y7*(1+Z8)</f>
        <v>2367.5311455719511</v>
      </c>
      <c r="AA7" s="724"/>
      <c r="AB7" s="725"/>
      <c r="AF7" s="1393"/>
      <c r="AG7" s="1432"/>
      <c r="AH7" s="1400"/>
      <c r="AI7" s="1400"/>
      <c r="AJ7" s="1400"/>
      <c r="AK7" s="1400"/>
      <c r="AL7" s="1400"/>
      <c r="AM7" s="1400"/>
      <c r="AN7" s="1400"/>
      <c r="AO7" s="1400"/>
      <c r="AP7" s="1400"/>
      <c r="AQ7" s="1400"/>
      <c r="AR7" s="1400"/>
      <c r="AS7" s="1400"/>
      <c r="AT7" s="1400"/>
      <c r="AU7" s="1400"/>
      <c r="AV7" s="1400"/>
      <c r="AW7" s="1400"/>
      <c r="AX7" s="1400"/>
      <c r="AY7" s="1400"/>
      <c r="AZ7" s="239"/>
      <c r="BA7" s="239"/>
    </row>
    <row r="8" spans="1:53" s="1402" customFormat="1" ht="14">
      <c r="A8" s="1008"/>
      <c r="B8" s="1008"/>
      <c r="C8" s="1008"/>
      <c r="D8" s="1403"/>
      <c r="E8" s="1403"/>
      <c r="F8" s="1403"/>
      <c r="G8" s="1418" t="s">
        <v>832</v>
      </c>
      <c r="H8" s="1410"/>
      <c r="I8" s="1410">
        <f>(I7/H7)-1</f>
        <v>-0.10099975684395313</v>
      </c>
      <c r="J8" s="1410">
        <f>(J7/I7)-1</f>
        <v>0.56568107303474546</v>
      </c>
      <c r="K8" s="1410">
        <f>K7/J7-1</f>
        <v>4.3477860086856612E-2</v>
      </c>
      <c r="L8" s="1410">
        <v>0</v>
      </c>
      <c r="M8" s="1410">
        <f>L8+0.5%</f>
        <v>5.0000000000000001E-3</v>
      </c>
      <c r="N8" s="1410">
        <f t="shared" ref="N8:P8" si="23">M8+0.5%</f>
        <v>0.01</v>
      </c>
      <c r="O8" s="1410">
        <f t="shared" si="23"/>
        <v>1.4999999999999999E-2</v>
      </c>
      <c r="P8" s="1410">
        <f t="shared" si="23"/>
        <v>0.02</v>
      </c>
      <c r="Q8" s="1410">
        <v>0.02</v>
      </c>
      <c r="R8" s="1410">
        <f>Q8</f>
        <v>0.02</v>
      </c>
      <c r="S8" s="1410">
        <f>R8</f>
        <v>0.02</v>
      </c>
      <c r="T8" s="1410">
        <f t="shared" ref="T8:Z8" si="24">S8</f>
        <v>0.02</v>
      </c>
      <c r="U8" s="1410">
        <f t="shared" si="24"/>
        <v>0.02</v>
      </c>
      <c r="V8" s="1410">
        <f t="shared" si="24"/>
        <v>0.02</v>
      </c>
      <c r="W8" s="1410">
        <f t="shared" si="24"/>
        <v>0.02</v>
      </c>
      <c r="X8" s="1410">
        <f t="shared" si="24"/>
        <v>0.02</v>
      </c>
      <c r="Y8" s="1410">
        <f t="shared" si="24"/>
        <v>0.02</v>
      </c>
      <c r="Z8" s="1410">
        <f t="shared" si="24"/>
        <v>0.02</v>
      </c>
      <c r="AA8" s="777"/>
      <c r="AB8" s="704"/>
      <c r="AF8" s="224"/>
      <c r="AG8" s="826"/>
      <c r="AH8" s="826"/>
      <c r="AI8" s="826"/>
      <c r="AJ8" s="826"/>
      <c r="AK8" s="826"/>
      <c r="AL8" s="826"/>
      <c r="AM8" s="826"/>
      <c r="AN8" s="826"/>
      <c r="AO8" s="826"/>
      <c r="AP8" s="826"/>
      <c r="AQ8" s="826"/>
      <c r="AR8" s="826"/>
      <c r="AS8" s="826"/>
      <c r="AT8" s="826"/>
      <c r="AU8" s="826"/>
      <c r="AV8" s="826"/>
      <c r="AW8" s="826"/>
      <c r="AX8" s="826"/>
      <c r="AY8" s="826"/>
      <c r="AZ8" s="977"/>
      <c r="BA8" s="977"/>
    </row>
    <row r="9" spans="1:53" s="1759" customFormat="1">
      <c r="A9" s="1757"/>
      <c r="B9" s="1757"/>
      <c r="C9" s="1757"/>
      <c r="D9" s="1758"/>
      <c r="E9" s="1758"/>
      <c r="F9" s="1758"/>
      <c r="G9" s="1510" t="s">
        <v>920</v>
      </c>
      <c r="H9" s="1458">
        <v>67000</v>
      </c>
      <c r="I9" s="1458">
        <v>80000</v>
      </c>
      <c r="J9" s="1458">
        <v>70000</v>
      </c>
      <c r="K9" s="1458">
        <f>J9*(1+K10)</f>
        <v>71750</v>
      </c>
      <c r="L9" s="1458">
        <f t="shared" ref="L9:P9" si="25">K9*(1+L10)</f>
        <v>75337.5</v>
      </c>
      <c r="M9" s="1458">
        <f t="shared" si="25"/>
        <v>78351</v>
      </c>
      <c r="N9" s="1458">
        <f t="shared" si="25"/>
        <v>80701.53</v>
      </c>
      <c r="O9" s="1458">
        <f t="shared" si="25"/>
        <v>82315.560599999997</v>
      </c>
      <c r="P9" s="1458">
        <f t="shared" si="25"/>
        <v>83138.716205999997</v>
      </c>
      <c r="Q9" s="1458">
        <f t="shared" ref="Q9" si="26">P9*(1+Q10)</f>
        <v>83554.409787029988</v>
      </c>
      <c r="R9" s="1458">
        <f t="shared" ref="R9" si="27">Q9*(1+R10)</f>
        <v>83972.181835965122</v>
      </c>
      <c r="S9" s="1458">
        <f t="shared" ref="S9" si="28">R9*(1+S10)</f>
        <v>84392.042745144936</v>
      </c>
      <c r="T9" s="1458">
        <f t="shared" ref="T9" si="29">S9*(1+T10)</f>
        <v>84814.002958870653</v>
      </c>
      <c r="U9" s="1458">
        <f t="shared" ref="U9" si="30">T9*(1+U10)</f>
        <v>85238.072973664996</v>
      </c>
      <c r="V9" s="1458">
        <f t="shared" ref="V9" si="31">U9*(1+V10)</f>
        <v>85664.263338533317</v>
      </c>
      <c r="W9" s="1458">
        <f t="shared" ref="W9" si="32">V9*(1+W10)</f>
        <v>86092.584655225975</v>
      </c>
      <c r="X9" s="1458">
        <f t="shared" ref="X9" si="33">W9*(1+X10)</f>
        <v>86523.047578502097</v>
      </c>
      <c r="Y9" s="1458">
        <f t="shared" ref="Y9" si="34">X9*(1+Y10)</f>
        <v>86955.662816394601</v>
      </c>
      <c r="Z9" s="1458">
        <f t="shared" ref="Z9" si="35">Y9*(1+Z10)</f>
        <v>87390.441130476567</v>
      </c>
      <c r="AA9" s="724"/>
      <c r="AB9" s="725"/>
      <c r="AF9" s="1393"/>
      <c r="AG9" s="1400"/>
      <c r="AH9" s="1400"/>
      <c r="AI9" s="1400"/>
      <c r="AJ9" s="1400"/>
      <c r="AK9" s="1400"/>
      <c r="AL9" s="1400"/>
      <c r="AM9" s="1400"/>
      <c r="AN9" s="1400"/>
      <c r="AO9" s="1400"/>
      <c r="AP9" s="1400"/>
      <c r="AQ9" s="1400"/>
      <c r="AR9" s="1400"/>
      <c r="AS9" s="1400"/>
      <c r="AT9" s="1400"/>
      <c r="AU9" s="1400"/>
      <c r="AV9" s="1400"/>
      <c r="AW9" s="1400"/>
      <c r="AX9" s="1400"/>
      <c r="AY9" s="1400"/>
      <c r="AZ9" s="239"/>
      <c r="BA9" s="239"/>
    </row>
    <row r="10" spans="1:53" s="1402" customFormat="1" ht="14">
      <c r="A10" s="1008"/>
      <c r="B10" s="1008"/>
      <c r="C10" s="1008"/>
      <c r="D10" s="1403"/>
      <c r="E10" s="1403"/>
      <c r="F10" s="1403"/>
      <c r="G10" s="1418" t="s">
        <v>832</v>
      </c>
      <c r="H10" s="317"/>
      <c r="I10" s="1410">
        <f>(I9/H9)-1</f>
        <v>0.19402985074626855</v>
      </c>
      <c r="J10" s="1410">
        <f>(J9/I9)-1</f>
        <v>-0.125</v>
      </c>
      <c r="K10" s="1410">
        <v>2.5000000000000001E-2</v>
      </c>
      <c r="L10" s="1410">
        <f>5%</f>
        <v>0.05</v>
      </c>
      <c r="M10" s="1402">
        <f>L10-1%</f>
        <v>0.04</v>
      </c>
      <c r="N10" s="1402">
        <f t="shared" ref="N10:P10" si="36">M10-1%</f>
        <v>0.03</v>
      </c>
      <c r="O10" s="1402">
        <f t="shared" si="36"/>
        <v>1.9999999999999997E-2</v>
      </c>
      <c r="P10" s="1402">
        <f t="shared" si="36"/>
        <v>9.9999999999999967E-3</v>
      </c>
      <c r="Q10" s="1410">
        <f>P10/2</f>
        <v>4.9999999999999984E-3</v>
      </c>
      <c r="R10" s="1410">
        <f>Q10</f>
        <v>4.9999999999999984E-3</v>
      </c>
      <c r="S10" s="1410">
        <f t="shared" ref="S10:Z10" si="37">R10</f>
        <v>4.9999999999999984E-3</v>
      </c>
      <c r="T10" s="1410">
        <f t="shared" si="37"/>
        <v>4.9999999999999984E-3</v>
      </c>
      <c r="U10" s="1410">
        <f t="shared" si="37"/>
        <v>4.9999999999999984E-3</v>
      </c>
      <c r="V10" s="1410">
        <f t="shared" si="37"/>
        <v>4.9999999999999984E-3</v>
      </c>
      <c r="W10" s="1410">
        <f t="shared" si="37"/>
        <v>4.9999999999999984E-3</v>
      </c>
      <c r="X10" s="1410">
        <f t="shared" si="37"/>
        <v>4.9999999999999984E-3</v>
      </c>
      <c r="Y10" s="1410">
        <f t="shared" si="37"/>
        <v>4.9999999999999984E-3</v>
      </c>
      <c r="Z10" s="1410">
        <f t="shared" si="37"/>
        <v>4.9999999999999984E-3</v>
      </c>
      <c r="AA10" s="777"/>
      <c r="AB10" s="704"/>
      <c r="AF10" s="426"/>
      <c r="AG10" s="826"/>
      <c r="AH10" s="826"/>
      <c r="AI10" s="826"/>
      <c r="AJ10" s="826"/>
      <c r="AK10" s="826"/>
      <c r="AL10" s="826"/>
      <c r="AM10" s="826"/>
      <c r="AN10" s="826"/>
      <c r="AO10" s="826"/>
      <c r="AP10" s="826"/>
      <c r="AQ10" s="826"/>
      <c r="AR10" s="826"/>
      <c r="AS10" s="826"/>
      <c r="AT10" s="826"/>
      <c r="AU10" s="826"/>
      <c r="AV10" s="826"/>
      <c r="AW10" s="826"/>
      <c r="AX10" s="826"/>
      <c r="AY10" s="826"/>
      <c r="AZ10" s="977"/>
      <c r="BA10" s="977"/>
    </row>
    <row r="11" spans="1:53" s="1512" customFormat="1">
      <c r="A11" s="1755"/>
      <c r="B11" s="1755"/>
      <c r="C11" s="1755"/>
      <c r="D11" s="1756"/>
      <c r="E11" s="1756"/>
      <c r="F11" s="1756"/>
      <c r="G11" s="1509" t="s">
        <v>921</v>
      </c>
      <c r="H11" s="1511">
        <v>1559</v>
      </c>
      <c r="I11" s="1512">
        <v>1759</v>
      </c>
      <c r="J11" s="1512">
        <v>1858</v>
      </c>
      <c r="K11" s="1513" t="s">
        <v>707</v>
      </c>
      <c r="L11" s="1513" t="s">
        <v>707</v>
      </c>
      <c r="M11" s="1513" t="s">
        <v>707</v>
      </c>
      <c r="N11" s="1512" t="s">
        <v>707</v>
      </c>
      <c r="O11" s="1512" t="s">
        <v>707</v>
      </c>
      <c r="P11" s="1512" t="s">
        <v>707</v>
      </c>
      <c r="AA11" s="724"/>
      <c r="AB11" s="725"/>
      <c r="AF11" s="1393"/>
      <c r="AG11" s="1432"/>
      <c r="AH11" s="1400"/>
      <c r="AI11" s="1400"/>
      <c r="AJ11" s="1400"/>
      <c r="AK11" s="1400"/>
      <c r="AL11" s="1393"/>
      <c r="AM11" s="1393"/>
      <c r="AN11" s="1393"/>
      <c r="AO11" s="1393"/>
      <c r="AP11" s="1400"/>
      <c r="AQ11" s="1400"/>
      <c r="AR11" s="1400"/>
      <c r="AS11" s="1400"/>
      <c r="AT11" s="1400"/>
      <c r="AU11" s="1400"/>
      <c r="AV11" s="1400"/>
      <c r="AW11" s="1400"/>
      <c r="AX11" s="1400"/>
      <c r="AY11" s="1400"/>
      <c r="AZ11" s="239"/>
      <c r="BA11" s="239"/>
    </row>
    <row r="12" spans="1:53" s="1402" customFormat="1" ht="14">
      <c r="A12" s="1008"/>
      <c r="B12" s="1008"/>
      <c r="C12" s="1008"/>
      <c r="D12" s="1403"/>
      <c r="E12" s="1403"/>
      <c r="F12" s="1403"/>
      <c r="G12" s="1418" t="s">
        <v>832</v>
      </c>
      <c r="I12" s="1410">
        <f>(I11/H11)-1</f>
        <v>0.12828736369467597</v>
      </c>
      <c r="J12" s="1410">
        <f>(J11/I11)-1</f>
        <v>5.6281978396816479E-2</v>
      </c>
      <c r="K12" s="1410" t="s">
        <v>707</v>
      </c>
      <c r="L12" s="1410" t="s">
        <v>707</v>
      </c>
      <c r="M12" s="1410" t="s">
        <v>707</v>
      </c>
      <c r="N12" s="1410" t="s">
        <v>707</v>
      </c>
      <c r="O12" s="1410" t="s">
        <v>707</v>
      </c>
      <c r="P12" s="1410" t="s">
        <v>707</v>
      </c>
      <c r="AA12" s="777"/>
      <c r="AB12" s="704"/>
      <c r="AF12" s="224"/>
      <c r="AG12" s="723"/>
      <c r="AH12" s="224"/>
      <c r="AI12" s="224"/>
      <c r="AJ12" s="833"/>
      <c r="AK12" s="833"/>
      <c r="AL12" s="833"/>
      <c r="AM12" s="224"/>
      <c r="AN12" s="224"/>
      <c r="AO12" s="224"/>
      <c r="AP12" s="224"/>
      <c r="AQ12" s="224"/>
      <c r="AR12" s="224"/>
      <c r="AS12" s="224"/>
      <c r="AT12" s="224"/>
      <c r="AU12" s="224"/>
      <c r="AV12" s="224"/>
      <c r="AW12" s="224"/>
      <c r="AX12" s="224"/>
      <c r="AY12" s="224"/>
      <c r="AZ12" s="977"/>
      <c r="BA12" s="977"/>
    </row>
    <row r="13" spans="1:53" s="1512" customFormat="1">
      <c r="A13" s="1755"/>
      <c r="B13" s="1755"/>
      <c r="C13" s="1755"/>
      <c r="D13" s="1756"/>
      <c r="E13" s="1756"/>
      <c r="F13" s="1756"/>
      <c r="G13" s="1509" t="s">
        <v>922</v>
      </c>
      <c r="H13" s="1457">
        <f>H11/H9</f>
        <v>2.326865671641791E-2</v>
      </c>
      <c r="I13" s="1457">
        <f t="shared" ref="I13" si="38">I11/I9</f>
        <v>2.19875E-2</v>
      </c>
      <c r="J13" s="1457">
        <f>J11/J9</f>
        <v>2.6542857142857142E-2</v>
      </c>
      <c r="K13" s="1512" t="s">
        <v>707</v>
      </c>
      <c r="L13" s="1512" t="s">
        <v>707</v>
      </c>
      <c r="M13" s="1512" t="s">
        <v>707</v>
      </c>
      <c r="N13" s="1512" t="s">
        <v>707</v>
      </c>
      <c r="O13" s="1512" t="s">
        <v>707</v>
      </c>
      <c r="P13" s="1512" t="s">
        <v>707</v>
      </c>
      <c r="AA13" s="724"/>
      <c r="AB13" s="725"/>
      <c r="AF13" s="1393"/>
      <c r="AG13" s="1393"/>
      <c r="AH13" s="1400"/>
      <c r="AI13" s="1400"/>
      <c r="AJ13" s="1400"/>
      <c r="AK13" s="1400"/>
      <c r="AL13" s="1400"/>
      <c r="AM13" s="1400"/>
      <c r="AN13" s="1400"/>
      <c r="AO13" s="1400"/>
      <c r="AP13" s="1393"/>
      <c r="AQ13" s="1393"/>
      <c r="AR13" s="1393"/>
      <c r="AS13" s="1393"/>
      <c r="AT13" s="1393"/>
      <c r="AU13" s="1393"/>
      <c r="AV13" s="1393"/>
      <c r="AW13" s="1393"/>
      <c r="AX13" s="1393"/>
      <c r="AY13" s="1393"/>
      <c r="AZ13" s="239"/>
      <c r="BA13" s="239"/>
    </row>
    <row r="14" spans="1:53" s="109" customFormat="1">
      <c r="A14" s="4"/>
      <c r="B14" s="4"/>
      <c r="C14" s="19"/>
      <c r="D14" s="411"/>
      <c r="E14" s="411"/>
      <c r="F14" s="411"/>
      <c r="G14" s="688" t="s">
        <v>1</v>
      </c>
      <c r="H14" s="370">
        <v>-36809</v>
      </c>
      <c r="I14" s="370">
        <v>-48071</v>
      </c>
      <c r="J14" s="370">
        <v>-62396</v>
      </c>
      <c r="K14" s="370">
        <f>-(K5-K18)</f>
        <v>-66302.857142857145</v>
      </c>
      <c r="L14" s="370">
        <f>K14*(1+L15)</f>
        <v>-69618</v>
      </c>
      <c r="M14" s="370">
        <f>L14*(1+M15)</f>
        <v>-72764.733599999992</v>
      </c>
      <c r="N14" s="370">
        <f>M14*(1+N15)</f>
        <v>-75675.322944</v>
      </c>
      <c r="O14" s="370">
        <f t="shared" ref="O14" si="39">N14*(1+O15)</f>
        <v>-78702.335861760002</v>
      </c>
      <c r="P14" s="370">
        <f>O14*(1+P15)</f>
        <v>-81850.429296230403</v>
      </c>
      <c r="Q14" s="370">
        <f t="shared" ref="Q14" si="40">P14*(1+Q15)</f>
        <v>-85124.446468079623</v>
      </c>
      <c r="R14" s="370">
        <f t="shared" ref="R14" si="41">Q14*(1+R15)</f>
        <v>-88529.424326802808</v>
      </c>
      <c r="S14" s="370">
        <f t="shared" ref="S14" si="42">R14*(1+S15)</f>
        <v>-92070.601299874921</v>
      </c>
      <c r="T14" s="370">
        <f t="shared" ref="T14" si="43">S14*(1+T15)</f>
        <v>-95753.425351869926</v>
      </c>
      <c r="U14" s="370">
        <f t="shared" ref="U14" si="44">T14*(1+U15)</f>
        <v>-99583.56236594473</v>
      </c>
      <c r="V14" s="370">
        <f t="shared" ref="V14" si="45">U14*(1+V15)</f>
        <v>-103566.90486058252</v>
      </c>
      <c r="W14" s="370">
        <f t="shared" ref="W14" si="46">V14*(1+W15)</f>
        <v>-107709.58105500582</v>
      </c>
      <c r="X14" s="370">
        <f t="shared" ref="X14" si="47">W14*(1+X15)</f>
        <v>-112017.96429720605</v>
      </c>
      <c r="Y14" s="370">
        <f t="shared" ref="Y14" si="48">X14*(1+Y15)</f>
        <v>-116498.68286909429</v>
      </c>
      <c r="Z14" s="370">
        <f t="shared" ref="Z14" si="49">Y14*(1+Z15)</f>
        <v>-121158.63018385807</v>
      </c>
      <c r="AA14" s="724">
        <f t="shared" ref="AA14:AA29" si="50">(K14/H14)^(1/3)-1</f>
        <v>0.21672586833056351</v>
      </c>
      <c r="AB14" s="725">
        <f t="shared" ref="AB14:AB29" si="51">(P14/L14)^(1/4)-1</f>
        <v>4.1297569585027727E-2</v>
      </c>
      <c r="AF14" s="1512"/>
      <c r="AG14" s="1457"/>
      <c r="AH14" s="1457"/>
      <c r="AI14" s="1457"/>
      <c r="AJ14" s="1512"/>
      <c r="AK14" s="1512"/>
      <c r="AL14" s="1512"/>
      <c r="AM14" s="1512"/>
      <c r="AN14" s="1512"/>
      <c r="AO14" s="1512"/>
      <c r="AP14" s="1512"/>
      <c r="AQ14" s="1512"/>
      <c r="AR14" s="1512"/>
      <c r="AS14" s="1512"/>
      <c r="AT14" s="1512"/>
      <c r="AU14" s="1512"/>
      <c r="AV14" s="1512"/>
      <c r="AW14" s="1512"/>
      <c r="AX14" s="1512"/>
      <c r="AY14" s="1512"/>
      <c r="AZ14" s="239"/>
      <c r="BA14" s="239"/>
    </row>
    <row r="15" spans="1:53" s="1402" customFormat="1" ht="14">
      <c r="A15" s="1008"/>
      <c r="B15" s="1008"/>
      <c r="C15" s="1008"/>
      <c r="D15" s="1403"/>
      <c r="E15" s="1403"/>
      <c r="F15" s="1403"/>
      <c r="G15" s="1418" t="s">
        <v>832</v>
      </c>
      <c r="I15" s="317">
        <f>(I14/H14)-1</f>
        <v>0.30595778206416901</v>
      </c>
      <c r="J15" s="317">
        <f>(J14/I14)-1</f>
        <v>0.2979967131950656</v>
      </c>
      <c r="K15" s="317">
        <f>(K14/J14)-1</f>
        <v>6.2613903821673533E-2</v>
      </c>
      <c r="L15" s="317">
        <f>L6</f>
        <v>5.0000000000000044E-2</v>
      </c>
      <c r="M15" s="317">
        <f>M6</f>
        <v>4.5199999999999907E-2</v>
      </c>
      <c r="N15" s="317">
        <v>0.04</v>
      </c>
      <c r="O15" s="317">
        <f>N15</f>
        <v>0.04</v>
      </c>
      <c r="P15" s="317">
        <f>O15</f>
        <v>0.04</v>
      </c>
      <c r="Q15" s="317">
        <f t="shared" ref="Q15:Z15" si="52">P15</f>
        <v>0.04</v>
      </c>
      <c r="R15" s="317">
        <f t="shared" si="52"/>
        <v>0.04</v>
      </c>
      <c r="S15" s="317">
        <f t="shared" si="52"/>
        <v>0.04</v>
      </c>
      <c r="T15" s="317">
        <f t="shared" si="52"/>
        <v>0.04</v>
      </c>
      <c r="U15" s="317">
        <f t="shared" si="52"/>
        <v>0.04</v>
      </c>
      <c r="V15" s="317">
        <f t="shared" si="52"/>
        <v>0.04</v>
      </c>
      <c r="W15" s="317">
        <f t="shared" si="52"/>
        <v>0.04</v>
      </c>
      <c r="X15" s="317">
        <f t="shared" si="52"/>
        <v>0.04</v>
      </c>
      <c r="Y15" s="317">
        <f t="shared" si="52"/>
        <v>0.04</v>
      </c>
      <c r="Z15" s="317">
        <f t="shared" si="52"/>
        <v>0.04</v>
      </c>
      <c r="AA15" s="777"/>
      <c r="AB15" s="704"/>
      <c r="AF15" s="235"/>
      <c r="AG15" s="372"/>
      <c r="AH15" s="372"/>
      <c r="AI15" s="372"/>
      <c r="AJ15" s="372"/>
      <c r="AK15" s="372"/>
      <c r="AL15" s="372"/>
      <c r="AM15" s="372"/>
      <c r="AN15" s="372"/>
      <c r="AO15" s="372"/>
      <c r="AP15" s="372"/>
      <c r="AQ15" s="372"/>
      <c r="AR15" s="372"/>
      <c r="AS15" s="372"/>
      <c r="AT15" s="372"/>
      <c r="AU15" s="372"/>
      <c r="AV15" s="372"/>
      <c r="AW15" s="372"/>
      <c r="AX15" s="372"/>
      <c r="AY15" s="372"/>
      <c r="AZ15" s="977"/>
      <c r="BA15" s="977"/>
    </row>
    <row r="16" spans="1:53" s="1512" customFormat="1">
      <c r="A16" s="1755"/>
      <c r="B16" s="1755"/>
      <c r="C16" s="1755"/>
      <c r="D16" s="1756"/>
      <c r="E16" s="1756"/>
      <c r="F16" s="1756"/>
      <c r="G16" s="1509" t="s">
        <v>923</v>
      </c>
      <c r="H16" s="1457">
        <v>-34253</v>
      </c>
      <c r="I16" s="1457">
        <v>-30720</v>
      </c>
      <c r="J16" s="1457">
        <v>-31515</v>
      </c>
      <c r="K16" s="1512" t="s">
        <v>707</v>
      </c>
      <c r="L16" s="1512" t="s">
        <v>707</v>
      </c>
      <c r="M16" s="1512" t="s">
        <v>707</v>
      </c>
      <c r="N16" s="1512" t="s">
        <v>707</v>
      </c>
      <c r="O16" s="1512" t="s">
        <v>707</v>
      </c>
      <c r="P16" s="1512" t="s">
        <v>707</v>
      </c>
      <c r="AA16" s="724"/>
      <c r="AB16" s="725"/>
      <c r="AF16" s="1393"/>
      <c r="AG16" s="1393"/>
      <c r="AH16" s="1432"/>
      <c r="AI16" s="1432"/>
      <c r="AJ16" s="1432"/>
      <c r="AK16" s="1432"/>
      <c r="AL16" s="1432"/>
      <c r="AM16" s="1432"/>
      <c r="AN16" s="1432"/>
      <c r="AO16" s="1432"/>
      <c r="AP16" s="1432"/>
      <c r="AQ16" s="1432"/>
      <c r="AR16" s="1432"/>
      <c r="AS16" s="1432"/>
      <c r="AT16" s="1432"/>
      <c r="AU16" s="1432"/>
      <c r="AV16" s="1432"/>
      <c r="AW16" s="1432"/>
      <c r="AX16" s="1432"/>
      <c r="AY16" s="1432"/>
      <c r="AZ16" s="239"/>
      <c r="BA16" s="239"/>
    </row>
    <row r="17" spans="1:53" s="246" customFormat="1" ht="16" thickBot="1">
      <c r="A17" s="1760"/>
      <c r="B17" s="1760"/>
      <c r="C17" s="1760"/>
      <c r="D17" s="1491"/>
      <c r="E17" s="1491"/>
      <c r="F17" s="1491"/>
      <c r="G17" s="1147" t="s">
        <v>924</v>
      </c>
      <c r="H17" s="1514">
        <f>H16/H14</f>
        <v>0.93056046075688015</v>
      </c>
      <c r="I17" s="1514">
        <f t="shared" ref="I17:J17" si="53">I16/I14</f>
        <v>0.63905473154292614</v>
      </c>
      <c r="J17" s="1514">
        <f t="shared" si="53"/>
        <v>0.50508045387524836</v>
      </c>
      <c r="K17" s="246" t="s">
        <v>707</v>
      </c>
      <c r="L17" s="246" t="s">
        <v>707</v>
      </c>
      <c r="M17" s="246" t="s">
        <v>707</v>
      </c>
      <c r="N17" s="246" t="s">
        <v>707</v>
      </c>
      <c r="O17" s="246" t="s">
        <v>707</v>
      </c>
      <c r="P17" s="246" t="s">
        <v>707</v>
      </c>
      <c r="AA17" s="724"/>
      <c r="AB17" s="725"/>
      <c r="AF17" s="1512"/>
      <c r="AG17" s="1457"/>
      <c r="AH17" s="1457"/>
      <c r="AI17" s="1457"/>
      <c r="AJ17" s="1512"/>
      <c r="AK17" s="1512"/>
      <c r="AL17" s="1512"/>
      <c r="AM17" s="1512"/>
      <c r="AN17" s="1512"/>
      <c r="AO17" s="1512"/>
      <c r="AP17" s="1512"/>
      <c r="AQ17" s="1512"/>
      <c r="AR17" s="1512"/>
      <c r="AS17" s="1512"/>
      <c r="AT17" s="1512"/>
      <c r="AU17" s="1512"/>
      <c r="AV17" s="1512"/>
      <c r="AW17" s="1512"/>
      <c r="AX17" s="1512"/>
      <c r="AY17" s="1512"/>
      <c r="AZ17" s="239"/>
      <c r="BA17" s="239"/>
    </row>
    <row r="18" spans="1:53" s="109" customFormat="1" ht="16" thickBot="1">
      <c r="A18" s="4"/>
      <c r="B18" s="4"/>
      <c r="C18" s="19"/>
      <c r="D18" s="411"/>
      <c r="E18" s="411"/>
      <c r="F18" s="411"/>
      <c r="G18" s="691" t="s">
        <v>2</v>
      </c>
      <c r="H18" s="306">
        <f>H5+H14</f>
        <v>47499</v>
      </c>
      <c r="I18" s="306">
        <f>I5+I14</f>
        <v>42428</v>
      </c>
      <c r="J18" s="306">
        <f>J5+J14</f>
        <v>61585</v>
      </c>
      <c r="K18" s="306">
        <f>K19*K5</f>
        <v>66302.857142857145</v>
      </c>
      <c r="L18" s="306">
        <f>L5+L14</f>
        <v>69618</v>
      </c>
      <c r="M18" s="306">
        <f t="shared" ref="M18:Z18" si="54">M5+M14</f>
        <v>72764.733599999992</v>
      </c>
      <c r="N18" s="306">
        <f t="shared" si="54"/>
        <v>75718.981784159972</v>
      </c>
      <c r="O18" s="306">
        <f t="shared" si="54"/>
        <v>78036.187823304019</v>
      </c>
      <c r="P18" s="306">
        <f t="shared" si="54"/>
        <v>79621.597804122546</v>
      </c>
      <c r="Q18" s="306">
        <f t="shared" si="54"/>
        <v>80400.52851249215</v>
      </c>
      <c r="R18" s="306">
        <f t="shared" si="54"/>
        <v>81150.227525781287</v>
      </c>
      <c r="S18" s="306">
        <f t="shared" si="54"/>
        <v>81868.009814208985</v>
      </c>
      <c r="T18" s="306">
        <f t="shared" si="54"/>
        <v>82551.04490117752</v>
      </c>
      <c r="U18" s="306">
        <f t="shared" si="54"/>
        <v>83196.350090454187</v>
      </c>
      <c r="V18" s="306">
        <f t="shared" si="54"/>
        <v>83800.783398471976</v>
      </c>
      <c r="W18" s="306">
        <f t="shared" si="54"/>
        <v>84361.036179350966</v>
      </c>
      <c r="X18" s="306">
        <f t="shared" si="54"/>
        <v>84873.625429733074</v>
      </c>
      <c r="Y18" s="306">
        <f t="shared" si="54"/>
        <v>85334.885759990997</v>
      </c>
      <c r="Z18" s="306">
        <f t="shared" si="54"/>
        <v>85740.961017817288</v>
      </c>
      <c r="AA18" s="724">
        <f t="shared" si="50"/>
        <v>0.11759021931229863</v>
      </c>
      <c r="AB18" s="725">
        <f t="shared" si="51"/>
        <v>3.4135236993248164E-2</v>
      </c>
      <c r="AF18" s="246"/>
      <c r="AG18" s="1514"/>
      <c r="AH18" s="1514"/>
      <c r="AI18" s="1514"/>
      <c r="AJ18" s="246"/>
      <c r="AK18" s="246"/>
      <c r="AL18" s="246"/>
      <c r="AM18" s="246"/>
      <c r="AN18" s="246"/>
      <c r="AO18" s="246"/>
      <c r="AP18" s="246"/>
      <c r="AQ18" s="246"/>
      <c r="AR18" s="246"/>
      <c r="AS18" s="246"/>
      <c r="AT18" s="246"/>
      <c r="AU18" s="246"/>
      <c r="AV18" s="246"/>
      <c r="AW18" s="246"/>
      <c r="AX18" s="246"/>
      <c r="AY18" s="246"/>
      <c r="AZ18" s="239"/>
      <c r="BA18" s="239"/>
    </row>
    <row r="19" spans="1:53" s="219" customFormat="1">
      <c r="A19" s="27"/>
      <c r="B19" s="27"/>
      <c r="C19" s="1663"/>
      <c r="D19" s="1664"/>
      <c r="E19" s="1664"/>
      <c r="F19" s="1664"/>
      <c r="G19" s="1126" t="s">
        <v>925</v>
      </c>
      <c r="H19" s="437">
        <f>H18/H5</f>
        <v>0.5633984912463823</v>
      </c>
      <c r="I19" s="437">
        <f>I18/I5</f>
        <v>0.46882285992110412</v>
      </c>
      <c r="J19" s="437">
        <f>J18/J5</f>
        <v>0.49672933755978738</v>
      </c>
      <c r="K19" s="437">
        <v>0.5</v>
      </c>
      <c r="L19" s="437">
        <f>L18/L5</f>
        <v>0.5</v>
      </c>
      <c r="M19" s="437">
        <f t="shared" ref="M19:Z19" si="55">M18/M5</f>
        <v>0.5</v>
      </c>
      <c r="N19" s="437">
        <f t="shared" si="55"/>
        <v>0.50014418917619907</v>
      </c>
      <c r="O19" s="437">
        <f t="shared" si="55"/>
        <v>0.4978749702919415</v>
      </c>
      <c r="P19" s="437">
        <f t="shared" si="55"/>
        <v>0.49309839749914497</v>
      </c>
      <c r="Q19" s="437">
        <f t="shared" si="55"/>
        <v>0.48573049790177603</v>
      </c>
      <c r="R19" s="437">
        <f t="shared" si="55"/>
        <v>0.47825550465110428</v>
      </c>
      <c r="S19" s="437">
        <f t="shared" si="55"/>
        <v>0.47067186112296194</v>
      </c>
      <c r="T19" s="437">
        <f t="shared" si="55"/>
        <v>0.46297798806738899</v>
      </c>
      <c r="U19" s="437">
        <f t="shared" si="55"/>
        <v>0.45517228327976245</v>
      </c>
      <c r="V19" s="437">
        <f t="shared" si="55"/>
        <v>0.44725312126714745</v>
      </c>
      <c r="W19" s="437">
        <f t="shared" si="55"/>
        <v>0.43921885290979745</v>
      </c>
      <c r="X19" s="437">
        <f t="shared" si="55"/>
        <v>0.43106780511773418</v>
      </c>
      <c r="Y19" s="437">
        <f t="shared" si="55"/>
        <v>0.42279828048233692</v>
      </c>
      <c r="Z19" s="437">
        <f t="shared" si="55"/>
        <v>0.41440855692286649</v>
      </c>
      <c r="AA19" s="724"/>
      <c r="AB19" s="725"/>
      <c r="AF19" s="109"/>
      <c r="AG19" s="370"/>
      <c r="AH19" s="370"/>
      <c r="AI19" s="370"/>
      <c r="AJ19" s="370"/>
      <c r="AK19" s="370"/>
      <c r="AL19" s="370"/>
      <c r="AM19" s="370"/>
      <c r="AN19" s="370"/>
      <c r="AO19" s="370"/>
      <c r="AP19" s="370"/>
      <c r="AQ19" s="370"/>
      <c r="AR19" s="370"/>
      <c r="AS19" s="370"/>
      <c r="AT19" s="370"/>
      <c r="AU19" s="370"/>
      <c r="AV19" s="370"/>
      <c r="AW19" s="370"/>
      <c r="AX19" s="370"/>
      <c r="AY19" s="370"/>
      <c r="AZ19" s="239"/>
      <c r="BA19" s="239"/>
    </row>
    <row r="20" spans="1:53" s="1402" customFormat="1" ht="14">
      <c r="A20" s="1008"/>
      <c r="B20" s="1008"/>
      <c r="C20" s="1008"/>
      <c r="D20" s="1403"/>
      <c r="E20" s="1403"/>
      <c r="F20" s="1403"/>
      <c r="G20" s="1418" t="s">
        <v>832</v>
      </c>
      <c r="H20" s="317"/>
      <c r="I20" s="317">
        <f>(I18/H18)-1</f>
        <v>-0.10676014231878561</v>
      </c>
      <c r="J20" s="317">
        <f>(J18/I18)-1</f>
        <v>0.45151786556047901</v>
      </c>
      <c r="K20" s="317">
        <f>(K18/J18)-1</f>
        <v>7.6607244342894232E-2</v>
      </c>
      <c r="L20" s="317">
        <f t="shared" ref="L20:P20" si="56">(L18/K18)-1</f>
        <v>5.0000000000000044E-2</v>
      </c>
      <c r="M20" s="317">
        <f t="shared" si="56"/>
        <v>4.5199999999999907E-2</v>
      </c>
      <c r="N20" s="317">
        <f t="shared" si="56"/>
        <v>4.0599999999999747E-2</v>
      </c>
      <c r="O20" s="317">
        <f t="shared" si="56"/>
        <v>3.0602709975014353E-2</v>
      </c>
      <c r="P20" s="317">
        <f t="shared" si="56"/>
        <v>2.0316343289453753E-2</v>
      </c>
      <c r="Q20" s="317">
        <f t="shared" ref="Q20" si="57">(Q18/P18)-1</f>
        <v>9.7829072745545531E-3</v>
      </c>
      <c r="R20" s="317">
        <f t="shared" ref="R20" si="58">(R18/Q18)-1</f>
        <v>9.3245532978387669E-3</v>
      </c>
      <c r="S20" s="317">
        <f t="shared" ref="S20" si="59">(S18/R18)-1</f>
        <v>8.845105063934211E-3</v>
      </c>
      <c r="T20" s="317">
        <f t="shared" ref="T20" si="60">(T18/S18)-1</f>
        <v>8.3431255812693728E-3</v>
      </c>
      <c r="U20" s="317">
        <f t="shared" ref="U20" si="61">(U18/T18)-1</f>
        <v>7.8170444728975497E-3</v>
      </c>
      <c r="V20" s="317">
        <f t="shared" ref="V20" si="62">(V18/U18)-1</f>
        <v>7.2651421289591234E-3</v>
      </c>
      <c r="W20" s="317">
        <f t="shared" ref="W20" si="63">(W18/V18)-1</f>
        <v>6.6855315446754382E-3</v>
      </c>
      <c r="X20" s="317">
        <f t="shared" ref="X20" si="64">(X18/W18)-1</f>
        <v>6.0761374397102497E-3</v>
      </c>
      <c r="Y20" s="317">
        <f t="shared" ref="Y20" si="65">(Y18/X18)-1</f>
        <v>5.4346721719789048E-3</v>
      </c>
      <c r="Z20" s="317">
        <f t="shared" ref="Z20" si="66">(Z18/Y18)-1</f>
        <v>4.7586078566788093E-3</v>
      </c>
      <c r="AA20" s="777"/>
      <c r="AB20" s="704"/>
      <c r="AF20" s="216"/>
      <c r="AG20" s="238"/>
      <c r="AH20" s="238"/>
      <c r="AI20" s="238"/>
      <c r="AJ20" s="238"/>
      <c r="AK20" s="238"/>
      <c r="AL20" s="238"/>
      <c r="AM20" s="238"/>
      <c r="AN20" s="238"/>
      <c r="AO20" s="238"/>
      <c r="AP20" s="238"/>
      <c r="AQ20" s="238"/>
      <c r="AR20" s="238"/>
      <c r="AS20" s="238"/>
      <c r="AT20" s="238"/>
      <c r="AU20" s="238"/>
      <c r="AV20" s="238"/>
      <c r="AW20" s="238"/>
      <c r="AX20" s="238"/>
      <c r="AY20" s="238"/>
      <c r="AZ20" s="977"/>
      <c r="BA20" s="977"/>
    </row>
    <row r="21" spans="1:53" s="190" customFormat="1">
      <c r="A21" s="9"/>
      <c r="B21" s="9"/>
      <c r="C21" s="17"/>
      <c r="D21" s="410"/>
      <c r="E21" s="410"/>
      <c r="F21" s="410"/>
      <c r="G21" s="874" t="s">
        <v>514</v>
      </c>
      <c r="H21" s="1515">
        <v>-13733</v>
      </c>
      <c r="I21" s="1515">
        <v>-13118</v>
      </c>
      <c r="J21" s="1515">
        <v>-18754</v>
      </c>
      <c r="K21" s="1515">
        <f>J21*(1+K22)</f>
        <v>-20066.780000000002</v>
      </c>
      <c r="L21" s="1515">
        <f t="shared" ref="L21:P21" si="67">K21*(1+L22)</f>
        <v>-21070.119000000002</v>
      </c>
      <c r="M21" s="1515">
        <f>L21*(1+M22)</f>
        <v>-22022.488378800001</v>
      </c>
      <c r="N21" s="1515">
        <f t="shared" si="67"/>
        <v>-22916.601406979276</v>
      </c>
      <c r="O21" s="1515">
        <f t="shared" si="67"/>
        <v>-23617.911513450068</v>
      </c>
      <c r="P21" s="1515">
        <f t="shared" si="67"/>
        <v>-24097.741111537263</v>
      </c>
      <c r="Q21" s="1515">
        <f t="shared" ref="Q21" si="68">P21*(1+Q22)</f>
        <v>-24333.487078357655</v>
      </c>
      <c r="R21" s="1515">
        <f t="shared" ref="R21" si="69">Q21*(1+R22)</f>
        <v>-24560.385975542071</v>
      </c>
      <c r="S21" s="1515">
        <f t="shared" ref="S21" si="70">R21*(1+S22)</f>
        <v>-24777.625169906518</v>
      </c>
      <c r="T21" s="1515">
        <f t="shared" ref="T21" si="71">S21*(1+T22)</f>
        <v>-24984.348008304667</v>
      </c>
      <c r="U21" s="1515">
        <f t="shared" ref="U21" si="72">T21*(1+U22)</f>
        <v>-25179.651767811934</v>
      </c>
      <c r="V21" s="1515">
        <f t="shared" ref="V21" si="73">U21*(1+V22)</f>
        <v>-25362.585516662784</v>
      </c>
      <c r="W21" s="1515">
        <f t="shared" ref="W21" si="74">V21*(1+W22)</f>
        <v>-25532.147882188961</v>
      </c>
      <c r="X21" s="1515">
        <f t="shared" ref="X21" si="75">W21*(1+X22)</f>
        <v>-25687.284721852149</v>
      </c>
      <c r="Y21" s="1515">
        <f t="shared" ref="Y21" si="76">X21*(1+Y22)</f>
        <v>-25826.886693303699</v>
      </c>
      <c r="Z21" s="1515">
        <f t="shared" ref="Z21" si="77">Y21*(1+Z22)</f>
        <v>-25949.786719236006</v>
      </c>
      <c r="AA21" s="724"/>
      <c r="AB21" s="725"/>
      <c r="AF21" s="1393"/>
      <c r="AG21" s="1432"/>
      <c r="AH21" s="1432"/>
      <c r="AI21" s="1432"/>
      <c r="AJ21" s="1432"/>
      <c r="AK21" s="1432"/>
      <c r="AL21" s="1432"/>
      <c r="AM21" s="1432"/>
      <c r="AN21" s="1432"/>
      <c r="AO21" s="1432"/>
      <c r="AP21" s="1432"/>
      <c r="AQ21" s="1432"/>
      <c r="AR21" s="1432"/>
      <c r="AS21" s="1432"/>
      <c r="AT21" s="1432"/>
      <c r="AU21" s="1432"/>
      <c r="AV21" s="1432"/>
      <c r="AW21" s="1432"/>
      <c r="AX21" s="1432"/>
      <c r="AY21" s="1432"/>
      <c r="AZ21" s="239"/>
      <c r="BA21" s="239"/>
    </row>
    <row r="22" spans="1:53" s="1402" customFormat="1" ht="14">
      <c r="A22" s="1008"/>
      <c r="B22" s="1008"/>
      <c r="C22" s="1008"/>
      <c r="D22" s="1403"/>
      <c r="E22" s="1403"/>
      <c r="F22" s="1403"/>
      <c r="G22" s="1418" t="s">
        <v>832</v>
      </c>
      <c r="H22" s="317"/>
      <c r="I22" s="317">
        <f>(I21/H21)-1</f>
        <v>-4.4782640355348402E-2</v>
      </c>
      <c r="J22" s="317">
        <f>(J21/I21)-1</f>
        <v>0.42963866443055343</v>
      </c>
      <c r="K22" s="317">
        <v>7.0000000000000007E-2</v>
      </c>
      <c r="L22" s="317">
        <f>L20</f>
        <v>5.0000000000000044E-2</v>
      </c>
      <c r="M22" s="317">
        <f>M20</f>
        <v>4.5199999999999907E-2</v>
      </c>
      <c r="N22" s="317">
        <f t="shared" ref="N22:P22" si="78">N20</f>
        <v>4.0599999999999747E-2</v>
      </c>
      <c r="O22" s="317">
        <f t="shared" si="78"/>
        <v>3.0602709975014353E-2</v>
      </c>
      <c r="P22" s="317">
        <f t="shared" si="78"/>
        <v>2.0316343289453753E-2</v>
      </c>
      <c r="Q22" s="317">
        <f t="shared" ref="Q22:Z22" si="79">Q20</f>
        <v>9.7829072745545531E-3</v>
      </c>
      <c r="R22" s="317">
        <f t="shared" si="79"/>
        <v>9.3245532978387669E-3</v>
      </c>
      <c r="S22" s="317">
        <f t="shared" si="79"/>
        <v>8.845105063934211E-3</v>
      </c>
      <c r="T22" s="317">
        <f t="shared" si="79"/>
        <v>8.3431255812693728E-3</v>
      </c>
      <c r="U22" s="317">
        <f t="shared" si="79"/>
        <v>7.8170444728975497E-3</v>
      </c>
      <c r="V22" s="317">
        <f t="shared" si="79"/>
        <v>7.2651421289591234E-3</v>
      </c>
      <c r="W22" s="317">
        <f t="shared" si="79"/>
        <v>6.6855315446754382E-3</v>
      </c>
      <c r="X22" s="317">
        <f t="shared" si="79"/>
        <v>6.0761374397102497E-3</v>
      </c>
      <c r="Y22" s="317">
        <f t="shared" si="79"/>
        <v>5.4346721719789048E-3</v>
      </c>
      <c r="Z22" s="317">
        <f t="shared" si="79"/>
        <v>4.7586078566788093E-3</v>
      </c>
      <c r="AA22" s="777"/>
      <c r="AB22" s="704"/>
      <c r="AF22" s="169"/>
      <c r="AG22" s="298"/>
      <c r="AH22" s="298"/>
      <c r="AI22" s="298"/>
      <c r="AJ22" s="298"/>
      <c r="AK22" s="298"/>
      <c r="AL22" s="298"/>
      <c r="AM22" s="298"/>
      <c r="AN22" s="298"/>
      <c r="AO22" s="298"/>
      <c r="AP22" s="298"/>
      <c r="AQ22" s="298"/>
      <c r="AR22" s="298"/>
      <c r="AS22" s="298"/>
      <c r="AT22" s="298"/>
      <c r="AU22" s="298"/>
      <c r="AV22" s="298"/>
      <c r="AW22" s="298"/>
      <c r="AX22" s="298"/>
      <c r="AY22" s="298"/>
      <c r="AZ22" s="977"/>
      <c r="BA22" s="977"/>
    </row>
    <row r="23" spans="1:53" s="190" customFormat="1">
      <c r="A23" s="9"/>
      <c r="B23" s="9"/>
      <c r="C23" s="17"/>
      <c r="D23" s="410"/>
      <c r="E23" s="410"/>
      <c r="F23" s="410"/>
      <c r="G23" s="874" t="s">
        <v>5</v>
      </c>
      <c r="H23" s="1516">
        <v>-4730</v>
      </c>
      <c r="I23" s="1515">
        <v>-5586</v>
      </c>
      <c r="J23" s="1515">
        <v>-6565</v>
      </c>
      <c r="K23" s="1515">
        <f>-(K18+K21-K25)</f>
        <v>-5128.3057142857142</v>
      </c>
      <c r="L23" s="1515">
        <f t="shared" ref="L23:P23" si="80">-(L18+L21-L25)</f>
        <v>-6777.0809999999983</v>
      </c>
      <c r="M23" s="1515">
        <f t="shared" si="80"/>
        <v>-7811.052397200001</v>
      </c>
      <c r="N23" s="1515">
        <f t="shared" si="80"/>
        <v>-8141.0604823735121</v>
      </c>
      <c r="O23" s="1515">
        <f t="shared" si="80"/>
        <v>-8180.4118227600702</v>
      </c>
      <c r="P23" s="1515">
        <f t="shared" si="80"/>
        <v>-7889.6086979811589</v>
      </c>
      <c r="Q23" s="1515">
        <f t="shared" ref="Q23:Z23" si="81">-(Q18+Q21-Q25)</f>
        <v>-7237.173814865826</v>
      </c>
      <c r="R23" s="1515">
        <f t="shared" si="81"/>
        <v>-6534.3442537269075</v>
      </c>
      <c r="S23" s="1515">
        <f t="shared" si="81"/>
        <v>-5778.494365647719</v>
      </c>
      <c r="T23" s="1515">
        <f t="shared" si="81"/>
        <v>-4966.8781682238623</v>
      </c>
      <c r="U23" s="1515">
        <f t="shared" si="81"/>
        <v>-4096.6241480045719</v>
      </c>
      <c r="V23" s="1515">
        <f t="shared" si="81"/>
        <v>-3164.7298453881158</v>
      </c>
      <c r="W23" s="1515">
        <f t="shared" si="81"/>
        <v>-2168.0562130267572</v>
      </c>
      <c r="X23" s="1515">
        <f t="shared" si="81"/>
        <v>-1103.3217384338859</v>
      </c>
      <c r="Y23" s="1515">
        <f t="shared" si="81"/>
        <v>32.903678892856988</v>
      </c>
      <c r="Z23" s="1515">
        <f t="shared" si="81"/>
        <v>1244.2051059129444</v>
      </c>
      <c r="AA23" s="724"/>
      <c r="AB23" s="725"/>
      <c r="AF23" s="1393"/>
      <c r="AG23" s="1432"/>
      <c r="AH23" s="1432"/>
      <c r="AI23" s="1432"/>
      <c r="AJ23" s="1432"/>
      <c r="AK23" s="1432"/>
      <c r="AL23" s="1432"/>
      <c r="AM23" s="1432"/>
      <c r="AN23" s="1432"/>
      <c r="AO23" s="1432"/>
      <c r="AP23" s="1432"/>
      <c r="AQ23" s="1432"/>
      <c r="AR23" s="1432"/>
      <c r="AS23" s="1432"/>
      <c r="AT23" s="1432"/>
      <c r="AU23" s="1432"/>
      <c r="AV23" s="1432"/>
      <c r="AW23" s="1432"/>
      <c r="AX23" s="1432"/>
      <c r="AY23" s="1432"/>
      <c r="AZ23" s="239"/>
      <c r="BA23" s="239"/>
    </row>
    <row r="24" spans="1:53" s="1402" customFormat="1" thickBot="1">
      <c r="A24" s="1008"/>
      <c r="B24" s="1008"/>
      <c r="C24" s="1008"/>
      <c r="D24" s="1403"/>
      <c r="E24" s="1403"/>
      <c r="F24" s="1403"/>
      <c r="G24" s="1418" t="s">
        <v>832</v>
      </c>
      <c r="I24" s="317">
        <f>(I23/H23)-1</f>
        <v>0.18097251585623675</v>
      </c>
      <c r="J24" s="317">
        <f>(J23/I23)-1</f>
        <v>0.17525957751521659</v>
      </c>
      <c r="K24" s="317">
        <f>(K23/J23)-1</f>
        <v>-0.21884147535632681</v>
      </c>
      <c r="AA24" s="777"/>
      <c r="AB24" s="704"/>
      <c r="AF24" s="169"/>
      <c r="AG24" s="719"/>
      <c r="AH24" s="298"/>
      <c r="AI24" s="298"/>
      <c r="AJ24" s="298"/>
      <c r="AK24" s="298"/>
      <c r="AL24" s="298"/>
      <c r="AM24" s="298"/>
      <c r="AN24" s="298"/>
      <c r="AO24" s="298"/>
      <c r="AP24" s="298"/>
      <c r="AQ24" s="298"/>
      <c r="AR24" s="298"/>
      <c r="AS24" s="298"/>
      <c r="AT24" s="298"/>
      <c r="AU24" s="298"/>
      <c r="AV24" s="298"/>
      <c r="AW24" s="298"/>
      <c r="AX24" s="298"/>
      <c r="AY24" s="298"/>
      <c r="AZ24" s="977"/>
      <c r="BA24" s="977"/>
    </row>
    <row r="25" spans="1:53" s="109" customFormat="1" ht="16" thickBot="1">
      <c r="A25" s="4"/>
      <c r="B25" s="4"/>
      <c r="C25" s="19"/>
      <c r="D25" s="411"/>
      <c r="E25" s="411"/>
      <c r="F25" s="411"/>
      <c r="G25" s="691" t="s">
        <v>109</v>
      </c>
      <c r="H25" s="306">
        <f>SUM(H18,H21,H23)</f>
        <v>29036</v>
      </c>
      <c r="I25" s="306">
        <f>SUM(I18,I21,I23)</f>
        <v>23724</v>
      </c>
      <c r="J25" s="306">
        <f>SUM(J18,J21,J23)</f>
        <v>36266</v>
      </c>
      <c r="K25" s="306">
        <f>K26*K5</f>
        <v>41107.771428571432</v>
      </c>
      <c r="L25" s="306">
        <f>L26*L5</f>
        <v>41770.799999999996</v>
      </c>
      <c r="M25" s="306">
        <f t="shared" ref="M25:O25" si="82">M26*M5</f>
        <v>42931.192823999991</v>
      </c>
      <c r="N25" s="306">
        <f t="shared" si="82"/>
        <v>44661.319894807188</v>
      </c>
      <c r="O25" s="306">
        <f t="shared" si="82"/>
        <v>46237.864487093881</v>
      </c>
      <c r="P25" s="306">
        <f>P26*P5</f>
        <v>47634.24799460412</v>
      </c>
      <c r="Q25" s="306">
        <f t="shared" ref="Q25:Z25" si="83">Q26*Q5</f>
        <v>48829.867619268669</v>
      </c>
      <c r="R25" s="306">
        <f t="shared" si="83"/>
        <v>50055.497296512309</v>
      </c>
      <c r="S25" s="306">
        <f t="shared" si="83"/>
        <v>51311.890278654748</v>
      </c>
      <c r="T25" s="306">
        <f t="shared" si="83"/>
        <v>52599.818724648991</v>
      </c>
      <c r="U25" s="306">
        <f t="shared" si="83"/>
        <v>53920.074174637681</v>
      </c>
      <c r="V25" s="306">
        <f t="shared" si="83"/>
        <v>55273.468036421073</v>
      </c>
      <c r="W25" s="306">
        <f t="shared" si="83"/>
        <v>56660.832084135247</v>
      </c>
      <c r="X25" s="306">
        <f t="shared" si="83"/>
        <v>58083.018969447039</v>
      </c>
      <c r="Y25" s="306">
        <f t="shared" si="83"/>
        <v>59540.902745580155</v>
      </c>
      <c r="Z25" s="306">
        <f t="shared" si="83"/>
        <v>61035.379404494226</v>
      </c>
      <c r="AA25" s="724">
        <f t="shared" si="50"/>
        <v>0.12286888721866207</v>
      </c>
      <c r="AB25" s="725">
        <f t="shared" si="51"/>
        <v>3.3383755053370434E-2</v>
      </c>
      <c r="AF25" s="1393"/>
      <c r="AG25" s="1393"/>
      <c r="AH25" s="1432"/>
      <c r="AI25" s="1432"/>
      <c r="AJ25" s="1432"/>
      <c r="AK25" s="1393"/>
      <c r="AL25" s="1393"/>
      <c r="AM25" s="1393"/>
      <c r="AN25" s="1393"/>
      <c r="AO25" s="1393"/>
      <c r="AP25" s="1393"/>
      <c r="AQ25" s="1393"/>
      <c r="AR25" s="1393"/>
      <c r="AS25" s="1393"/>
      <c r="AT25" s="1393"/>
      <c r="AU25" s="1393"/>
      <c r="AV25" s="1393"/>
      <c r="AW25" s="1393"/>
      <c r="AX25" s="1393"/>
      <c r="AY25" s="1393"/>
      <c r="AZ25" s="239"/>
      <c r="BA25" s="239"/>
    </row>
    <row r="26" spans="1:53" s="219" customFormat="1">
      <c r="A26" s="27"/>
      <c r="B26" s="27"/>
      <c r="C26" s="1663"/>
      <c r="D26" s="1664"/>
      <c r="E26" s="1664"/>
      <c r="F26" s="1664"/>
      <c r="G26" s="1126" t="s">
        <v>926</v>
      </c>
      <c r="H26" s="219">
        <f>H25/H5</f>
        <v>0.34440385254068417</v>
      </c>
      <c r="I26" s="219">
        <f>I25/I5</f>
        <v>0.26214654305572438</v>
      </c>
      <c r="J26" s="219">
        <f>J25/J5</f>
        <v>0.29251256240875617</v>
      </c>
      <c r="K26" s="219">
        <v>0.31</v>
      </c>
      <c r="L26" s="219">
        <v>0.3</v>
      </c>
      <c r="M26" s="219">
        <f>L26-0.5%</f>
        <v>0.29499999999999998</v>
      </c>
      <c r="N26" s="219">
        <f>M26</f>
        <v>0.29499999999999998</v>
      </c>
      <c r="O26" s="219">
        <f>N26</f>
        <v>0.29499999999999998</v>
      </c>
      <c r="P26" s="219">
        <f>O26</f>
        <v>0.29499999999999998</v>
      </c>
      <c r="Q26" s="219">
        <f>P26</f>
        <v>0.29499999999999998</v>
      </c>
      <c r="R26" s="219">
        <f>Q26</f>
        <v>0.29499999999999998</v>
      </c>
      <c r="S26" s="219">
        <f t="shared" ref="S26:Z26" si="84">R26</f>
        <v>0.29499999999999998</v>
      </c>
      <c r="T26" s="219">
        <f t="shared" si="84"/>
        <v>0.29499999999999998</v>
      </c>
      <c r="U26" s="219">
        <f t="shared" si="84"/>
        <v>0.29499999999999998</v>
      </c>
      <c r="V26" s="219">
        <f t="shared" si="84"/>
        <v>0.29499999999999998</v>
      </c>
      <c r="W26" s="219">
        <f t="shared" si="84"/>
        <v>0.29499999999999998</v>
      </c>
      <c r="X26" s="219">
        <f t="shared" si="84"/>
        <v>0.29499999999999998</v>
      </c>
      <c r="Y26" s="219">
        <f t="shared" si="84"/>
        <v>0.29499999999999998</v>
      </c>
      <c r="Z26" s="219">
        <f t="shared" si="84"/>
        <v>0.29499999999999998</v>
      </c>
      <c r="AA26" s="724"/>
      <c r="AB26" s="725"/>
      <c r="AF26" s="109"/>
      <c r="AG26" s="370"/>
      <c r="AH26" s="370"/>
      <c r="AI26" s="370"/>
      <c r="AJ26" s="370"/>
      <c r="AK26" s="370"/>
      <c r="AL26" s="370"/>
      <c r="AM26" s="370"/>
      <c r="AN26" s="370"/>
      <c r="AO26" s="370"/>
      <c r="AP26" s="370"/>
      <c r="AQ26" s="370"/>
      <c r="AR26" s="370"/>
      <c r="AS26" s="370"/>
      <c r="AT26" s="370"/>
      <c r="AU26" s="370"/>
      <c r="AV26" s="370"/>
      <c r="AW26" s="370"/>
      <c r="AX26" s="370"/>
      <c r="AY26" s="370"/>
      <c r="AZ26" s="239"/>
      <c r="BA26" s="239"/>
    </row>
    <row r="27" spans="1:53" s="1402" customFormat="1" ht="14">
      <c r="A27" s="1008"/>
      <c r="B27" s="1008"/>
      <c r="C27" s="1008"/>
      <c r="D27" s="1403"/>
      <c r="E27" s="1403"/>
      <c r="F27" s="1403"/>
      <c r="G27" s="1418" t="s">
        <v>832</v>
      </c>
      <c r="I27" s="1402">
        <f>(I25/H25)-1</f>
        <v>-0.18294530927124952</v>
      </c>
      <c r="J27" s="1402">
        <f>(J25/I25)-1</f>
        <v>0.52866295734277524</v>
      </c>
      <c r="K27" s="1402">
        <f>(K25/J25)-1</f>
        <v>0.13350718106687887</v>
      </c>
      <c r="L27" s="1402">
        <f t="shared" ref="L27:P27" si="85">(L25/K25)-1</f>
        <v>1.612903225806428E-2</v>
      </c>
      <c r="M27" s="1402">
        <f t="shared" si="85"/>
        <v>2.7779999999999916E-2</v>
      </c>
      <c r="N27" s="1402">
        <f t="shared" si="85"/>
        <v>4.0300000000000002E-2</v>
      </c>
      <c r="O27" s="1402">
        <f t="shared" si="85"/>
        <v>3.5299999999999887E-2</v>
      </c>
      <c r="P27" s="1402">
        <f t="shared" si="85"/>
        <v>3.0200000000000005E-2</v>
      </c>
      <c r="Q27" s="1402">
        <f t="shared" ref="Q27" si="86">(Q25/P25)-1</f>
        <v>2.5099999999999678E-2</v>
      </c>
      <c r="R27" s="1402">
        <f t="shared" ref="R27" si="87">(R25/Q25)-1</f>
        <v>2.50999999999999E-2</v>
      </c>
      <c r="S27" s="1402">
        <f t="shared" ref="S27" si="88">(S25/R25)-1</f>
        <v>2.5099999999999678E-2</v>
      </c>
      <c r="T27" s="1402">
        <f t="shared" ref="T27" si="89">(T25/S25)-1</f>
        <v>2.5100000000000122E-2</v>
      </c>
      <c r="U27" s="1402">
        <f t="shared" ref="U27" si="90">(U25/T25)-1</f>
        <v>2.50999999999999E-2</v>
      </c>
      <c r="V27" s="1402">
        <f t="shared" ref="V27" si="91">(V25/U25)-1</f>
        <v>2.5099999999999678E-2</v>
      </c>
      <c r="W27" s="1402">
        <f t="shared" ref="W27" si="92">(W25/V25)-1</f>
        <v>2.5100000000000122E-2</v>
      </c>
      <c r="X27" s="1402">
        <f t="shared" ref="X27" si="93">(X25/W25)-1</f>
        <v>2.50999999999999E-2</v>
      </c>
      <c r="Y27" s="1402">
        <f t="shared" ref="Y27" si="94">(Y25/X25)-1</f>
        <v>2.50999999999999E-2</v>
      </c>
      <c r="Z27" s="1402">
        <f t="shared" ref="Z27" si="95">(Z25/Y25)-1</f>
        <v>2.5100000000000122E-2</v>
      </c>
      <c r="AA27" s="777"/>
      <c r="AB27" s="704"/>
      <c r="AF27" s="216"/>
      <c r="AG27" s="216"/>
      <c r="AH27" s="216"/>
      <c r="AI27" s="216"/>
      <c r="AJ27" s="216"/>
      <c r="AK27" s="216"/>
      <c r="AL27" s="216"/>
      <c r="AM27" s="216"/>
      <c r="AN27" s="216"/>
      <c r="AO27" s="216"/>
      <c r="AP27" s="216"/>
      <c r="AQ27" s="216"/>
      <c r="AR27" s="216"/>
      <c r="AS27" s="216"/>
      <c r="AT27" s="216"/>
      <c r="AU27" s="216"/>
      <c r="AV27" s="216"/>
      <c r="AW27" s="216"/>
      <c r="AX27" s="216"/>
      <c r="AY27" s="216"/>
      <c r="AZ27" s="977"/>
      <c r="BA27" s="977"/>
    </row>
    <row r="28" spans="1:53" s="190" customFormat="1">
      <c r="A28" s="9"/>
      <c r="B28" s="9"/>
      <c r="C28" s="17"/>
      <c r="D28" s="410"/>
      <c r="E28" s="410"/>
      <c r="F28" s="410"/>
      <c r="G28" s="874" t="s">
        <v>10</v>
      </c>
      <c r="H28" s="1515">
        <v>-10546</v>
      </c>
      <c r="I28" s="1515">
        <v>3997</v>
      </c>
      <c r="J28" s="1515">
        <v>991</v>
      </c>
      <c r="K28" s="1515">
        <v>0</v>
      </c>
      <c r="L28" s="1515">
        <v>0</v>
      </c>
      <c r="M28" s="1515">
        <v>0</v>
      </c>
      <c r="N28" s="1515">
        <v>0</v>
      </c>
      <c r="O28" s="1515">
        <v>0</v>
      </c>
      <c r="P28" s="1515">
        <v>0</v>
      </c>
      <c r="Q28" s="1515">
        <v>1</v>
      </c>
      <c r="R28" s="1515">
        <v>2</v>
      </c>
      <c r="S28" s="1515">
        <v>3</v>
      </c>
      <c r="T28" s="1515">
        <v>4</v>
      </c>
      <c r="U28" s="1515">
        <v>5</v>
      </c>
      <c r="V28" s="1515">
        <v>6</v>
      </c>
      <c r="W28" s="1515">
        <v>7</v>
      </c>
      <c r="X28" s="1515">
        <v>8</v>
      </c>
      <c r="Y28" s="1515">
        <v>9</v>
      </c>
      <c r="Z28" s="1515">
        <v>10</v>
      </c>
      <c r="AA28" s="724"/>
      <c r="AB28" s="725"/>
      <c r="AF28" s="1393"/>
      <c r="AG28" s="1393"/>
      <c r="AH28" s="1393"/>
      <c r="AI28" s="1393"/>
      <c r="AJ28" s="1393"/>
      <c r="AK28" s="1393"/>
      <c r="AL28" s="1393"/>
      <c r="AM28" s="1393"/>
      <c r="AN28" s="1393"/>
      <c r="AO28" s="1393"/>
      <c r="AP28" s="1393"/>
      <c r="AQ28" s="1393"/>
      <c r="AR28" s="1393"/>
      <c r="AS28" s="1393"/>
      <c r="AT28" s="1393"/>
      <c r="AU28" s="1393"/>
      <c r="AV28" s="1393"/>
      <c r="AW28" s="1393"/>
      <c r="AX28" s="1393"/>
      <c r="AY28" s="1393"/>
      <c r="AZ28" s="239"/>
      <c r="BA28" s="239"/>
    </row>
    <row r="29" spans="1:53" s="109" customFormat="1">
      <c r="A29" s="4"/>
      <c r="B29" s="4"/>
      <c r="C29" s="19"/>
      <c r="D29" s="411"/>
      <c r="E29" s="411"/>
      <c r="F29" s="411"/>
      <c r="G29" s="688" t="s">
        <v>494</v>
      </c>
      <c r="H29" s="919">
        <f>H25+H28</f>
        <v>18490</v>
      </c>
      <c r="I29" s="919">
        <f t="shared" ref="I29:O29" si="96">I25+I28</f>
        <v>27721</v>
      </c>
      <c r="J29" s="919">
        <f t="shared" si="96"/>
        <v>37257</v>
      </c>
      <c r="K29" s="919">
        <f t="shared" si="96"/>
        <v>41107.771428571432</v>
      </c>
      <c r="L29" s="919">
        <f>L25+L28</f>
        <v>41770.799999999996</v>
      </c>
      <c r="M29" s="919">
        <f t="shared" si="96"/>
        <v>42931.192823999991</v>
      </c>
      <c r="N29" s="919">
        <f t="shared" si="96"/>
        <v>44661.319894807188</v>
      </c>
      <c r="O29" s="919">
        <f t="shared" si="96"/>
        <v>46237.864487093881</v>
      </c>
      <c r="P29" s="919">
        <f>P25+P28</f>
        <v>47634.24799460412</v>
      </c>
      <c r="Q29" s="919">
        <f>Q25+Q28</f>
        <v>48830.867619268669</v>
      </c>
      <c r="R29" s="919">
        <f t="shared" ref="R29:Z29" si="97">R25+R28</f>
        <v>50057.497296512309</v>
      </c>
      <c r="S29" s="919">
        <f t="shared" si="97"/>
        <v>51314.890278654748</v>
      </c>
      <c r="T29" s="919">
        <f t="shared" si="97"/>
        <v>52603.818724648991</v>
      </c>
      <c r="U29" s="919">
        <f t="shared" si="97"/>
        <v>53925.074174637681</v>
      </c>
      <c r="V29" s="919">
        <f t="shared" si="97"/>
        <v>55279.468036421073</v>
      </c>
      <c r="W29" s="919">
        <f t="shared" si="97"/>
        <v>56667.832084135247</v>
      </c>
      <c r="X29" s="919">
        <f t="shared" si="97"/>
        <v>58091.018969447039</v>
      </c>
      <c r="Y29" s="919">
        <f t="shared" si="97"/>
        <v>59549.902745580155</v>
      </c>
      <c r="Z29" s="920">
        <f t="shared" si="97"/>
        <v>61045.379404494226</v>
      </c>
      <c r="AA29" s="724">
        <f t="shared" si="50"/>
        <v>0.30515574875813134</v>
      </c>
      <c r="AB29" s="725">
        <f t="shared" si="51"/>
        <v>3.3383755053370434E-2</v>
      </c>
      <c r="AF29" s="190"/>
      <c r="AG29" s="1515"/>
      <c r="AH29" s="1515"/>
      <c r="AI29" s="1515"/>
      <c r="AJ29" s="1515"/>
      <c r="AK29" s="1515"/>
      <c r="AL29" s="1515"/>
      <c r="AM29" s="1515"/>
      <c r="AN29" s="1515"/>
      <c r="AO29" s="1515"/>
      <c r="AP29" s="1515"/>
      <c r="AQ29" s="1515"/>
      <c r="AR29" s="1515"/>
      <c r="AS29" s="1515"/>
      <c r="AT29" s="1515"/>
      <c r="AU29" s="1515"/>
      <c r="AV29" s="1515"/>
      <c r="AW29" s="1515"/>
      <c r="AX29" s="1515"/>
      <c r="AY29" s="1515"/>
      <c r="AZ29" s="239"/>
      <c r="BA29" s="239"/>
    </row>
    <row r="30" spans="1:53" s="1402" customFormat="1" ht="14">
      <c r="A30" s="562"/>
      <c r="B30" s="562"/>
      <c r="C30" s="562"/>
      <c r="G30" s="1418" t="s">
        <v>927</v>
      </c>
      <c r="H30" s="1402">
        <f>H29/H5</f>
        <v>0.21931489301133938</v>
      </c>
      <c r="I30" s="1410">
        <f>I29/I5</f>
        <v>0.30631277693676173</v>
      </c>
      <c r="J30" s="1410">
        <f>J29/J5</f>
        <v>0.30050572265105135</v>
      </c>
      <c r="K30" s="1410">
        <f>K29/K5</f>
        <v>0.31</v>
      </c>
      <c r="L30" s="1410">
        <f>L29/L5</f>
        <v>0.3</v>
      </c>
      <c r="M30" s="1410">
        <f t="shared" ref="M30:O30" si="98">M29/M5</f>
        <v>0.29499999999999998</v>
      </c>
      <c r="N30" s="1410">
        <f t="shared" si="98"/>
        <v>0.29499999999999998</v>
      </c>
      <c r="O30" s="1410">
        <f t="shared" si="98"/>
        <v>0.29499999999999998</v>
      </c>
      <c r="P30" s="1410">
        <f>P29/P5</f>
        <v>0.29499999999999998</v>
      </c>
      <c r="Q30" s="1402">
        <f>Q29/Q5</f>
        <v>0.29500604138438996</v>
      </c>
      <c r="R30" s="1402">
        <f t="shared" ref="R30:Z30" si="99">R29/R5</f>
        <v>0.29501178691715929</v>
      </c>
      <c r="S30" s="1402">
        <f t="shared" si="99"/>
        <v>0.29501724746438285</v>
      </c>
      <c r="T30" s="1402">
        <f t="shared" si="99"/>
        <v>0.29502243353738872</v>
      </c>
      <c r="U30" s="1402">
        <f t="shared" si="99"/>
        <v>0.29502735530361518</v>
      </c>
      <c r="V30" s="1402">
        <f t="shared" si="99"/>
        <v>0.29503202259714972</v>
      </c>
      <c r="W30" s="1402">
        <f t="shared" si="99"/>
        <v>0.29503644492895786</v>
      </c>
      <c r="X30" s="1402">
        <f t="shared" si="99"/>
        <v>0.29504063149681048</v>
      </c>
      <c r="Y30" s="1402">
        <f t="shared" si="99"/>
        <v>0.29504459119491927</v>
      </c>
      <c r="Z30" s="1402">
        <f t="shared" si="99"/>
        <v>0.295048332623288</v>
      </c>
      <c r="AA30" s="1517"/>
      <c r="AB30" s="1518"/>
      <c r="AF30" s="235"/>
      <c r="AG30" s="816"/>
      <c r="AH30" s="816"/>
      <c r="AI30" s="816"/>
      <c r="AJ30" s="816"/>
      <c r="AK30" s="816"/>
      <c r="AL30" s="816"/>
      <c r="AM30" s="816"/>
      <c r="AN30" s="816"/>
      <c r="AO30" s="816"/>
      <c r="AP30" s="816"/>
      <c r="AQ30" s="816"/>
      <c r="AR30" s="816"/>
      <c r="AS30" s="816"/>
      <c r="AT30" s="816"/>
      <c r="AU30" s="816"/>
      <c r="AV30" s="816"/>
      <c r="AW30" s="816"/>
      <c r="AX30" s="816"/>
      <c r="AY30" s="816"/>
      <c r="AZ30" s="977"/>
      <c r="BA30" s="977"/>
    </row>
    <row r="31" spans="1:53" s="1402" customFormat="1" ht="14">
      <c r="A31" s="1008"/>
      <c r="B31" s="1008"/>
      <c r="C31" s="1008"/>
      <c r="D31" s="1403"/>
      <c r="E31" s="1403"/>
      <c r="F31" s="1403"/>
      <c r="G31" s="1418" t="s">
        <v>832</v>
      </c>
      <c r="I31" s="1410">
        <f>(I29/H29)-1</f>
        <v>0.49924283396430513</v>
      </c>
      <c r="J31" s="1410">
        <f>(J29/I29)-1</f>
        <v>0.34399913423036677</v>
      </c>
      <c r="K31" s="1410">
        <f>(K29/J29)-1</f>
        <v>0.10335699139950694</v>
      </c>
      <c r="L31" s="1410">
        <f t="shared" ref="L31:P31" si="100">(L29/K29)-1</f>
        <v>1.612903225806428E-2</v>
      </c>
      <c r="M31" s="1410">
        <f t="shared" si="100"/>
        <v>2.7779999999999916E-2</v>
      </c>
      <c r="N31" s="1410">
        <f t="shared" si="100"/>
        <v>4.0300000000000002E-2</v>
      </c>
      <c r="O31" s="1410">
        <f t="shared" si="100"/>
        <v>3.5299999999999887E-2</v>
      </c>
      <c r="P31" s="1410">
        <f t="shared" si="100"/>
        <v>3.0200000000000005E-2</v>
      </c>
      <c r="Q31" s="1402">
        <f t="shared" ref="Q31" si="101">(Q29/P29)-1</f>
        <v>2.5120993298773042E-2</v>
      </c>
      <c r="R31" s="1402">
        <f t="shared" ref="R31" si="102">(R29/Q29)-1</f>
        <v>2.5119964830598418E-2</v>
      </c>
      <c r="S31" s="1402">
        <f t="shared" ref="S31" si="103">(S29/R29)-1</f>
        <v>2.5118974180717624E-2</v>
      </c>
      <c r="T31" s="1402">
        <f t="shared" ref="T31" si="104">(T29/S29)-1</f>
        <v>2.5118020110634243E-2</v>
      </c>
      <c r="U31" s="1402">
        <f t="shared" ref="U31" si="105">(U29/T29)-1</f>
        <v>2.5117101420045307E-2</v>
      </c>
      <c r="V31" s="1402">
        <f t="shared" ref="V31" si="106">(V29/U29)-1</f>
        <v>2.5116216945704206E-2</v>
      </c>
      <c r="W31" s="1402">
        <f t="shared" ref="W31" si="107">(W29/V29)-1</f>
        <v>2.5115365560309799E-2</v>
      </c>
      <c r="X31" s="1402">
        <f t="shared" ref="X31" si="108">(X29/W29)-1</f>
        <v>2.5114546171428831E-2</v>
      </c>
      <c r="Y31" s="1402">
        <f t="shared" ref="Y31" si="109">(Y29/X29)-1</f>
        <v>2.5113757720456098E-2</v>
      </c>
      <c r="Z31" s="1402">
        <f t="shared" ref="Z31" si="110">(Z29/Y29)-1</f>
        <v>2.511299918159926E-2</v>
      </c>
      <c r="AA31" s="777"/>
      <c r="AB31" s="704"/>
      <c r="AH31" s="1410"/>
      <c r="AI31" s="1410"/>
      <c r="AJ31" s="1410"/>
      <c r="AK31" s="1410"/>
      <c r="AL31" s="1410"/>
      <c r="AM31" s="1410"/>
      <c r="AN31" s="1410"/>
      <c r="AO31" s="1410"/>
      <c r="AZ31" s="1519"/>
      <c r="BA31" s="1519"/>
    </row>
    <row r="32" spans="1:53" s="190" customFormat="1">
      <c r="A32" s="9"/>
      <c r="B32" s="9"/>
      <c r="C32" s="17"/>
      <c r="D32" s="410"/>
      <c r="E32" s="410"/>
      <c r="F32" s="410"/>
      <c r="G32" s="874" t="s">
        <v>483</v>
      </c>
      <c r="H32" s="1390">
        <v>50</v>
      </c>
      <c r="I32" s="1390">
        <v>54</v>
      </c>
      <c r="J32" s="1390">
        <v>65</v>
      </c>
      <c r="K32" s="1390">
        <f t="shared" ref="K32:P32" si="111">K279</f>
        <v>80.988</v>
      </c>
      <c r="L32" s="1390">
        <f t="shared" si="111"/>
        <v>105.12217962936352</v>
      </c>
      <c r="M32" s="1390">
        <f t="shared" si="111"/>
        <v>128.65096123453515</v>
      </c>
      <c r="N32" s="1390">
        <f t="shared" si="111"/>
        <v>153.14945395002252</v>
      </c>
      <c r="O32" s="1390">
        <f t="shared" si="111"/>
        <v>178.98968326238787</v>
      </c>
      <c r="P32" s="1390">
        <f t="shared" si="111"/>
        <v>205.95064696605903</v>
      </c>
      <c r="Q32" s="1390">
        <f t="shared" ref="Q32:Z32" si="112">Q279</f>
        <v>0</v>
      </c>
      <c r="R32" s="1390">
        <f t="shared" si="112"/>
        <v>0</v>
      </c>
      <c r="S32" s="1390">
        <f t="shared" si="112"/>
        <v>0</v>
      </c>
      <c r="T32" s="1390">
        <f t="shared" si="112"/>
        <v>0</v>
      </c>
      <c r="U32" s="1390">
        <f t="shared" si="112"/>
        <v>0</v>
      </c>
      <c r="V32" s="1390">
        <f t="shared" si="112"/>
        <v>0</v>
      </c>
      <c r="W32" s="1390">
        <f t="shared" si="112"/>
        <v>0</v>
      </c>
      <c r="X32" s="1390">
        <f t="shared" si="112"/>
        <v>0</v>
      </c>
      <c r="Y32" s="1390">
        <f t="shared" si="112"/>
        <v>0</v>
      </c>
      <c r="Z32" s="1390">
        <f t="shared" si="112"/>
        <v>0</v>
      </c>
      <c r="AA32" s="1761"/>
      <c r="AB32" s="1611"/>
      <c r="AF32" s="1393"/>
      <c r="AG32" s="1393"/>
      <c r="AH32" s="1400"/>
      <c r="AI32" s="1400"/>
      <c r="AJ32" s="1400"/>
      <c r="AK32" s="1400"/>
      <c r="AL32" s="1400"/>
      <c r="AM32" s="1400"/>
      <c r="AN32" s="1400"/>
      <c r="AO32" s="1400"/>
      <c r="AP32" s="1393"/>
      <c r="AQ32" s="1393"/>
      <c r="AR32" s="1393"/>
      <c r="AS32" s="1393"/>
      <c r="AT32" s="1393"/>
      <c r="AU32" s="1393"/>
      <c r="AV32" s="1393"/>
      <c r="AW32" s="1393"/>
      <c r="AX32" s="1393"/>
      <c r="AY32" s="1393"/>
      <c r="AZ32" s="239"/>
      <c r="BA32" s="239"/>
    </row>
    <row r="33" spans="1:38" s="190" customFormat="1" ht="16" thickBot="1">
      <c r="A33" s="9"/>
      <c r="B33" s="9"/>
      <c r="C33" s="17"/>
      <c r="D33" s="410"/>
      <c r="E33" s="410"/>
      <c r="F33" s="410"/>
      <c r="G33" s="874" t="s">
        <v>13</v>
      </c>
      <c r="H33" s="1390">
        <v>-1903</v>
      </c>
      <c r="I33" s="1390">
        <v>-1686</v>
      </c>
      <c r="J33" s="1390">
        <v>-1673</v>
      </c>
      <c r="K33" s="1390">
        <f t="shared" ref="K33:P33" si="113">K267</f>
        <v>-1722</v>
      </c>
      <c r="L33" s="1390">
        <f t="shared" si="113"/>
        <v>-1677</v>
      </c>
      <c r="M33" s="1390">
        <f t="shared" si="113"/>
        <v>-1632</v>
      </c>
      <c r="N33" s="1390">
        <f t="shared" si="113"/>
        <v>-1587</v>
      </c>
      <c r="O33" s="1390">
        <f t="shared" si="113"/>
        <v>-1542</v>
      </c>
      <c r="P33" s="1390">
        <f t="shared" si="113"/>
        <v>-1497.06</v>
      </c>
      <c r="Q33" s="1390">
        <f t="shared" ref="Q33:Z33" si="114">Q267</f>
        <v>0</v>
      </c>
      <c r="R33" s="1390">
        <f t="shared" si="114"/>
        <v>0</v>
      </c>
      <c r="S33" s="1390">
        <f t="shared" si="114"/>
        <v>0</v>
      </c>
      <c r="T33" s="1390">
        <f t="shared" si="114"/>
        <v>0</v>
      </c>
      <c r="U33" s="1390">
        <f t="shared" si="114"/>
        <v>0</v>
      </c>
      <c r="V33" s="1390">
        <f t="shared" si="114"/>
        <v>0</v>
      </c>
      <c r="W33" s="1390">
        <f t="shared" si="114"/>
        <v>0</v>
      </c>
      <c r="X33" s="1390">
        <f t="shared" si="114"/>
        <v>0</v>
      </c>
      <c r="Y33" s="1390">
        <f t="shared" si="114"/>
        <v>0</v>
      </c>
      <c r="Z33" s="1390">
        <f t="shared" si="114"/>
        <v>0</v>
      </c>
      <c r="AA33" s="1761"/>
      <c r="AB33" s="1611"/>
      <c r="AG33" s="190" t="s">
        <v>1658</v>
      </c>
    </row>
    <row r="34" spans="1:38" s="109" customFormat="1" ht="16" thickBot="1">
      <c r="A34" s="4"/>
      <c r="B34" s="4"/>
      <c r="C34" s="19"/>
      <c r="D34" s="411"/>
      <c r="E34" s="411"/>
      <c r="F34" s="411"/>
      <c r="G34" s="691" t="s">
        <v>14</v>
      </c>
      <c r="H34" s="843">
        <f>SUM(H29,H32,H33)</f>
        <v>16637</v>
      </c>
      <c r="I34" s="843">
        <f>SUM(I29,I32,I33)</f>
        <v>26089</v>
      </c>
      <c r="J34" s="843">
        <f>SUM(J29,J32,J33)</f>
        <v>35649</v>
      </c>
      <c r="K34" s="843">
        <f>SUM(K29,K32,K33)</f>
        <v>39466.759428571429</v>
      </c>
      <c r="L34" s="843">
        <f t="shared" ref="L34:P34" si="115">SUM(L29,L32,L33)</f>
        <v>40198.922179629357</v>
      </c>
      <c r="M34" s="843">
        <f t="shared" si="115"/>
        <v>41427.843785234523</v>
      </c>
      <c r="N34" s="843">
        <f t="shared" si="115"/>
        <v>43227.469348757208</v>
      </c>
      <c r="O34" s="843">
        <f t="shared" si="115"/>
        <v>44874.854170356266</v>
      </c>
      <c r="P34" s="843">
        <f t="shared" si="115"/>
        <v>46343.138641570178</v>
      </c>
      <c r="Q34" s="843">
        <f t="shared" ref="Q34:Z34" si="116">SUM(Q29,Q32,Q33)</f>
        <v>48830.867619268669</v>
      </c>
      <c r="R34" s="843">
        <f t="shared" si="116"/>
        <v>50057.497296512309</v>
      </c>
      <c r="S34" s="843">
        <f t="shared" si="116"/>
        <v>51314.890278654748</v>
      </c>
      <c r="T34" s="843">
        <f t="shared" si="116"/>
        <v>52603.818724648991</v>
      </c>
      <c r="U34" s="843">
        <f t="shared" si="116"/>
        <v>53925.074174637681</v>
      </c>
      <c r="V34" s="843">
        <f t="shared" si="116"/>
        <v>55279.468036421073</v>
      </c>
      <c r="W34" s="843">
        <f t="shared" si="116"/>
        <v>56667.832084135247</v>
      </c>
      <c r="X34" s="843">
        <f t="shared" si="116"/>
        <v>58091.018969447039</v>
      </c>
      <c r="Y34" s="843">
        <f t="shared" si="116"/>
        <v>59549.902745580155</v>
      </c>
      <c r="Z34" s="843">
        <f t="shared" si="116"/>
        <v>61045.379404494226</v>
      </c>
      <c r="AA34" s="1762"/>
      <c r="AB34" s="834"/>
    </row>
    <row r="35" spans="1:38" s="190" customFormat="1">
      <c r="A35" s="9"/>
      <c r="B35" s="9"/>
      <c r="C35" s="17"/>
      <c r="D35" s="410"/>
      <c r="E35" s="410"/>
      <c r="F35" s="410"/>
      <c r="G35" s="874" t="s">
        <v>15</v>
      </c>
      <c r="H35" s="1390">
        <v>-6696</v>
      </c>
      <c r="I35" s="1390">
        <v>-10357</v>
      </c>
      <c r="J35" s="1390">
        <v>-12442</v>
      </c>
      <c r="K35" s="1390">
        <f>-K34*K36</f>
        <v>-15786.703771428573</v>
      </c>
      <c r="L35" s="1390">
        <f t="shared" ref="L35:P35" si="117">-L34*L36</f>
        <v>-16079.568871851743</v>
      </c>
      <c r="M35" s="1390">
        <f t="shared" si="117"/>
        <v>-16571.137514093811</v>
      </c>
      <c r="N35" s="1390">
        <f t="shared" si="117"/>
        <v>-17290.987739502885</v>
      </c>
      <c r="O35" s="1390">
        <f t="shared" si="117"/>
        <v>-17949.941668142506</v>
      </c>
      <c r="P35" s="1390">
        <f t="shared" si="117"/>
        <v>-18537.255456628071</v>
      </c>
      <c r="Q35" s="1390">
        <f t="shared" ref="Q35:Z35" si="118">-Q34*Q36</f>
        <v>-19532.34704770747</v>
      </c>
      <c r="R35" s="1390">
        <f t="shared" si="118"/>
        <v>-20022.998918604924</v>
      </c>
      <c r="S35" s="1390">
        <f t="shared" si="118"/>
        <v>-20525.956111461899</v>
      </c>
      <c r="T35" s="1390">
        <f t="shared" si="118"/>
        <v>-21041.527489859596</v>
      </c>
      <c r="U35" s="1390">
        <f t="shared" si="118"/>
        <v>-21570.029669855074</v>
      </c>
      <c r="V35" s="1390">
        <f t="shared" si="118"/>
        <v>-22111.78721456843</v>
      </c>
      <c r="W35" s="1390">
        <f t="shared" si="118"/>
        <v>-22667.132833654101</v>
      </c>
      <c r="X35" s="1390">
        <f t="shared" si="118"/>
        <v>-23236.407587778816</v>
      </c>
      <c r="Y35" s="1390">
        <f t="shared" si="118"/>
        <v>-23819.961098232063</v>
      </c>
      <c r="Z35" s="1390">
        <f t="shared" si="118"/>
        <v>-24418.151761797693</v>
      </c>
      <c r="AA35" s="1761"/>
      <c r="AB35" s="1611"/>
    </row>
    <row r="36" spans="1:38" s="246" customFormat="1" ht="16" thickBot="1">
      <c r="A36" s="1760"/>
      <c r="B36" s="1760"/>
      <c r="C36" s="1760"/>
      <c r="D36" s="1491"/>
      <c r="E36" s="1491"/>
      <c r="F36" s="1491"/>
      <c r="G36" s="1147" t="s">
        <v>928</v>
      </c>
      <c r="H36" s="246">
        <f>-(H35/H34)</f>
        <v>0.40247640800625112</v>
      </c>
      <c r="I36" s="246">
        <f t="shared" ref="I36:J36" si="119">-(I35/I34)</f>
        <v>0.3969872359998467</v>
      </c>
      <c r="J36" s="246">
        <f t="shared" si="119"/>
        <v>0.34901399758759011</v>
      </c>
      <c r="K36" s="246">
        <v>0.4</v>
      </c>
      <c r="L36" s="246">
        <v>0.4</v>
      </c>
      <c r="M36" s="246">
        <v>0.4</v>
      </c>
      <c r="N36" s="246">
        <v>0.4</v>
      </c>
      <c r="O36" s="246">
        <v>0.4</v>
      </c>
      <c r="P36" s="246">
        <v>0.4</v>
      </c>
      <c r="Q36" s="246">
        <f>P36</f>
        <v>0.4</v>
      </c>
      <c r="R36" s="246">
        <f t="shared" ref="R36:Z36" si="120">Q36</f>
        <v>0.4</v>
      </c>
      <c r="S36" s="246">
        <f t="shared" si="120"/>
        <v>0.4</v>
      </c>
      <c r="T36" s="246">
        <f t="shared" si="120"/>
        <v>0.4</v>
      </c>
      <c r="U36" s="246">
        <f t="shared" si="120"/>
        <v>0.4</v>
      </c>
      <c r="V36" s="246">
        <f t="shared" si="120"/>
        <v>0.4</v>
      </c>
      <c r="W36" s="246">
        <f t="shared" si="120"/>
        <v>0.4</v>
      </c>
      <c r="X36" s="246">
        <f t="shared" si="120"/>
        <v>0.4</v>
      </c>
      <c r="Y36" s="246">
        <f t="shared" si="120"/>
        <v>0.4</v>
      </c>
      <c r="Z36" s="246">
        <f t="shared" si="120"/>
        <v>0.4</v>
      </c>
      <c r="AA36" s="1147"/>
      <c r="AB36" s="995"/>
    </row>
    <row r="37" spans="1:38" s="109" customFormat="1" ht="21" thickBot="1">
      <c r="A37" s="4"/>
      <c r="B37" s="4"/>
      <c r="C37" s="19"/>
      <c r="D37" s="411"/>
      <c r="E37" s="411"/>
      <c r="F37" s="411"/>
      <c r="G37" s="691" t="s">
        <v>16</v>
      </c>
      <c r="H37" s="843">
        <f>H34+H35</f>
        <v>9941</v>
      </c>
      <c r="I37" s="843">
        <f t="shared" ref="I37:P37" si="121">I34+I35</f>
        <v>15732</v>
      </c>
      <c r="J37" s="843">
        <f t="shared" si="121"/>
        <v>23207</v>
      </c>
      <c r="K37" s="843">
        <f t="shared" si="121"/>
        <v>23680.055657142857</v>
      </c>
      <c r="L37" s="843">
        <f t="shared" si="121"/>
        <v>24119.353307777616</v>
      </c>
      <c r="M37" s="843">
        <f t="shared" si="121"/>
        <v>24856.706271140712</v>
      </c>
      <c r="N37" s="843">
        <f t="shared" si="121"/>
        <v>25936.481609254322</v>
      </c>
      <c r="O37" s="843">
        <f t="shared" si="121"/>
        <v>26924.91250221376</v>
      </c>
      <c r="P37" s="843">
        <f t="shared" si="121"/>
        <v>27805.883184942108</v>
      </c>
      <c r="Q37" s="843">
        <f>Q34+Q35</f>
        <v>29298.520571561199</v>
      </c>
      <c r="R37" s="843">
        <f t="shared" ref="R37:Z37" si="122">R34+R35</f>
        <v>30034.498377907385</v>
      </c>
      <c r="S37" s="843">
        <f t="shared" si="122"/>
        <v>30788.934167192849</v>
      </c>
      <c r="T37" s="843">
        <f t="shared" si="122"/>
        <v>31562.291234789394</v>
      </c>
      <c r="U37" s="843">
        <f t="shared" si="122"/>
        <v>32355.044504782607</v>
      </c>
      <c r="V37" s="843">
        <f t="shared" si="122"/>
        <v>33167.680821852642</v>
      </c>
      <c r="W37" s="843">
        <f t="shared" si="122"/>
        <v>34000.69925048115</v>
      </c>
      <c r="X37" s="843">
        <f t="shared" si="122"/>
        <v>34854.611381668219</v>
      </c>
      <c r="Y37" s="843">
        <f t="shared" si="122"/>
        <v>35729.941647348096</v>
      </c>
      <c r="Z37" s="843">
        <f t="shared" si="122"/>
        <v>36627.227642696533</v>
      </c>
      <c r="AA37" s="1762"/>
      <c r="AB37" s="834"/>
      <c r="AG37" s="1218" t="s">
        <v>1813</v>
      </c>
      <c r="AH37" s="1218"/>
      <c r="AI37" s="1218"/>
      <c r="AJ37" s="1218"/>
    </row>
    <row r="38" spans="1:38" s="1402" customFormat="1" ht="14">
      <c r="A38" s="1008"/>
      <c r="B38" s="1008"/>
      <c r="C38" s="1008"/>
      <c r="D38" s="1403"/>
      <c r="E38" s="1403"/>
      <c r="F38" s="1403"/>
      <c r="G38" s="1418" t="s">
        <v>832</v>
      </c>
      <c r="I38" s="1402">
        <f>(I37/H37)-1</f>
        <v>0.58253696811185995</v>
      </c>
      <c r="J38" s="1402">
        <f>(J37/I37)-1</f>
        <v>0.47514619883040932</v>
      </c>
      <c r="K38" s="1402">
        <f>(K37/J37)-1</f>
        <v>2.0384179650228651E-2</v>
      </c>
      <c r="L38" s="1402">
        <f t="shared" ref="L38:P38" si="123">(L37/K37)-1</f>
        <v>1.8551377454311346E-2</v>
      </c>
      <c r="M38" s="1402">
        <f t="shared" si="123"/>
        <v>3.0571008847294801E-2</v>
      </c>
      <c r="N38" s="1402">
        <f t="shared" si="123"/>
        <v>4.3440000711890692E-2</v>
      </c>
      <c r="O38" s="1402">
        <f t="shared" si="123"/>
        <v>3.8109675315666447E-2</v>
      </c>
      <c r="P38" s="1402">
        <f t="shared" si="123"/>
        <v>3.2719537441613378E-2</v>
      </c>
      <c r="Q38" s="1402">
        <f t="shared" ref="Q38" si="124">(Q37/P37)-1</f>
        <v>5.3680632141453133E-2</v>
      </c>
      <c r="R38" s="1402">
        <f t="shared" ref="R38" si="125">(R37/Q37)-1</f>
        <v>2.511996483059864E-2</v>
      </c>
      <c r="S38" s="1402">
        <f t="shared" ref="S38" si="126">(S37/R37)-1</f>
        <v>2.5118974180717624E-2</v>
      </c>
      <c r="T38" s="1402">
        <f t="shared" ref="T38" si="127">(T37/S37)-1</f>
        <v>2.5118020110634243E-2</v>
      </c>
      <c r="U38" s="1402">
        <f t="shared" ref="U38" si="128">(U37/T37)-1</f>
        <v>2.5117101420045307E-2</v>
      </c>
      <c r="V38" s="1402">
        <f t="shared" ref="V38" si="129">(V37/U37)-1</f>
        <v>2.5116216945704206E-2</v>
      </c>
      <c r="W38" s="1402">
        <f t="shared" ref="W38" si="130">(W37/V37)-1</f>
        <v>2.5115365560309799E-2</v>
      </c>
      <c r="X38" s="1402">
        <f t="shared" ref="X38" si="131">(X37/W37)-1</f>
        <v>2.5114546171428609E-2</v>
      </c>
      <c r="Y38" s="1402">
        <f t="shared" ref="Y38" si="132">(Y37/X37)-1</f>
        <v>2.511375772045632E-2</v>
      </c>
      <c r="Z38" s="1402">
        <f t="shared" ref="Z38" si="133">(Z37/Y37)-1</f>
        <v>2.5112999181599038E-2</v>
      </c>
      <c r="AA38" s="1418"/>
      <c r="AB38" s="1452"/>
    </row>
    <row r="39" spans="1:38">
      <c r="C39" s="13"/>
      <c r="D39" s="278"/>
      <c r="E39" s="278"/>
      <c r="F39" s="278"/>
      <c r="G39" s="812"/>
      <c r="H39" s="169"/>
      <c r="I39" s="169"/>
      <c r="J39" s="169"/>
      <c r="K39" s="137"/>
      <c r="L39" s="137"/>
      <c r="M39" s="137"/>
      <c r="N39" s="137"/>
      <c r="O39" s="137"/>
      <c r="P39" s="137"/>
      <c r="Q39" s="137"/>
      <c r="R39" s="137"/>
      <c r="S39" s="137"/>
      <c r="T39" s="137"/>
      <c r="U39" s="137"/>
      <c r="V39" s="137"/>
      <c r="W39" s="137"/>
      <c r="X39" s="137"/>
      <c r="Y39" s="137"/>
      <c r="Z39" s="137"/>
      <c r="AA39" s="812"/>
      <c r="AB39" s="369"/>
      <c r="AG39" s="18"/>
      <c r="AH39" s="18"/>
      <c r="AI39" s="18"/>
      <c r="AJ39" s="18"/>
      <c r="AK39" s="18"/>
      <c r="AL39" s="18"/>
    </row>
    <row r="40" spans="1:38" s="235" customFormat="1" ht="20">
      <c r="A40" s="6"/>
      <c r="B40" s="6"/>
      <c r="C40" s="102"/>
      <c r="D40" s="838"/>
      <c r="E40" s="838"/>
      <c r="F40" s="838"/>
      <c r="G40" s="701" t="s">
        <v>515</v>
      </c>
      <c r="AA40" s="701"/>
      <c r="AB40" s="806"/>
      <c r="AG40" s="171"/>
      <c r="AH40" s="171"/>
      <c r="AI40" s="171"/>
      <c r="AJ40" s="1218" t="s">
        <v>1727</v>
      </c>
      <c r="AK40" s="171"/>
      <c r="AL40" s="171"/>
    </row>
    <row r="41" spans="1:38" s="169" customFormat="1" ht="14">
      <c r="A41" s="7"/>
      <c r="B41" s="7"/>
      <c r="C41" s="117"/>
      <c r="D41" s="439"/>
      <c r="E41" s="439"/>
      <c r="F41" s="439"/>
      <c r="G41" s="378" t="s">
        <v>31</v>
      </c>
      <c r="H41" s="807">
        <v>0</v>
      </c>
      <c r="I41" s="807">
        <v>0</v>
      </c>
      <c r="J41" s="807">
        <v>0</v>
      </c>
      <c r="K41" s="807">
        <v>0</v>
      </c>
      <c r="L41" s="807">
        <v>0</v>
      </c>
      <c r="M41" s="807">
        <v>0</v>
      </c>
      <c r="N41" s="807">
        <v>0</v>
      </c>
      <c r="O41" s="807">
        <v>0</v>
      </c>
      <c r="P41" s="807">
        <v>0</v>
      </c>
      <c r="AA41" s="378"/>
      <c r="AB41" s="368"/>
      <c r="AG41" s="997"/>
      <c r="AH41" s="997"/>
      <c r="AI41" s="997"/>
      <c r="AJ41" s="997"/>
      <c r="AK41" s="997"/>
      <c r="AL41" s="998"/>
    </row>
    <row r="42" spans="1:38" s="169" customFormat="1" ht="14">
      <c r="A42" s="7"/>
      <c r="B42" s="7"/>
      <c r="C42" s="117"/>
      <c r="D42" s="439"/>
      <c r="E42" s="439"/>
      <c r="F42" s="439"/>
      <c r="G42" s="378" t="s">
        <v>32</v>
      </c>
      <c r="H42" s="807">
        <v>0</v>
      </c>
      <c r="I42" s="807">
        <v>0</v>
      </c>
      <c r="J42" s="807">
        <v>-420</v>
      </c>
      <c r="K42" s="807">
        <v>0</v>
      </c>
      <c r="L42" s="807">
        <v>0</v>
      </c>
      <c r="M42" s="807">
        <v>0</v>
      </c>
      <c r="N42" s="807">
        <v>0</v>
      </c>
      <c r="O42" s="807">
        <v>0</v>
      </c>
      <c r="P42" s="807">
        <v>0</v>
      </c>
      <c r="AA42" s="378"/>
      <c r="AB42" s="368"/>
      <c r="AG42" s="333"/>
      <c r="AH42" s="333"/>
      <c r="AI42" s="333"/>
      <c r="AJ42" s="333"/>
      <c r="AK42" s="333"/>
      <c r="AL42" s="333"/>
    </row>
    <row r="43" spans="1:38" s="169" customFormat="1" ht="14">
      <c r="A43" s="7"/>
      <c r="B43" s="7"/>
      <c r="C43" s="117"/>
      <c r="D43" s="439"/>
      <c r="E43" s="439"/>
      <c r="F43" s="439"/>
      <c r="G43" s="378" t="s">
        <v>516</v>
      </c>
      <c r="H43" s="807">
        <f>SUM(H41:H42)</f>
        <v>0</v>
      </c>
      <c r="I43" s="807">
        <f t="shared" ref="I43:J43" si="134">SUM(I41:I42)</f>
        <v>0</v>
      </c>
      <c r="J43" s="807">
        <f t="shared" si="134"/>
        <v>-420</v>
      </c>
      <c r="K43" s="807">
        <v>0</v>
      </c>
      <c r="L43" s="807">
        <v>0</v>
      </c>
      <c r="M43" s="807">
        <v>0</v>
      </c>
      <c r="N43" s="807">
        <v>0</v>
      </c>
      <c r="O43" s="807">
        <v>0</v>
      </c>
      <c r="P43" s="807">
        <v>0</v>
      </c>
      <c r="AA43" s="378"/>
      <c r="AB43" s="368"/>
      <c r="AG43" s="333"/>
      <c r="AH43" s="1005"/>
      <c r="AI43" s="333"/>
      <c r="AJ43" s="333"/>
      <c r="AK43" s="333"/>
      <c r="AL43" s="333"/>
    </row>
    <row r="44" spans="1:38" s="235" customFormat="1" ht="14">
      <c r="A44" s="6"/>
      <c r="B44" s="6"/>
      <c r="C44" s="102"/>
      <c r="D44" s="838"/>
      <c r="E44" s="838"/>
      <c r="F44" s="838"/>
      <c r="G44" s="701" t="s">
        <v>467</v>
      </c>
      <c r="H44" s="816">
        <f>H43+H37</f>
        <v>9941</v>
      </c>
      <c r="I44" s="816">
        <f t="shared" ref="I44:K44" si="135">I43+I37</f>
        <v>15732</v>
      </c>
      <c r="J44" s="816">
        <f t="shared" si="135"/>
        <v>22787</v>
      </c>
      <c r="K44" s="816">
        <f t="shared" si="135"/>
        <v>23680.055657142857</v>
      </c>
      <c r="L44" s="816">
        <f t="shared" ref="L44:P44" si="136">L43+L37</f>
        <v>24119.353307777616</v>
      </c>
      <c r="M44" s="816">
        <f t="shared" si="136"/>
        <v>24856.706271140712</v>
      </c>
      <c r="N44" s="816">
        <f t="shared" si="136"/>
        <v>25936.481609254322</v>
      </c>
      <c r="O44" s="816">
        <f t="shared" si="136"/>
        <v>26924.91250221376</v>
      </c>
      <c r="P44" s="816">
        <f t="shared" si="136"/>
        <v>27805.883184942108</v>
      </c>
      <c r="AA44" s="701"/>
      <c r="AB44" s="806"/>
      <c r="AG44" s="333"/>
      <c r="AH44" s="1005"/>
      <c r="AI44" s="333"/>
      <c r="AJ44" s="333"/>
      <c r="AK44" s="333"/>
      <c r="AL44" s="333"/>
    </row>
    <row r="45" spans="1:38" s="169" customFormat="1" ht="14">
      <c r="A45" s="7"/>
      <c r="B45" s="7"/>
      <c r="C45" s="117"/>
      <c r="D45" s="439"/>
      <c r="E45" s="439"/>
      <c r="F45" s="439"/>
      <c r="G45" s="378"/>
      <c r="H45" s="807"/>
      <c r="I45" s="807"/>
      <c r="J45" s="807"/>
      <c r="K45" s="807"/>
      <c r="L45" s="807"/>
      <c r="M45" s="807"/>
      <c r="N45" s="807"/>
      <c r="O45" s="807"/>
      <c r="P45" s="807"/>
      <c r="AA45" s="378"/>
      <c r="AB45" s="368"/>
      <c r="AG45" s="333"/>
      <c r="AH45" s="1005"/>
      <c r="AI45" s="333"/>
      <c r="AJ45" s="333"/>
      <c r="AK45" s="333"/>
      <c r="AL45" s="333"/>
    </row>
    <row r="46" spans="1:38" s="169" customFormat="1" ht="14">
      <c r="A46" s="7"/>
      <c r="B46" s="7"/>
      <c r="C46" s="117"/>
      <c r="D46" s="439"/>
      <c r="E46" s="439"/>
      <c r="F46" s="439"/>
      <c r="G46" s="378"/>
      <c r="H46" s="807"/>
      <c r="I46" s="807"/>
      <c r="J46" s="807"/>
      <c r="K46" s="807"/>
      <c r="L46" s="807"/>
      <c r="M46" s="807"/>
      <c r="N46" s="807"/>
      <c r="O46" s="807"/>
      <c r="P46" s="807"/>
      <c r="AA46" s="378"/>
      <c r="AB46" s="368"/>
      <c r="AG46" s="107"/>
      <c r="AH46" s="107"/>
      <c r="AI46" s="107"/>
      <c r="AJ46" s="107"/>
      <c r="AK46" s="107"/>
      <c r="AL46" s="107"/>
    </row>
    <row r="47" spans="1:38" s="235" customFormat="1" ht="14">
      <c r="A47" s="6"/>
      <c r="B47" s="6"/>
      <c r="C47" s="102"/>
      <c r="D47" s="838"/>
      <c r="E47" s="838"/>
      <c r="F47" s="838"/>
      <c r="G47" s="701" t="s">
        <v>520</v>
      </c>
      <c r="H47" s="816"/>
      <c r="I47" s="816"/>
      <c r="J47" s="816"/>
      <c r="K47" s="816"/>
      <c r="L47" s="816"/>
      <c r="M47" s="816"/>
      <c r="N47" s="816"/>
      <c r="O47" s="816"/>
      <c r="P47" s="816"/>
      <c r="AA47" s="701"/>
      <c r="AB47" s="806"/>
      <c r="AG47" s="131"/>
      <c r="AH47" s="131"/>
      <c r="AI47" s="131"/>
      <c r="AJ47" s="131"/>
      <c r="AK47" s="131"/>
      <c r="AL47" s="131"/>
    </row>
    <row r="48" spans="1:38" s="169" customFormat="1" ht="14">
      <c r="A48" s="7"/>
      <c r="B48" s="7"/>
      <c r="C48" s="117"/>
      <c r="D48" s="439"/>
      <c r="E48" s="439"/>
      <c r="F48" s="439"/>
      <c r="G48" s="378" t="s">
        <v>517</v>
      </c>
      <c r="H48" s="807">
        <v>5187</v>
      </c>
      <c r="I48" s="807">
        <v>7982</v>
      </c>
      <c r="J48" s="807">
        <v>11758</v>
      </c>
      <c r="K48" s="807">
        <f>K44-K49</f>
        <v>22022.451761142856</v>
      </c>
      <c r="L48" s="807">
        <f t="shared" ref="L48:P48" si="137">L44-L49</f>
        <v>24119.353307777616</v>
      </c>
      <c r="M48" s="807">
        <f t="shared" si="137"/>
        <v>24856.706271140712</v>
      </c>
      <c r="N48" s="807">
        <f t="shared" si="137"/>
        <v>25936.481609254322</v>
      </c>
      <c r="O48" s="807">
        <f t="shared" si="137"/>
        <v>26924.91250221376</v>
      </c>
      <c r="P48" s="807">
        <f t="shared" si="137"/>
        <v>27805.883184942108</v>
      </c>
      <c r="Q48" s="298"/>
      <c r="R48" s="298"/>
      <c r="S48" s="298"/>
      <c r="T48" s="298"/>
      <c r="U48" s="298"/>
      <c r="V48" s="298"/>
      <c r="W48" s="298"/>
      <c r="X48" s="298"/>
      <c r="Y48" s="298"/>
      <c r="Z48" s="298"/>
      <c r="AA48" s="300"/>
      <c r="AB48" s="799"/>
      <c r="AG48" s="130"/>
      <c r="AH48" s="130"/>
      <c r="AI48" s="130"/>
      <c r="AJ48" s="130"/>
      <c r="AK48" s="130"/>
      <c r="AL48" s="130"/>
    </row>
    <row r="49" spans="1:38" s="169" customFormat="1" ht="14">
      <c r="A49" s="7"/>
      <c r="B49" s="7"/>
      <c r="C49" s="117"/>
      <c r="D49" s="439"/>
      <c r="E49" s="439"/>
      <c r="F49" s="439"/>
      <c r="G49" s="378" t="s">
        <v>518</v>
      </c>
      <c r="H49" s="807">
        <v>4754</v>
      </c>
      <c r="I49" s="807">
        <v>7750</v>
      </c>
      <c r="J49" s="807">
        <v>11449</v>
      </c>
      <c r="K49" s="807">
        <f>K50*K44</f>
        <v>1657.6038960000001</v>
      </c>
      <c r="L49" s="807">
        <f t="shared" ref="L49:P49" si="138">L50*L44</f>
        <v>0</v>
      </c>
      <c r="M49" s="807">
        <f t="shared" si="138"/>
        <v>0</v>
      </c>
      <c r="N49" s="807">
        <f t="shared" si="138"/>
        <v>0</v>
      </c>
      <c r="O49" s="807">
        <f t="shared" si="138"/>
        <v>0</v>
      </c>
      <c r="P49" s="807">
        <f t="shared" si="138"/>
        <v>0</v>
      </c>
      <c r="Q49" s="298"/>
      <c r="R49" s="298"/>
      <c r="S49" s="298"/>
      <c r="T49" s="298"/>
      <c r="U49" s="298"/>
      <c r="V49" s="298"/>
      <c r="W49" s="298"/>
      <c r="X49" s="298"/>
      <c r="Y49" s="298"/>
      <c r="Z49" s="298"/>
      <c r="AA49" s="300"/>
      <c r="AB49" s="799"/>
      <c r="AG49" s="107"/>
      <c r="AH49" s="107"/>
      <c r="AI49" s="107"/>
      <c r="AJ49" s="107"/>
      <c r="AK49" s="107"/>
      <c r="AL49" s="107"/>
    </row>
    <row r="50" spans="1:38" s="216" customFormat="1" ht="14">
      <c r="A50" s="165"/>
      <c r="B50" s="165"/>
      <c r="C50" s="118"/>
      <c r="D50" s="414"/>
      <c r="E50" s="414"/>
      <c r="F50" s="414"/>
      <c r="G50" s="720" t="s">
        <v>929</v>
      </c>
      <c r="H50" s="1019">
        <f>H49/H51</f>
        <v>0.47822150689065485</v>
      </c>
      <c r="I50" s="1019">
        <f t="shared" ref="I50:J50" si="139">I49/I51</f>
        <v>0.49262649377065854</v>
      </c>
      <c r="J50" s="1019">
        <f t="shared" si="139"/>
        <v>0.49334252596199424</v>
      </c>
      <c r="K50" s="1019">
        <v>7.0000000000000007E-2</v>
      </c>
      <c r="L50" s="1019">
        <v>0</v>
      </c>
      <c r="M50" s="1019">
        <v>0</v>
      </c>
      <c r="N50" s="1019">
        <v>0</v>
      </c>
      <c r="O50" s="1019">
        <v>0</v>
      </c>
      <c r="P50" s="1019">
        <v>0</v>
      </c>
      <c r="Q50" s="238"/>
      <c r="R50" s="238"/>
      <c r="S50" s="238"/>
      <c r="T50" s="238"/>
      <c r="U50" s="238"/>
      <c r="V50" s="238"/>
      <c r="W50" s="238"/>
      <c r="X50" s="238"/>
      <c r="Y50" s="238"/>
      <c r="Z50" s="238"/>
      <c r="AA50" s="991"/>
      <c r="AB50" s="686"/>
      <c r="AG50" s="107"/>
      <c r="AH50" s="107"/>
      <c r="AI50" s="107"/>
      <c r="AJ50" s="107"/>
      <c r="AK50" s="107"/>
      <c r="AL50" s="107"/>
    </row>
    <row r="51" spans="1:38" s="235" customFormat="1" ht="14">
      <c r="A51" s="6"/>
      <c r="B51" s="6"/>
      <c r="C51" s="102"/>
      <c r="D51" s="838"/>
      <c r="E51" s="838"/>
      <c r="F51" s="838"/>
      <c r="G51" s="701"/>
      <c r="H51" s="816">
        <f>H48+H49</f>
        <v>9941</v>
      </c>
      <c r="I51" s="816">
        <f t="shared" ref="I51:J51" si="140">I48+I49</f>
        <v>15732</v>
      </c>
      <c r="J51" s="816">
        <f t="shared" si="140"/>
        <v>23207</v>
      </c>
      <c r="K51" s="816">
        <f>K48+K49</f>
        <v>23680.055657142857</v>
      </c>
      <c r="L51" s="816">
        <f t="shared" ref="L51:P51" si="141">L48+L49</f>
        <v>24119.353307777616</v>
      </c>
      <c r="M51" s="816">
        <f t="shared" si="141"/>
        <v>24856.706271140712</v>
      </c>
      <c r="N51" s="816">
        <f t="shared" si="141"/>
        <v>25936.481609254322</v>
      </c>
      <c r="O51" s="816">
        <f t="shared" si="141"/>
        <v>26924.91250221376</v>
      </c>
      <c r="P51" s="1066">
        <f t="shared" si="141"/>
        <v>27805.883184942108</v>
      </c>
      <c r="Q51" s="372"/>
      <c r="R51" s="372"/>
      <c r="S51" s="372"/>
      <c r="T51" s="372"/>
      <c r="U51" s="372"/>
      <c r="V51" s="372"/>
      <c r="W51" s="372"/>
      <c r="X51" s="372"/>
      <c r="Y51" s="372"/>
      <c r="Z51" s="372"/>
      <c r="AA51" s="990"/>
      <c r="AB51" s="839"/>
      <c r="AG51" s="163"/>
      <c r="AH51" s="163"/>
      <c r="AI51" s="163"/>
      <c r="AJ51" s="163"/>
      <c r="AK51" s="163"/>
      <c r="AL51" s="163"/>
    </row>
    <row r="52" spans="1:38" s="235" customFormat="1" ht="14">
      <c r="A52" s="6"/>
      <c r="B52" s="6"/>
      <c r="C52" s="102"/>
      <c r="D52" s="838"/>
      <c r="E52" s="838"/>
      <c r="F52" s="838"/>
      <c r="G52" s="701"/>
      <c r="H52" s="816"/>
      <c r="I52" s="816"/>
      <c r="J52" s="816"/>
      <c r="K52" s="816"/>
      <c r="L52" s="816"/>
      <c r="M52" s="816"/>
      <c r="N52" s="816"/>
      <c r="O52" s="816"/>
      <c r="P52" s="816"/>
      <c r="AA52" s="701"/>
      <c r="AB52" s="806"/>
      <c r="AG52" s="163"/>
      <c r="AH52" s="163"/>
      <c r="AI52" s="163"/>
      <c r="AJ52" s="163"/>
      <c r="AK52" s="163"/>
      <c r="AL52" s="163"/>
    </row>
    <row r="53" spans="1:38" s="235" customFormat="1" ht="14">
      <c r="A53" s="6"/>
      <c r="B53" s="6"/>
      <c r="C53" s="102"/>
      <c r="D53" s="838"/>
      <c r="E53" s="838"/>
      <c r="F53" s="838"/>
      <c r="G53" s="701" t="s">
        <v>519</v>
      </c>
      <c r="H53" s="816"/>
      <c r="I53" s="816"/>
      <c r="J53" s="816"/>
      <c r="K53" s="816"/>
      <c r="L53" s="816"/>
      <c r="M53" s="816"/>
      <c r="N53" s="816"/>
      <c r="O53" s="816"/>
      <c r="P53" s="816"/>
      <c r="AA53" s="701"/>
      <c r="AB53" s="806"/>
      <c r="AG53" s="291"/>
      <c r="AH53" s="291"/>
      <c r="AI53" s="291"/>
      <c r="AJ53" s="291"/>
      <c r="AK53" s="291"/>
      <c r="AL53" s="291"/>
    </row>
    <row r="54" spans="1:38" s="169" customFormat="1">
      <c r="A54" s="7"/>
      <c r="B54" s="7"/>
      <c r="C54" s="117"/>
      <c r="D54" s="439"/>
      <c r="E54" s="439"/>
      <c r="F54" s="439"/>
      <c r="G54" s="378" t="s">
        <v>517</v>
      </c>
      <c r="H54" s="807">
        <v>5187</v>
      </c>
      <c r="I54" s="807">
        <v>7982</v>
      </c>
      <c r="J54" s="807">
        <v>11758</v>
      </c>
      <c r="K54" s="807">
        <f>K48</f>
        <v>22022.451761142856</v>
      </c>
      <c r="L54" s="807">
        <f t="shared" ref="L54:P54" si="142">L48</f>
        <v>24119.353307777616</v>
      </c>
      <c r="M54" s="807">
        <f t="shared" si="142"/>
        <v>24856.706271140712</v>
      </c>
      <c r="N54" s="807">
        <f t="shared" si="142"/>
        <v>25936.481609254322</v>
      </c>
      <c r="O54" s="807">
        <f t="shared" si="142"/>
        <v>26924.91250221376</v>
      </c>
      <c r="P54" s="807">
        <f t="shared" si="142"/>
        <v>27805.883184942108</v>
      </c>
      <c r="Q54" s="298"/>
      <c r="R54" s="298"/>
      <c r="S54" s="298"/>
      <c r="T54" s="298"/>
      <c r="U54" s="298"/>
      <c r="V54" s="298"/>
      <c r="W54" s="298"/>
      <c r="X54" s="298"/>
      <c r="Y54" s="298"/>
      <c r="Z54" s="298"/>
      <c r="AA54" s="300"/>
      <c r="AB54" s="799"/>
      <c r="AG54" s="190" t="s">
        <v>1658</v>
      </c>
      <c r="AH54" s="107"/>
      <c r="AI54" s="107"/>
      <c r="AJ54" s="107"/>
      <c r="AK54" s="107"/>
      <c r="AL54" s="107"/>
    </row>
    <row r="55" spans="1:38" s="169" customFormat="1" ht="14">
      <c r="A55" s="7"/>
      <c r="B55" s="7"/>
      <c r="C55" s="117"/>
      <c r="D55" s="439"/>
      <c r="E55" s="439"/>
      <c r="F55" s="439"/>
      <c r="G55" s="378" t="s">
        <v>518</v>
      </c>
      <c r="H55" s="807">
        <v>4754</v>
      </c>
      <c r="I55" s="807">
        <v>7750</v>
      </c>
      <c r="J55" s="807">
        <v>11449</v>
      </c>
      <c r="K55" s="807">
        <f>K49</f>
        <v>1657.6038960000001</v>
      </c>
      <c r="L55" s="807">
        <f t="shared" ref="L55:P55" si="143">L49</f>
        <v>0</v>
      </c>
      <c r="M55" s="807">
        <f t="shared" si="143"/>
        <v>0</v>
      </c>
      <c r="N55" s="807">
        <f t="shared" si="143"/>
        <v>0</v>
      </c>
      <c r="O55" s="807">
        <f t="shared" si="143"/>
        <v>0</v>
      </c>
      <c r="P55" s="807">
        <f t="shared" si="143"/>
        <v>0</v>
      </c>
      <c r="Q55" s="298"/>
      <c r="R55" s="298"/>
      <c r="S55" s="298"/>
      <c r="T55" s="298"/>
      <c r="U55" s="298"/>
      <c r="V55" s="298"/>
      <c r="W55" s="298"/>
      <c r="X55" s="298"/>
      <c r="Y55" s="298"/>
      <c r="Z55" s="298"/>
      <c r="AA55" s="300"/>
      <c r="AB55" s="799"/>
      <c r="AG55" s="107"/>
      <c r="AH55" s="107"/>
      <c r="AI55" s="107"/>
      <c r="AJ55" s="107"/>
      <c r="AK55" s="107"/>
      <c r="AL55" s="107"/>
    </row>
    <row r="56" spans="1:38" s="235" customFormat="1" ht="20">
      <c r="A56" s="6"/>
      <c r="B56" s="6"/>
      <c r="C56" s="102"/>
      <c r="D56" s="838"/>
      <c r="E56" s="838"/>
      <c r="F56" s="838"/>
      <c r="G56" s="701"/>
      <c r="H56" s="816">
        <f>H54+H55</f>
        <v>9941</v>
      </c>
      <c r="I56" s="816">
        <f t="shared" ref="I56:P56" si="144">I54+I55</f>
        <v>15732</v>
      </c>
      <c r="J56" s="816">
        <f t="shared" si="144"/>
        <v>23207</v>
      </c>
      <c r="K56" s="816">
        <f t="shared" si="144"/>
        <v>23680.055657142857</v>
      </c>
      <c r="L56" s="816">
        <f t="shared" si="144"/>
        <v>24119.353307777616</v>
      </c>
      <c r="M56" s="816">
        <f t="shared" si="144"/>
        <v>24856.706271140712</v>
      </c>
      <c r="N56" s="816">
        <f t="shared" si="144"/>
        <v>25936.481609254322</v>
      </c>
      <c r="O56" s="816">
        <f t="shared" si="144"/>
        <v>26924.91250221376</v>
      </c>
      <c r="P56" s="816">
        <f t="shared" si="144"/>
        <v>27805.883184942108</v>
      </c>
      <c r="Q56" s="372"/>
      <c r="R56" s="372"/>
      <c r="S56" s="372"/>
      <c r="T56" s="372"/>
      <c r="U56" s="372"/>
      <c r="V56" s="372"/>
      <c r="W56" s="372"/>
      <c r="X56" s="372"/>
      <c r="Y56" s="372"/>
      <c r="Z56" s="372"/>
      <c r="AA56" s="990"/>
      <c r="AB56" s="839"/>
      <c r="AG56" s="1218" t="s">
        <v>1814</v>
      </c>
      <c r="AH56" s="163"/>
      <c r="AI56" s="163"/>
      <c r="AJ56" s="163"/>
      <c r="AK56" s="163"/>
      <c r="AL56" s="163"/>
    </row>
    <row r="57" spans="1:38" s="235" customFormat="1" ht="14">
      <c r="A57" s="6"/>
      <c r="B57" s="6"/>
      <c r="C57" s="102"/>
      <c r="D57" s="838"/>
      <c r="E57" s="838"/>
      <c r="F57" s="838"/>
      <c r="G57" s="701"/>
      <c r="H57" s="816"/>
      <c r="I57" s="816"/>
      <c r="J57" s="816"/>
      <c r="K57" s="816"/>
      <c r="L57" s="816"/>
      <c r="M57" s="816"/>
      <c r="N57" s="816"/>
      <c r="O57" s="816"/>
      <c r="P57" s="816"/>
      <c r="Q57" s="372"/>
      <c r="R57" s="372"/>
      <c r="S57" s="372"/>
      <c r="T57" s="372"/>
      <c r="U57" s="372"/>
      <c r="V57" s="372"/>
      <c r="W57" s="372"/>
      <c r="X57" s="372"/>
      <c r="Y57" s="372"/>
      <c r="Z57" s="372"/>
      <c r="AA57" s="990"/>
      <c r="AB57" s="839"/>
      <c r="AG57" s="163"/>
      <c r="AH57" s="163"/>
      <c r="AI57" s="163"/>
      <c r="AJ57" s="163"/>
      <c r="AK57" s="163"/>
      <c r="AL57" s="163"/>
    </row>
    <row r="58" spans="1:38" s="169" customFormat="1" ht="20">
      <c r="A58" s="7"/>
      <c r="B58" s="7"/>
      <c r="C58" s="117"/>
      <c r="D58" s="439"/>
      <c r="E58" s="439"/>
      <c r="F58" s="439"/>
      <c r="G58" s="378" t="s">
        <v>523</v>
      </c>
      <c r="H58" s="807"/>
      <c r="I58" s="807"/>
      <c r="J58" s="807"/>
      <c r="K58" s="807"/>
      <c r="L58" s="807"/>
      <c r="M58" s="807"/>
      <c r="N58" s="807"/>
      <c r="O58" s="807"/>
      <c r="P58" s="807"/>
      <c r="Q58" s="298"/>
      <c r="R58" s="298"/>
      <c r="S58" s="298"/>
      <c r="T58" s="298"/>
      <c r="U58" s="298"/>
      <c r="V58" s="298"/>
      <c r="W58" s="298"/>
      <c r="X58" s="298"/>
      <c r="Y58" s="298"/>
      <c r="Z58" s="298"/>
      <c r="AA58" s="300"/>
      <c r="AB58" s="799"/>
      <c r="AG58" s="291"/>
      <c r="AH58" s="291"/>
      <c r="AI58" s="291"/>
      <c r="AJ58" s="1218"/>
      <c r="AK58" s="291"/>
      <c r="AL58" s="291"/>
    </row>
    <row r="59" spans="1:38" s="169" customFormat="1" ht="14">
      <c r="A59" s="7"/>
      <c r="B59" s="7"/>
      <c r="C59" s="117"/>
      <c r="D59" s="439"/>
      <c r="E59" s="439"/>
      <c r="F59" s="439"/>
      <c r="G59" s="378" t="s">
        <v>524</v>
      </c>
      <c r="H59" s="807">
        <f>H48</f>
        <v>5187</v>
      </c>
      <c r="I59" s="807">
        <f>I48</f>
        <v>7982</v>
      </c>
      <c r="J59" s="807">
        <f>J48</f>
        <v>11758</v>
      </c>
      <c r="K59" s="807"/>
      <c r="L59" s="807"/>
      <c r="M59" s="807"/>
      <c r="N59" s="807"/>
      <c r="O59" s="807"/>
      <c r="P59" s="807"/>
      <c r="Q59" s="298"/>
      <c r="R59" s="298"/>
      <c r="S59" s="298"/>
      <c r="T59" s="298"/>
      <c r="U59" s="298"/>
      <c r="V59" s="298"/>
      <c r="W59" s="298"/>
      <c r="X59" s="298"/>
      <c r="Y59" s="298"/>
      <c r="Z59" s="298"/>
      <c r="AA59" s="300"/>
      <c r="AB59" s="799"/>
      <c r="AG59" s="107"/>
      <c r="AH59" s="107"/>
      <c r="AI59" s="107"/>
      <c r="AJ59" s="107"/>
      <c r="AK59" s="107"/>
      <c r="AL59" s="107"/>
    </row>
    <row r="60" spans="1:38" s="169" customFormat="1" ht="14">
      <c r="A60" s="7"/>
      <c r="B60" s="7"/>
      <c r="C60" s="117"/>
      <c r="D60" s="439"/>
      <c r="E60" s="439"/>
      <c r="F60" s="439"/>
      <c r="G60" s="378" t="s">
        <v>525</v>
      </c>
      <c r="H60" s="807"/>
      <c r="I60" s="807"/>
      <c r="J60" s="807"/>
      <c r="K60" s="807"/>
      <c r="L60" s="807"/>
      <c r="M60" s="807"/>
      <c r="N60" s="807"/>
      <c r="O60" s="807"/>
      <c r="P60" s="807"/>
      <c r="Q60" s="298"/>
      <c r="R60" s="298"/>
      <c r="S60" s="298"/>
      <c r="T60" s="298"/>
      <c r="U60" s="298"/>
      <c r="V60" s="298"/>
      <c r="W60" s="298"/>
      <c r="X60" s="298"/>
      <c r="Y60" s="298"/>
      <c r="Z60" s="298"/>
      <c r="AA60" s="300"/>
      <c r="AB60" s="799"/>
      <c r="AG60" s="107"/>
      <c r="AH60" s="107"/>
      <c r="AI60" s="107"/>
      <c r="AJ60" s="107"/>
      <c r="AK60" s="107"/>
      <c r="AL60" s="107"/>
    </row>
    <row r="61" spans="1:38" s="169" customFormat="1" ht="14">
      <c r="A61" s="7"/>
      <c r="B61" s="7"/>
      <c r="C61" s="117"/>
      <c r="D61" s="439"/>
      <c r="E61" s="439"/>
      <c r="F61" s="439"/>
      <c r="G61" s="378" t="s">
        <v>495</v>
      </c>
      <c r="H61" s="807">
        <v>65</v>
      </c>
      <c r="I61" s="807"/>
      <c r="J61" s="807">
        <v>10</v>
      </c>
      <c r="K61" s="807"/>
      <c r="L61" s="807"/>
      <c r="M61" s="807"/>
      <c r="N61" s="807"/>
      <c r="O61" s="807"/>
      <c r="P61" s="807"/>
      <c r="Q61" s="298"/>
      <c r="R61" s="298"/>
      <c r="S61" s="298"/>
      <c r="T61" s="298"/>
      <c r="U61" s="298"/>
      <c r="V61" s="298"/>
      <c r="W61" s="298"/>
      <c r="X61" s="298"/>
      <c r="Y61" s="298"/>
      <c r="Z61" s="298"/>
      <c r="AA61" s="300"/>
      <c r="AB61" s="799"/>
      <c r="AG61" s="163"/>
      <c r="AH61" s="163"/>
      <c r="AI61" s="163"/>
      <c r="AJ61" s="163"/>
      <c r="AK61" s="163"/>
      <c r="AL61" s="163"/>
    </row>
    <row r="62" spans="1:38" s="235" customFormat="1" ht="14">
      <c r="A62" s="6"/>
      <c r="B62" s="6"/>
      <c r="C62" s="102"/>
      <c r="D62" s="838"/>
      <c r="E62" s="838"/>
      <c r="F62" s="838"/>
      <c r="G62" s="701" t="s">
        <v>484</v>
      </c>
      <c r="H62" s="816">
        <f>H61+H59</f>
        <v>5252</v>
      </c>
      <c r="I62" s="816">
        <f t="shared" ref="I62:J62" si="145">I61+I59</f>
        <v>7982</v>
      </c>
      <c r="J62" s="816">
        <f t="shared" si="145"/>
        <v>11768</v>
      </c>
      <c r="K62" s="816">
        <f t="shared" ref="K62:P62" si="146">K54</f>
        <v>22022.451761142856</v>
      </c>
      <c r="L62" s="816">
        <f t="shared" si="146"/>
        <v>24119.353307777616</v>
      </c>
      <c r="M62" s="816">
        <f t="shared" si="146"/>
        <v>24856.706271140712</v>
      </c>
      <c r="N62" s="816">
        <f t="shared" si="146"/>
        <v>25936.481609254322</v>
      </c>
      <c r="O62" s="816">
        <f t="shared" si="146"/>
        <v>26924.91250221376</v>
      </c>
      <c r="P62" s="816">
        <f t="shared" si="146"/>
        <v>27805.883184942108</v>
      </c>
      <c r="Q62" s="372"/>
      <c r="R62" s="372"/>
      <c r="S62" s="372"/>
      <c r="T62" s="372"/>
      <c r="U62" s="372"/>
      <c r="V62" s="372"/>
      <c r="W62" s="372"/>
      <c r="X62" s="372"/>
      <c r="Y62" s="372"/>
      <c r="Z62" s="372"/>
      <c r="AA62" s="990"/>
      <c r="AB62" s="839"/>
      <c r="AG62" s="163"/>
      <c r="AH62" s="163"/>
      <c r="AI62" s="163"/>
      <c r="AJ62" s="163"/>
      <c r="AK62" s="163"/>
      <c r="AL62" s="163"/>
    </row>
    <row r="63" spans="1:38" s="241" customFormat="1" ht="14">
      <c r="A63" s="161"/>
      <c r="B63" s="161"/>
      <c r="C63" s="161"/>
      <c r="D63" s="164"/>
      <c r="E63" s="164"/>
      <c r="F63" s="164"/>
      <c r="G63" s="515" t="s">
        <v>832</v>
      </c>
      <c r="I63" s="241">
        <f t="shared" ref="I63:J63" si="147">(I62/H62)-1</f>
        <v>0.51980198019801982</v>
      </c>
      <c r="J63" s="241">
        <f t="shared" si="147"/>
        <v>0.47431721373089442</v>
      </c>
      <c r="K63" s="241">
        <f>(K62/J62)-1</f>
        <v>0.87138441206176553</v>
      </c>
      <c r="L63" s="241">
        <f t="shared" ref="L63:P63" si="148">(L62/K62)-1</f>
        <v>9.5216534897109018E-2</v>
      </c>
      <c r="M63" s="241">
        <f t="shared" si="148"/>
        <v>3.0571008847294801E-2</v>
      </c>
      <c r="N63" s="241">
        <f t="shared" si="148"/>
        <v>4.3440000711890692E-2</v>
      </c>
      <c r="O63" s="241">
        <f t="shared" si="148"/>
        <v>3.8109675315666447E-2</v>
      </c>
      <c r="P63" s="241">
        <f t="shared" si="148"/>
        <v>3.2719537441613378E-2</v>
      </c>
      <c r="AA63" s="515"/>
      <c r="AB63" s="315"/>
      <c r="AG63" s="291"/>
      <c r="AH63" s="291"/>
      <c r="AI63" s="291"/>
      <c r="AJ63" s="291"/>
      <c r="AK63" s="291"/>
      <c r="AL63" s="291"/>
    </row>
    <row r="64" spans="1:38" s="169" customFormat="1" ht="14">
      <c r="A64" s="7"/>
      <c r="B64" s="7"/>
      <c r="C64" s="117"/>
      <c r="D64" s="439"/>
      <c r="E64" s="439"/>
      <c r="F64" s="439"/>
      <c r="G64" s="378"/>
      <c r="AA64" s="378"/>
      <c r="AB64" s="368"/>
      <c r="AG64" s="562"/>
      <c r="AH64" s="562"/>
      <c r="AI64" s="562"/>
      <c r="AJ64" s="562"/>
      <c r="AK64" s="562"/>
      <c r="AL64" s="562"/>
    </row>
    <row r="65" spans="1:38" s="169" customFormat="1">
      <c r="A65" s="7"/>
      <c r="B65" s="7"/>
      <c r="C65" s="117"/>
      <c r="D65" s="439"/>
      <c r="E65" s="439"/>
      <c r="F65" s="439"/>
      <c r="G65" s="378" t="s">
        <v>521</v>
      </c>
      <c r="H65" s="807">
        <v>30368</v>
      </c>
      <c r="I65" s="807">
        <v>46735</v>
      </c>
      <c r="J65" s="807">
        <v>68838</v>
      </c>
      <c r="K65" s="807">
        <f>K54/K69*100</f>
        <v>128931.92161367172</v>
      </c>
      <c r="L65" s="807">
        <f t="shared" ref="L65:P65" si="149">L54/L69*100</f>
        <v>141208.37242735122</v>
      </c>
      <c r="M65" s="807">
        <f t="shared" si="149"/>
        <v>145525.25483013986</v>
      </c>
      <c r="N65" s="807">
        <f>N54/N69*100</f>
        <v>151846.8720035592</v>
      </c>
      <c r="O65" s="807">
        <f t="shared" si="149"/>
        <v>157633.70699331441</v>
      </c>
      <c r="P65" s="807">
        <f t="shared" si="149"/>
        <v>162791.40897134249</v>
      </c>
      <c r="Q65" s="298"/>
      <c r="R65" s="298"/>
      <c r="S65" s="298"/>
      <c r="T65" s="298"/>
      <c r="U65" s="298"/>
      <c r="V65" s="298"/>
      <c r="W65" s="298"/>
      <c r="X65" s="298"/>
      <c r="Y65" s="298"/>
      <c r="Z65" s="298"/>
      <c r="AA65" s="300"/>
      <c r="AB65" s="799"/>
      <c r="AG65" s="18"/>
      <c r="AH65" s="18"/>
      <c r="AI65" s="18"/>
      <c r="AJ65" s="18"/>
      <c r="AK65" s="18"/>
      <c r="AL65" s="18"/>
    </row>
    <row r="66" spans="1:38" s="241" customFormat="1">
      <c r="A66" s="161"/>
      <c r="B66" s="161"/>
      <c r="C66" s="161"/>
      <c r="D66" s="164"/>
      <c r="E66" s="164"/>
      <c r="F66" s="164"/>
      <c r="G66" s="515" t="s">
        <v>832</v>
      </c>
      <c r="I66" s="241">
        <f t="shared" ref="I66" si="150">(I65/H65)-1</f>
        <v>0.5389554794520548</v>
      </c>
      <c r="J66" s="241">
        <f t="shared" ref="J66" si="151">(J65/I65)-1</f>
        <v>0.47294319032844756</v>
      </c>
      <c r="K66" s="241">
        <f>(K65/J65)-1</f>
        <v>0.8729759960148713</v>
      </c>
      <c r="L66" s="241">
        <f t="shared" ref="L66" si="152">(L65/K65)-1</f>
        <v>9.5216534897109018E-2</v>
      </c>
      <c r="M66" s="241">
        <f t="shared" ref="M66" si="153">(M65/L65)-1</f>
        <v>3.0571008847294801E-2</v>
      </c>
      <c r="N66" s="241">
        <f t="shared" ref="N66" si="154">(N65/M65)-1</f>
        <v>4.3440000711890692E-2</v>
      </c>
      <c r="O66" s="241">
        <f t="shared" ref="O66" si="155">(O65/N65)-1</f>
        <v>3.8109675315666447E-2</v>
      </c>
      <c r="P66" s="241">
        <f t="shared" ref="P66" si="156">(P65/O65)-1</f>
        <v>3.27195374416136E-2</v>
      </c>
      <c r="AA66" s="515"/>
      <c r="AB66" s="315"/>
      <c r="AG66" s="18"/>
      <c r="AH66" s="18"/>
      <c r="AI66" s="18"/>
      <c r="AJ66" s="18"/>
      <c r="AK66" s="18"/>
      <c r="AL66" s="18"/>
    </row>
    <row r="67" spans="1:38" s="169" customFormat="1">
      <c r="A67" s="7"/>
      <c r="B67" s="7"/>
      <c r="C67" s="117"/>
      <c r="D67" s="439"/>
      <c r="E67" s="439"/>
      <c r="F67" s="439"/>
      <c r="G67" s="378" t="s">
        <v>522</v>
      </c>
      <c r="H67" s="807">
        <v>30749</v>
      </c>
      <c r="I67" s="807">
        <v>46735</v>
      </c>
      <c r="J67" s="807">
        <v>68896</v>
      </c>
      <c r="K67" s="807">
        <f t="shared" ref="K67:P67" si="157">K62/K69*100</f>
        <v>128931.92161367172</v>
      </c>
      <c r="L67" s="807">
        <f t="shared" si="157"/>
        <v>141208.37242735122</v>
      </c>
      <c r="M67" s="807">
        <f t="shared" si="157"/>
        <v>145525.25483013986</v>
      </c>
      <c r="N67" s="807">
        <f t="shared" si="157"/>
        <v>151846.8720035592</v>
      </c>
      <c r="O67" s="807">
        <f t="shared" si="157"/>
        <v>157633.70699331441</v>
      </c>
      <c r="P67" s="807">
        <f t="shared" si="157"/>
        <v>162791.40897134249</v>
      </c>
      <c r="Q67" s="298"/>
      <c r="R67" s="298"/>
      <c r="S67" s="298"/>
      <c r="T67" s="298"/>
      <c r="U67" s="298"/>
      <c r="V67" s="298"/>
      <c r="W67" s="298"/>
      <c r="X67" s="298"/>
      <c r="Y67" s="298"/>
      <c r="Z67" s="298"/>
      <c r="AA67" s="300"/>
      <c r="AB67" s="799"/>
      <c r="AG67" s="171"/>
      <c r="AH67" s="171"/>
      <c r="AI67" s="171"/>
      <c r="AJ67" s="171"/>
      <c r="AK67" s="171"/>
      <c r="AL67" s="171"/>
    </row>
    <row r="68" spans="1:38" s="241" customFormat="1" ht="20">
      <c r="A68" s="161"/>
      <c r="B68" s="161"/>
      <c r="C68" s="161"/>
      <c r="D68" s="164"/>
      <c r="E68" s="164"/>
      <c r="F68" s="164"/>
      <c r="G68" s="515" t="s">
        <v>832</v>
      </c>
      <c r="I68" s="241">
        <f t="shared" ref="I68" si="158">(I67/H67)-1</f>
        <v>0.51988682558782395</v>
      </c>
      <c r="J68" s="241">
        <f t="shared" ref="J68" si="159">(J67/I67)-1</f>
        <v>0.47418423023429979</v>
      </c>
      <c r="K68" s="241">
        <f>(K67/J67)-1</f>
        <v>0.87139923382593643</v>
      </c>
      <c r="L68" s="241">
        <f t="shared" ref="L68" si="160">(L67/K67)-1</f>
        <v>9.5216534897109018E-2</v>
      </c>
      <c r="M68" s="241">
        <f t="shared" ref="M68" si="161">(M67/L67)-1</f>
        <v>3.0571008847294801E-2</v>
      </c>
      <c r="N68" s="241">
        <f t="shared" ref="N68" si="162">(N67/M67)-1</f>
        <v>4.3440000711890692E-2</v>
      </c>
      <c r="O68" s="241">
        <f t="shared" ref="O68" si="163">(O67/N67)-1</f>
        <v>3.8109675315666447E-2</v>
      </c>
      <c r="P68" s="241">
        <f t="shared" ref="P68" si="164">(P67/O67)-1</f>
        <v>3.27195374416136E-2</v>
      </c>
      <c r="AA68" s="515"/>
      <c r="AB68" s="315"/>
      <c r="AG68" s="999"/>
      <c r="AH68" s="999"/>
      <c r="AI68" s="999"/>
      <c r="AJ68" s="1316" t="s">
        <v>1726</v>
      </c>
      <c r="AK68" s="999"/>
      <c r="AL68" s="999"/>
    </row>
    <row r="69" spans="1:38" s="169" customFormat="1" thickBot="1">
      <c r="A69" s="7"/>
      <c r="B69" s="7"/>
      <c r="C69" s="117"/>
      <c r="D69" s="439"/>
      <c r="E69" s="439"/>
      <c r="F69" s="439"/>
      <c r="G69" s="804" t="s">
        <v>1117</v>
      </c>
      <c r="H69" s="835">
        <f>H54/(H65/100)</f>
        <v>17.080479452054796</v>
      </c>
      <c r="I69" s="835">
        <f t="shared" ref="I69:J69" si="165">I54/(I65/100)</f>
        <v>17.079276773296243</v>
      </c>
      <c r="J69" s="835">
        <f t="shared" si="165"/>
        <v>17.080682181353321</v>
      </c>
      <c r="K69" s="835">
        <f>J69</f>
        <v>17.080682181353321</v>
      </c>
      <c r="L69" s="835">
        <f t="shared" ref="L69:P69" si="166">K69</f>
        <v>17.080682181353321</v>
      </c>
      <c r="M69" s="835">
        <f t="shared" si="166"/>
        <v>17.080682181353321</v>
      </c>
      <c r="N69" s="835">
        <f>M69</f>
        <v>17.080682181353321</v>
      </c>
      <c r="O69" s="835">
        <f t="shared" si="166"/>
        <v>17.080682181353321</v>
      </c>
      <c r="P69" s="835">
        <f t="shared" si="166"/>
        <v>17.080682181353321</v>
      </c>
      <c r="Q69" s="835"/>
      <c r="R69" s="835"/>
      <c r="S69" s="835"/>
      <c r="T69" s="835"/>
      <c r="U69" s="835"/>
      <c r="V69" s="835"/>
      <c r="W69" s="835"/>
      <c r="X69" s="835"/>
      <c r="Y69" s="835"/>
      <c r="Z69" s="835"/>
      <c r="AA69" s="992"/>
      <c r="AB69" s="836"/>
      <c r="AG69" s="1015"/>
      <c r="AH69" s="1015"/>
      <c r="AI69" s="1015"/>
      <c r="AJ69" s="1015"/>
      <c r="AK69" s="1015"/>
      <c r="AL69" s="1015"/>
    </row>
    <row r="70" spans="1:38" s="169" customFormat="1" ht="14">
      <c r="A70" s="7"/>
      <c r="B70" s="7"/>
      <c r="C70" s="117"/>
      <c r="D70" s="439"/>
      <c r="E70" s="439"/>
      <c r="F70" s="439"/>
      <c r="G70" s="697"/>
      <c r="H70" s="301"/>
      <c r="I70" s="301"/>
      <c r="J70" s="301"/>
      <c r="K70" s="301"/>
      <c r="L70" s="301"/>
      <c r="M70" s="301"/>
      <c r="N70" s="301"/>
      <c r="O70" s="301"/>
      <c r="P70" s="301"/>
      <c r="Q70" s="301"/>
      <c r="R70" s="301"/>
      <c r="S70" s="301"/>
      <c r="T70" s="301"/>
      <c r="U70" s="301"/>
      <c r="V70" s="301"/>
      <c r="W70" s="301"/>
      <c r="X70" s="301"/>
      <c r="Y70" s="301"/>
      <c r="Z70" s="301"/>
      <c r="AA70" s="298"/>
      <c r="AB70" s="298"/>
    </row>
    <row r="71" spans="1:38">
      <c r="G71" s="18"/>
      <c r="H71" s="18"/>
      <c r="I71" s="18"/>
      <c r="J71" s="18"/>
      <c r="K71" s="18"/>
      <c r="L71" s="18"/>
      <c r="M71" s="18"/>
      <c r="N71" s="18"/>
      <c r="O71" s="18"/>
      <c r="P71" s="18"/>
      <c r="Q71" s="18"/>
      <c r="R71" s="18"/>
      <c r="S71" s="18"/>
      <c r="T71" s="18"/>
      <c r="U71" s="18"/>
      <c r="V71" s="18"/>
      <c r="W71" s="18"/>
      <c r="X71" s="18"/>
      <c r="Y71" s="18"/>
      <c r="Z71" s="18"/>
      <c r="AA71" s="137"/>
      <c r="AB71" s="137"/>
    </row>
    <row r="72" spans="1:38" ht="16" thickBot="1">
      <c r="C72" s="13"/>
      <c r="D72" s="278"/>
      <c r="E72" s="278"/>
      <c r="F72" s="278"/>
      <c r="G72" s="18"/>
      <c r="H72" s="163"/>
      <c r="I72" s="163"/>
      <c r="J72" s="163"/>
      <c r="K72" s="18"/>
      <c r="L72" s="18"/>
      <c r="M72" s="18"/>
      <c r="N72" s="18"/>
      <c r="O72" s="18"/>
      <c r="P72" s="18"/>
      <c r="Q72" s="18"/>
      <c r="R72" s="18"/>
      <c r="S72" s="18"/>
      <c r="T72" s="18"/>
      <c r="U72" s="18"/>
      <c r="V72" s="18"/>
      <c r="W72" s="18"/>
      <c r="X72" s="18"/>
      <c r="Y72" s="18"/>
      <c r="Z72" s="18"/>
      <c r="AA72" s="137"/>
      <c r="AB72" s="137"/>
      <c r="AG72" s="190" t="s">
        <v>1658</v>
      </c>
    </row>
    <row r="73" spans="1:38" s="109" customFormat="1">
      <c r="A73" s="4"/>
      <c r="B73" s="4"/>
      <c r="C73" s="166"/>
      <c r="D73" s="440"/>
      <c r="E73" s="440"/>
      <c r="F73" s="440"/>
      <c r="G73" s="1084" t="s">
        <v>930</v>
      </c>
      <c r="H73" s="371"/>
      <c r="I73" s="371"/>
      <c r="J73" s="371"/>
      <c r="K73" s="371"/>
      <c r="L73" s="371"/>
      <c r="M73" s="371"/>
      <c r="N73" s="371"/>
      <c r="O73" s="371"/>
      <c r="P73" s="371"/>
      <c r="Q73" s="371"/>
      <c r="R73" s="371"/>
      <c r="S73" s="371"/>
      <c r="T73" s="371"/>
      <c r="U73" s="371"/>
      <c r="V73" s="371"/>
      <c r="W73" s="371"/>
      <c r="X73" s="371"/>
      <c r="Y73" s="371"/>
      <c r="Z73" s="1085"/>
    </row>
    <row r="74" spans="1:38" s="235" customFormat="1" ht="14">
      <c r="A74" s="6"/>
      <c r="B74" s="6"/>
      <c r="C74" s="116"/>
      <c r="D74" s="441"/>
      <c r="E74" s="441"/>
      <c r="F74" s="441"/>
      <c r="G74" s="353" t="s">
        <v>931</v>
      </c>
      <c r="H74" s="816">
        <f t="shared" ref="H74:Z74" si="167">H77+H29</f>
        <v>23220</v>
      </c>
      <c r="I74" s="816">
        <f t="shared" si="167"/>
        <v>33307</v>
      </c>
      <c r="J74" s="816">
        <f t="shared" si="167"/>
        <v>43822</v>
      </c>
      <c r="K74" s="816">
        <f t="shared" si="167"/>
        <v>46412</v>
      </c>
      <c r="L74" s="816">
        <f t="shared" si="167"/>
        <v>47340.24</v>
      </c>
      <c r="M74" s="816">
        <f t="shared" si="167"/>
        <v>48752.371511999991</v>
      </c>
      <c r="N74" s="816">
        <f t="shared" si="167"/>
        <v>50717.092083933589</v>
      </c>
      <c r="O74" s="816">
        <f t="shared" si="167"/>
        <v>52507.405434496439</v>
      </c>
      <c r="P74" s="816">
        <f t="shared" si="167"/>
        <v>54093.129078618236</v>
      </c>
      <c r="Q74" s="816">
        <f t="shared" si="167"/>
        <v>55451.866618491542</v>
      </c>
      <c r="R74" s="816">
        <f t="shared" si="167"/>
        <v>56844.683370615676</v>
      </c>
      <c r="S74" s="816">
        <f t="shared" si="167"/>
        <v>58272.434723218103</v>
      </c>
      <c r="T74" s="816">
        <f t="shared" si="167"/>
        <v>59735.99753477089</v>
      </c>
      <c r="U74" s="816">
        <f t="shared" si="167"/>
        <v>61236.270672893639</v>
      </c>
      <c r="V74" s="816">
        <f t="shared" si="167"/>
        <v>62774.175566783255</v>
      </c>
      <c r="W74" s="816">
        <f t="shared" si="167"/>
        <v>64350.656773509516</v>
      </c>
      <c r="X74" s="816">
        <f t="shared" si="167"/>
        <v>65966.682558524597</v>
      </c>
      <c r="Y74" s="816">
        <f t="shared" si="167"/>
        <v>67623.24549074356</v>
      </c>
      <c r="Z74" s="1086">
        <f t="shared" si="167"/>
        <v>69321.363052561239</v>
      </c>
      <c r="AA74" s="372"/>
      <c r="AB74" s="372"/>
      <c r="AC74" s="372"/>
      <c r="AD74" s="372"/>
    </row>
    <row r="75" spans="1:38" s="314" customFormat="1" ht="11">
      <c r="A75" s="509"/>
      <c r="B75" s="509"/>
      <c r="C75" s="509"/>
      <c r="D75" s="950"/>
      <c r="E75" s="950"/>
      <c r="F75" s="950"/>
      <c r="G75" s="1087" t="s">
        <v>932</v>
      </c>
      <c r="H75" s="314">
        <f t="shared" ref="H75:P75" si="168">H74/H5</f>
        <v>0.27541870285144943</v>
      </c>
      <c r="I75" s="314">
        <f t="shared" si="168"/>
        <v>0.36803721588083849</v>
      </c>
      <c r="J75" s="314">
        <f t="shared" si="168"/>
        <v>0.35345738459925313</v>
      </c>
      <c r="K75" s="314">
        <f t="shared" si="168"/>
        <v>0.35</v>
      </c>
      <c r="L75" s="314">
        <f t="shared" si="168"/>
        <v>0.33999999999999997</v>
      </c>
      <c r="M75" s="314">
        <f t="shared" si="168"/>
        <v>0.33499999999999996</v>
      </c>
      <c r="N75" s="314">
        <f t="shared" si="168"/>
        <v>0.33499999999999996</v>
      </c>
      <c r="O75" s="314">
        <f t="shared" si="168"/>
        <v>0.33499999999999996</v>
      </c>
      <c r="P75" s="314">
        <f t="shared" si="168"/>
        <v>0.33499999999999996</v>
      </c>
      <c r="Q75" s="314">
        <f t="shared" ref="Q75:Z75" si="169">Q74/Q5</f>
        <v>0.33500604138439</v>
      </c>
      <c r="R75" s="314">
        <f t="shared" si="169"/>
        <v>0.33501178691715927</v>
      </c>
      <c r="S75" s="314">
        <f t="shared" si="169"/>
        <v>0.33501724746438288</v>
      </c>
      <c r="T75" s="314">
        <f t="shared" si="169"/>
        <v>0.3350224335373887</v>
      </c>
      <c r="U75" s="314">
        <f t="shared" si="169"/>
        <v>0.33502735530361516</v>
      </c>
      <c r="V75" s="314">
        <f t="shared" si="169"/>
        <v>0.33503202259714976</v>
      </c>
      <c r="W75" s="314">
        <f t="shared" si="169"/>
        <v>0.33503644492895784</v>
      </c>
      <c r="X75" s="314">
        <f t="shared" si="169"/>
        <v>0.3350406314968104</v>
      </c>
      <c r="Y75" s="314">
        <f t="shared" si="169"/>
        <v>0.33504459119491925</v>
      </c>
      <c r="Z75" s="1075">
        <f t="shared" si="169"/>
        <v>0.33504833262328804</v>
      </c>
    </row>
    <row r="76" spans="1:38" s="314" customFormat="1" ht="11">
      <c r="A76" s="509"/>
      <c r="B76" s="509"/>
      <c r="C76" s="509"/>
      <c r="D76" s="950"/>
      <c r="E76" s="950"/>
      <c r="F76" s="950"/>
      <c r="G76" s="1087" t="s">
        <v>933</v>
      </c>
      <c r="I76" s="314">
        <f>(I74/H74)-1</f>
        <v>0.43440999138673564</v>
      </c>
      <c r="J76" s="314">
        <f>(J74/I74)-1</f>
        <v>0.31569940252799711</v>
      </c>
      <c r="K76" s="314">
        <f t="shared" ref="K76:P76" si="170">(K74/J74)-1</f>
        <v>5.9102733786682515E-2</v>
      </c>
      <c r="L76" s="314">
        <f t="shared" si="170"/>
        <v>2.0000000000000018E-2</v>
      </c>
      <c r="M76" s="314">
        <f t="shared" si="170"/>
        <v>2.9829411764705771E-2</v>
      </c>
      <c r="N76" s="314">
        <f t="shared" si="170"/>
        <v>4.0300000000000002E-2</v>
      </c>
      <c r="O76" s="314">
        <f t="shared" si="170"/>
        <v>3.5299999999999887E-2</v>
      </c>
      <c r="P76" s="314">
        <f t="shared" si="170"/>
        <v>3.0200000000000005E-2</v>
      </c>
      <c r="Q76" s="314">
        <f t="shared" ref="Q76" si="171">(Q74/P74)-1</f>
        <v>2.5118486636233062E-2</v>
      </c>
      <c r="R76" s="314">
        <f t="shared" ref="R76" si="172">(R74/Q74)-1</f>
        <v>2.511758101321826E-2</v>
      </c>
      <c r="S76" s="314">
        <f t="shared" ref="S76" si="173">(S74/R74)-1</f>
        <v>2.5116708686611533E-2</v>
      </c>
      <c r="T76" s="314">
        <f t="shared" ref="T76" si="174">(T74/S74)-1</f>
        <v>2.5115868566405464E-2</v>
      </c>
      <c r="U76" s="314">
        <f t="shared" ref="U76" si="175">(U74/T74)-1</f>
        <v>2.5115059596175326E-2</v>
      </c>
      <c r="V76" s="314">
        <f t="shared" ref="V76" si="176">(V74/U74)-1</f>
        <v>2.5114280752083218E-2</v>
      </c>
      <c r="W76" s="314">
        <f t="shared" ref="W76" si="177">(W74/V74)-1</f>
        <v>2.5113531041902615E-2</v>
      </c>
      <c r="X76" s="314">
        <f t="shared" ref="X76" si="178">(X74/W74)-1</f>
        <v>2.5112809504072242E-2</v>
      </c>
      <c r="Y76" s="314">
        <f t="shared" ref="Y76" si="179">(Y74/X74)-1</f>
        <v>2.5112115206783248E-2</v>
      </c>
      <c r="Z76" s="1075">
        <f t="shared" ref="Z76" si="180">(Z74/Y74)-1</f>
        <v>2.5111447247087915E-2</v>
      </c>
    </row>
    <row r="77" spans="1:38" s="235" customFormat="1" ht="14">
      <c r="A77" s="6"/>
      <c r="B77" s="6"/>
      <c r="C77" s="116"/>
      <c r="D77" s="441"/>
      <c r="E77" s="441"/>
      <c r="F77" s="441"/>
      <c r="G77" s="353" t="s">
        <v>934</v>
      </c>
      <c r="H77" s="816">
        <f>H136</f>
        <v>4730</v>
      </c>
      <c r="I77" s="816">
        <f>I136</f>
        <v>5586</v>
      </c>
      <c r="J77" s="816">
        <f>J136</f>
        <v>6565</v>
      </c>
      <c r="K77" s="816">
        <f t="shared" ref="K77:P77" si="181">K78*K5</f>
        <v>5304.2285714285717</v>
      </c>
      <c r="L77" s="816">
        <f t="shared" si="181"/>
        <v>5569.4400000000005</v>
      </c>
      <c r="M77" s="816">
        <f t="shared" si="181"/>
        <v>5821.1786879999991</v>
      </c>
      <c r="N77" s="816">
        <f t="shared" si="181"/>
        <v>6055.7721891263991</v>
      </c>
      <c r="O77" s="816">
        <f t="shared" si="181"/>
        <v>6269.540947402561</v>
      </c>
      <c r="P77" s="816">
        <f t="shared" si="181"/>
        <v>6458.8810840141177</v>
      </c>
      <c r="Q77" s="816">
        <f t="shared" ref="Q77:Z77" si="182">Q78*Q5</f>
        <v>6620.9989992228711</v>
      </c>
      <c r="R77" s="816">
        <f t="shared" si="182"/>
        <v>6787.1860741033643</v>
      </c>
      <c r="S77" s="816">
        <f t="shared" si="182"/>
        <v>6957.5444445633566</v>
      </c>
      <c r="T77" s="816">
        <f t="shared" si="182"/>
        <v>7132.1788101218981</v>
      </c>
      <c r="U77" s="816">
        <f t="shared" si="182"/>
        <v>7311.1964982559566</v>
      </c>
      <c r="V77" s="816">
        <f t="shared" si="182"/>
        <v>7494.7075303621805</v>
      </c>
      <c r="W77" s="816">
        <f t="shared" si="182"/>
        <v>7682.8246893742717</v>
      </c>
      <c r="X77" s="816">
        <f t="shared" si="182"/>
        <v>7875.6635890775651</v>
      </c>
      <c r="Y77" s="816">
        <f t="shared" si="182"/>
        <v>8073.3427451634116</v>
      </c>
      <c r="Z77" s="1086">
        <f t="shared" si="182"/>
        <v>8275.9836480670147</v>
      </c>
      <c r="AA77" s="372"/>
      <c r="AB77" s="372"/>
    </row>
    <row r="78" spans="1:38" s="314" customFormat="1" ht="11">
      <c r="A78" s="509"/>
      <c r="B78" s="509"/>
      <c r="C78" s="509"/>
      <c r="D78" s="950"/>
      <c r="E78" s="950"/>
      <c r="F78" s="950"/>
      <c r="G78" s="1087" t="s">
        <v>935</v>
      </c>
      <c r="H78" s="314">
        <f>H77/H5</f>
        <v>5.6103809840110069E-2</v>
      </c>
      <c r="I78" s="314">
        <f>I77/I5</f>
        <v>6.1724438944076733E-2</v>
      </c>
      <c r="J78" s="314">
        <f>J77/J5</f>
        <v>5.2951661948201743E-2</v>
      </c>
      <c r="K78" s="314">
        <v>0.04</v>
      </c>
      <c r="L78" s="314">
        <f>K78</f>
        <v>0.04</v>
      </c>
      <c r="M78" s="314">
        <f t="shared" ref="M78:P78" si="183">L78</f>
        <v>0.04</v>
      </c>
      <c r="N78" s="314">
        <f t="shared" si="183"/>
        <v>0.04</v>
      </c>
      <c r="O78" s="314">
        <f t="shared" si="183"/>
        <v>0.04</v>
      </c>
      <c r="P78" s="314">
        <f t="shared" si="183"/>
        <v>0.04</v>
      </c>
      <c r="Q78" s="314">
        <f t="shared" ref="Q78" si="184">P78</f>
        <v>0.04</v>
      </c>
      <c r="R78" s="314">
        <f t="shared" ref="R78" si="185">Q78</f>
        <v>0.04</v>
      </c>
      <c r="S78" s="314">
        <f t="shared" ref="S78" si="186">R78</f>
        <v>0.04</v>
      </c>
      <c r="T78" s="314">
        <f t="shared" ref="T78" si="187">S78</f>
        <v>0.04</v>
      </c>
      <c r="U78" s="314">
        <f t="shared" ref="U78" si="188">T78</f>
        <v>0.04</v>
      </c>
      <c r="V78" s="314">
        <f t="shared" ref="V78" si="189">U78</f>
        <v>0.04</v>
      </c>
      <c r="W78" s="314">
        <f t="shared" ref="W78" si="190">V78</f>
        <v>0.04</v>
      </c>
      <c r="X78" s="314">
        <f t="shared" ref="X78" si="191">W78</f>
        <v>0.04</v>
      </c>
      <c r="Y78" s="314">
        <f t="shared" ref="Y78" si="192">X78</f>
        <v>0.04</v>
      </c>
      <c r="Z78" s="1075">
        <f t="shared" ref="Z78" si="193">Y78</f>
        <v>0.04</v>
      </c>
    </row>
    <row r="79" spans="1:38" s="235" customFormat="1" ht="14">
      <c r="A79" s="6"/>
      <c r="B79" s="6"/>
      <c r="C79" s="116"/>
      <c r="D79" s="441"/>
      <c r="E79" s="441"/>
      <c r="F79" s="441"/>
      <c r="G79" s="353" t="s">
        <v>936</v>
      </c>
      <c r="H79" s="816">
        <f>H150</f>
        <v>-9668</v>
      </c>
      <c r="I79" s="816">
        <f>I150</f>
        <v>-6128</v>
      </c>
      <c r="J79" s="816">
        <f>J150</f>
        <v>-14337</v>
      </c>
      <c r="K79" s="816">
        <f t="shared" ref="K79:P79" si="194">-K80*K5</f>
        <v>-3978.1714285714284</v>
      </c>
      <c r="L79" s="816">
        <f t="shared" si="194"/>
        <v>-4177.08</v>
      </c>
      <c r="M79" s="816">
        <f t="shared" si="194"/>
        <v>-4365.8840159999991</v>
      </c>
      <c r="N79" s="816">
        <f t="shared" si="194"/>
        <v>-4541.8291418447989</v>
      </c>
      <c r="O79" s="816">
        <f t="shared" si="194"/>
        <v>-4702.1557105519205</v>
      </c>
      <c r="P79" s="816">
        <f t="shared" si="194"/>
        <v>-4844.1608130105878</v>
      </c>
      <c r="Q79" s="816">
        <f t="shared" ref="Q79:Z79" si="195">-Q80*Q5</f>
        <v>-4965.7492494171529</v>
      </c>
      <c r="R79" s="816">
        <f t="shared" si="195"/>
        <v>-5090.3895555775225</v>
      </c>
      <c r="S79" s="816">
        <f t="shared" si="195"/>
        <v>-5218.158333422517</v>
      </c>
      <c r="T79" s="816">
        <f t="shared" si="195"/>
        <v>-5349.1341075914233</v>
      </c>
      <c r="U79" s="816">
        <f t="shared" si="195"/>
        <v>-5483.397373691967</v>
      </c>
      <c r="V79" s="816">
        <f t="shared" si="195"/>
        <v>-5621.0306477716349</v>
      </c>
      <c r="W79" s="816">
        <f t="shared" si="195"/>
        <v>-5762.1185170307035</v>
      </c>
      <c r="X79" s="816">
        <f t="shared" si="195"/>
        <v>-5906.7476918081738</v>
      </c>
      <c r="Y79" s="816">
        <f t="shared" si="195"/>
        <v>-6055.0070588725584</v>
      </c>
      <c r="Z79" s="1086">
        <f t="shared" si="195"/>
        <v>-6206.9877360502605</v>
      </c>
      <c r="AA79" s="372"/>
      <c r="AB79" s="372"/>
    </row>
    <row r="80" spans="1:38" s="314" customFormat="1" ht="12" thickBot="1">
      <c r="A80" s="509"/>
      <c r="B80" s="509"/>
      <c r="C80" s="509"/>
      <c r="D80" s="950"/>
      <c r="E80" s="950"/>
      <c r="F80" s="950"/>
      <c r="G80" s="1078" t="s">
        <v>937</v>
      </c>
      <c r="H80" s="1076">
        <f>-(H79/H5)</f>
        <v>0.11467476396071548</v>
      </c>
      <c r="I80" s="1076">
        <f>-(I79/I5)</f>
        <v>6.7713455397297201E-2</v>
      </c>
      <c r="J80" s="1076">
        <f>-(J79/J5)</f>
        <v>0.11563868657294263</v>
      </c>
      <c r="K80" s="1076">
        <v>0.03</v>
      </c>
      <c r="L80" s="1076">
        <f>K80</f>
        <v>0.03</v>
      </c>
      <c r="M80" s="1076">
        <f t="shared" ref="M80:P80" si="196">L80</f>
        <v>0.03</v>
      </c>
      <c r="N80" s="1076">
        <f t="shared" si="196"/>
        <v>0.03</v>
      </c>
      <c r="O80" s="1076">
        <f t="shared" si="196"/>
        <v>0.03</v>
      </c>
      <c r="P80" s="1076">
        <f t="shared" si="196"/>
        <v>0.03</v>
      </c>
      <c r="Q80" s="1076">
        <f t="shared" ref="Q80" si="197">P80</f>
        <v>0.03</v>
      </c>
      <c r="R80" s="1076">
        <f t="shared" ref="R80" si="198">Q80</f>
        <v>0.03</v>
      </c>
      <c r="S80" s="1076">
        <f t="shared" ref="S80" si="199">R80</f>
        <v>0.03</v>
      </c>
      <c r="T80" s="1076">
        <f t="shared" ref="T80" si="200">S80</f>
        <v>0.03</v>
      </c>
      <c r="U80" s="1076">
        <f t="shared" ref="U80" si="201">T80</f>
        <v>0.03</v>
      </c>
      <c r="V80" s="1076">
        <f t="shared" ref="V80" si="202">U80</f>
        <v>0.03</v>
      </c>
      <c r="W80" s="1076">
        <f t="shared" ref="W80" si="203">V80</f>
        <v>0.03</v>
      </c>
      <c r="X80" s="1076">
        <f t="shared" ref="X80" si="204">W80</f>
        <v>0.03</v>
      </c>
      <c r="Y80" s="1076">
        <f t="shared" ref="Y80" si="205">X80</f>
        <v>0.03</v>
      </c>
      <c r="Z80" s="1077">
        <f t="shared" ref="Z80" si="206">Y80</f>
        <v>0.03</v>
      </c>
    </row>
    <row r="81" spans="1:28">
      <c r="C81" s="13"/>
      <c r="D81" s="278"/>
      <c r="E81" s="278"/>
      <c r="F81" s="278"/>
      <c r="G81" s="18"/>
      <c r="H81" s="163"/>
      <c r="I81" s="163"/>
      <c r="J81" s="163"/>
      <c r="K81" s="18"/>
      <c r="L81" s="18"/>
      <c r="M81" s="18"/>
      <c r="N81" s="18"/>
      <c r="O81" s="18"/>
      <c r="P81" s="18"/>
      <c r="Q81" s="18"/>
      <c r="R81" s="18"/>
      <c r="S81" s="18"/>
      <c r="T81" s="18"/>
      <c r="U81" s="18"/>
      <c r="V81" s="18"/>
      <c r="W81" s="18"/>
      <c r="X81" s="18"/>
      <c r="Y81" s="18"/>
      <c r="Z81" s="18"/>
      <c r="AA81" s="137"/>
      <c r="AB81" s="137"/>
    </row>
    <row r="82" spans="1:28">
      <c r="C82" s="13"/>
      <c r="D82" s="278"/>
      <c r="E82" s="278"/>
      <c r="F82" s="278"/>
      <c r="G82" s="18"/>
      <c r="H82" s="163"/>
      <c r="I82" s="163"/>
      <c r="J82" s="163"/>
      <c r="K82" s="18"/>
      <c r="L82" s="18"/>
      <c r="M82" s="18"/>
      <c r="N82" s="18"/>
      <c r="O82" s="18"/>
      <c r="P82" s="18"/>
      <c r="Q82" s="18"/>
      <c r="R82" s="18"/>
      <c r="S82" s="18"/>
      <c r="T82" s="18"/>
      <c r="U82" s="18"/>
      <c r="V82" s="18"/>
      <c r="W82" s="18"/>
      <c r="X82" s="18"/>
      <c r="Y82" s="18"/>
      <c r="Z82" s="18"/>
      <c r="AA82" s="137"/>
      <c r="AB82" s="137"/>
    </row>
    <row r="83" spans="1:28" ht="16" thickBot="1">
      <c r="C83" s="13"/>
      <c r="D83" s="278"/>
      <c r="E83" s="278"/>
      <c r="F83" s="278"/>
      <c r="G83" s="18"/>
      <c r="H83" s="163"/>
      <c r="I83" s="163"/>
      <c r="J83" s="163"/>
      <c r="K83" s="18"/>
      <c r="L83" s="18"/>
      <c r="M83" s="18"/>
      <c r="N83" s="18"/>
      <c r="O83" s="18"/>
      <c r="P83" s="18"/>
      <c r="Q83" s="18"/>
      <c r="R83" s="18"/>
      <c r="S83" s="18"/>
      <c r="T83" s="18"/>
      <c r="U83" s="18"/>
      <c r="V83" s="18"/>
      <c r="W83" s="18"/>
      <c r="X83" s="18"/>
      <c r="Y83" s="18"/>
      <c r="Z83" s="18"/>
      <c r="AA83" s="137"/>
      <c r="AB83" s="137"/>
    </row>
    <row r="84" spans="1:28" ht="16" thickBot="1">
      <c r="A84" s="18"/>
      <c r="B84" s="18"/>
      <c r="C84" s="112"/>
      <c r="D84" s="113"/>
      <c r="E84" s="113"/>
      <c r="F84" s="113"/>
      <c r="G84" s="722" t="s">
        <v>1616</v>
      </c>
      <c r="H84" s="380" t="s">
        <v>20</v>
      </c>
      <c r="I84" s="380" t="s">
        <v>21</v>
      </c>
      <c r="J84" s="380" t="s">
        <v>22</v>
      </c>
      <c r="K84" s="380" t="s">
        <v>964</v>
      </c>
      <c r="L84" s="422" t="s">
        <v>24</v>
      </c>
      <c r="M84" s="422" t="s">
        <v>25</v>
      </c>
      <c r="N84" s="422" t="s">
        <v>26</v>
      </c>
      <c r="O84" s="422" t="s">
        <v>27</v>
      </c>
      <c r="P84" s="721" t="s">
        <v>712</v>
      </c>
      <c r="Q84" s="171"/>
      <c r="R84" s="171"/>
      <c r="S84" s="171"/>
      <c r="T84" s="171"/>
      <c r="U84" s="171"/>
      <c r="V84" s="171"/>
      <c r="W84" s="171"/>
      <c r="X84" s="171"/>
      <c r="Y84" s="171"/>
      <c r="Z84" s="171"/>
      <c r="AA84" s="377"/>
      <c r="AB84" s="377"/>
    </row>
    <row r="85" spans="1:28" s="109" customFormat="1">
      <c r="A85" s="4"/>
      <c r="B85" s="4"/>
      <c r="C85" s="19"/>
      <c r="D85" s="411"/>
      <c r="E85" s="411"/>
      <c r="F85" s="411"/>
      <c r="G85" s="688" t="s">
        <v>41</v>
      </c>
      <c r="H85" s="406"/>
      <c r="P85" s="367"/>
      <c r="Q85" s="46"/>
      <c r="R85" s="46"/>
      <c r="S85" s="46"/>
      <c r="T85" s="46"/>
      <c r="U85" s="46"/>
      <c r="V85" s="46"/>
      <c r="W85" s="46"/>
      <c r="X85" s="46"/>
      <c r="Y85" s="46"/>
      <c r="Z85" s="46"/>
    </row>
    <row r="86" spans="1:28" s="109" customFormat="1">
      <c r="A86" s="4"/>
      <c r="B86" s="4"/>
      <c r="C86" s="19"/>
      <c r="D86" s="411"/>
      <c r="E86" s="411"/>
      <c r="F86" s="411"/>
      <c r="G86" s="688" t="s">
        <v>42</v>
      </c>
      <c r="H86" s="919">
        <f>H87</f>
        <v>65108</v>
      </c>
      <c r="I86" s="919">
        <f t="shared" ref="I86:P86" si="207">I87</f>
        <v>65649</v>
      </c>
      <c r="J86" s="919">
        <f t="shared" si="207"/>
        <v>73388</v>
      </c>
      <c r="K86" s="919">
        <f t="shared" si="207"/>
        <v>72061.942857142858</v>
      </c>
      <c r="L86" s="919">
        <f t="shared" si="207"/>
        <v>70669.582857142857</v>
      </c>
      <c r="M86" s="919">
        <f t="shared" si="207"/>
        <v>69214.288185142854</v>
      </c>
      <c r="N86" s="919">
        <f t="shared" si="207"/>
        <v>67700.345137861252</v>
      </c>
      <c r="O86" s="919">
        <f t="shared" si="207"/>
        <v>66132.959901010603</v>
      </c>
      <c r="P86" s="920">
        <f t="shared" si="207"/>
        <v>64518.239630007076</v>
      </c>
      <c r="Q86" s="366"/>
      <c r="R86" s="366"/>
      <c r="S86" s="366"/>
      <c r="T86" s="366"/>
      <c r="U86" s="366"/>
      <c r="V86" s="366"/>
      <c r="W86" s="366"/>
      <c r="X86" s="366"/>
      <c r="Y86" s="366"/>
      <c r="Z86" s="366"/>
      <c r="AA86" s="370"/>
      <c r="AB86" s="370"/>
    </row>
    <row r="87" spans="1:28">
      <c r="C87" s="13" t="s">
        <v>537</v>
      </c>
      <c r="D87" s="278"/>
      <c r="E87" s="278"/>
      <c r="F87" s="278"/>
      <c r="G87" s="812" t="s">
        <v>43</v>
      </c>
      <c r="H87" s="807">
        <v>65108</v>
      </c>
      <c r="I87" s="807">
        <v>65649</v>
      </c>
      <c r="J87" s="807">
        <v>73388</v>
      </c>
      <c r="K87" s="844">
        <f t="shared" ref="K87:P87" si="208">K218</f>
        <v>72061.942857142858</v>
      </c>
      <c r="L87" s="844">
        <f t="shared" si="208"/>
        <v>70669.582857142857</v>
      </c>
      <c r="M87" s="844">
        <f t="shared" si="208"/>
        <v>69214.288185142854</v>
      </c>
      <c r="N87" s="844">
        <f t="shared" si="208"/>
        <v>67700.345137861252</v>
      </c>
      <c r="O87" s="844">
        <f t="shared" si="208"/>
        <v>66132.959901010603</v>
      </c>
      <c r="P87" s="856">
        <f t="shared" si="208"/>
        <v>64518.239630007076</v>
      </c>
      <c r="Q87" s="305"/>
      <c r="R87" s="305"/>
      <c r="S87" s="305"/>
      <c r="T87" s="305"/>
      <c r="U87" s="305"/>
      <c r="V87" s="305"/>
      <c r="W87" s="305"/>
      <c r="X87" s="305"/>
      <c r="Y87" s="305"/>
      <c r="Z87" s="305"/>
      <c r="AA87" s="427"/>
      <c r="AB87" s="427"/>
    </row>
    <row r="88" spans="1:28">
      <c r="C88" s="13"/>
      <c r="D88" s="278"/>
      <c r="E88" s="278"/>
      <c r="F88" s="278"/>
      <c r="G88" s="812"/>
      <c r="H88" s="807"/>
      <c r="I88" s="807"/>
      <c r="J88" s="807"/>
      <c r="K88" s="844"/>
      <c r="L88" s="844"/>
      <c r="M88" s="844"/>
      <c r="N88" s="844"/>
      <c r="O88" s="844"/>
      <c r="P88" s="856"/>
      <c r="Q88" s="305"/>
      <c r="R88" s="305"/>
      <c r="S88" s="305"/>
      <c r="T88" s="305"/>
      <c r="U88" s="305"/>
      <c r="V88" s="305"/>
      <c r="W88" s="305"/>
      <c r="X88" s="305"/>
      <c r="Y88" s="305"/>
      <c r="Z88" s="305"/>
      <c r="AA88" s="427"/>
      <c r="AB88" s="427"/>
    </row>
    <row r="89" spans="1:28" s="109" customFormat="1">
      <c r="A89" s="4"/>
      <c r="B89" s="4"/>
      <c r="C89" s="19"/>
      <c r="D89" s="411"/>
      <c r="E89" s="411"/>
      <c r="F89" s="411"/>
      <c r="G89" s="688" t="s">
        <v>49</v>
      </c>
      <c r="H89" s="919">
        <f>SUM(H90:H93)</f>
        <v>77859</v>
      </c>
      <c r="I89" s="919">
        <f t="shared" ref="I89:P89" si="209">SUM(I90:I93)</f>
        <v>95764</v>
      </c>
      <c r="J89" s="919">
        <f t="shared" si="209"/>
        <v>113854</v>
      </c>
      <c r="K89" s="919">
        <f t="shared" si="209"/>
        <v>140272.06179448788</v>
      </c>
      <c r="L89" s="919">
        <f t="shared" si="209"/>
        <v>165556.58750791574</v>
      </c>
      <c r="M89" s="919">
        <f t="shared" si="209"/>
        <v>191721.63253095991</v>
      </c>
      <c r="N89" s="919">
        <f t="shared" si="209"/>
        <v>219114.91014013704</v>
      </c>
      <c r="O89" s="919">
        <f t="shared" si="209"/>
        <v>247491.05885259275</v>
      </c>
      <c r="P89" s="920">
        <f t="shared" si="209"/>
        <v>276726.02486765565</v>
      </c>
      <c r="Q89" s="366"/>
      <c r="R89" s="366"/>
      <c r="S89" s="366"/>
      <c r="T89" s="366"/>
      <c r="U89" s="366"/>
      <c r="V89" s="366"/>
      <c r="W89" s="366"/>
      <c r="X89" s="366"/>
      <c r="Y89" s="366"/>
      <c r="Z89" s="366"/>
      <c r="AA89" s="370"/>
      <c r="AB89" s="370"/>
    </row>
    <row r="90" spans="1:28">
      <c r="C90" s="13" t="s">
        <v>537</v>
      </c>
      <c r="D90" s="278"/>
      <c r="E90" s="278"/>
      <c r="F90" s="278"/>
      <c r="G90" s="812" t="s">
        <v>50</v>
      </c>
      <c r="H90" s="807">
        <v>21101</v>
      </c>
      <c r="I90" s="807">
        <v>30611</v>
      </c>
      <c r="J90" s="807">
        <v>23759</v>
      </c>
      <c r="K90" s="844">
        <f t="shared" ref="K90:P90" si="210">K223</f>
        <v>25411.790239748716</v>
      </c>
      <c r="L90" s="844">
        <f t="shared" si="210"/>
        <v>26682.379751736153</v>
      </c>
      <c r="M90" s="844">
        <f t="shared" si="210"/>
        <v>27888.423316514622</v>
      </c>
      <c r="N90" s="844">
        <f t="shared" si="210"/>
        <v>29012.326776170161</v>
      </c>
      <c r="O90" s="844">
        <f t="shared" si="210"/>
        <v>30036.461911368966</v>
      </c>
      <c r="P90" s="856">
        <f t="shared" si="210"/>
        <v>30943.563061092307</v>
      </c>
      <c r="Q90" s="305"/>
      <c r="R90" s="305"/>
      <c r="S90" s="305"/>
      <c r="T90" s="305"/>
      <c r="U90" s="305"/>
      <c r="V90" s="305"/>
      <c r="W90" s="305"/>
      <c r="X90" s="305"/>
      <c r="Y90" s="305"/>
      <c r="Z90" s="305"/>
      <c r="AA90" s="427"/>
      <c r="AB90" s="427"/>
    </row>
    <row r="91" spans="1:28">
      <c r="C91" s="13" t="s">
        <v>537</v>
      </c>
      <c r="D91" s="278"/>
      <c r="E91" s="278"/>
      <c r="F91" s="278"/>
      <c r="G91" s="812" t="s">
        <v>51</v>
      </c>
      <c r="H91" s="807">
        <v>11175</v>
      </c>
      <c r="I91" s="807">
        <v>7895</v>
      </c>
      <c r="J91" s="807">
        <v>9072</v>
      </c>
      <c r="K91" s="844">
        <f t="shared" ref="K91:P91" si="211">K226</f>
        <v>9703.0919253756638</v>
      </c>
      <c r="L91" s="844">
        <f t="shared" si="211"/>
        <v>10188.246521644445</v>
      </c>
      <c r="M91" s="844">
        <f t="shared" si="211"/>
        <v>10648.755264422774</v>
      </c>
      <c r="N91" s="844">
        <f t="shared" si="211"/>
        <v>11077.900101579011</v>
      </c>
      <c r="O91" s="844">
        <f t="shared" si="211"/>
        <v>11468.949975164751</v>
      </c>
      <c r="P91" s="856">
        <f t="shared" si="211"/>
        <v>11815.312264414724</v>
      </c>
      <c r="Q91" s="305"/>
      <c r="R91" s="305"/>
      <c r="S91" s="305"/>
      <c r="T91" s="305"/>
      <c r="U91" s="305"/>
      <c r="V91" s="305"/>
      <c r="W91" s="305"/>
      <c r="X91" s="305"/>
      <c r="Y91" s="305"/>
      <c r="Z91" s="305"/>
      <c r="AA91" s="427"/>
      <c r="AB91" s="427"/>
    </row>
    <row r="92" spans="1:28">
      <c r="C92" s="13" t="s">
        <v>537</v>
      </c>
      <c r="D92" s="278"/>
      <c r="E92" s="278"/>
      <c r="F92" s="278"/>
      <c r="G92" s="812" t="s">
        <v>485</v>
      </c>
      <c r="H92" s="807">
        <v>36</v>
      </c>
      <c r="I92" s="807">
        <v>36</v>
      </c>
      <c r="J92" s="807">
        <v>35</v>
      </c>
      <c r="K92" s="844">
        <f>J92</f>
        <v>35</v>
      </c>
      <c r="L92" s="844">
        <f t="shared" ref="L92:P92" si="212">K92</f>
        <v>35</v>
      </c>
      <c r="M92" s="844">
        <f t="shared" si="212"/>
        <v>35</v>
      </c>
      <c r="N92" s="844">
        <f t="shared" si="212"/>
        <v>35</v>
      </c>
      <c r="O92" s="844">
        <f t="shared" si="212"/>
        <v>35</v>
      </c>
      <c r="P92" s="856">
        <f t="shared" si="212"/>
        <v>35</v>
      </c>
      <c r="Q92" s="305"/>
      <c r="R92" s="305"/>
      <c r="S92" s="305"/>
      <c r="T92" s="305"/>
      <c r="U92" s="305"/>
      <c r="V92" s="305"/>
      <c r="W92" s="305"/>
      <c r="X92" s="305"/>
      <c r="Y92" s="305"/>
      <c r="Z92" s="305"/>
      <c r="AA92" s="427"/>
      <c r="AB92" s="427"/>
    </row>
    <row r="93" spans="1:28">
      <c r="C93" s="13" t="s">
        <v>537</v>
      </c>
      <c r="D93" s="278"/>
      <c r="E93" s="278"/>
      <c r="F93" s="278"/>
      <c r="G93" s="812" t="s">
        <v>255</v>
      </c>
      <c r="H93" s="807">
        <v>45547</v>
      </c>
      <c r="I93" s="807">
        <v>57222</v>
      </c>
      <c r="J93" s="807">
        <v>80988</v>
      </c>
      <c r="K93" s="844">
        <f t="shared" ref="K93:P93" si="213">K164</f>
        <v>105122.1796293635</v>
      </c>
      <c r="L93" s="844">
        <f t="shared" si="213"/>
        <v>128650.96123453515</v>
      </c>
      <c r="M93" s="844">
        <f t="shared" si="213"/>
        <v>153149.45395002249</v>
      </c>
      <c r="N93" s="844">
        <f t="shared" si="213"/>
        <v>178989.68326238787</v>
      </c>
      <c r="O93" s="844">
        <f t="shared" si="213"/>
        <v>205950.64696605902</v>
      </c>
      <c r="P93" s="856">
        <f t="shared" si="213"/>
        <v>233932.1495421486</v>
      </c>
      <c r="Q93" s="305"/>
      <c r="R93" s="305"/>
      <c r="S93" s="305"/>
      <c r="T93" s="305"/>
      <c r="U93" s="305"/>
      <c r="V93" s="305"/>
      <c r="W93" s="305"/>
      <c r="X93" s="305"/>
      <c r="Y93" s="305"/>
      <c r="Z93" s="305"/>
      <c r="AA93" s="427"/>
      <c r="AB93" s="427"/>
    </row>
    <row r="94" spans="1:28" ht="16" thickBot="1">
      <c r="C94" s="13"/>
      <c r="D94" s="278"/>
      <c r="E94" s="278"/>
      <c r="F94" s="278"/>
      <c r="G94" s="812"/>
      <c r="H94" s="807"/>
      <c r="I94" s="807"/>
      <c r="J94" s="807"/>
      <c r="K94" s="844"/>
      <c r="L94" s="844"/>
      <c r="M94" s="844"/>
      <c r="N94" s="844"/>
      <c r="O94" s="844"/>
      <c r="P94" s="856"/>
      <c r="Q94" s="305"/>
      <c r="R94" s="305"/>
      <c r="S94" s="305"/>
      <c r="T94" s="305"/>
      <c r="U94" s="305"/>
      <c r="V94" s="305"/>
      <c r="W94" s="305"/>
      <c r="X94" s="305"/>
      <c r="Y94" s="305"/>
      <c r="Z94" s="305"/>
      <c r="AA94" s="427"/>
      <c r="AB94" s="427"/>
    </row>
    <row r="95" spans="1:28" s="109" customFormat="1" ht="16" thickBot="1">
      <c r="A95" s="4"/>
      <c r="B95" s="4"/>
      <c r="C95" s="19"/>
      <c r="D95" s="411"/>
      <c r="E95" s="411"/>
      <c r="F95" s="411"/>
      <c r="G95" s="691" t="s">
        <v>55</v>
      </c>
      <c r="H95" s="843">
        <f>H89+H86</f>
        <v>142967</v>
      </c>
      <c r="I95" s="843">
        <f t="shared" ref="I95:P95" si="214">I89+I86</f>
        <v>161413</v>
      </c>
      <c r="J95" s="843">
        <f t="shared" si="214"/>
        <v>187242</v>
      </c>
      <c r="K95" s="843">
        <f t="shared" si="214"/>
        <v>212334.00465163073</v>
      </c>
      <c r="L95" s="843">
        <f t="shared" si="214"/>
        <v>236226.17036505858</v>
      </c>
      <c r="M95" s="843">
        <f t="shared" si="214"/>
        <v>260935.92071610276</v>
      </c>
      <c r="N95" s="843">
        <f t="shared" si="214"/>
        <v>286815.25527799828</v>
      </c>
      <c r="O95" s="843">
        <f t="shared" si="214"/>
        <v>313624.01875360333</v>
      </c>
      <c r="P95" s="857">
        <f t="shared" si="214"/>
        <v>341244.26449766272</v>
      </c>
      <c r="Q95" s="370"/>
      <c r="R95" s="370"/>
      <c r="S95" s="370"/>
      <c r="T95" s="370"/>
      <c r="U95" s="370"/>
      <c r="V95" s="370"/>
      <c r="W95" s="370"/>
      <c r="X95" s="370"/>
      <c r="Y95" s="370"/>
      <c r="Z95" s="370"/>
      <c r="AA95" s="370"/>
      <c r="AB95" s="370"/>
    </row>
    <row r="96" spans="1:28">
      <c r="C96" s="13"/>
      <c r="D96" s="278"/>
      <c r="E96" s="278"/>
      <c r="F96" s="278"/>
      <c r="G96" s="812"/>
      <c r="H96" s="807"/>
      <c r="I96" s="807"/>
      <c r="J96" s="807"/>
      <c r="K96" s="844"/>
      <c r="L96" s="844"/>
      <c r="M96" s="844"/>
      <c r="N96" s="844"/>
      <c r="O96" s="844"/>
      <c r="P96" s="856"/>
      <c r="Q96" s="18"/>
      <c r="R96" s="18"/>
      <c r="S96" s="18"/>
      <c r="T96" s="18"/>
      <c r="U96" s="18"/>
      <c r="V96" s="18"/>
      <c r="W96" s="18"/>
      <c r="X96" s="18"/>
      <c r="Y96" s="18"/>
      <c r="Z96" s="18"/>
      <c r="AA96" s="137"/>
      <c r="AB96" s="137"/>
    </row>
    <row r="97" spans="1:28">
      <c r="C97" s="13"/>
      <c r="D97" s="278"/>
      <c r="E97" s="278"/>
      <c r="F97" s="278"/>
      <c r="G97" s="812"/>
      <c r="H97" s="807"/>
      <c r="I97" s="807"/>
      <c r="J97" s="807"/>
      <c r="K97" s="844"/>
      <c r="L97" s="844"/>
      <c r="M97" s="844"/>
      <c r="N97" s="844"/>
      <c r="O97" s="844"/>
      <c r="P97" s="856"/>
      <c r="Q97" s="18"/>
      <c r="R97" s="18"/>
      <c r="S97" s="18"/>
      <c r="T97" s="18"/>
      <c r="U97" s="18"/>
      <c r="V97" s="18"/>
      <c r="W97" s="18"/>
      <c r="X97" s="18"/>
      <c r="Y97" s="18"/>
      <c r="Z97" s="18"/>
      <c r="AA97" s="137"/>
      <c r="AB97" s="137"/>
    </row>
    <row r="98" spans="1:28" s="109" customFormat="1">
      <c r="A98" s="4"/>
      <c r="B98" s="4"/>
      <c r="C98" s="19"/>
      <c r="D98" s="411"/>
      <c r="E98" s="411"/>
      <c r="F98" s="411"/>
      <c r="G98" s="688" t="s">
        <v>526</v>
      </c>
      <c r="H98" s="919"/>
      <c r="I98" s="919"/>
      <c r="J98" s="919"/>
      <c r="K98" s="919"/>
      <c r="L98" s="919"/>
      <c r="M98" s="919"/>
      <c r="N98" s="919"/>
      <c r="O98" s="919"/>
      <c r="P98" s="920"/>
      <c r="Q98" s="46"/>
      <c r="R98" s="46"/>
      <c r="S98" s="46"/>
      <c r="T98" s="46"/>
      <c r="U98" s="46"/>
      <c r="V98" s="46"/>
      <c r="W98" s="46"/>
      <c r="X98" s="46"/>
      <c r="Y98" s="46"/>
      <c r="Z98" s="46"/>
    </row>
    <row r="99" spans="1:28" s="109" customFormat="1">
      <c r="A99" s="4"/>
      <c r="B99" s="4"/>
      <c r="C99" s="19"/>
      <c r="D99" s="411"/>
      <c r="E99" s="411"/>
      <c r="F99" s="411"/>
      <c r="G99" s="688" t="s">
        <v>486</v>
      </c>
      <c r="H99" s="919">
        <f>SUM(H100:H104)</f>
        <v>72010</v>
      </c>
      <c r="I99" s="919">
        <f t="shared" ref="I99" si="215">SUM(I100:I104)</f>
        <v>87742</v>
      </c>
      <c r="J99" s="919">
        <f>SUM(J100:J104)</f>
        <v>110529</v>
      </c>
      <c r="K99" s="919">
        <f t="shared" ref="K99:P99" si="216">SUM(K100:K104)</f>
        <v>134209.05565714286</v>
      </c>
      <c r="L99" s="919">
        <f t="shared" si="216"/>
        <v>158328.4089649205</v>
      </c>
      <c r="M99" s="919">
        <f t="shared" si="216"/>
        <v>183185.11523606122</v>
      </c>
      <c r="N99" s="919">
        <f t="shared" si="216"/>
        <v>209121.59684531554</v>
      </c>
      <c r="O99" s="919">
        <f t="shared" si="216"/>
        <v>236046.50934752927</v>
      </c>
      <c r="P99" s="920">
        <f t="shared" si="216"/>
        <v>263852.39253247139</v>
      </c>
      <c r="Q99" s="366"/>
      <c r="R99" s="366"/>
      <c r="S99" s="366"/>
      <c r="T99" s="366"/>
      <c r="U99" s="366"/>
      <c r="V99" s="366"/>
      <c r="W99" s="366"/>
      <c r="X99" s="366"/>
      <c r="Y99" s="366"/>
      <c r="Z99" s="366"/>
      <c r="AA99" s="370"/>
      <c r="AB99" s="370"/>
    </row>
    <row r="100" spans="1:28">
      <c r="C100" s="13" t="s">
        <v>537</v>
      </c>
      <c r="D100" s="278"/>
      <c r="E100" s="278"/>
      <c r="F100" s="278"/>
      <c r="G100" s="812" t="s">
        <v>527</v>
      </c>
      <c r="H100" s="807">
        <v>3637</v>
      </c>
      <c r="I100" s="807">
        <v>3637</v>
      </c>
      <c r="J100" s="807">
        <v>3637</v>
      </c>
      <c r="K100" s="844">
        <f>J100</f>
        <v>3637</v>
      </c>
      <c r="L100" s="844">
        <f t="shared" ref="L100:P100" si="217">K100</f>
        <v>3637</v>
      </c>
      <c r="M100" s="844">
        <f t="shared" si="217"/>
        <v>3637</v>
      </c>
      <c r="N100" s="844">
        <f t="shared" si="217"/>
        <v>3637</v>
      </c>
      <c r="O100" s="844">
        <f t="shared" si="217"/>
        <v>3637</v>
      </c>
      <c r="P100" s="856">
        <f t="shared" si="217"/>
        <v>3637</v>
      </c>
      <c r="Q100" s="305"/>
      <c r="R100" s="305"/>
      <c r="S100" s="305"/>
      <c r="T100" s="305"/>
      <c r="U100" s="305"/>
      <c r="V100" s="305"/>
      <c r="W100" s="305"/>
      <c r="X100" s="305"/>
      <c r="Y100" s="305"/>
      <c r="Z100" s="305"/>
      <c r="AA100" s="427"/>
      <c r="AB100" s="427"/>
    </row>
    <row r="101" spans="1:28">
      <c r="C101" s="13" t="s">
        <v>537</v>
      </c>
      <c r="D101" s="278"/>
      <c r="E101" s="278"/>
      <c r="F101" s="278"/>
      <c r="G101" s="812" t="s">
        <v>487</v>
      </c>
      <c r="H101" s="807">
        <v>0</v>
      </c>
      <c r="I101" s="807">
        <v>0</v>
      </c>
      <c r="J101" s="807">
        <v>-213</v>
      </c>
      <c r="K101" s="844">
        <f>J101</f>
        <v>-213</v>
      </c>
      <c r="L101" s="844">
        <f t="shared" ref="L101:P101" si="218">K101</f>
        <v>-213</v>
      </c>
      <c r="M101" s="844">
        <f t="shared" si="218"/>
        <v>-213</v>
      </c>
      <c r="N101" s="844">
        <f t="shared" si="218"/>
        <v>-213</v>
      </c>
      <c r="O101" s="844">
        <f t="shared" si="218"/>
        <v>-213</v>
      </c>
      <c r="P101" s="856">
        <f t="shared" si="218"/>
        <v>-213</v>
      </c>
      <c r="Q101" s="305"/>
      <c r="R101" s="305"/>
      <c r="S101" s="305"/>
      <c r="T101" s="305"/>
      <c r="U101" s="305"/>
      <c r="V101" s="305"/>
      <c r="W101" s="305"/>
      <c r="X101" s="305"/>
      <c r="Y101" s="305"/>
      <c r="Z101" s="305"/>
      <c r="AA101" s="427"/>
      <c r="AB101" s="427"/>
    </row>
    <row r="102" spans="1:28">
      <c r="C102" s="13" t="s">
        <v>537</v>
      </c>
      <c r="D102" s="278"/>
      <c r="E102" s="278"/>
      <c r="F102" s="278"/>
      <c r="G102" s="812" t="s">
        <v>488</v>
      </c>
      <c r="H102" s="807">
        <v>5250</v>
      </c>
      <c r="I102" s="807">
        <v>8793</v>
      </c>
      <c r="J102" s="807">
        <v>9250</v>
      </c>
      <c r="K102" s="844">
        <f>J102</f>
        <v>9250</v>
      </c>
      <c r="L102" s="844">
        <f t="shared" ref="L102:P102" si="219">K102</f>
        <v>9250</v>
      </c>
      <c r="M102" s="844">
        <f t="shared" si="219"/>
        <v>9250</v>
      </c>
      <c r="N102" s="844">
        <f t="shared" si="219"/>
        <v>9250</v>
      </c>
      <c r="O102" s="844">
        <f t="shared" si="219"/>
        <v>9250</v>
      </c>
      <c r="P102" s="856">
        <f t="shared" si="219"/>
        <v>9250</v>
      </c>
      <c r="Q102" s="305"/>
      <c r="R102" s="305"/>
      <c r="S102" s="305"/>
      <c r="T102" s="305"/>
      <c r="U102" s="305"/>
      <c r="V102" s="305"/>
      <c r="W102" s="305"/>
      <c r="X102" s="305"/>
      <c r="Y102" s="305"/>
      <c r="Z102" s="305"/>
      <c r="AA102" s="427"/>
      <c r="AB102" s="427"/>
    </row>
    <row r="103" spans="1:28">
      <c r="C103" s="13" t="s">
        <v>537</v>
      </c>
      <c r="D103" s="278"/>
      <c r="E103" s="278"/>
      <c r="F103" s="278"/>
      <c r="G103" s="812" t="s">
        <v>63</v>
      </c>
      <c r="H103" s="807">
        <v>26426</v>
      </c>
      <c r="I103" s="807">
        <v>30865</v>
      </c>
      <c r="J103" s="807">
        <v>42166</v>
      </c>
      <c r="K103" s="844">
        <f t="shared" ref="K103:P104" si="220">J103+K48</f>
        <v>64188.45176114286</v>
      </c>
      <c r="L103" s="844">
        <f t="shared" si="220"/>
        <v>88307.805068920483</v>
      </c>
      <c r="M103" s="844">
        <f t="shared" si="220"/>
        <v>113164.5113400612</v>
      </c>
      <c r="N103" s="844">
        <f t="shared" si="220"/>
        <v>139100.99294931552</v>
      </c>
      <c r="O103" s="844">
        <f t="shared" si="220"/>
        <v>166025.90545152928</v>
      </c>
      <c r="P103" s="856">
        <f t="shared" si="220"/>
        <v>193831.78863647138</v>
      </c>
      <c r="Q103" s="305"/>
      <c r="R103" s="305"/>
      <c r="S103" s="305"/>
      <c r="T103" s="305"/>
      <c r="U103" s="305"/>
      <c r="V103" s="305"/>
      <c r="W103" s="305"/>
      <c r="X103" s="305"/>
      <c r="Y103" s="305"/>
      <c r="Z103" s="305"/>
      <c r="AA103" s="427"/>
      <c r="AB103" s="427"/>
    </row>
    <row r="104" spans="1:28">
      <c r="C104" s="13" t="s">
        <v>537</v>
      </c>
      <c r="D104" s="278"/>
      <c r="E104" s="278"/>
      <c r="F104" s="278"/>
      <c r="G104" s="812" t="s">
        <v>528</v>
      </c>
      <c r="H104" s="807">
        <v>36697</v>
      </c>
      <c r="I104" s="807">
        <v>44447</v>
      </c>
      <c r="J104" s="807">
        <v>55689</v>
      </c>
      <c r="K104" s="844">
        <f t="shared" si="220"/>
        <v>57346.603896000001</v>
      </c>
      <c r="L104" s="844">
        <f t="shared" si="220"/>
        <v>57346.603896000001</v>
      </c>
      <c r="M104" s="844">
        <f t="shared" si="220"/>
        <v>57346.603896000001</v>
      </c>
      <c r="N104" s="844">
        <f t="shared" si="220"/>
        <v>57346.603896000001</v>
      </c>
      <c r="O104" s="844">
        <f t="shared" si="220"/>
        <v>57346.603896000001</v>
      </c>
      <c r="P104" s="856">
        <f t="shared" si="220"/>
        <v>57346.603896000001</v>
      </c>
      <c r="Q104" s="305"/>
      <c r="R104" s="305"/>
      <c r="S104" s="305"/>
      <c r="T104" s="305"/>
      <c r="U104" s="305"/>
      <c r="V104" s="305"/>
      <c r="W104" s="305"/>
      <c r="X104" s="305"/>
      <c r="Y104" s="305"/>
      <c r="Z104" s="305"/>
      <c r="AA104" s="427"/>
      <c r="AB104" s="427"/>
    </row>
    <row r="105" spans="1:28">
      <c r="C105" s="13"/>
      <c r="D105" s="278"/>
      <c r="E105" s="278"/>
      <c r="F105" s="278"/>
      <c r="G105" s="812"/>
      <c r="H105" s="807"/>
      <c r="I105" s="807"/>
      <c r="J105" s="807"/>
      <c r="K105" s="844"/>
      <c r="L105" s="844"/>
      <c r="M105" s="844"/>
      <c r="N105" s="844"/>
      <c r="O105" s="844"/>
      <c r="P105" s="856"/>
      <c r="Q105" s="305"/>
      <c r="R105" s="305"/>
      <c r="S105" s="305"/>
      <c r="T105" s="305"/>
      <c r="U105" s="305"/>
      <c r="V105" s="305"/>
      <c r="W105" s="305"/>
      <c r="X105" s="305"/>
      <c r="Y105" s="305"/>
      <c r="Z105" s="305"/>
      <c r="AA105" s="427"/>
      <c r="AB105" s="427"/>
    </row>
    <row r="106" spans="1:28" s="109" customFormat="1">
      <c r="A106" s="4"/>
      <c r="B106" s="4"/>
      <c r="C106" s="19"/>
      <c r="D106" s="411"/>
      <c r="E106" s="411"/>
      <c r="F106" s="411"/>
      <c r="G106" s="688" t="s">
        <v>489</v>
      </c>
      <c r="H106" s="919">
        <f>SUM(H107:H111)</f>
        <v>59434</v>
      </c>
      <c r="I106" s="919">
        <f t="shared" ref="I106:P106" si="221">SUM(I107:I111)</f>
        <v>62282</v>
      </c>
      <c r="J106" s="919">
        <f t="shared" si="221"/>
        <v>67081</v>
      </c>
      <c r="K106" s="919">
        <f t="shared" si="221"/>
        <v>66331</v>
      </c>
      <c r="L106" s="919">
        <f t="shared" si="221"/>
        <v>65581</v>
      </c>
      <c r="M106" s="919">
        <f t="shared" si="221"/>
        <v>64831</v>
      </c>
      <c r="N106" s="919">
        <f t="shared" si="221"/>
        <v>64081</v>
      </c>
      <c r="O106" s="919">
        <f t="shared" si="221"/>
        <v>63332</v>
      </c>
      <c r="P106" s="920">
        <f t="shared" si="221"/>
        <v>62584</v>
      </c>
      <c r="Q106" s="366"/>
      <c r="R106" s="366"/>
      <c r="S106" s="366"/>
      <c r="T106" s="366"/>
      <c r="U106" s="366"/>
      <c r="V106" s="366"/>
      <c r="W106" s="366"/>
      <c r="X106" s="366"/>
      <c r="Y106" s="366"/>
      <c r="Z106" s="366"/>
      <c r="AA106" s="370"/>
      <c r="AB106" s="370"/>
    </row>
    <row r="107" spans="1:28">
      <c r="C107" s="13"/>
      <c r="D107" s="278"/>
      <c r="E107" s="278"/>
      <c r="F107" s="278"/>
      <c r="G107" s="812" t="s">
        <v>68</v>
      </c>
      <c r="H107" s="807">
        <v>30483</v>
      </c>
      <c r="I107" s="807">
        <v>29601</v>
      </c>
      <c r="J107" s="807">
        <v>28700</v>
      </c>
      <c r="K107" s="844">
        <f t="shared" ref="K107:P107" si="222">K272</f>
        <v>27950</v>
      </c>
      <c r="L107" s="844">
        <f t="shared" si="222"/>
        <v>27200</v>
      </c>
      <c r="M107" s="844">
        <f t="shared" si="222"/>
        <v>26450</v>
      </c>
      <c r="N107" s="844">
        <f t="shared" si="222"/>
        <v>25700</v>
      </c>
      <c r="O107" s="844">
        <f>O272</f>
        <v>24951</v>
      </c>
      <c r="P107" s="856">
        <f t="shared" si="222"/>
        <v>24203</v>
      </c>
      <c r="Q107" s="305"/>
      <c r="R107" s="305"/>
      <c r="S107" s="305"/>
      <c r="T107" s="305"/>
      <c r="U107" s="305"/>
      <c r="V107" s="305"/>
      <c r="W107" s="305"/>
      <c r="X107" s="305"/>
      <c r="Y107" s="305"/>
      <c r="Z107" s="305"/>
      <c r="AA107" s="427"/>
      <c r="AB107" s="427"/>
    </row>
    <row r="108" spans="1:28">
      <c r="C108" s="13" t="s">
        <v>537</v>
      </c>
      <c r="D108" s="278"/>
      <c r="E108" s="278"/>
      <c r="F108" s="278"/>
      <c r="G108" s="812" t="s">
        <v>490</v>
      </c>
      <c r="H108" s="807">
        <v>6089</v>
      </c>
      <c r="I108" s="807">
        <v>6652</v>
      </c>
      <c r="J108" s="807">
        <v>7543</v>
      </c>
      <c r="K108" s="844">
        <f>J108</f>
        <v>7543</v>
      </c>
      <c r="L108" s="844">
        <f t="shared" ref="L108:P108" si="223">K108</f>
        <v>7543</v>
      </c>
      <c r="M108" s="844">
        <f t="shared" si="223"/>
        <v>7543</v>
      </c>
      <c r="N108" s="844">
        <f t="shared" si="223"/>
        <v>7543</v>
      </c>
      <c r="O108" s="844">
        <f t="shared" si="223"/>
        <v>7543</v>
      </c>
      <c r="P108" s="856">
        <f t="shared" si="223"/>
        <v>7543</v>
      </c>
      <c r="Q108" s="305"/>
      <c r="R108" s="305"/>
      <c r="S108" s="305"/>
      <c r="T108" s="305"/>
      <c r="U108" s="305"/>
      <c r="V108" s="305"/>
      <c r="W108" s="305"/>
      <c r="X108" s="305"/>
      <c r="Y108" s="305"/>
      <c r="Z108" s="305"/>
      <c r="AA108" s="427"/>
      <c r="AB108" s="427"/>
    </row>
    <row r="109" spans="1:28">
      <c r="C109" s="13" t="s">
        <v>537</v>
      </c>
      <c r="D109" s="278"/>
      <c r="E109" s="278"/>
      <c r="F109" s="278"/>
      <c r="G109" s="812" t="s">
        <v>73</v>
      </c>
      <c r="H109" s="807">
        <v>994</v>
      </c>
      <c r="I109" s="807">
        <v>745</v>
      </c>
      <c r="J109" s="807">
        <v>0</v>
      </c>
      <c r="K109" s="844">
        <f>J109</f>
        <v>0</v>
      </c>
      <c r="L109" s="844">
        <f t="shared" ref="L109:P109" si="224">K109</f>
        <v>0</v>
      </c>
      <c r="M109" s="844">
        <f t="shared" si="224"/>
        <v>0</v>
      </c>
      <c r="N109" s="844">
        <f t="shared" si="224"/>
        <v>0</v>
      </c>
      <c r="O109" s="844">
        <f t="shared" si="224"/>
        <v>0</v>
      </c>
      <c r="P109" s="856">
        <f t="shared" si="224"/>
        <v>0</v>
      </c>
      <c r="Q109" s="305"/>
      <c r="R109" s="305"/>
      <c r="S109" s="305"/>
      <c r="T109" s="305"/>
      <c r="U109" s="305"/>
      <c r="V109" s="305"/>
      <c r="W109" s="305"/>
      <c r="X109" s="305"/>
      <c r="Y109" s="305"/>
      <c r="Z109" s="305"/>
      <c r="AA109" s="427"/>
      <c r="AB109" s="427"/>
    </row>
    <row r="110" spans="1:28">
      <c r="C110" s="13" t="s">
        <v>537</v>
      </c>
      <c r="D110" s="278"/>
      <c r="E110" s="278"/>
      <c r="F110" s="278"/>
      <c r="G110" s="812" t="s">
        <v>491</v>
      </c>
      <c r="H110" s="807">
        <v>155</v>
      </c>
      <c r="I110" s="807">
        <v>206</v>
      </c>
      <c r="J110" s="807">
        <v>0</v>
      </c>
      <c r="K110" s="844">
        <f>J110</f>
        <v>0</v>
      </c>
      <c r="L110" s="844">
        <f t="shared" ref="L110:P110" si="225">K110</f>
        <v>0</v>
      </c>
      <c r="M110" s="844">
        <f t="shared" si="225"/>
        <v>0</v>
      </c>
      <c r="N110" s="844">
        <f t="shared" si="225"/>
        <v>0</v>
      </c>
      <c r="O110" s="844">
        <f t="shared" si="225"/>
        <v>0</v>
      </c>
      <c r="P110" s="856">
        <f t="shared" si="225"/>
        <v>0</v>
      </c>
      <c r="Q110" s="305"/>
      <c r="R110" s="305"/>
      <c r="S110" s="305"/>
      <c r="T110" s="305"/>
      <c r="U110" s="305"/>
      <c r="V110" s="305"/>
      <c r="W110" s="305"/>
      <c r="X110" s="305"/>
      <c r="Y110" s="305"/>
      <c r="Z110" s="305"/>
      <c r="AA110" s="427"/>
      <c r="AB110" s="427"/>
    </row>
    <row r="111" spans="1:28">
      <c r="C111" s="13" t="s">
        <v>537</v>
      </c>
      <c r="D111" s="278"/>
      <c r="E111" s="278"/>
      <c r="F111" s="278"/>
      <c r="G111" s="812" t="s">
        <v>70</v>
      </c>
      <c r="H111" s="807">
        <v>21713</v>
      </c>
      <c r="I111" s="807">
        <v>25078</v>
      </c>
      <c r="J111" s="807">
        <v>30838</v>
      </c>
      <c r="K111" s="844">
        <f>J111</f>
        <v>30838</v>
      </c>
      <c r="L111" s="844">
        <f t="shared" ref="L111:P111" si="226">K111</f>
        <v>30838</v>
      </c>
      <c r="M111" s="844">
        <f t="shared" si="226"/>
        <v>30838</v>
      </c>
      <c r="N111" s="844">
        <f t="shared" si="226"/>
        <v>30838</v>
      </c>
      <c r="O111" s="844">
        <f t="shared" si="226"/>
        <v>30838</v>
      </c>
      <c r="P111" s="856">
        <f t="shared" si="226"/>
        <v>30838</v>
      </c>
      <c r="Q111" s="305"/>
      <c r="R111" s="305"/>
      <c r="S111" s="305"/>
      <c r="T111" s="305"/>
      <c r="U111" s="305"/>
      <c r="V111" s="305"/>
      <c r="W111" s="305"/>
      <c r="X111" s="305"/>
      <c r="Y111" s="305"/>
      <c r="Z111" s="305"/>
      <c r="AA111" s="427"/>
      <c r="AB111" s="427"/>
    </row>
    <row r="112" spans="1:28">
      <c r="C112" s="13"/>
      <c r="D112" s="278"/>
      <c r="E112" s="278"/>
      <c r="F112" s="278"/>
      <c r="G112" s="812"/>
      <c r="H112" s="807"/>
      <c r="I112" s="807"/>
      <c r="J112" s="807"/>
      <c r="K112" s="844"/>
      <c r="L112" s="844"/>
      <c r="M112" s="844"/>
      <c r="N112" s="844"/>
      <c r="O112" s="844"/>
      <c r="P112" s="856"/>
      <c r="Q112" s="305"/>
      <c r="R112" s="305"/>
      <c r="S112" s="305"/>
      <c r="T112" s="305"/>
      <c r="U112" s="305"/>
      <c r="V112" s="305"/>
      <c r="W112" s="305"/>
      <c r="X112" s="305"/>
      <c r="Y112" s="305"/>
      <c r="Z112" s="305"/>
      <c r="AA112" s="427"/>
      <c r="AB112" s="427"/>
    </row>
    <row r="113" spans="1:28" s="109" customFormat="1">
      <c r="A113" s="4"/>
      <c r="B113" s="4"/>
      <c r="C113" s="19"/>
      <c r="D113" s="411"/>
      <c r="E113" s="411"/>
      <c r="F113" s="411"/>
      <c r="G113" s="688" t="s">
        <v>71</v>
      </c>
      <c r="H113" s="919">
        <f>SUM(H114:H118)</f>
        <v>11523</v>
      </c>
      <c r="I113" s="919">
        <f t="shared" ref="I113:P113" si="227">SUM(I114:I118)</f>
        <v>11389</v>
      </c>
      <c r="J113" s="919">
        <f t="shared" si="227"/>
        <v>9632</v>
      </c>
      <c r="K113" s="919">
        <f t="shared" si="227"/>
        <v>11793.948994487866</v>
      </c>
      <c r="L113" s="919">
        <f t="shared" si="227"/>
        <v>12316.76140013813</v>
      </c>
      <c r="M113" s="919">
        <f t="shared" si="227"/>
        <v>12919.805480041558</v>
      </c>
      <c r="N113" s="919">
        <f t="shared" si="227"/>
        <v>13612.65843268278</v>
      </c>
      <c r="O113" s="919">
        <f t="shared" si="227"/>
        <v>14245.509406074065</v>
      </c>
      <c r="P113" s="920">
        <f t="shared" si="227"/>
        <v>14807.871965191331</v>
      </c>
      <c r="Q113" s="366"/>
      <c r="R113" s="366"/>
      <c r="S113" s="366"/>
      <c r="T113" s="366"/>
      <c r="U113" s="366"/>
      <c r="V113" s="366"/>
      <c r="W113" s="366"/>
      <c r="X113" s="366"/>
      <c r="Y113" s="366"/>
      <c r="Z113" s="366"/>
      <c r="AA113" s="370"/>
      <c r="AB113" s="370"/>
    </row>
    <row r="114" spans="1:28">
      <c r="C114" s="13" t="s">
        <v>537</v>
      </c>
      <c r="D114" s="278"/>
      <c r="E114" s="278"/>
      <c r="F114" s="278"/>
      <c r="G114" s="812" t="s">
        <v>529</v>
      </c>
      <c r="H114" s="807">
        <v>3633</v>
      </c>
      <c r="I114" s="807">
        <v>4006</v>
      </c>
      <c r="J114" s="807">
        <v>7038</v>
      </c>
      <c r="K114" s="844">
        <f t="shared" ref="K114:P114" si="228">K229</f>
        <v>7527.5971087735797</v>
      </c>
      <c r="L114" s="844">
        <f t="shared" si="228"/>
        <v>7903.9769642122583</v>
      </c>
      <c r="M114" s="844">
        <f t="shared" si="228"/>
        <v>8261.2367229946522</v>
      </c>
      <c r="N114" s="844">
        <f t="shared" si="228"/>
        <v>8594.1645629313352</v>
      </c>
      <c r="O114" s="844">
        <f t="shared" si="228"/>
        <v>8897.5385720028116</v>
      </c>
      <c r="P114" s="856">
        <f t="shared" si="228"/>
        <v>9166.2442368772972</v>
      </c>
      <c r="Q114" s="305"/>
      <c r="R114" s="305"/>
      <c r="S114" s="305"/>
      <c r="T114" s="305"/>
      <c r="U114" s="305"/>
      <c r="V114" s="305"/>
      <c r="W114" s="305"/>
      <c r="X114" s="305"/>
      <c r="Y114" s="305"/>
      <c r="Z114" s="305"/>
      <c r="AA114" s="427"/>
      <c r="AB114" s="427"/>
    </row>
    <row r="115" spans="1:28">
      <c r="C115" s="13" t="s">
        <v>537</v>
      </c>
      <c r="D115" s="278"/>
      <c r="E115" s="278"/>
      <c r="F115" s="278"/>
      <c r="G115" s="812" t="s">
        <v>492</v>
      </c>
      <c r="H115" s="807">
        <v>416</v>
      </c>
      <c r="I115" s="807">
        <v>0</v>
      </c>
      <c r="J115" s="807">
        <v>0</v>
      </c>
      <c r="K115" s="844">
        <f>J115</f>
        <v>0</v>
      </c>
      <c r="L115" s="844">
        <f t="shared" ref="L115:P115" si="229">K115</f>
        <v>0</v>
      </c>
      <c r="M115" s="844">
        <f t="shared" si="229"/>
        <v>0</v>
      </c>
      <c r="N115" s="844">
        <f t="shared" si="229"/>
        <v>0</v>
      </c>
      <c r="O115" s="844">
        <f t="shared" si="229"/>
        <v>0</v>
      </c>
      <c r="P115" s="856">
        <f t="shared" si="229"/>
        <v>0</v>
      </c>
      <c r="Q115" s="305"/>
      <c r="R115" s="305"/>
      <c r="S115" s="305"/>
      <c r="T115" s="305"/>
      <c r="U115" s="305"/>
      <c r="V115" s="305"/>
      <c r="W115" s="305"/>
      <c r="X115" s="305"/>
      <c r="Y115" s="305"/>
      <c r="Z115" s="305"/>
      <c r="AA115" s="427"/>
      <c r="AB115" s="427"/>
    </row>
    <row r="116" spans="1:28">
      <c r="C116" s="13" t="s">
        <v>537</v>
      </c>
      <c r="D116" s="278"/>
      <c r="E116" s="278"/>
      <c r="F116" s="278"/>
      <c r="G116" s="812" t="s">
        <v>73</v>
      </c>
      <c r="H116" s="807">
        <v>6598</v>
      </c>
      <c r="I116" s="807">
        <v>3859</v>
      </c>
      <c r="J116" s="807">
        <v>0</v>
      </c>
      <c r="K116" s="844">
        <f>J116</f>
        <v>0</v>
      </c>
      <c r="L116" s="844">
        <f t="shared" ref="L116:P116" si="230">K116</f>
        <v>0</v>
      </c>
      <c r="M116" s="844">
        <f t="shared" si="230"/>
        <v>0</v>
      </c>
      <c r="N116" s="844">
        <f t="shared" si="230"/>
        <v>0</v>
      </c>
      <c r="O116" s="844">
        <f t="shared" si="230"/>
        <v>0</v>
      </c>
      <c r="P116" s="856">
        <f t="shared" si="230"/>
        <v>0</v>
      </c>
      <c r="Q116" s="305"/>
      <c r="R116" s="305"/>
      <c r="S116" s="305"/>
      <c r="T116" s="305"/>
      <c r="U116" s="305"/>
      <c r="V116" s="305"/>
      <c r="W116" s="305"/>
      <c r="X116" s="305"/>
      <c r="Y116" s="305"/>
      <c r="Z116" s="305"/>
      <c r="AA116" s="427"/>
      <c r="AB116" s="427"/>
    </row>
    <row r="117" spans="1:28">
      <c r="C117" s="13" t="s">
        <v>537</v>
      </c>
      <c r="D117" s="278"/>
      <c r="E117" s="278"/>
      <c r="F117" s="278"/>
      <c r="G117" s="812" t="s">
        <v>15</v>
      </c>
      <c r="H117" s="807">
        <v>638</v>
      </c>
      <c r="I117" s="807">
        <v>2626</v>
      </c>
      <c r="J117" s="807">
        <v>1576</v>
      </c>
      <c r="K117" s="844">
        <f t="shared" ref="K117:P117" si="231">K258</f>
        <v>3248.3518857142863</v>
      </c>
      <c r="L117" s="844">
        <f t="shared" si="231"/>
        <v>3394.7844359258706</v>
      </c>
      <c r="M117" s="844">
        <f t="shared" si="231"/>
        <v>3640.5687570469054</v>
      </c>
      <c r="N117" s="844">
        <f t="shared" si="231"/>
        <v>4000.4938697514444</v>
      </c>
      <c r="O117" s="844">
        <f t="shared" si="231"/>
        <v>4329.9708340712532</v>
      </c>
      <c r="P117" s="856">
        <f t="shared" si="231"/>
        <v>4623.6277283140334</v>
      </c>
      <c r="Q117" s="305"/>
      <c r="R117" s="305"/>
      <c r="S117" s="305"/>
      <c r="T117" s="305"/>
      <c r="U117" s="305"/>
      <c r="V117" s="305"/>
      <c r="W117" s="305"/>
      <c r="X117" s="305"/>
      <c r="Y117" s="305"/>
      <c r="Z117" s="305"/>
      <c r="AA117" s="427"/>
      <c r="AB117" s="427"/>
    </row>
    <row r="118" spans="1:28" ht="16" thickBot="1">
      <c r="C118" s="13"/>
      <c r="D118" s="278"/>
      <c r="E118" s="278"/>
      <c r="F118" s="278"/>
      <c r="G118" s="812" t="s">
        <v>493</v>
      </c>
      <c r="H118" s="807">
        <v>238</v>
      </c>
      <c r="I118" s="807">
        <v>898</v>
      </c>
      <c r="J118" s="807">
        <v>1018</v>
      </c>
      <c r="K118" s="844">
        <f>J118</f>
        <v>1018</v>
      </c>
      <c r="L118" s="844">
        <f t="shared" ref="L118:P118" si="232">K118</f>
        <v>1018</v>
      </c>
      <c r="M118" s="844">
        <f t="shared" si="232"/>
        <v>1018</v>
      </c>
      <c r="N118" s="844">
        <f t="shared" si="232"/>
        <v>1018</v>
      </c>
      <c r="O118" s="844">
        <f t="shared" si="232"/>
        <v>1018</v>
      </c>
      <c r="P118" s="856">
        <f t="shared" si="232"/>
        <v>1018</v>
      </c>
      <c r="Q118" s="305"/>
      <c r="R118" s="305"/>
      <c r="S118" s="305"/>
      <c r="T118" s="305"/>
      <c r="U118" s="305"/>
      <c r="V118" s="305"/>
      <c r="W118" s="305"/>
      <c r="X118" s="305"/>
      <c r="Y118" s="305"/>
      <c r="Z118" s="305"/>
      <c r="AA118" s="427"/>
      <c r="AB118" s="427"/>
    </row>
    <row r="119" spans="1:28" s="109" customFormat="1" ht="16" thickBot="1">
      <c r="A119" s="4"/>
      <c r="B119" s="4"/>
      <c r="C119" s="19"/>
      <c r="D119" s="411"/>
      <c r="E119" s="411"/>
      <c r="F119" s="411"/>
      <c r="G119" s="691" t="s">
        <v>74</v>
      </c>
      <c r="H119" s="843">
        <f t="shared" ref="H119:P119" si="233">H113+H106+H99</f>
        <v>142967</v>
      </c>
      <c r="I119" s="843">
        <f t="shared" si="233"/>
        <v>161413</v>
      </c>
      <c r="J119" s="843">
        <f t="shared" si="233"/>
        <v>187242</v>
      </c>
      <c r="K119" s="843">
        <f t="shared" si="233"/>
        <v>212334.00465163073</v>
      </c>
      <c r="L119" s="843">
        <f t="shared" si="233"/>
        <v>236226.17036505864</v>
      </c>
      <c r="M119" s="843">
        <f t="shared" si="233"/>
        <v>260935.92071610276</v>
      </c>
      <c r="N119" s="843">
        <f>N113+N106+N99</f>
        <v>286815.25527799828</v>
      </c>
      <c r="O119" s="843">
        <f t="shared" si="233"/>
        <v>313624.01875360333</v>
      </c>
      <c r="P119" s="857">
        <f t="shared" si="233"/>
        <v>341244.26449766272</v>
      </c>
      <c r="Q119" s="370"/>
      <c r="R119" s="370"/>
      <c r="S119" s="370"/>
      <c r="T119" s="370"/>
      <c r="U119" s="370"/>
      <c r="V119" s="370"/>
      <c r="W119" s="370"/>
      <c r="X119" s="370"/>
      <c r="Y119" s="370"/>
      <c r="Z119" s="370"/>
      <c r="AA119" s="370"/>
      <c r="AB119" s="370"/>
    </row>
    <row r="120" spans="1:28" s="113" customFormat="1" ht="11">
      <c r="A120" s="13"/>
      <c r="B120" s="13"/>
      <c r="C120" s="13"/>
      <c r="D120" s="278"/>
      <c r="E120" s="278"/>
      <c r="F120" s="278"/>
      <c r="G120" s="837" t="s">
        <v>548</v>
      </c>
      <c r="H120" s="1101" t="b">
        <f t="shared" ref="H120:P120" si="234">H119=H95</f>
        <v>1</v>
      </c>
      <c r="I120" s="1061" t="b">
        <f t="shared" si="234"/>
        <v>1</v>
      </c>
      <c r="J120" s="1061" t="b">
        <f t="shared" si="234"/>
        <v>1</v>
      </c>
      <c r="K120" s="1061" t="b">
        <f t="shared" si="234"/>
        <v>1</v>
      </c>
      <c r="L120" s="1061" t="b">
        <f t="shared" si="234"/>
        <v>1</v>
      </c>
      <c r="M120" s="1061" t="b">
        <f t="shared" si="234"/>
        <v>1</v>
      </c>
      <c r="N120" s="1061" t="b">
        <f t="shared" si="234"/>
        <v>1</v>
      </c>
      <c r="O120" s="1061" t="b">
        <f t="shared" si="234"/>
        <v>1</v>
      </c>
      <c r="P120" s="1108" t="b">
        <f t="shared" si="234"/>
        <v>1</v>
      </c>
      <c r="Q120" s="112"/>
      <c r="R120" s="112"/>
      <c r="S120" s="112"/>
      <c r="T120" s="112"/>
      <c r="U120" s="112"/>
      <c r="V120" s="112"/>
      <c r="W120" s="112"/>
      <c r="X120" s="112"/>
      <c r="Y120" s="112"/>
      <c r="Z120" s="112"/>
    </row>
    <row r="121" spans="1:28" s="113" customFormat="1" ht="12" thickBot="1">
      <c r="A121" s="13"/>
      <c r="B121" s="13"/>
      <c r="C121" s="13"/>
      <c r="D121" s="278"/>
      <c r="E121" s="278"/>
      <c r="F121" s="278"/>
      <c r="G121" s="1109" t="s">
        <v>548</v>
      </c>
      <c r="H121" s="1110">
        <f>H119-H95</f>
        <v>0</v>
      </c>
      <c r="I121" s="1110">
        <f t="shared" ref="I121:P121" si="235">I119-I95</f>
        <v>0</v>
      </c>
      <c r="J121" s="1110">
        <f t="shared" si="235"/>
        <v>0</v>
      </c>
      <c r="K121" s="1110">
        <f t="shared" si="235"/>
        <v>0</v>
      </c>
      <c r="L121" s="1110">
        <f t="shared" si="235"/>
        <v>0</v>
      </c>
      <c r="M121" s="1110">
        <f t="shared" si="235"/>
        <v>0</v>
      </c>
      <c r="N121" s="1110">
        <f t="shared" si="235"/>
        <v>0</v>
      </c>
      <c r="O121" s="1110">
        <f t="shared" si="235"/>
        <v>0</v>
      </c>
      <c r="P121" s="1111">
        <f t="shared" si="235"/>
        <v>0</v>
      </c>
      <c r="Q121" s="1102"/>
      <c r="R121" s="1102"/>
      <c r="S121" s="1102"/>
      <c r="T121" s="1102"/>
      <c r="U121" s="1102"/>
      <c r="V121" s="1102"/>
      <c r="W121" s="1102"/>
      <c r="X121" s="1102"/>
      <c r="Y121" s="1102"/>
      <c r="Z121" s="1102"/>
      <c r="AA121" s="1103"/>
      <c r="AB121" s="1103"/>
    </row>
    <row r="122" spans="1:28" s="113" customFormat="1" ht="14">
      <c r="A122" s="13"/>
      <c r="B122" s="13"/>
      <c r="C122" s="13"/>
      <c r="D122" s="278"/>
      <c r="E122" s="278"/>
      <c r="F122" s="278"/>
      <c r="G122" s="112"/>
      <c r="H122" s="288"/>
      <c r="I122" s="107"/>
      <c r="J122" s="107"/>
      <c r="K122" s="107"/>
      <c r="L122" s="107"/>
      <c r="M122" s="107"/>
      <c r="N122" s="107"/>
      <c r="O122" s="107"/>
      <c r="P122" s="107"/>
      <c r="Q122" s="107"/>
      <c r="R122" s="107"/>
      <c r="S122" s="107"/>
      <c r="T122" s="107"/>
      <c r="U122" s="107"/>
      <c r="V122" s="107"/>
      <c r="W122" s="107"/>
      <c r="X122" s="107"/>
      <c r="Y122" s="107"/>
      <c r="Z122" s="107"/>
      <c r="AA122" s="288"/>
      <c r="AB122" s="288"/>
    </row>
    <row r="123" spans="1:28" s="113" customFormat="1" thickBot="1">
      <c r="A123" s="13"/>
      <c r="B123" s="13"/>
      <c r="C123" s="13"/>
      <c r="D123" s="278"/>
      <c r="E123" s="278"/>
      <c r="F123" s="278"/>
      <c r="G123" s="112"/>
      <c r="H123" s="288"/>
      <c r="I123" s="107"/>
      <c r="J123" s="107"/>
      <c r="K123" s="107"/>
      <c r="L123" s="107"/>
      <c r="M123" s="107"/>
      <c r="N123" s="107"/>
      <c r="O123" s="107"/>
      <c r="P123" s="107"/>
      <c r="Q123" s="107"/>
      <c r="R123" s="107"/>
      <c r="S123" s="107"/>
      <c r="T123" s="107"/>
      <c r="U123" s="107"/>
      <c r="V123" s="107"/>
      <c r="W123" s="107"/>
      <c r="X123" s="107"/>
      <c r="Y123" s="107"/>
      <c r="Z123" s="107"/>
      <c r="AA123" s="288"/>
      <c r="AB123" s="288"/>
    </row>
    <row r="124" spans="1:28" ht="16" thickBot="1">
      <c r="A124" s="18"/>
      <c r="B124" s="18"/>
      <c r="C124" s="112"/>
      <c r="D124" s="113"/>
      <c r="E124" s="113"/>
      <c r="F124" s="113"/>
      <c r="G124" s="1138" t="s">
        <v>1617</v>
      </c>
      <c r="H124" s="1139" t="s">
        <v>20</v>
      </c>
      <c r="I124" s="1139" t="s">
        <v>21</v>
      </c>
      <c r="J124" s="1139" t="s">
        <v>22</v>
      </c>
      <c r="K124" s="1139" t="s">
        <v>964</v>
      </c>
      <c r="L124" s="422" t="s">
        <v>24</v>
      </c>
      <c r="M124" s="422" t="s">
        <v>25</v>
      </c>
      <c r="N124" s="422" t="s">
        <v>26</v>
      </c>
      <c r="O124" s="422" t="s">
        <v>27</v>
      </c>
      <c r="P124" s="721" t="s">
        <v>712</v>
      </c>
      <c r="Q124" s="171"/>
      <c r="R124" s="171"/>
      <c r="S124" s="171"/>
      <c r="T124" s="171"/>
      <c r="U124" s="171"/>
      <c r="V124" s="171"/>
      <c r="W124" s="171"/>
      <c r="X124" s="171"/>
      <c r="Y124" s="171"/>
      <c r="Z124" s="171"/>
      <c r="AA124" s="377"/>
      <c r="AB124" s="377"/>
    </row>
    <row r="125" spans="1:28" s="242" customFormat="1">
      <c r="A125" s="127"/>
      <c r="B125" s="127"/>
      <c r="C125" s="127"/>
      <c r="D125" s="420"/>
      <c r="E125" s="420"/>
      <c r="F125" s="420"/>
      <c r="G125" s="1130" t="s">
        <v>544</v>
      </c>
      <c r="H125" s="244">
        <v>62069</v>
      </c>
      <c r="I125" s="244">
        <f>H129</f>
        <v>72010</v>
      </c>
      <c r="J125" s="244">
        <f>I129</f>
        <v>87742</v>
      </c>
      <c r="P125" s="374"/>
      <c r="Q125" s="100"/>
      <c r="R125" s="100"/>
      <c r="S125" s="100"/>
      <c r="T125" s="100"/>
      <c r="U125" s="100"/>
      <c r="V125" s="100"/>
      <c r="W125" s="100"/>
      <c r="X125" s="100"/>
      <c r="Y125" s="100"/>
      <c r="Z125" s="100"/>
    </row>
    <row r="126" spans="1:28" s="243" customFormat="1">
      <c r="A126" s="122"/>
      <c r="B126" s="122"/>
      <c r="C126" s="122"/>
      <c r="D126" s="307"/>
      <c r="E126" s="307"/>
      <c r="F126" s="307"/>
      <c r="G126" s="1131" t="s">
        <v>35</v>
      </c>
      <c r="H126" s="234">
        <f>SUM(H127:H128)</f>
        <v>9941</v>
      </c>
      <c r="I126" s="234">
        <f t="shared" ref="I126:J126" si="236">SUM(I127:I128)</f>
        <v>15732</v>
      </c>
      <c r="J126" s="234">
        <f t="shared" si="236"/>
        <v>22787</v>
      </c>
      <c r="P126" s="375"/>
      <c r="Q126" s="115"/>
      <c r="R126" s="115"/>
      <c r="S126" s="115"/>
      <c r="T126" s="115"/>
      <c r="U126" s="115"/>
      <c r="V126" s="115"/>
      <c r="W126" s="115"/>
      <c r="X126" s="115"/>
      <c r="Y126" s="115"/>
      <c r="Z126" s="115"/>
    </row>
    <row r="127" spans="1:28" s="243" customFormat="1">
      <c r="A127" s="122"/>
      <c r="B127" s="122"/>
      <c r="C127" s="122"/>
      <c r="D127" s="307"/>
      <c r="E127" s="307"/>
      <c r="F127" s="307"/>
      <c r="G127" s="1131" t="s">
        <v>545</v>
      </c>
      <c r="H127" s="234">
        <f>H37</f>
        <v>9941</v>
      </c>
      <c r="I127" s="234">
        <f>I37</f>
        <v>15732</v>
      </c>
      <c r="J127" s="234">
        <f>J37</f>
        <v>23207</v>
      </c>
      <c r="P127" s="375"/>
      <c r="Q127" s="115"/>
      <c r="R127" s="115"/>
      <c r="S127" s="115"/>
      <c r="T127" s="115"/>
      <c r="U127" s="115"/>
      <c r="V127" s="115"/>
      <c r="W127" s="115"/>
      <c r="X127" s="115"/>
      <c r="Y127" s="115"/>
      <c r="Z127" s="115"/>
    </row>
    <row r="128" spans="1:28" s="243" customFormat="1" ht="16" thickBot="1">
      <c r="A128" s="122"/>
      <c r="B128" s="122"/>
      <c r="C128" s="122"/>
      <c r="D128" s="307"/>
      <c r="E128" s="307"/>
      <c r="F128" s="307"/>
      <c r="G128" s="1131" t="s">
        <v>546</v>
      </c>
      <c r="H128" s="234">
        <f>H43</f>
        <v>0</v>
      </c>
      <c r="I128" s="234">
        <f>I43</f>
        <v>0</v>
      </c>
      <c r="J128" s="234">
        <f>J43</f>
        <v>-420</v>
      </c>
      <c r="P128" s="375"/>
      <c r="Q128" s="115"/>
      <c r="R128" s="115"/>
      <c r="S128" s="115"/>
      <c r="T128" s="115"/>
      <c r="U128" s="115"/>
      <c r="V128" s="115"/>
      <c r="W128" s="115"/>
      <c r="X128" s="115"/>
      <c r="Y128" s="115"/>
      <c r="Z128" s="115"/>
    </row>
    <row r="129" spans="1:28" s="242" customFormat="1" ht="16" thickBot="1">
      <c r="A129" s="127"/>
      <c r="B129" s="127"/>
      <c r="C129" s="127"/>
      <c r="D129" s="420"/>
      <c r="E129" s="420"/>
      <c r="F129" s="420"/>
      <c r="G129" s="722" t="s">
        <v>547</v>
      </c>
      <c r="H129" s="376">
        <f>H125+H126</f>
        <v>72010</v>
      </c>
      <c r="I129" s="376">
        <f t="shared" ref="I129:J129" si="237">I125+I126</f>
        <v>87742</v>
      </c>
      <c r="J129" s="376">
        <f t="shared" si="237"/>
        <v>110529</v>
      </c>
      <c r="P129" s="374"/>
      <c r="Q129" s="100"/>
      <c r="R129" s="100"/>
      <c r="S129" s="100"/>
      <c r="T129" s="100"/>
      <c r="U129" s="100"/>
      <c r="V129" s="100"/>
      <c r="W129" s="100"/>
      <c r="X129" s="100"/>
      <c r="Y129" s="100"/>
      <c r="Z129" s="100"/>
    </row>
    <row r="130" spans="1:28" s="113" customFormat="1" thickBot="1">
      <c r="A130" s="13"/>
      <c r="B130" s="13"/>
      <c r="C130" s="13"/>
      <c r="D130" s="278"/>
      <c r="E130" s="278"/>
      <c r="F130" s="278"/>
      <c r="G130" s="1109" t="s">
        <v>548</v>
      </c>
      <c r="H130" s="1132" t="b">
        <f>H129=H99</f>
        <v>1</v>
      </c>
      <c r="I130" s="1132" t="b">
        <f>I129=I99</f>
        <v>1</v>
      </c>
      <c r="J130" s="1132" t="b">
        <f>J129=J99</f>
        <v>1</v>
      </c>
      <c r="K130" s="1133"/>
      <c r="L130" s="1133"/>
      <c r="M130" s="1133"/>
      <c r="N130" s="1133"/>
      <c r="O130" s="1133"/>
      <c r="P130" s="1134"/>
      <c r="Q130" s="112"/>
      <c r="R130" s="112"/>
      <c r="S130" s="112"/>
      <c r="T130" s="112"/>
      <c r="U130" s="112"/>
      <c r="V130" s="112"/>
      <c r="W130" s="112"/>
      <c r="X130" s="112"/>
      <c r="Y130" s="112"/>
      <c r="Z130" s="112"/>
    </row>
    <row r="131" spans="1:28" s="243" customFormat="1">
      <c r="A131" s="122"/>
      <c r="B131" s="122"/>
      <c r="C131" s="122"/>
      <c r="D131" s="307"/>
      <c r="E131" s="307"/>
      <c r="F131" s="307"/>
      <c r="G131" s="115"/>
      <c r="H131" s="234"/>
      <c r="I131" s="131"/>
      <c r="J131" s="131"/>
      <c r="K131" s="115"/>
      <c r="L131" s="115"/>
      <c r="M131" s="115"/>
      <c r="N131" s="115"/>
      <c r="O131" s="115"/>
      <c r="P131" s="115"/>
      <c r="Q131" s="115"/>
      <c r="R131" s="115"/>
      <c r="S131" s="115"/>
      <c r="T131" s="115"/>
      <c r="U131" s="115"/>
      <c r="V131" s="115"/>
      <c r="W131" s="115"/>
      <c r="X131" s="115"/>
      <c r="Y131" s="115"/>
      <c r="Z131" s="115"/>
    </row>
    <row r="132" spans="1:28" s="234" customFormat="1" thickBot="1">
      <c r="A132" s="126"/>
      <c r="B132" s="126"/>
      <c r="C132" s="125"/>
      <c r="D132" s="442"/>
      <c r="E132" s="442"/>
      <c r="F132" s="442"/>
      <c r="G132" s="131"/>
      <c r="I132" s="131"/>
      <c r="J132" s="131"/>
      <c r="K132" s="131"/>
      <c r="L132" s="131"/>
      <c r="M132" s="131"/>
      <c r="N132" s="131"/>
      <c r="O132" s="131"/>
      <c r="P132" s="131"/>
      <c r="Q132" s="131"/>
      <c r="R132" s="131"/>
      <c r="S132" s="131"/>
      <c r="T132" s="131"/>
      <c r="U132" s="131"/>
      <c r="V132" s="131"/>
      <c r="W132" s="131"/>
      <c r="X132" s="131"/>
      <c r="Y132" s="131"/>
      <c r="Z132" s="131"/>
    </row>
    <row r="133" spans="1:28" ht="16" thickBot="1">
      <c r="A133" s="18"/>
      <c r="B133" s="18"/>
      <c r="C133" s="112"/>
      <c r="D133" s="113"/>
      <c r="E133" s="113"/>
      <c r="F133" s="113"/>
      <c r="G133" s="740" t="s">
        <v>1618</v>
      </c>
      <c r="H133" s="129" t="s">
        <v>20</v>
      </c>
      <c r="I133" s="129" t="s">
        <v>21</v>
      </c>
      <c r="J133" s="129" t="s">
        <v>22</v>
      </c>
      <c r="K133" s="129" t="s">
        <v>964</v>
      </c>
      <c r="L133" s="840" t="s">
        <v>24</v>
      </c>
      <c r="M133" s="840" t="s">
        <v>25</v>
      </c>
      <c r="N133" s="840" t="s">
        <v>26</v>
      </c>
      <c r="O133" s="840" t="s">
        <v>27</v>
      </c>
      <c r="P133" s="841" t="s">
        <v>712</v>
      </c>
      <c r="Q133" s="171"/>
      <c r="R133" s="171"/>
      <c r="S133" s="171"/>
      <c r="T133" s="171"/>
      <c r="U133" s="171"/>
      <c r="V133" s="171"/>
      <c r="W133" s="171"/>
      <c r="X133" s="171"/>
      <c r="Y133" s="171"/>
      <c r="Z133" s="171"/>
      <c r="AA133" s="377"/>
      <c r="AB133" s="377"/>
    </row>
    <row r="134" spans="1:28" s="109" customFormat="1">
      <c r="A134" s="4"/>
      <c r="B134" s="4"/>
      <c r="C134" s="19"/>
      <c r="D134" s="411"/>
      <c r="E134" s="411"/>
      <c r="F134" s="411"/>
      <c r="G134" s="688" t="s">
        <v>530</v>
      </c>
      <c r="H134" s="370">
        <f t="shared" ref="H134:P134" si="238">H29</f>
        <v>18490</v>
      </c>
      <c r="I134" s="370">
        <f t="shared" si="238"/>
        <v>27721</v>
      </c>
      <c r="J134" s="370">
        <f t="shared" si="238"/>
        <v>37257</v>
      </c>
      <c r="K134" s="370">
        <f t="shared" si="238"/>
        <v>41107.771428571432</v>
      </c>
      <c r="L134" s="370">
        <f t="shared" si="238"/>
        <v>41770.799999999996</v>
      </c>
      <c r="M134" s="370">
        <f t="shared" si="238"/>
        <v>42931.192823999991</v>
      </c>
      <c r="N134" s="370">
        <f t="shared" si="238"/>
        <v>44661.319894807188</v>
      </c>
      <c r="O134" s="370">
        <f t="shared" si="238"/>
        <v>46237.864487093881</v>
      </c>
      <c r="P134" s="834">
        <f t="shared" si="238"/>
        <v>47634.24799460412</v>
      </c>
      <c r="Q134" s="366"/>
      <c r="R134" s="366"/>
      <c r="S134" s="366"/>
      <c r="T134" s="366"/>
      <c r="U134" s="366"/>
      <c r="V134" s="366"/>
      <c r="W134" s="366"/>
      <c r="X134" s="366"/>
      <c r="Y134" s="366"/>
      <c r="Z134" s="366"/>
      <c r="AA134" s="370"/>
      <c r="AB134" s="370"/>
    </row>
    <row r="135" spans="1:28" s="169" customFormat="1" ht="14">
      <c r="A135" s="7"/>
      <c r="B135" s="7"/>
      <c r="C135" s="117"/>
      <c r="D135" s="439"/>
      <c r="E135" s="439"/>
      <c r="F135" s="439"/>
      <c r="G135" s="378" t="s">
        <v>531</v>
      </c>
      <c r="H135" s="298">
        <f>SUM(H136:H140)</f>
        <v>11766</v>
      </c>
      <c r="I135" s="298">
        <f t="shared" ref="I135:K135" si="239">SUM(I136:I140)</f>
        <v>2796</v>
      </c>
      <c r="J135" s="298">
        <f t="shared" si="239"/>
        <v>3530</v>
      </c>
      <c r="K135" s="298">
        <f t="shared" si="239"/>
        <v>5304.2285714285717</v>
      </c>
      <c r="L135" s="298">
        <f t="shared" ref="L135:O135" si="240">SUM(L136:L140)</f>
        <v>5569.4400000000005</v>
      </c>
      <c r="M135" s="298">
        <f t="shared" si="240"/>
        <v>5821.1786879999991</v>
      </c>
      <c r="N135" s="298">
        <f t="shared" si="240"/>
        <v>6055.7721891263991</v>
      </c>
      <c r="O135" s="298">
        <f t="shared" si="240"/>
        <v>6269.540947402561</v>
      </c>
      <c r="P135" s="799">
        <f t="shared" ref="P135" si="241">SUM(P136:P140)</f>
        <v>6458.8810840141177</v>
      </c>
      <c r="Q135" s="301"/>
      <c r="R135" s="301"/>
      <c r="S135" s="301"/>
      <c r="T135" s="301"/>
      <c r="U135" s="301"/>
      <c r="V135" s="301"/>
      <c r="W135" s="301"/>
      <c r="X135" s="301"/>
      <c r="Y135" s="301"/>
      <c r="Z135" s="301"/>
      <c r="AA135" s="298"/>
      <c r="AB135" s="298"/>
    </row>
    <row r="136" spans="1:28" s="169" customFormat="1" ht="14">
      <c r="A136" s="7"/>
      <c r="B136" s="7"/>
      <c r="C136" s="117"/>
      <c r="D136" s="439"/>
      <c r="E136" s="439"/>
      <c r="F136" s="439"/>
      <c r="G136" s="378" t="s">
        <v>532</v>
      </c>
      <c r="H136" s="298">
        <v>4730</v>
      </c>
      <c r="I136" s="298">
        <v>5586</v>
      </c>
      <c r="J136" s="298">
        <v>6565</v>
      </c>
      <c r="K136" s="298">
        <f t="shared" ref="K136:P136" si="242">K77</f>
        <v>5304.2285714285717</v>
      </c>
      <c r="L136" s="298">
        <f t="shared" si="242"/>
        <v>5569.4400000000005</v>
      </c>
      <c r="M136" s="298">
        <f t="shared" si="242"/>
        <v>5821.1786879999991</v>
      </c>
      <c r="N136" s="298">
        <f t="shared" si="242"/>
        <v>6055.7721891263991</v>
      </c>
      <c r="O136" s="298">
        <f t="shared" si="242"/>
        <v>6269.540947402561</v>
      </c>
      <c r="P136" s="799">
        <f t="shared" si="242"/>
        <v>6458.8810840141177</v>
      </c>
      <c r="Q136" s="301"/>
      <c r="R136" s="301"/>
      <c r="S136" s="301"/>
      <c r="T136" s="301"/>
      <c r="U136" s="301"/>
      <c r="V136" s="301"/>
      <c r="W136" s="301"/>
      <c r="X136" s="301"/>
      <c r="Y136" s="301"/>
      <c r="Z136" s="301"/>
      <c r="AA136" s="298"/>
      <c r="AB136" s="298"/>
    </row>
    <row r="137" spans="1:28" s="169" customFormat="1" ht="14">
      <c r="A137" s="7"/>
      <c r="B137" s="7"/>
      <c r="C137" s="117"/>
      <c r="D137" s="439"/>
      <c r="E137" s="439"/>
      <c r="F137" s="439"/>
      <c r="G137" s="378" t="s">
        <v>534</v>
      </c>
      <c r="H137" s="298">
        <f>-(0-224)</f>
        <v>224</v>
      </c>
      <c r="I137" s="298">
        <v>0</v>
      </c>
      <c r="J137" s="298">
        <v>34</v>
      </c>
      <c r="K137" s="298">
        <v>0</v>
      </c>
      <c r="L137" s="298">
        <v>0</v>
      </c>
      <c r="M137" s="298">
        <v>0</v>
      </c>
      <c r="N137" s="298">
        <v>0</v>
      </c>
      <c r="O137" s="298">
        <v>0</v>
      </c>
      <c r="P137" s="799">
        <v>0</v>
      </c>
      <c r="Q137" s="301"/>
      <c r="R137" s="301"/>
      <c r="S137" s="301"/>
      <c r="T137" s="301"/>
      <c r="U137" s="301"/>
      <c r="V137" s="301"/>
      <c r="W137" s="301"/>
      <c r="X137" s="301"/>
      <c r="Y137" s="301"/>
      <c r="Z137" s="301"/>
      <c r="AA137" s="298"/>
      <c r="AB137" s="298"/>
    </row>
    <row r="138" spans="1:28" s="169" customFormat="1" ht="14">
      <c r="A138" s="7"/>
      <c r="B138" s="7"/>
      <c r="C138" s="117"/>
      <c r="D138" s="439"/>
      <c r="E138" s="439"/>
      <c r="F138" s="439"/>
      <c r="G138" s="378" t="s">
        <v>533</v>
      </c>
      <c r="H138" s="298">
        <v>7592</v>
      </c>
      <c r="I138" s="298">
        <f>(I116-H116)+(I109-H109)</f>
        <v>-2988</v>
      </c>
      <c r="J138" s="298">
        <f>(J116-I116)+(J109-I109)</f>
        <v>-4604</v>
      </c>
      <c r="K138" s="298">
        <v>0</v>
      </c>
      <c r="L138" s="298">
        <v>0</v>
      </c>
      <c r="M138" s="298">
        <v>0</v>
      </c>
      <c r="N138" s="298">
        <v>0</v>
      </c>
      <c r="O138" s="298">
        <v>0</v>
      </c>
      <c r="P138" s="799">
        <v>0</v>
      </c>
      <c r="Q138" s="301"/>
      <c r="R138" s="301"/>
      <c r="S138" s="301"/>
      <c r="T138" s="301"/>
      <c r="U138" s="301"/>
      <c r="V138" s="301"/>
      <c r="W138" s="301"/>
      <c r="X138" s="301"/>
      <c r="Y138" s="301"/>
      <c r="Z138" s="301"/>
      <c r="AA138" s="298"/>
      <c r="AB138" s="298"/>
    </row>
    <row r="139" spans="1:28" s="169" customFormat="1" ht="14">
      <c r="A139" s="7"/>
      <c r="B139" s="7"/>
      <c r="C139" s="117"/>
      <c r="D139" s="439"/>
      <c r="E139" s="439"/>
      <c r="F139" s="439"/>
      <c r="G139" s="378" t="s">
        <v>535</v>
      </c>
      <c r="H139" s="298">
        <v>43</v>
      </c>
      <c r="I139" s="298">
        <f>(I110-H110)</f>
        <v>51</v>
      </c>
      <c r="J139" s="298">
        <f>(J110-I110)</f>
        <v>-206</v>
      </c>
      <c r="K139" s="298">
        <v>0</v>
      </c>
      <c r="L139" s="298">
        <v>0</v>
      </c>
      <c r="M139" s="298">
        <v>0</v>
      </c>
      <c r="N139" s="298">
        <v>0</v>
      </c>
      <c r="O139" s="298">
        <v>0</v>
      </c>
      <c r="P139" s="799">
        <v>0</v>
      </c>
      <c r="Q139" s="301"/>
      <c r="R139" s="301"/>
      <c r="S139" s="301"/>
      <c r="T139" s="301"/>
      <c r="U139" s="301"/>
      <c r="V139" s="301"/>
      <c r="W139" s="301"/>
      <c r="X139" s="301"/>
      <c r="Y139" s="301"/>
      <c r="Z139" s="301"/>
      <c r="AA139" s="298"/>
      <c r="AB139" s="298"/>
    </row>
    <row r="140" spans="1:28" s="169" customFormat="1" ht="14">
      <c r="A140" s="7"/>
      <c r="B140" s="7"/>
      <c r="C140" s="117"/>
      <c r="D140" s="439"/>
      <c r="E140" s="439"/>
      <c r="F140" s="439"/>
      <c r="G140" s="378" t="s">
        <v>536</v>
      </c>
      <c r="H140" s="298">
        <v>-823</v>
      </c>
      <c r="I140" s="298">
        <f>(I108-H108)+(I115-H115)</f>
        <v>147</v>
      </c>
      <c r="J140" s="298">
        <f>(J108-I108)+(J115-I115)+850</f>
        <v>1741</v>
      </c>
      <c r="K140" s="298">
        <v>0</v>
      </c>
      <c r="L140" s="298">
        <v>0</v>
      </c>
      <c r="M140" s="298">
        <v>0</v>
      </c>
      <c r="N140" s="298">
        <v>0</v>
      </c>
      <c r="O140" s="298">
        <v>0</v>
      </c>
      <c r="P140" s="799">
        <v>0</v>
      </c>
      <c r="Q140" s="301"/>
      <c r="R140" s="301"/>
      <c r="S140" s="301"/>
      <c r="T140" s="301"/>
      <c r="U140" s="301"/>
      <c r="V140" s="301"/>
      <c r="W140" s="301"/>
      <c r="X140" s="301"/>
      <c r="Y140" s="301"/>
      <c r="Z140" s="301"/>
      <c r="AA140" s="298"/>
      <c r="AB140" s="298"/>
    </row>
    <row r="141" spans="1:28" s="109" customFormat="1">
      <c r="A141" s="4"/>
      <c r="B141" s="4"/>
      <c r="C141" s="4"/>
      <c r="D141" s="20"/>
      <c r="E141" s="20"/>
      <c r="F141" s="20"/>
      <c r="G141" s="688" t="s">
        <v>496</v>
      </c>
      <c r="H141" s="370">
        <f>H134+H135</f>
        <v>30256</v>
      </c>
      <c r="I141" s="370">
        <f t="shared" ref="I141:K141" si="243">I134+I135</f>
        <v>30517</v>
      </c>
      <c r="J141" s="370">
        <f t="shared" si="243"/>
        <v>40787</v>
      </c>
      <c r="K141" s="370">
        <f t="shared" si="243"/>
        <v>46412</v>
      </c>
      <c r="L141" s="370">
        <f t="shared" ref="L141:O141" si="244">L134+L135</f>
        <v>47340.24</v>
      </c>
      <c r="M141" s="370">
        <f t="shared" si="244"/>
        <v>48752.371511999991</v>
      </c>
      <c r="N141" s="370">
        <f t="shared" si="244"/>
        <v>50717.092083933589</v>
      </c>
      <c r="O141" s="370">
        <f t="shared" si="244"/>
        <v>52507.405434496439</v>
      </c>
      <c r="P141" s="834">
        <f t="shared" ref="P141" si="245">P134+P135</f>
        <v>54093.129078618236</v>
      </c>
      <c r="Q141" s="366"/>
      <c r="R141" s="366"/>
      <c r="S141" s="366"/>
      <c r="T141" s="366"/>
      <c r="U141" s="366"/>
      <c r="V141" s="366"/>
      <c r="W141" s="366"/>
      <c r="X141" s="366"/>
      <c r="Y141" s="366"/>
      <c r="Z141" s="366"/>
      <c r="AA141" s="370"/>
      <c r="AB141" s="370"/>
    </row>
    <row r="142" spans="1:28" s="169" customFormat="1" thickBot="1">
      <c r="A142" s="7"/>
      <c r="B142" s="7"/>
      <c r="C142" s="7"/>
      <c r="D142" s="160"/>
      <c r="E142" s="160"/>
      <c r="F142" s="160"/>
      <c r="G142" s="378" t="s">
        <v>538</v>
      </c>
      <c r="H142" s="298" t="e">
        <f t="shared" ref="H142:P142" si="246">H233</f>
        <v>#VALUE!</v>
      </c>
      <c r="I142" s="298">
        <v>-5857</v>
      </c>
      <c r="J142" s="298">
        <v>8288</v>
      </c>
      <c r="K142" s="298">
        <f t="shared" si="246"/>
        <v>1794.2850563507964</v>
      </c>
      <c r="L142" s="298">
        <f t="shared" si="246"/>
        <v>1379.3642528175442</v>
      </c>
      <c r="M142" s="298">
        <f t="shared" si="246"/>
        <v>1309.2925487744033</v>
      </c>
      <c r="N142" s="298">
        <f t="shared" si="246"/>
        <v>1220.1204568750909</v>
      </c>
      <c r="O142" s="298">
        <f t="shared" si="246"/>
        <v>1111.8109997130668</v>
      </c>
      <c r="P142" s="799">
        <f t="shared" si="246"/>
        <v>984.75777409883449</v>
      </c>
      <c r="Q142" s="301"/>
      <c r="R142" s="301"/>
      <c r="S142" s="301"/>
      <c r="T142" s="301"/>
      <c r="U142" s="301"/>
      <c r="V142" s="301"/>
      <c r="W142" s="301"/>
      <c r="X142" s="301"/>
      <c r="Y142" s="301"/>
      <c r="Z142" s="301"/>
      <c r="AA142" s="298"/>
      <c r="AB142" s="298"/>
    </row>
    <row r="143" spans="1:28" s="109" customFormat="1" ht="16" thickBot="1">
      <c r="A143" s="4"/>
      <c r="B143" s="4"/>
      <c r="C143" s="4"/>
      <c r="D143" s="20"/>
      <c r="E143" s="20"/>
      <c r="F143" s="20"/>
      <c r="G143" s="691" t="s">
        <v>559</v>
      </c>
      <c r="H143" s="306" t="e">
        <f>SUM(H141:H142)</f>
        <v>#VALUE!</v>
      </c>
      <c r="I143" s="306">
        <f>I141+I142</f>
        <v>24660</v>
      </c>
      <c r="J143" s="306">
        <f>J141+J142</f>
        <v>49075</v>
      </c>
      <c r="K143" s="306">
        <f>K141-K142</f>
        <v>44617.714943649204</v>
      </c>
      <c r="L143" s="306">
        <f>L141-L142</f>
        <v>45960.87574718245</v>
      </c>
      <c r="M143" s="306">
        <f t="shared" ref="M143:O143" si="247">M141-M142</f>
        <v>47443.078963225591</v>
      </c>
      <c r="N143" s="306">
        <f t="shared" si="247"/>
        <v>49496.971627058498</v>
      </c>
      <c r="O143" s="306">
        <f t="shared" si="247"/>
        <v>51395.594434783372</v>
      </c>
      <c r="P143" s="800">
        <f>P141-P142</f>
        <v>53108.371304519402</v>
      </c>
      <c r="Q143" s="370"/>
      <c r="R143" s="370"/>
      <c r="S143" s="370"/>
      <c r="T143" s="370"/>
      <c r="U143" s="370"/>
      <c r="V143" s="370"/>
      <c r="W143" s="370"/>
      <c r="X143" s="370"/>
      <c r="Y143" s="370"/>
      <c r="Z143" s="370"/>
      <c r="AA143" s="370"/>
      <c r="AB143" s="370"/>
    </row>
    <row r="144" spans="1:28" s="169" customFormat="1" ht="14">
      <c r="A144" s="7"/>
      <c r="B144" s="7"/>
      <c r="C144" s="7"/>
      <c r="D144" s="160"/>
      <c r="E144" s="160"/>
      <c r="F144" s="160"/>
      <c r="G144" s="378" t="s">
        <v>549</v>
      </c>
      <c r="H144" s="298">
        <f t="shared" ref="H144:P144" si="248">H32</f>
        <v>50</v>
      </c>
      <c r="I144" s="298">
        <f t="shared" si="248"/>
        <v>54</v>
      </c>
      <c r="J144" s="298">
        <f t="shared" si="248"/>
        <v>65</v>
      </c>
      <c r="K144" s="298">
        <f t="shared" si="248"/>
        <v>80.988</v>
      </c>
      <c r="L144" s="298">
        <f t="shared" si="248"/>
        <v>105.12217962936352</v>
      </c>
      <c r="M144" s="298">
        <f t="shared" si="248"/>
        <v>128.65096123453515</v>
      </c>
      <c r="N144" s="298">
        <f t="shared" si="248"/>
        <v>153.14945395002252</v>
      </c>
      <c r="O144" s="298">
        <f t="shared" si="248"/>
        <v>178.98968326238787</v>
      </c>
      <c r="P144" s="799">
        <f t="shared" si="248"/>
        <v>205.95064696605903</v>
      </c>
      <c r="Q144" s="301"/>
      <c r="R144" s="301"/>
      <c r="S144" s="301"/>
      <c r="T144" s="301"/>
      <c r="U144" s="301"/>
      <c r="V144" s="301"/>
      <c r="W144" s="301"/>
      <c r="X144" s="301"/>
      <c r="Y144" s="301"/>
      <c r="Z144" s="301"/>
      <c r="AA144" s="298"/>
      <c r="AB144" s="298"/>
    </row>
    <row r="145" spans="1:28" s="169" customFormat="1" ht="14">
      <c r="A145" s="7"/>
      <c r="B145" s="7"/>
      <c r="C145" s="7"/>
      <c r="D145" s="160"/>
      <c r="E145" s="160"/>
      <c r="F145" s="160"/>
      <c r="G145" s="378" t="s">
        <v>13</v>
      </c>
      <c r="H145" s="298">
        <f t="shared" ref="H145:P145" si="249">H33</f>
        <v>-1903</v>
      </c>
      <c r="I145" s="298">
        <f t="shared" si="249"/>
        <v>-1686</v>
      </c>
      <c r="J145" s="298">
        <f t="shared" si="249"/>
        <v>-1673</v>
      </c>
      <c r="K145" s="298">
        <f t="shared" si="249"/>
        <v>-1722</v>
      </c>
      <c r="L145" s="298">
        <f t="shared" si="249"/>
        <v>-1677</v>
      </c>
      <c r="M145" s="298">
        <f t="shared" si="249"/>
        <v>-1632</v>
      </c>
      <c r="N145" s="298">
        <f t="shared" si="249"/>
        <v>-1587</v>
      </c>
      <c r="O145" s="298">
        <f t="shared" si="249"/>
        <v>-1542</v>
      </c>
      <c r="P145" s="799">
        <f t="shared" si="249"/>
        <v>-1497.06</v>
      </c>
      <c r="Q145" s="301"/>
      <c r="R145" s="301"/>
      <c r="S145" s="301"/>
      <c r="T145" s="301"/>
      <c r="U145" s="301"/>
      <c r="V145" s="301"/>
      <c r="W145" s="301"/>
      <c r="X145" s="301"/>
      <c r="Y145" s="301"/>
      <c r="Z145" s="301"/>
      <c r="AA145" s="298"/>
      <c r="AB145" s="298"/>
    </row>
    <row r="146" spans="1:28" s="169" customFormat="1" thickBot="1">
      <c r="A146" s="7"/>
      <c r="B146" s="7"/>
      <c r="C146" s="7"/>
      <c r="D146" s="160"/>
      <c r="E146" s="160"/>
      <c r="F146" s="160"/>
      <c r="G146" s="378" t="s">
        <v>184</v>
      </c>
      <c r="H146" s="298">
        <f>-H250</f>
        <v>-5332</v>
      </c>
      <c r="I146" s="298">
        <f>-I250</f>
        <v>-5004</v>
      </c>
      <c r="J146" s="298">
        <f>-J250</f>
        <v>-7733</v>
      </c>
      <c r="K146" s="298">
        <f t="shared" ref="K146:P146" si="250">K257</f>
        <v>-14114.351885714286</v>
      </c>
      <c r="L146" s="298">
        <f t="shared" si="250"/>
        <v>-15933.136321640159</v>
      </c>
      <c r="M146" s="298">
        <f t="shared" si="250"/>
        <v>-16325.353192972776</v>
      </c>
      <c r="N146" s="298">
        <f t="shared" si="250"/>
        <v>-16931.062626798346</v>
      </c>
      <c r="O146" s="298">
        <f t="shared" si="250"/>
        <v>-17620.464703822698</v>
      </c>
      <c r="P146" s="799">
        <f t="shared" si="250"/>
        <v>-18243.59856238529</v>
      </c>
      <c r="Q146" s="301"/>
      <c r="R146" s="301"/>
      <c r="S146" s="301"/>
      <c r="T146" s="301"/>
      <c r="U146" s="301"/>
      <c r="V146" s="301"/>
      <c r="W146" s="301"/>
      <c r="X146" s="301"/>
      <c r="Y146" s="301"/>
      <c r="Z146" s="301"/>
      <c r="AA146" s="298"/>
      <c r="AB146" s="298"/>
    </row>
    <row r="147" spans="1:28" s="109" customFormat="1" ht="16" thickBot="1">
      <c r="A147" s="4"/>
      <c r="B147" s="4"/>
      <c r="C147" s="4"/>
      <c r="D147" s="20"/>
      <c r="E147" s="20"/>
      <c r="F147" s="20"/>
      <c r="G147" s="691" t="s">
        <v>560</v>
      </c>
      <c r="H147" s="306" t="e">
        <f>H143+SUM(H144:H146)</f>
        <v>#VALUE!</v>
      </c>
      <c r="I147" s="306">
        <f t="shared" ref="I147:K147" si="251">I143+SUM(I144:I146)</f>
        <v>18024</v>
      </c>
      <c r="J147" s="306">
        <f t="shared" si="251"/>
        <v>39734</v>
      </c>
      <c r="K147" s="306">
        <f t="shared" si="251"/>
        <v>28862.351057934917</v>
      </c>
      <c r="L147" s="306">
        <f t="shared" ref="L147:O147" si="252">L143+SUM(L144:L146)</f>
        <v>28455.861605171656</v>
      </c>
      <c r="M147" s="306">
        <f t="shared" si="252"/>
        <v>29614.376731487351</v>
      </c>
      <c r="N147" s="306">
        <f t="shared" si="252"/>
        <v>31132.058454210175</v>
      </c>
      <c r="O147" s="306">
        <f t="shared" si="252"/>
        <v>32412.119414223063</v>
      </c>
      <c r="P147" s="800">
        <f t="shared" ref="P147" si="253">P143+SUM(P144:P146)</f>
        <v>33573.663389100169</v>
      </c>
      <c r="Q147" s="370"/>
      <c r="R147" s="370"/>
      <c r="S147" s="370"/>
      <c r="T147" s="370"/>
      <c r="U147" s="370"/>
      <c r="V147" s="370"/>
      <c r="W147" s="370"/>
      <c r="X147" s="370"/>
      <c r="Y147" s="370"/>
      <c r="Z147" s="370"/>
      <c r="AA147" s="370"/>
      <c r="AB147" s="370"/>
    </row>
    <row r="148" spans="1:28">
      <c r="G148" s="812"/>
      <c r="H148" s="169"/>
      <c r="I148" s="169"/>
      <c r="J148" s="169"/>
      <c r="K148" s="137"/>
      <c r="L148" s="137"/>
      <c r="M148" s="137"/>
      <c r="N148" s="137"/>
      <c r="O148" s="137"/>
      <c r="P148" s="369"/>
      <c r="Q148" s="18"/>
      <c r="R148" s="18"/>
      <c r="S148" s="18"/>
      <c r="T148" s="18"/>
      <c r="U148" s="18"/>
      <c r="V148" s="18"/>
      <c r="W148" s="18"/>
      <c r="X148" s="18"/>
      <c r="Y148" s="18"/>
      <c r="Z148" s="18"/>
      <c r="AA148" s="137"/>
      <c r="AB148" s="137"/>
    </row>
    <row r="149" spans="1:28">
      <c r="G149" s="812"/>
      <c r="H149" s="169"/>
      <c r="I149" s="169"/>
      <c r="J149" s="169"/>
      <c r="K149" s="137"/>
      <c r="L149" s="137"/>
      <c r="M149" s="137"/>
      <c r="N149" s="137"/>
      <c r="O149" s="137"/>
      <c r="P149" s="369"/>
      <c r="Q149" s="18"/>
      <c r="R149" s="18"/>
      <c r="S149" s="18"/>
      <c r="T149" s="18"/>
      <c r="U149" s="18"/>
      <c r="V149" s="18"/>
      <c r="W149" s="18"/>
      <c r="X149" s="18"/>
      <c r="Y149" s="18"/>
      <c r="Z149" s="18"/>
      <c r="AA149" s="137"/>
      <c r="AB149" s="137"/>
    </row>
    <row r="150" spans="1:28" s="169" customFormat="1" ht="14">
      <c r="A150" s="7"/>
      <c r="B150" s="7"/>
      <c r="C150" s="7"/>
      <c r="D150" s="160"/>
      <c r="E150" s="160"/>
      <c r="F150" s="160"/>
      <c r="G150" s="378" t="s">
        <v>561</v>
      </c>
      <c r="H150" s="298">
        <v>-9668</v>
      </c>
      <c r="I150" s="298">
        <v>-6128</v>
      </c>
      <c r="J150" s="298">
        <v>-14337</v>
      </c>
      <c r="K150" s="298">
        <f t="shared" ref="K150:P150" si="254">K79</f>
        <v>-3978.1714285714284</v>
      </c>
      <c r="L150" s="298">
        <f t="shared" si="254"/>
        <v>-4177.08</v>
      </c>
      <c r="M150" s="298">
        <f t="shared" si="254"/>
        <v>-4365.8840159999991</v>
      </c>
      <c r="N150" s="298">
        <f t="shared" si="254"/>
        <v>-4541.8291418447989</v>
      </c>
      <c r="O150" s="298">
        <f t="shared" si="254"/>
        <v>-4702.1557105519205</v>
      </c>
      <c r="P150" s="799">
        <f t="shared" si="254"/>
        <v>-4844.1608130105878</v>
      </c>
      <c r="Q150" s="301"/>
      <c r="R150" s="301"/>
      <c r="S150" s="301"/>
      <c r="T150" s="301"/>
      <c r="U150" s="301"/>
      <c r="V150" s="301"/>
      <c r="W150" s="301"/>
      <c r="X150" s="301"/>
      <c r="Y150" s="301"/>
      <c r="Z150" s="301"/>
      <c r="AA150" s="298"/>
      <c r="AB150" s="298"/>
    </row>
    <row r="151" spans="1:28" s="169" customFormat="1" thickBot="1">
      <c r="A151" s="7"/>
      <c r="B151" s="7"/>
      <c r="C151" s="7"/>
      <c r="D151" s="160"/>
      <c r="E151" s="160"/>
      <c r="F151" s="160"/>
      <c r="G151" s="378" t="s">
        <v>562</v>
      </c>
      <c r="H151" s="298"/>
      <c r="I151" s="298"/>
      <c r="J151" s="298">
        <f>-850</f>
        <v>-850</v>
      </c>
      <c r="K151" s="298">
        <v>0</v>
      </c>
      <c r="L151" s="298">
        <v>0</v>
      </c>
      <c r="M151" s="298">
        <v>0</v>
      </c>
      <c r="N151" s="298">
        <v>0</v>
      </c>
      <c r="O151" s="298">
        <v>0</v>
      </c>
      <c r="P151" s="799">
        <v>0</v>
      </c>
      <c r="Q151" s="301"/>
      <c r="R151" s="301"/>
      <c r="S151" s="301"/>
      <c r="T151" s="301"/>
      <c r="U151" s="301"/>
      <c r="V151" s="301"/>
      <c r="W151" s="301"/>
      <c r="X151" s="301"/>
      <c r="Y151" s="301"/>
      <c r="Z151" s="301"/>
      <c r="AA151" s="298"/>
      <c r="AB151" s="298"/>
    </row>
    <row r="152" spans="1:28" s="109" customFormat="1" ht="16" thickBot="1">
      <c r="A152" s="4"/>
      <c r="B152" s="4"/>
      <c r="C152" s="4"/>
      <c r="D152" s="20"/>
      <c r="E152" s="20"/>
      <c r="F152" s="20"/>
      <c r="G152" s="691" t="s">
        <v>563</v>
      </c>
      <c r="H152" s="306">
        <f>SUM(H150:H151)</f>
        <v>-9668</v>
      </c>
      <c r="I152" s="306">
        <f t="shared" ref="I152:K152" si="255">SUM(I150:I151)</f>
        <v>-6128</v>
      </c>
      <c r="J152" s="306">
        <f t="shared" si="255"/>
        <v>-15187</v>
      </c>
      <c r="K152" s="306">
        <f t="shared" si="255"/>
        <v>-3978.1714285714284</v>
      </c>
      <c r="L152" s="306">
        <f t="shared" ref="L152:O152" si="256">SUM(L150:L151)</f>
        <v>-4177.08</v>
      </c>
      <c r="M152" s="306">
        <f t="shared" si="256"/>
        <v>-4365.8840159999991</v>
      </c>
      <c r="N152" s="306">
        <f t="shared" si="256"/>
        <v>-4541.8291418447989</v>
      </c>
      <c r="O152" s="306">
        <f t="shared" si="256"/>
        <v>-4702.1557105519205</v>
      </c>
      <c r="P152" s="800">
        <f t="shared" ref="P152" si="257">SUM(P150:P151)</f>
        <v>-4844.1608130105878</v>
      </c>
      <c r="Q152" s="370"/>
      <c r="R152" s="370"/>
      <c r="S152" s="370"/>
      <c r="T152" s="370"/>
      <c r="U152" s="370"/>
      <c r="V152" s="370"/>
      <c r="W152" s="370"/>
      <c r="X152" s="370"/>
      <c r="Y152" s="370"/>
      <c r="Z152" s="370"/>
      <c r="AA152" s="370"/>
      <c r="AB152" s="370"/>
    </row>
    <row r="153" spans="1:28">
      <c r="G153" s="812"/>
      <c r="H153" s="298"/>
      <c r="I153" s="298"/>
      <c r="J153" s="298"/>
      <c r="K153" s="427"/>
      <c r="L153" s="427"/>
      <c r="M153" s="427"/>
      <c r="N153" s="427"/>
      <c r="O153" s="427"/>
      <c r="P153" s="1142"/>
      <c r="Q153" s="305"/>
      <c r="R153" s="305"/>
      <c r="S153" s="305"/>
      <c r="T153" s="305"/>
      <c r="U153" s="305"/>
      <c r="V153" s="305"/>
      <c r="W153" s="305"/>
      <c r="X153" s="305"/>
      <c r="Y153" s="305"/>
      <c r="Z153" s="305"/>
      <c r="AA153" s="427"/>
      <c r="AB153" s="427"/>
    </row>
    <row r="154" spans="1:28">
      <c r="G154" s="812"/>
      <c r="H154" s="298"/>
      <c r="I154" s="298"/>
      <c r="J154" s="298"/>
      <c r="K154" s="427"/>
      <c r="L154" s="427"/>
      <c r="M154" s="427"/>
      <c r="N154" s="427"/>
      <c r="O154" s="427"/>
      <c r="P154" s="1142"/>
      <c r="Q154" s="305"/>
      <c r="R154" s="305"/>
      <c r="S154" s="305"/>
      <c r="T154" s="305"/>
      <c r="U154" s="305"/>
      <c r="V154" s="305"/>
      <c r="W154" s="305"/>
      <c r="X154" s="305"/>
      <c r="Y154" s="305"/>
      <c r="Z154" s="305"/>
      <c r="AA154" s="427"/>
      <c r="AB154" s="427"/>
    </row>
    <row r="155" spans="1:28" s="169" customFormat="1" ht="14">
      <c r="A155" s="7"/>
      <c r="B155" s="7"/>
      <c r="C155" s="7"/>
      <c r="D155" s="160"/>
      <c r="E155" s="160"/>
      <c r="F155" s="160"/>
      <c r="G155" s="378" t="s">
        <v>566</v>
      </c>
      <c r="H155" s="298">
        <f>2164-755</f>
        <v>1409</v>
      </c>
      <c r="I155" s="298">
        <f>SUM(I156:I158)</f>
        <v>-221</v>
      </c>
      <c r="J155" s="298">
        <f>(J107-I107)+(J118-I118)</f>
        <v>-781</v>
      </c>
      <c r="K155" s="298">
        <f>SUM(K156:K158)</f>
        <v>-750</v>
      </c>
      <c r="L155" s="298">
        <f>SUM(L156:L158)</f>
        <v>-750</v>
      </c>
      <c r="M155" s="298">
        <f t="shared" ref="M155:O155" si="258">SUM(M156:M158)</f>
        <v>-750</v>
      </c>
      <c r="N155" s="298">
        <f t="shared" si="258"/>
        <v>-750</v>
      </c>
      <c r="O155" s="298">
        <f t="shared" si="258"/>
        <v>-749</v>
      </c>
      <c r="P155" s="799">
        <f>SUM(P156:P158)</f>
        <v>-748</v>
      </c>
      <c r="Q155" s="301"/>
      <c r="R155" s="301"/>
      <c r="S155" s="301"/>
      <c r="T155" s="301"/>
      <c r="U155" s="301"/>
      <c r="V155" s="301"/>
      <c r="W155" s="301"/>
      <c r="X155" s="301"/>
      <c r="Y155" s="301"/>
      <c r="Z155" s="301"/>
      <c r="AA155" s="298"/>
      <c r="AB155" s="298"/>
    </row>
    <row r="156" spans="1:28" s="169" customFormat="1" ht="14">
      <c r="A156" s="7"/>
      <c r="B156" s="7"/>
      <c r="C156" s="7"/>
      <c r="D156" s="160"/>
      <c r="E156" s="160"/>
      <c r="F156" s="160"/>
      <c r="G156" s="378" t="s">
        <v>564</v>
      </c>
      <c r="H156" s="298">
        <v>-75</v>
      </c>
      <c r="I156" s="298">
        <v>0</v>
      </c>
      <c r="J156" s="298">
        <v>-100</v>
      </c>
      <c r="K156" s="298"/>
      <c r="L156" s="298"/>
      <c r="M156" s="298"/>
      <c r="N156" s="298"/>
      <c r="O156" s="298"/>
      <c r="P156" s="799"/>
      <c r="Q156" s="301"/>
      <c r="R156" s="301"/>
      <c r="S156" s="301"/>
      <c r="T156" s="301"/>
      <c r="U156" s="301"/>
      <c r="V156" s="301"/>
      <c r="W156" s="301"/>
      <c r="X156" s="301"/>
      <c r="Y156" s="301"/>
      <c r="Z156" s="301"/>
      <c r="AA156" s="298"/>
      <c r="AB156" s="298"/>
    </row>
    <row r="157" spans="1:28" s="169" customFormat="1" ht="14">
      <c r="A157" s="7"/>
      <c r="B157" s="7"/>
      <c r="C157" s="7"/>
      <c r="D157" s="160"/>
      <c r="E157" s="160"/>
      <c r="F157" s="160"/>
      <c r="G157" s="378" t="s">
        <v>965</v>
      </c>
      <c r="H157" s="298">
        <v>2164</v>
      </c>
      <c r="I157" s="298">
        <v>0</v>
      </c>
      <c r="J157" s="298">
        <v>50</v>
      </c>
      <c r="K157" s="298">
        <f t="shared" ref="K157:O157" si="259">K271</f>
        <v>0</v>
      </c>
      <c r="L157" s="298">
        <f t="shared" si="259"/>
        <v>0</v>
      </c>
      <c r="M157" s="298">
        <f t="shared" si="259"/>
        <v>0</v>
      </c>
      <c r="N157" s="298">
        <f t="shared" si="259"/>
        <v>0</v>
      </c>
      <c r="O157" s="298">
        <f t="shared" si="259"/>
        <v>1</v>
      </c>
      <c r="P157" s="799">
        <f>P271</f>
        <v>2</v>
      </c>
      <c r="Q157" s="301"/>
      <c r="R157" s="301"/>
      <c r="S157" s="301"/>
      <c r="T157" s="301"/>
      <c r="U157" s="301"/>
      <c r="V157" s="301"/>
      <c r="W157" s="301"/>
      <c r="X157" s="301"/>
      <c r="Y157" s="301"/>
      <c r="Z157" s="301"/>
      <c r="AA157" s="298"/>
      <c r="AB157" s="298"/>
    </row>
    <row r="158" spans="1:28" s="169" customFormat="1" thickBot="1">
      <c r="A158" s="7"/>
      <c r="B158" s="7"/>
      <c r="C158" s="7"/>
      <c r="D158" s="160"/>
      <c r="E158" s="160"/>
      <c r="F158" s="160"/>
      <c r="G158" s="378" t="s">
        <v>966</v>
      </c>
      <c r="H158" s="298">
        <v>-755</v>
      </c>
      <c r="I158" s="298">
        <v>-221</v>
      </c>
      <c r="J158" s="298">
        <v>-731</v>
      </c>
      <c r="K158" s="298">
        <f>K269</f>
        <v>-750</v>
      </c>
      <c r="L158" s="298">
        <f t="shared" ref="L158:P158" si="260">L269</f>
        <v>-750</v>
      </c>
      <c r="M158" s="298">
        <f t="shared" si="260"/>
        <v>-750</v>
      </c>
      <c r="N158" s="298">
        <f t="shared" si="260"/>
        <v>-750</v>
      </c>
      <c r="O158" s="298">
        <f t="shared" si="260"/>
        <v>-750</v>
      </c>
      <c r="P158" s="799">
        <f t="shared" si="260"/>
        <v>-750</v>
      </c>
      <c r="Q158" s="301"/>
      <c r="R158" s="301"/>
      <c r="S158" s="301"/>
      <c r="T158" s="301"/>
      <c r="U158" s="301"/>
      <c r="V158" s="301"/>
      <c r="W158" s="301"/>
      <c r="X158" s="301"/>
      <c r="Y158" s="301"/>
      <c r="Z158" s="301"/>
      <c r="AA158" s="298"/>
      <c r="AB158" s="298"/>
    </row>
    <row r="159" spans="1:28" s="109" customFormat="1" ht="16" thickBot="1">
      <c r="A159" s="4"/>
      <c r="B159" s="4"/>
      <c r="C159" s="4"/>
      <c r="D159" s="20"/>
      <c r="E159" s="20"/>
      <c r="F159" s="20"/>
      <c r="G159" s="691" t="s">
        <v>565</v>
      </c>
      <c r="H159" s="306">
        <f>SUM(H155:H156)</f>
        <v>1334</v>
      </c>
      <c r="I159" s="306">
        <f>I155</f>
        <v>-221</v>
      </c>
      <c r="J159" s="306">
        <f>J155</f>
        <v>-781</v>
      </c>
      <c r="K159" s="306">
        <f>K155</f>
        <v>-750</v>
      </c>
      <c r="L159" s="306">
        <f>L155</f>
        <v>-750</v>
      </c>
      <c r="M159" s="306">
        <f t="shared" ref="M159:O159" si="261">M155</f>
        <v>-750</v>
      </c>
      <c r="N159" s="306">
        <f t="shared" si="261"/>
        <v>-750</v>
      </c>
      <c r="O159" s="306">
        <f t="shared" si="261"/>
        <v>-749</v>
      </c>
      <c r="P159" s="800">
        <f>P155</f>
        <v>-748</v>
      </c>
      <c r="Q159" s="370"/>
      <c r="R159" s="370"/>
      <c r="S159" s="370"/>
      <c r="T159" s="370"/>
      <c r="U159" s="370"/>
      <c r="V159" s="370"/>
      <c r="W159" s="370"/>
      <c r="X159" s="370"/>
      <c r="Y159" s="370"/>
      <c r="Z159" s="370"/>
      <c r="AA159" s="370"/>
      <c r="AB159" s="370"/>
    </row>
    <row r="160" spans="1:28">
      <c r="G160" s="812"/>
      <c r="H160" s="169"/>
      <c r="I160" s="169"/>
      <c r="J160" s="169"/>
      <c r="K160" s="137"/>
      <c r="L160" s="137"/>
      <c r="M160" s="137"/>
      <c r="N160" s="137"/>
      <c r="O160" s="137"/>
      <c r="P160" s="369"/>
      <c r="Q160" s="18"/>
      <c r="R160" s="18"/>
      <c r="S160" s="18"/>
      <c r="T160" s="18"/>
      <c r="U160" s="18"/>
      <c r="V160" s="18"/>
      <c r="W160" s="18"/>
      <c r="X160" s="18"/>
      <c r="Y160" s="18"/>
      <c r="Z160" s="18"/>
      <c r="AA160" s="137"/>
      <c r="AB160" s="137"/>
    </row>
    <row r="161" spans="1:28" s="109" customFormat="1" ht="16" thickBot="1">
      <c r="A161" s="4"/>
      <c r="B161" s="4"/>
      <c r="C161" s="4"/>
      <c r="D161" s="20"/>
      <c r="E161" s="20"/>
      <c r="F161" s="20"/>
      <c r="G161" s="688" t="s">
        <v>207</v>
      </c>
      <c r="H161" s="370" t="e">
        <f t="shared" ref="H161:P161" si="262">H159+H152+H147</f>
        <v>#VALUE!</v>
      </c>
      <c r="I161" s="370">
        <f t="shared" si="262"/>
        <v>11675</v>
      </c>
      <c r="J161" s="370">
        <f t="shared" si="262"/>
        <v>23766</v>
      </c>
      <c r="K161" s="370">
        <f t="shared" si="262"/>
        <v>24134.179629363491</v>
      </c>
      <c r="L161" s="370">
        <f t="shared" si="262"/>
        <v>23528.781605171658</v>
      </c>
      <c r="M161" s="370">
        <f t="shared" si="262"/>
        <v>24498.492715487351</v>
      </c>
      <c r="N161" s="370">
        <f t="shared" si="262"/>
        <v>25840.229312365376</v>
      </c>
      <c r="O161" s="370">
        <f t="shared" si="262"/>
        <v>26960.963703671143</v>
      </c>
      <c r="P161" s="834">
        <f t="shared" si="262"/>
        <v>27981.502576089581</v>
      </c>
      <c r="Q161" s="366"/>
      <c r="R161" s="366"/>
      <c r="S161" s="366"/>
      <c r="T161" s="366"/>
      <c r="U161" s="366"/>
      <c r="V161" s="366"/>
      <c r="W161" s="366"/>
      <c r="X161" s="366"/>
      <c r="Y161" s="366"/>
      <c r="Z161" s="366"/>
      <c r="AA161" s="370"/>
      <c r="AB161" s="370"/>
    </row>
    <row r="162" spans="1:28" s="109" customFormat="1" ht="16" thickBot="1">
      <c r="A162" s="4"/>
      <c r="B162" s="4"/>
      <c r="C162" s="4"/>
      <c r="D162" s="20"/>
      <c r="E162" s="20"/>
      <c r="F162" s="20"/>
      <c r="G162" s="691" t="s">
        <v>208</v>
      </c>
      <c r="H162" s="306">
        <v>38410</v>
      </c>
      <c r="I162" s="306">
        <f t="shared" ref="I162:P162" si="263">H93</f>
        <v>45547</v>
      </c>
      <c r="J162" s="306">
        <f t="shared" si="263"/>
        <v>57222</v>
      </c>
      <c r="K162" s="306">
        <f t="shared" si="263"/>
        <v>80988</v>
      </c>
      <c r="L162" s="306">
        <f t="shared" si="263"/>
        <v>105122.1796293635</v>
      </c>
      <c r="M162" s="306">
        <f t="shared" si="263"/>
        <v>128650.96123453515</v>
      </c>
      <c r="N162" s="306">
        <f t="shared" si="263"/>
        <v>153149.45395002249</v>
      </c>
      <c r="O162" s="306">
        <f t="shared" si="263"/>
        <v>178989.68326238787</v>
      </c>
      <c r="P162" s="800">
        <f t="shared" si="263"/>
        <v>205950.64696605902</v>
      </c>
      <c r="Q162" s="370"/>
      <c r="R162" s="370"/>
      <c r="S162" s="370"/>
      <c r="T162" s="370"/>
      <c r="U162" s="370"/>
      <c r="V162" s="370"/>
      <c r="W162" s="370"/>
      <c r="X162" s="370"/>
      <c r="Y162" s="370"/>
      <c r="Z162" s="370"/>
      <c r="AA162" s="370"/>
      <c r="AB162" s="370"/>
    </row>
    <row r="163" spans="1:28" s="109" customFormat="1" ht="16" thickBot="1">
      <c r="A163" s="4"/>
      <c r="B163" s="4"/>
      <c r="C163" s="4"/>
      <c r="D163" s="20"/>
      <c r="E163" s="20"/>
      <c r="F163" s="20"/>
      <c r="G163" s="688" t="s">
        <v>963</v>
      </c>
      <c r="H163" s="370"/>
      <c r="I163" s="370"/>
      <c r="J163" s="370">
        <v>0</v>
      </c>
      <c r="K163" s="370">
        <f t="shared" ref="K163:P163" si="264">K42</f>
        <v>0</v>
      </c>
      <c r="L163" s="370">
        <f t="shared" si="264"/>
        <v>0</v>
      </c>
      <c r="M163" s="370">
        <f t="shared" si="264"/>
        <v>0</v>
      </c>
      <c r="N163" s="370">
        <f t="shared" si="264"/>
        <v>0</v>
      </c>
      <c r="O163" s="370">
        <f t="shared" si="264"/>
        <v>0</v>
      </c>
      <c r="P163" s="834">
        <f t="shared" si="264"/>
        <v>0</v>
      </c>
      <c r="Q163" s="366"/>
      <c r="R163" s="366"/>
      <c r="S163" s="366"/>
      <c r="T163" s="366"/>
      <c r="U163" s="366"/>
      <c r="V163" s="366"/>
      <c r="W163" s="366"/>
      <c r="X163" s="366"/>
      <c r="Y163" s="366"/>
      <c r="Z163" s="366"/>
      <c r="AA163" s="370"/>
      <c r="AB163" s="370"/>
    </row>
    <row r="164" spans="1:28" s="109" customFormat="1" ht="16" thickBot="1">
      <c r="A164" s="4"/>
      <c r="B164" s="4"/>
      <c r="C164" s="4"/>
      <c r="D164" s="20"/>
      <c r="E164" s="20"/>
      <c r="F164" s="20"/>
      <c r="G164" s="691" t="s">
        <v>210</v>
      </c>
      <c r="H164" s="306" t="e">
        <f>SUM(H162,H161)</f>
        <v>#VALUE!</v>
      </c>
      <c r="I164" s="306">
        <f>SUM(I162,I161)</f>
        <v>57222</v>
      </c>
      <c r="J164" s="306">
        <f>SUM(J162,J161,J163)</f>
        <v>80988</v>
      </c>
      <c r="K164" s="306">
        <f>SUM(K162,K161,K163)</f>
        <v>105122.1796293635</v>
      </c>
      <c r="L164" s="306">
        <f>SUM(L162,L161,L163)</f>
        <v>128650.96123453515</v>
      </c>
      <c r="M164" s="306">
        <f t="shared" ref="M164:O164" si="265">SUM(M162,M161,M163)</f>
        <v>153149.45395002249</v>
      </c>
      <c r="N164" s="306">
        <f t="shared" si="265"/>
        <v>178989.68326238787</v>
      </c>
      <c r="O164" s="306">
        <f t="shared" si="265"/>
        <v>205950.64696605902</v>
      </c>
      <c r="P164" s="800">
        <f>SUM(P162,P161,P163)</f>
        <v>233932.1495421486</v>
      </c>
      <c r="Q164" s="370"/>
      <c r="R164" s="370"/>
      <c r="S164" s="370"/>
      <c r="T164" s="370"/>
      <c r="U164" s="370"/>
      <c r="V164" s="370"/>
      <c r="W164" s="370"/>
      <c r="X164" s="370"/>
      <c r="Y164" s="370"/>
      <c r="Z164" s="370"/>
      <c r="AA164" s="370"/>
      <c r="AB164" s="370"/>
    </row>
    <row r="165" spans="1:28" s="113" customFormat="1" thickBot="1">
      <c r="A165" s="13"/>
      <c r="B165" s="13"/>
      <c r="C165" s="13"/>
      <c r="D165" s="278"/>
      <c r="E165" s="278"/>
      <c r="F165" s="278"/>
      <c r="G165" s="1109" t="s">
        <v>548</v>
      </c>
      <c r="H165" s="1132" t="e">
        <f t="shared" ref="H165:P165" si="266">H164-H93</f>
        <v>#VALUE!</v>
      </c>
      <c r="I165" s="1132">
        <f t="shared" si="266"/>
        <v>0</v>
      </c>
      <c r="J165" s="1132">
        <f t="shared" si="266"/>
        <v>0</v>
      </c>
      <c r="K165" s="1132">
        <f t="shared" si="266"/>
        <v>0</v>
      </c>
      <c r="L165" s="1132">
        <f t="shared" si="266"/>
        <v>0</v>
      </c>
      <c r="M165" s="1132">
        <f t="shared" si="266"/>
        <v>0</v>
      </c>
      <c r="N165" s="1132">
        <f t="shared" si="266"/>
        <v>0</v>
      </c>
      <c r="O165" s="1132">
        <f t="shared" si="266"/>
        <v>0</v>
      </c>
      <c r="P165" s="1143">
        <f t="shared" si="266"/>
        <v>0</v>
      </c>
      <c r="Q165" s="107"/>
      <c r="R165" s="107"/>
      <c r="S165" s="107"/>
      <c r="T165" s="107"/>
      <c r="U165" s="107"/>
      <c r="V165" s="107"/>
      <c r="W165" s="107"/>
      <c r="X165" s="107"/>
      <c r="Y165" s="107"/>
      <c r="Z165" s="107"/>
      <c r="AA165" s="288"/>
      <c r="AB165" s="288"/>
    </row>
    <row r="166" spans="1:28">
      <c r="G166" s="18"/>
      <c r="H166" s="169"/>
      <c r="I166" s="163"/>
      <c r="J166" s="163"/>
      <c r="K166" s="18"/>
      <c r="L166" s="18"/>
      <c r="M166" s="18"/>
      <c r="N166" s="18"/>
      <c r="O166" s="18"/>
      <c r="P166" s="18"/>
      <c r="Q166" s="18"/>
      <c r="R166" s="18"/>
      <c r="S166" s="18"/>
      <c r="T166" s="18"/>
      <c r="U166" s="18"/>
      <c r="V166" s="18"/>
      <c r="W166" s="18"/>
      <c r="X166" s="18"/>
      <c r="Y166" s="18"/>
      <c r="Z166" s="18"/>
      <c r="AA166" s="137"/>
      <c r="AB166" s="137"/>
    </row>
    <row r="167" spans="1:28">
      <c r="G167" s="18"/>
      <c r="H167" s="169"/>
      <c r="I167" s="163"/>
      <c r="J167" s="163"/>
      <c r="K167" s="18"/>
      <c r="L167" s="18"/>
      <c r="M167" s="18"/>
      <c r="N167" s="18"/>
      <c r="O167" s="18"/>
      <c r="P167" s="18"/>
      <c r="Q167" s="18"/>
      <c r="R167" s="18"/>
      <c r="S167" s="18"/>
      <c r="T167" s="18"/>
      <c r="U167" s="18"/>
      <c r="V167" s="18"/>
      <c r="W167" s="18"/>
      <c r="X167" s="18"/>
      <c r="Y167" s="18"/>
      <c r="Z167" s="18"/>
      <c r="AA167" s="137"/>
      <c r="AB167" s="137"/>
    </row>
    <row r="168" spans="1:28">
      <c r="G168" s="18"/>
      <c r="H168" s="169"/>
      <c r="I168" s="163"/>
      <c r="J168" s="163"/>
      <c r="K168" s="18"/>
      <c r="L168" s="18"/>
      <c r="M168" s="18"/>
      <c r="N168" s="18"/>
      <c r="O168" s="18"/>
      <c r="P168" s="18"/>
      <c r="Q168" s="18"/>
      <c r="R168" s="18"/>
      <c r="S168" s="18"/>
      <c r="T168" s="18"/>
      <c r="U168" s="18"/>
      <c r="V168" s="18"/>
      <c r="W168" s="18"/>
      <c r="X168" s="18"/>
      <c r="Y168" s="18"/>
      <c r="Z168" s="18"/>
      <c r="AA168" s="137"/>
      <c r="AB168" s="137"/>
    </row>
    <row r="169" spans="1:28" hidden="1">
      <c r="A169" s="46"/>
      <c r="B169" s="18"/>
      <c r="C169" s="112"/>
      <c r="D169" s="113"/>
      <c r="E169" s="113"/>
      <c r="F169" s="113"/>
      <c r="G169" s="377" t="s">
        <v>971</v>
      </c>
      <c r="H169" s="377" t="s">
        <v>20</v>
      </c>
      <c r="I169" s="171" t="s">
        <v>21</v>
      </c>
      <c r="J169" s="171" t="s">
        <v>22</v>
      </c>
      <c r="K169" s="171" t="s">
        <v>964</v>
      </c>
      <c r="L169" s="171" t="s">
        <v>24</v>
      </c>
      <c r="M169" s="171" t="s">
        <v>25</v>
      </c>
      <c r="N169" s="171" t="s">
        <v>26</v>
      </c>
      <c r="O169" s="171" t="s">
        <v>27</v>
      </c>
      <c r="P169" s="171" t="s">
        <v>712</v>
      </c>
      <c r="Q169" s="171"/>
      <c r="R169" s="171"/>
      <c r="S169" s="171"/>
      <c r="T169" s="171"/>
      <c r="U169" s="171"/>
      <c r="V169" s="171"/>
      <c r="W169" s="171"/>
      <c r="X169" s="171"/>
      <c r="Y169" s="171"/>
      <c r="Z169" s="171"/>
      <c r="AA169" s="377"/>
      <c r="AB169" s="377"/>
    </row>
    <row r="170" spans="1:28" s="109" customFormat="1" hidden="1">
      <c r="A170" s="4"/>
      <c r="B170" s="4"/>
      <c r="C170" s="4"/>
      <c r="D170" s="20"/>
      <c r="E170" s="20"/>
      <c r="F170" s="20"/>
      <c r="G170" s="46" t="s">
        <v>494</v>
      </c>
      <c r="H170" s="290">
        <f t="shared" ref="H170:P170" si="267">H29</f>
        <v>18490</v>
      </c>
      <c r="I170" s="289">
        <f t="shared" si="267"/>
        <v>27721</v>
      </c>
      <c r="J170" s="289">
        <f t="shared" si="267"/>
        <v>37257</v>
      </c>
      <c r="K170" s="289">
        <f t="shared" si="267"/>
        <v>41107.771428571432</v>
      </c>
      <c r="L170" s="289">
        <f t="shared" si="267"/>
        <v>41770.799999999996</v>
      </c>
      <c r="M170" s="289">
        <f t="shared" si="267"/>
        <v>42931.192823999991</v>
      </c>
      <c r="N170" s="289">
        <f t="shared" si="267"/>
        <v>44661.319894807188</v>
      </c>
      <c r="O170" s="289">
        <f t="shared" si="267"/>
        <v>46237.864487093881</v>
      </c>
      <c r="P170" s="289">
        <f t="shared" si="267"/>
        <v>47634.24799460412</v>
      </c>
      <c r="Q170" s="289"/>
      <c r="R170" s="289"/>
      <c r="S170" s="289"/>
      <c r="T170" s="289"/>
      <c r="U170" s="289"/>
      <c r="V170" s="289"/>
      <c r="W170" s="289"/>
      <c r="X170" s="289"/>
      <c r="Y170" s="289"/>
      <c r="Z170" s="289"/>
      <c r="AA170" s="290"/>
      <c r="AB170" s="290"/>
    </row>
    <row r="171" spans="1:28" hidden="1">
      <c r="G171" s="18" t="s">
        <v>655</v>
      </c>
      <c r="H171" s="429">
        <f>-H250</f>
        <v>-5332</v>
      </c>
      <c r="I171" s="292">
        <f>-I250</f>
        <v>-5004</v>
      </c>
      <c r="J171" s="292">
        <f>-J250</f>
        <v>-7733</v>
      </c>
      <c r="K171" s="18">
        <f>K257</f>
        <v>-14114.351885714286</v>
      </c>
      <c r="L171" s="18">
        <f t="shared" ref="L171:P171" si="268">L257</f>
        <v>-15933.136321640159</v>
      </c>
      <c r="M171" s="18">
        <f t="shared" si="268"/>
        <v>-16325.353192972776</v>
      </c>
      <c r="N171" s="18">
        <f t="shared" si="268"/>
        <v>-16931.062626798346</v>
      </c>
      <c r="O171" s="18">
        <f t="shared" si="268"/>
        <v>-17620.464703822698</v>
      </c>
      <c r="P171" s="18">
        <f t="shared" si="268"/>
        <v>-18243.59856238529</v>
      </c>
      <c r="Q171" s="18"/>
      <c r="R171" s="18"/>
      <c r="S171" s="18"/>
      <c r="T171" s="18"/>
      <c r="U171" s="18"/>
      <c r="V171" s="18"/>
      <c r="W171" s="18"/>
      <c r="X171" s="18"/>
      <c r="Y171" s="18"/>
      <c r="Z171" s="18"/>
      <c r="AA171" s="137"/>
      <c r="AB171" s="137"/>
    </row>
    <row r="172" spans="1:28" s="109" customFormat="1" hidden="1">
      <c r="A172" s="4"/>
      <c r="B172" s="4"/>
      <c r="C172" s="4"/>
      <c r="D172" s="20"/>
      <c r="E172" s="20"/>
      <c r="F172" s="20"/>
      <c r="G172" s="46" t="s">
        <v>481</v>
      </c>
      <c r="H172" s="290">
        <f>SUM(H170:H171)</f>
        <v>13158</v>
      </c>
      <c r="I172" s="289">
        <f t="shared" ref="I172:P172" si="269">SUM(I170:I171)</f>
        <v>22717</v>
      </c>
      <c r="J172" s="289">
        <f t="shared" si="269"/>
        <v>29524</v>
      </c>
      <c r="K172" s="289">
        <f t="shared" si="269"/>
        <v>26993.419542857147</v>
      </c>
      <c r="L172" s="289">
        <f t="shared" si="269"/>
        <v>25837.663678359837</v>
      </c>
      <c r="M172" s="289">
        <f t="shared" si="269"/>
        <v>26605.839631027215</v>
      </c>
      <c r="N172" s="289">
        <f t="shared" si="269"/>
        <v>27730.257268008841</v>
      </c>
      <c r="O172" s="289">
        <f t="shared" si="269"/>
        <v>28617.399783271183</v>
      </c>
      <c r="P172" s="289">
        <f t="shared" si="269"/>
        <v>29390.64943221883</v>
      </c>
      <c r="Q172" s="289"/>
      <c r="R172" s="289"/>
      <c r="S172" s="289"/>
      <c r="T172" s="289"/>
      <c r="U172" s="289"/>
      <c r="V172" s="289"/>
      <c r="W172" s="289"/>
      <c r="X172" s="289"/>
      <c r="Y172" s="289"/>
      <c r="Z172" s="289"/>
      <c r="AA172" s="290"/>
      <c r="AB172" s="290"/>
    </row>
    <row r="173" spans="1:28" hidden="1">
      <c r="G173" s="18" t="s">
        <v>497</v>
      </c>
      <c r="H173" s="429">
        <v>4730</v>
      </c>
      <c r="I173" s="292">
        <v>5587</v>
      </c>
      <c r="J173" s="292">
        <v>6565</v>
      </c>
      <c r="K173" s="18">
        <f t="shared" ref="K173:P173" si="270">K77</f>
        <v>5304.2285714285717</v>
      </c>
      <c r="L173" s="18">
        <f t="shared" si="270"/>
        <v>5569.4400000000005</v>
      </c>
      <c r="M173" s="18">
        <f t="shared" si="270"/>
        <v>5821.1786879999991</v>
      </c>
      <c r="N173" s="18">
        <f t="shared" si="270"/>
        <v>6055.7721891263991</v>
      </c>
      <c r="O173" s="18">
        <f t="shared" si="270"/>
        <v>6269.540947402561</v>
      </c>
      <c r="P173" s="18">
        <f t="shared" si="270"/>
        <v>6458.8810840141177</v>
      </c>
      <c r="Q173" s="18"/>
      <c r="R173" s="18"/>
      <c r="S173" s="18"/>
      <c r="T173" s="18"/>
      <c r="U173" s="18"/>
      <c r="V173" s="18"/>
      <c r="W173" s="18"/>
      <c r="X173" s="18"/>
      <c r="Y173" s="18"/>
      <c r="Z173" s="18"/>
      <c r="AA173" s="137"/>
      <c r="AB173" s="137"/>
    </row>
    <row r="174" spans="1:28" hidden="1">
      <c r="G174" s="18" t="s">
        <v>656</v>
      </c>
      <c r="H174" s="429">
        <v>-9668</v>
      </c>
      <c r="I174" s="292">
        <f>-(I87-H87+I173)</f>
        <v>-6128</v>
      </c>
      <c r="J174" s="292">
        <f>-(J87-I87+J173)</f>
        <v>-14304</v>
      </c>
      <c r="K174" s="18">
        <f t="shared" ref="K174:P174" si="271">K79</f>
        <v>-3978.1714285714284</v>
      </c>
      <c r="L174" s="18">
        <f t="shared" si="271"/>
        <v>-4177.08</v>
      </c>
      <c r="M174" s="18">
        <f t="shared" si="271"/>
        <v>-4365.8840159999991</v>
      </c>
      <c r="N174" s="18">
        <f t="shared" si="271"/>
        <v>-4541.8291418447989</v>
      </c>
      <c r="O174" s="18">
        <f t="shared" si="271"/>
        <v>-4702.1557105519205</v>
      </c>
      <c r="P174" s="18">
        <f t="shared" si="271"/>
        <v>-4844.1608130105878</v>
      </c>
      <c r="Q174" s="18"/>
      <c r="R174" s="18"/>
      <c r="S174" s="18"/>
      <c r="T174" s="18"/>
      <c r="U174" s="18"/>
      <c r="V174" s="18"/>
      <c r="W174" s="18"/>
      <c r="X174" s="18"/>
      <c r="Y174" s="18"/>
      <c r="Z174" s="18"/>
      <c r="AA174" s="137"/>
      <c r="AB174" s="137"/>
    </row>
    <row r="175" spans="1:28" hidden="1">
      <c r="G175" s="18" t="s">
        <v>571</v>
      </c>
      <c r="H175" s="429">
        <f>SUM(H176:H178)</f>
        <v>-7601</v>
      </c>
      <c r="I175" s="292">
        <f t="shared" ref="I175:P175" si="272">SUM(I176:I178)</f>
        <v>-6273</v>
      </c>
      <c r="J175" s="292">
        <f t="shared" si="272"/>
        <v>8707</v>
      </c>
      <c r="K175" s="292">
        <f t="shared" si="272"/>
        <v>-1794.2850563508</v>
      </c>
      <c r="L175" s="292">
        <f t="shared" si="272"/>
        <v>-1379.3642528175396</v>
      </c>
      <c r="M175" s="292">
        <f t="shared" si="272"/>
        <v>-1309.2925487744042</v>
      </c>
      <c r="N175" s="292">
        <f t="shared" si="272"/>
        <v>-1220.1204568750927</v>
      </c>
      <c r="O175" s="292">
        <f t="shared" si="272"/>
        <v>-1111.8109997130687</v>
      </c>
      <c r="P175" s="292">
        <f t="shared" si="272"/>
        <v>-984.75777409882903</v>
      </c>
      <c r="Q175" s="292"/>
      <c r="R175" s="292"/>
      <c r="S175" s="292"/>
      <c r="T175" s="292"/>
      <c r="U175" s="292"/>
      <c r="V175" s="292"/>
      <c r="W175" s="292"/>
      <c r="X175" s="292"/>
      <c r="Y175" s="292"/>
      <c r="Z175" s="292"/>
      <c r="AA175" s="429"/>
      <c r="AB175" s="429"/>
    </row>
    <row r="176" spans="1:28" s="169" customFormat="1" ht="14" hidden="1">
      <c r="A176" s="7"/>
      <c r="B176" s="7"/>
      <c r="C176" s="7"/>
      <c r="D176" s="160"/>
      <c r="E176" s="160"/>
      <c r="F176" s="160"/>
      <c r="G176" s="163" t="s">
        <v>657</v>
      </c>
      <c r="H176" s="429">
        <f>H224</f>
        <v>-1586</v>
      </c>
      <c r="I176" s="292">
        <f>I224</f>
        <v>-9510</v>
      </c>
      <c r="J176" s="292">
        <f>J224</f>
        <v>6852</v>
      </c>
      <c r="K176" s="163">
        <f>K224</f>
        <v>-1652.790239748716</v>
      </c>
      <c r="L176" s="163">
        <f t="shared" ref="L176:P176" si="273">L224</f>
        <v>-1270.5895119874367</v>
      </c>
      <c r="M176" s="163">
        <f t="shared" si="273"/>
        <v>-1206.0435647784689</v>
      </c>
      <c r="N176" s="163">
        <f t="shared" si="273"/>
        <v>-1123.9034596555393</v>
      </c>
      <c r="O176" s="163">
        <f t="shared" si="273"/>
        <v>-1024.1351351988051</v>
      </c>
      <c r="P176" s="163">
        <f t="shared" si="273"/>
        <v>-907.10114972334122</v>
      </c>
      <c r="Q176" s="163"/>
      <c r="R176" s="163"/>
      <c r="S176" s="163"/>
      <c r="T176" s="163"/>
      <c r="U176" s="163"/>
      <c r="V176" s="163"/>
      <c r="W176" s="163"/>
      <c r="X176" s="163"/>
      <c r="Y176" s="163"/>
      <c r="Z176" s="163"/>
    </row>
    <row r="177" spans="1:28" s="169" customFormat="1" ht="14" hidden="1">
      <c r="A177" s="7"/>
      <c r="B177" s="7"/>
      <c r="C177" s="7"/>
      <c r="D177" s="160"/>
      <c r="E177" s="160"/>
      <c r="F177" s="160"/>
      <c r="G177" s="163" t="s">
        <v>658</v>
      </c>
      <c r="H177" s="429">
        <f>H227</f>
        <v>2884</v>
      </c>
      <c r="I177" s="292">
        <f>I227</f>
        <v>3280</v>
      </c>
      <c r="J177" s="292">
        <f>J227</f>
        <v>-1177</v>
      </c>
      <c r="K177" s="163">
        <f>K227</f>
        <v>-631.09192537566378</v>
      </c>
      <c r="L177" s="163">
        <f t="shared" ref="L177:P177" si="274">L227</f>
        <v>-485.15459626878146</v>
      </c>
      <c r="M177" s="163">
        <f t="shared" si="274"/>
        <v>-460.50874277832918</v>
      </c>
      <c r="N177" s="163">
        <f t="shared" si="274"/>
        <v>-429.14483715623646</v>
      </c>
      <c r="O177" s="163">
        <f t="shared" si="274"/>
        <v>-391.04987358573999</v>
      </c>
      <c r="P177" s="163">
        <f t="shared" si="274"/>
        <v>-346.3622892499734</v>
      </c>
      <c r="Q177" s="163"/>
      <c r="R177" s="163"/>
      <c r="S177" s="163"/>
      <c r="T177" s="163"/>
      <c r="U177" s="163"/>
      <c r="V177" s="163"/>
      <c r="W177" s="163"/>
      <c r="X177" s="163"/>
      <c r="Y177" s="163"/>
      <c r="Z177" s="163"/>
    </row>
    <row r="178" spans="1:28" s="169" customFormat="1" ht="14" hidden="1">
      <c r="A178" s="7"/>
      <c r="B178" s="7"/>
      <c r="C178" s="7"/>
      <c r="D178" s="160"/>
      <c r="E178" s="160"/>
      <c r="F178" s="160"/>
      <c r="G178" s="163" t="s">
        <v>659</v>
      </c>
      <c r="H178" s="429">
        <f>H230</f>
        <v>-8899</v>
      </c>
      <c r="I178" s="292">
        <f>I230</f>
        <v>-43</v>
      </c>
      <c r="J178" s="292">
        <f>J230</f>
        <v>3032</v>
      </c>
      <c r="K178" s="163">
        <f>K230</f>
        <v>489.59710877357975</v>
      </c>
      <c r="L178" s="163">
        <f t="shared" ref="L178:P178" si="275">L230</f>
        <v>376.37985543867853</v>
      </c>
      <c r="M178" s="163">
        <f t="shared" si="275"/>
        <v>357.25975878239387</v>
      </c>
      <c r="N178" s="163">
        <f t="shared" si="275"/>
        <v>332.92783993668309</v>
      </c>
      <c r="O178" s="163">
        <f t="shared" si="275"/>
        <v>303.37400907147639</v>
      </c>
      <c r="P178" s="163">
        <f t="shared" si="275"/>
        <v>268.70566487448559</v>
      </c>
      <c r="Q178" s="163"/>
      <c r="R178" s="163"/>
      <c r="S178" s="163"/>
      <c r="T178" s="163"/>
      <c r="U178" s="163"/>
      <c r="V178" s="163"/>
      <c r="W178" s="163"/>
      <c r="X178" s="163"/>
      <c r="Y178" s="163"/>
      <c r="Z178" s="163"/>
    </row>
    <row r="179" spans="1:28" s="190" customFormat="1" hidden="1">
      <c r="A179" s="9"/>
      <c r="B179" s="9"/>
      <c r="C179" s="9"/>
      <c r="D179" s="50"/>
      <c r="E179" s="50"/>
      <c r="F179" s="50"/>
      <c r="G179" s="110" t="s">
        <v>660</v>
      </c>
      <c r="H179" s="429">
        <f>SUM(H180:H182)</f>
        <v>0</v>
      </c>
      <c r="I179" s="292">
        <f>SUM(I180:I181)</f>
        <v>-2988</v>
      </c>
      <c r="J179" s="292">
        <f>SUM(J180:J181)</f>
        <v>-4604</v>
      </c>
      <c r="K179" s="292">
        <f t="shared" ref="K179:P179" si="276">SUM(K180:K181)</f>
        <v>0</v>
      </c>
      <c r="L179" s="292">
        <f t="shared" si="276"/>
        <v>0</v>
      </c>
      <c r="M179" s="292">
        <f t="shared" si="276"/>
        <v>0</v>
      </c>
      <c r="N179" s="292">
        <f t="shared" si="276"/>
        <v>0</v>
      </c>
      <c r="O179" s="292">
        <f t="shared" si="276"/>
        <v>0</v>
      </c>
      <c r="P179" s="292">
        <f t="shared" si="276"/>
        <v>0</v>
      </c>
      <c r="Q179" s="292"/>
      <c r="R179" s="292"/>
      <c r="S179" s="292"/>
      <c r="T179" s="292"/>
      <c r="U179" s="292"/>
      <c r="V179" s="292"/>
      <c r="W179" s="292"/>
      <c r="X179" s="292"/>
      <c r="Y179" s="292"/>
      <c r="Z179" s="292"/>
      <c r="AA179" s="429"/>
      <c r="AB179" s="429"/>
    </row>
    <row r="180" spans="1:28" s="169" customFormat="1" ht="14" hidden="1">
      <c r="A180" s="7"/>
      <c r="B180" s="7"/>
      <c r="C180" s="7"/>
      <c r="D180" s="160"/>
      <c r="E180" s="160"/>
      <c r="F180" s="160"/>
      <c r="G180" s="163" t="s">
        <v>661</v>
      </c>
      <c r="H180" s="429"/>
      <c r="I180" s="292">
        <f>(I109-H109)</f>
        <v>-249</v>
      </c>
      <c r="J180" s="292">
        <f>(J109-I109)</f>
        <v>-745</v>
      </c>
      <c r="K180" s="163">
        <v>0</v>
      </c>
      <c r="L180" s="163">
        <v>0</v>
      </c>
      <c r="M180" s="163">
        <v>0</v>
      </c>
      <c r="N180" s="163">
        <v>0</v>
      </c>
      <c r="O180" s="163">
        <v>0</v>
      </c>
      <c r="P180" s="163">
        <v>0</v>
      </c>
      <c r="Q180" s="163"/>
      <c r="R180" s="163"/>
      <c r="S180" s="163"/>
      <c r="T180" s="163"/>
      <c r="U180" s="163"/>
      <c r="V180" s="163"/>
      <c r="W180" s="163"/>
      <c r="X180" s="163"/>
      <c r="Y180" s="163"/>
      <c r="Z180" s="163"/>
    </row>
    <row r="181" spans="1:28" s="169" customFormat="1" hidden="1" thickBot="1">
      <c r="A181" s="7"/>
      <c r="B181" s="7"/>
      <c r="C181" s="7"/>
      <c r="D181" s="160"/>
      <c r="E181" s="160"/>
      <c r="F181" s="160"/>
      <c r="G181" s="163" t="s">
        <v>662</v>
      </c>
      <c r="H181" s="429"/>
      <c r="I181" s="292">
        <f>(I116-H116)</f>
        <v>-2739</v>
      </c>
      <c r="J181" s="292">
        <f>(J116-I116)</f>
        <v>-3859</v>
      </c>
      <c r="K181" s="163">
        <v>0</v>
      </c>
      <c r="L181" s="163">
        <v>0</v>
      </c>
      <c r="M181" s="163">
        <v>0</v>
      </c>
      <c r="N181" s="163">
        <v>0</v>
      </c>
      <c r="O181" s="163">
        <v>0</v>
      </c>
      <c r="P181" s="163">
        <v>0</v>
      </c>
      <c r="Q181" s="163"/>
      <c r="R181" s="163"/>
      <c r="S181" s="163"/>
      <c r="T181" s="163"/>
      <c r="U181" s="163"/>
      <c r="V181" s="163"/>
      <c r="W181" s="163"/>
      <c r="X181" s="163"/>
      <c r="Y181" s="163"/>
      <c r="Z181" s="163"/>
    </row>
    <row r="182" spans="1:28" s="109" customFormat="1" ht="16" hidden="1" thickBot="1">
      <c r="A182" s="4"/>
      <c r="B182" s="4"/>
      <c r="C182" s="4"/>
      <c r="D182" s="20"/>
      <c r="E182" s="20"/>
      <c r="F182" s="20"/>
      <c r="G182" s="174" t="s">
        <v>663</v>
      </c>
      <c r="H182" s="379"/>
      <c r="I182" s="379">
        <f>I172+I173+I174+I175+I179</f>
        <v>12915</v>
      </c>
      <c r="J182" s="379">
        <f>J172+J173+J174+J175+J179</f>
        <v>25888</v>
      </c>
      <c r="K182" s="379">
        <f t="shared" ref="K182:P182" si="277">K172+K173+K174+K175+K179</f>
        <v>26525.191629363489</v>
      </c>
      <c r="L182" s="379">
        <f t="shared" si="277"/>
        <v>25850.659425542297</v>
      </c>
      <c r="M182" s="379">
        <f t="shared" si="277"/>
        <v>26751.841754252811</v>
      </c>
      <c r="N182" s="379">
        <f t="shared" si="277"/>
        <v>28024.079858415353</v>
      </c>
      <c r="O182" s="379">
        <f t="shared" si="277"/>
        <v>29072.97402040875</v>
      </c>
      <c r="P182" s="379">
        <f t="shared" si="277"/>
        <v>30020.61192912353</v>
      </c>
      <c r="Q182" s="290"/>
      <c r="R182" s="290"/>
      <c r="S182" s="290"/>
      <c r="T182" s="290"/>
      <c r="U182" s="290"/>
      <c r="V182" s="290"/>
      <c r="W182" s="290"/>
      <c r="X182" s="290"/>
      <c r="Y182" s="290"/>
      <c r="Z182" s="290"/>
      <c r="AA182" s="290"/>
      <c r="AB182" s="290"/>
    </row>
    <row r="183" spans="1:28" hidden="1">
      <c r="G183" s="18"/>
      <c r="H183" s="429"/>
      <c r="I183" s="292"/>
      <c r="J183" s="292"/>
      <c r="K183" s="18"/>
      <c r="L183" s="18"/>
      <c r="M183" s="18"/>
      <c r="N183" s="18"/>
      <c r="O183" s="18"/>
      <c r="P183" s="18"/>
      <c r="Q183" s="18"/>
      <c r="R183" s="18"/>
      <c r="S183" s="18"/>
      <c r="T183" s="18"/>
      <c r="U183" s="18"/>
      <c r="V183" s="18"/>
      <c r="W183" s="18"/>
      <c r="X183" s="18"/>
      <c r="Y183" s="18"/>
      <c r="Z183" s="18"/>
      <c r="AA183" s="137"/>
      <c r="AB183" s="137"/>
    </row>
    <row r="184" spans="1:28" s="190" customFormat="1" hidden="1">
      <c r="A184" s="9"/>
      <c r="B184" s="9"/>
      <c r="C184" s="9"/>
      <c r="D184" s="50"/>
      <c r="E184" s="50"/>
      <c r="F184" s="50"/>
      <c r="G184" s="110" t="s">
        <v>664</v>
      </c>
      <c r="H184" s="429">
        <f t="shared" ref="H184:P184" si="278">H32</f>
        <v>50</v>
      </c>
      <c r="I184" s="292">
        <f t="shared" si="278"/>
        <v>54</v>
      </c>
      <c r="J184" s="292">
        <f t="shared" si="278"/>
        <v>65</v>
      </c>
      <c r="K184" s="292">
        <f t="shared" si="278"/>
        <v>80.988</v>
      </c>
      <c r="L184" s="292">
        <f t="shared" si="278"/>
        <v>105.12217962936352</v>
      </c>
      <c r="M184" s="292">
        <f t="shared" si="278"/>
        <v>128.65096123453515</v>
      </c>
      <c r="N184" s="292">
        <f t="shared" si="278"/>
        <v>153.14945395002252</v>
      </c>
      <c r="O184" s="292">
        <f t="shared" si="278"/>
        <v>178.98968326238787</v>
      </c>
      <c r="P184" s="292">
        <f t="shared" si="278"/>
        <v>205.95064696605903</v>
      </c>
      <c r="Q184" s="292"/>
      <c r="R184" s="292"/>
      <c r="S184" s="292"/>
      <c r="T184" s="292"/>
      <c r="U184" s="292"/>
      <c r="V184" s="292"/>
      <c r="W184" s="292"/>
      <c r="X184" s="292"/>
      <c r="Y184" s="292"/>
      <c r="Z184" s="292"/>
      <c r="AA184" s="429"/>
      <c r="AB184" s="429"/>
    </row>
    <row r="185" spans="1:28" s="190" customFormat="1" hidden="1">
      <c r="A185" s="9"/>
      <c r="B185" s="9"/>
      <c r="C185" s="9"/>
      <c r="D185" s="50"/>
      <c r="E185" s="50"/>
      <c r="F185" s="50"/>
      <c r="G185" s="110" t="s">
        <v>665</v>
      </c>
      <c r="H185" s="429"/>
      <c r="I185" s="292">
        <f t="shared" ref="I185:P185" si="279">-(I93-H93)</f>
        <v>-11675</v>
      </c>
      <c r="J185" s="292">
        <f t="shared" si="279"/>
        <v>-23766</v>
      </c>
      <c r="K185" s="292">
        <f t="shared" si="279"/>
        <v>-24134.179629363498</v>
      </c>
      <c r="L185" s="292">
        <f t="shared" si="279"/>
        <v>-23528.781605171651</v>
      </c>
      <c r="M185" s="292">
        <f t="shared" si="279"/>
        <v>-24498.492715487344</v>
      </c>
      <c r="N185" s="292">
        <f t="shared" si="279"/>
        <v>-25840.22931236538</v>
      </c>
      <c r="O185" s="292">
        <f t="shared" si="279"/>
        <v>-26960.96370367115</v>
      </c>
      <c r="P185" s="292">
        <f t="shared" si="279"/>
        <v>-27981.502576089581</v>
      </c>
      <c r="Q185" s="292"/>
      <c r="R185" s="292"/>
      <c r="S185" s="292"/>
      <c r="T185" s="292"/>
      <c r="U185" s="292"/>
      <c r="V185" s="292"/>
      <c r="W185" s="292"/>
      <c r="X185" s="292"/>
      <c r="Y185" s="292"/>
      <c r="Z185" s="292"/>
      <c r="AA185" s="429"/>
      <c r="AB185" s="429"/>
    </row>
    <row r="186" spans="1:28" s="190" customFormat="1" hidden="1">
      <c r="A186" s="9"/>
      <c r="B186" s="9"/>
      <c r="C186" s="9"/>
      <c r="D186" s="50"/>
      <c r="E186" s="50"/>
      <c r="F186" s="50"/>
      <c r="G186" s="110" t="s">
        <v>666</v>
      </c>
      <c r="H186" s="429"/>
      <c r="I186" s="292">
        <f t="shared" ref="I186:P186" si="280">-(I92-H92)</f>
        <v>0</v>
      </c>
      <c r="J186" s="292">
        <f t="shared" si="280"/>
        <v>1</v>
      </c>
      <c r="K186" s="292">
        <f t="shared" si="280"/>
        <v>0</v>
      </c>
      <c r="L186" s="292">
        <f t="shared" si="280"/>
        <v>0</v>
      </c>
      <c r="M186" s="292">
        <f t="shared" si="280"/>
        <v>0</v>
      </c>
      <c r="N186" s="292">
        <f t="shared" si="280"/>
        <v>0</v>
      </c>
      <c r="O186" s="292">
        <f t="shared" si="280"/>
        <v>0</v>
      </c>
      <c r="P186" s="292">
        <f t="shared" si="280"/>
        <v>0</v>
      </c>
      <c r="Q186" s="292"/>
      <c r="R186" s="292"/>
      <c r="S186" s="292"/>
      <c r="T186" s="292"/>
      <c r="U186" s="292"/>
      <c r="V186" s="292"/>
      <c r="W186" s="292"/>
      <c r="X186" s="292"/>
      <c r="Y186" s="292"/>
      <c r="Z186" s="292"/>
      <c r="AA186" s="429"/>
      <c r="AB186" s="429"/>
    </row>
    <row r="187" spans="1:28" s="190" customFormat="1" hidden="1">
      <c r="A187" s="9"/>
      <c r="B187" s="9"/>
      <c r="C187" s="9"/>
      <c r="D187" s="50"/>
      <c r="E187" s="50"/>
      <c r="F187" s="50"/>
      <c r="G187" s="110" t="s">
        <v>667</v>
      </c>
      <c r="H187" s="429"/>
      <c r="I187" s="292">
        <f t="shared" ref="I187:P187" si="281">(I108-H108)+(I115-H115)</f>
        <v>147</v>
      </c>
      <c r="J187" s="292">
        <f t="shared" si="281"/>
        <v>891</v>
      </c>
      <c r="K187" s="292">
        <f t="shared" si="281"/>
        <v>0</v>
      </c>
      <c r="L187" s="292">
        <f t="shared" si="281"/>
        <v>0</v>
      </c>
      <c r="M187" s="292">
        <f t="shared" si="281"/>
        <v>0</v>
      </c>
      <c r="N187" s="292">
        <f t="shared" si="281"/>
        <v>0</v>
      </c>
      <c r="O187" s="292">
        <f t="shared" si="281"/>
        <v>0</v>
      </c>
      <c r="P187" s="292">
        <f t="shared" si="281"/>
        <v>0</v>
      </c>
      <c r="Q187" s="292"/>
      <c r="R187" s="292"/>
      <c r="S187" s="292"/>
      <c r="T187" s="292"/>
      <c r="U187" s="292"/>
      <c r="V187" s="292"/>
      <c r="W187" s="292"/>
      <c r="X187" s="292"/>
      <c r="Y187" s="292"/>
      <c r="Z187" s="292"/>
      <c r="AA187" s="429"/>
      <c r="AB187" s="429"/>
    </row>
    <row r="188" spans="1:28" s="190" customFormat="1" ht="16" hidden="1" thickBot="1">
      <c r="A188" s="9"/>
      <c r="B188" s="9"/>
      <c r="C188" s="9"/>
      <c r="D188" s="50"/>
      <c r="E188" s="50"/>
      <c r="F188" s="50"/>
      <c r="G188" s="110" t="s">
        <v>668</v>
      </c>
      <c r="H188" s="429"/>
      <c r="I188" s="292">
        <f t="shared" ref="I188:P188" si="282">(I110-H110)</f>
        <v>51</v>
      </c>
      <c r="J188" s="292">
        <f t="shared" si="282"/>
        <v>-206</v>
      </c>
      <c r="K188" s="292">
        <f t="shared" si="282"/>
        <v>0</v>
      </c>
      <c r="L188" s="292">
        <f t="shared" si="282"/>
        <v>0</v>
      </c>
      <c r="M188" s="292">
        <f t="shared" si="282"/>
        <v>0</v>
      </c>
      <c r="N188" s="292">
        <f t="shared" si="282"/>
        <v>0</v>
      </c>
      <c r="O188" s="292">
        <f t="shared" si="282"/>
        <v>0</v>
      </c>
      <c r="P188" s="292">
        <f t="shared" si="282"/>
        <v>0</v>
      </c>
      <c r="Q188" s="292"/>
      <c r="R188" s="292"/>
      <c r="S188" s="292"/>
      <c r="T188" s="292"/>
      <c r="U188" s="292"/>
      <c r="V188" s="292"/>
      <c r="W188" s="292"/>
      <c r="X188" s="292"/>
      <c r="Y188" s="292"/>
      <c r="Z188" s="292"/>
      <c r="AA188" s="429"/>
      <c r="AB188" s="429"/>
    </row>
    <row r="189" spans="1:28" s="109" customFormat="1" ht="16" hidden="1" thickBot="1">
      <c r="A189" s="4"/>
      <c r="B189" s="4"/>
      <c r="C189" s="4"/>
      <c r="D189" s="20"/>
      <c r="E189" s="20"/>
      <c r="F189" s="20"/>
      <c r="G189" s="174" t="s">
        <v>669</v>
      </c>
      <c r="H189" s="379"/>
      <c r="I189" s="379">
        <f>SUM(I184:I188)</f>
        <v>-11423</v>
      </c>
      <c r="J189" s="379">
        <f>SUM(J184:J188)</f>
        <v>-23015</v>
      </c>
      <c r="K189" s="379">
        <f t="shared" ref="K189:P189" si="283">SUM(K184:K188)</f>
        <v>-24053.191629363497</v>
      </c>
      <c r="L189" s="379">
        <f t="shared" si="283"/>
        <v>-23423.659425542286</v>
      </c>
      <c r="M189" s="379">
        <f t="shared" si="283"/>
        <v>-24369.841754252808</v>
      </c>
      <c r="N189" s="379">
        <f t="shared" si="283"/>
        <v>-25687.079858415356</v>
      </c>
      <c r="O189" s="379">
        <f t="shared" si="283"/>
        <v>-26781.974020408761</v>
      </c>
      <c r="P189" s="379">
        <f t="shared" si="283"/>
        <v>-27775.551929123521</v>
      </c>
      <c r="Q189" s="290"/>
      <c r="R189" s="290"/>
      <c r="S189" s="290"/>
      <c r="T189" s="290"/>
      <c r="U189" s="290"/>
      <c r="V189" s="290"/>
      <c r="W189" s="290"/>
      <c r="X189" s="290"/>
      <c r="Y189" s="290"/>
      <c r="Z189" s="290"/>
      <c r="AA189" s="290"/>
      <c r="AB189" s="290"/>
    </row>
    <row r="190" spans="1:28" s="190" customFormat="1" hidden="1">
      <c r="A190" s="9"/>
      <c r="B190" s="9"/>
      <c r="C190" s="9"/>
      <c r="D190" s="50"/>
      <c r="E190" s="50"/>
      <c r="F190" s="50"/>
      <c r="G190" s="110" t="s">
        <v>670</v>
      </c>
      <c r="H190" s="429"/>
      <c r="I190" s="292"/>
      <c r="J190" s="292"/>
      <c r="K190" s="110"/>
      <c r="L190" s="110"/>
      <c r="M190" s="110"/>
      <c r="N190" s="110"/>
      <c r="O190" s="110"/>
      <c r="P190" s="110"/>
      <c r="Q190" s="110"/>
      <c r="R190" s="110"/>
      <c r="S190" s="110"/>
      <c r="T190" s="110"/>
      <c r="U190" s="110"/>
      <c r="V190" s="110"/>
      <c r="W190" s="110"/>
      <c r="X190" s="110"/>
      <c r="Y190" s="110"/>
      <c r="Z190" s="110"/>
    </row>
    <row r="191" spans="1:28" s="190" customFormat="1" ht="16" hidden="1" thickBot="1">
      <c r="A191" s="9"/>
      <c r="B191" s="9"/>
      <c r="C191" s="9"/>
      <c r="D191" s="50"/>
      <c r="E191" s="50"/>
      <c r="F191" s="50"/>
      <c r="G191" s="110" t="s">
        <v>671</v>
      </c>
      <c r="H191" s="429">
        <f t="shared" ref="H191:P191" si="284">H42</f>
        <v>0</v>
      </c>
      <c r="I191" s="292">
        <f t="shared" si="284"/>
        <v>0</v>
      </c>
      <c r="J191" s="292">
        <f t="shared" si="284"/>
        <v>-420</v>
      </c>
      <c r="K191" s="292">
        <f t="shared" si="284"/>
        <v>0</v>
      </c>
      <c r="L191" s="292">
        <f t="shared" si="284"/>
        <v>0</v>
      </c>
      <c r="M191" s="292">
        <f t="shared" si="284"/>
        <v>0</v>
      </c>
      <c r="N191" s="292">
        <f t="shared" si="284"/>
        <v>0</v>
      </c>
      <c r="O191" s="292">
        <f t="shared" si="284"/>
        <v>0</v>
      </c>
      <c r="P191" s="292">
        <f t="shared" si="284"/>
        <v>0</v>
      </c>
      <c r="Q191" s="292"/>
      <c r="R191" s="292"/>
      <c r="S191" s="292"/>
      <c r="T191" s="292"/>
      <c r="U191" s="292"/>
      <c r="V191" s="292"/>
      <c r="W191" s="292"/>
      <c r="X191" s="292"/>
      <c r="Y191" s="292"/>
      <c r="Z191" s="292"/>
      <c r="AA191" s="429"/>
      <c r="AB191" s="429"/>
    </row>
    <row r="192" spans="1:28" s="109" customFormat="1" ht="16" hidden="1" thickBot="1">
      <c r="A192" s="4"/>
      <c r="B192" s="4"/>
      <c r="C192" s="4"/>
      <c r="D192" s="20"/>
      <c r="E192" s="20"/>
      <c r="F192" s="20"/>
      <c r="G192" s="174" t="s">
        <v>672</v>
      </c>
      <c r="H192" s="379"/>
      <c r="I192" s="379">
        <f>I191+I189+I182</f>
        <v>1492</v>
      </c>
      <c r="J192" s="379">
        <f>J191+J189+J182</f>
        <v>2453</v>
      </c>
      <c r="K192" s="379">
        <f t="shared" ref="K192:P192" si="285">K191+K189+K182</f>
        <v>2471.9999999999927</v>
      </c>
      <c r="L192" s="379">
        <f t="shared" si="285"/>
        <v>2427.0000000000109</v>
      </c>
      <c r="M192" s="379">
        <f t="shared" si="285"/>
        <v>2382.0000000000036</v>
      </c>
      <c r="N192" s="379">
        <f t="shared" si="285"/>
        <v>2336.9999999999964</v>
      </c>
      <c r="O192" s="379">
        <f t="shared" si="285"/>
        <v>2290.9999999999891</v>
      </c>
      <c r="P192" s="379">
        <f t="shared" si="285"/>
        <v>2245.0600000000086</v>
      </c>
      <c r="Q192" s="290"/>
      <c r="R192" s="290"/>
      <c r="S192" s="290"/>
      <c r="T192" s="290"/>
      <c r="U192" s="290"/>
      <c r="V192" s="290"/>
      <c r="W192" s="290"/>
      <c r="X192" s="290"/>
      <c r="Y192" s="290"/>
      <c r="Z192" s="290"/>
      <c r="AA192" s="290"/>
      <c r="AB192" s="290"/>
    </row>
    <row r="193" spans="1:28" s="190" customFormat="1" hidden="1">
      <c r="A193" s="9"/>
      <c r="B193" s="9"/>
      <c r="C193" s="9"/>
      <c r="D193" s="50"/>
      <c r="E193" s="50"/>
      <c r="F193" s="50"/>
      <c r="G193" s="110"/>
      <c r="H193" s="429"/>
      <c r="I193" s="292"/>
      <c r="J193" s="292"/>
      <c r="K193" s="110"/>
      <c r="L193" s="110"/>
      <c r="M193" s="110"/>
      <c r="N193" s="110"/>
      <c r="O193" s="110"/>
      <c r="P193" s="110"/>
      <c r="Q193" s="110"/>
      <c r="R193" s="110"/>
      <c r="S193" s="110"/>
      <c r="T193" s="110"/>
      <c r="U193" s="110"/>
      <c r="V193" s="110"/>
      <c r="W193" s="110"/>
      <c r="X193" s="110"/>
      <c r="Y193" s="110"/>
      <c r="Z193" s="110"/>
    </row>
    <row r="194" spans="1:28" hidden="1">
      <c r="G194" s="18"/>
      <c r="H194" s="429"/>
      <c r="I194" s="292"/>
      <c r="J194" s="292"/>
      <c r="K194" s="18"/>
      <c r="L194" s="18"/>
      <c r="M194" s="18"/>
      <c r="N194" s="18"/>
      <c r="O194" s="18"/>
      <c r="P194" s="18"/>
      <c r="Q194" s="18"/>
      <c r="R194" s="18"/>
      <c r="S194" s="18"/>
      <c r="T194" s="18"/>
      <c r="U194" s="18"/>
      <c r="V194" s="18"/>
      <c r="W194" s="18"/>
      <c r="X194" s="18"/>
      <c r="Y194" s="18"/>
      <c r="Z194" s="18"/>
      <c r="AA194" s="137"/>
      <c r="AB194" s="137"/>
    </row>
    <row r="195" spans="1:28" hidden="1">
      <c r="G195" s="18"/>
      <c r="H195" s="429"/>
      <c r="I195" s="292"/>
      <c r="J195" s="292"/>
      <c r="K195" s="18"/>
      <c r="L195" s="18"/>
      <c r="M195" s="18"/>
      <c r="N195" s="18"/>
      <c r="O195" s="18"/>
      <c r="P195" s="18"/>
      <c r="Q195" s="18"/>
      <c r="R195" s="18"/>
      <c r="S195" s="18"/>
      <c r="T195" s="18"/>
      <c r="U195" s="18"/>
      <c r="V195" s="18"/>
      <c r="W195" s="18"/>
      <c r="X195" s="18"/>
      <c r="Y195" s="18"/>
      <c r="Z195" s="18"/>
      <c r="AA195" s="137"/>
      <c r="AB195" s="137"/>
    </row>
    <row r="196" spans="1:28" hidden="1">
      <c r="G196" s="18" t="s">
        <v>679</v>
      </c>
      <c r="H196" s="429"/>
      <c r="I196" s="292">
        <f t="shared" ref="I196:P196" si="286">I107-H107</f>
        <v>-882</v>
      </c>
      <c r="J196" s="292">
        <f t="shared" si="286"/>
        <v>-901</v>
      </c>
      <c r="K196" s="292">
        <f t="shared" si="286"/>
        <v>-750</v>
      </c>
      <c r="L196" s="292">
        <f t="shared" si="286"/>
        <v>-750</v>
      </c>
      <c r="M196" s="292">
        <f t="shared" si="286"/>
        <v>-750</v>
      </c>
      <c r="N196" s="292">
        <f t="shared" si="286"/>
        <v>-750</v>
      </c>
      <c r="O196" s="292">
        <f t="shared" si="286"/>
        <v>-749</v>
      </c>
      <c r="P196" s="292">
        <f t="shared" si="286"/>
        <v>-748</v>
      </c>
      <c r="Q196" s="292"/>
      <c r="R196" s="292"/>
      <c r="S196" s="292"/>
      <c r="T196" s="292"/>
      <c r="U196" s="292"/>
      <c r="V196" s="292"/>
      <c r="W196" s="292"/>
      <c r="X196" s="292"/>
      <c r="Y196" s="292"/>
      <c r="Z196" s="292"/>
      <c r="AA196" s="429"/>
      <c r="AB196" s="429"/>
    </row>
    <row r="197" spans="1:28" hidden="1">
      <c r="G197" s="18" t="s">
        <v>680</v>
      </c>
      <c r="H197" s="429"/>
      <c r="I197" s="292">
        <f t="shared" ref="I197:P197" si="287">I118-H118</f>
        <v>660</v>
      </c>
      <c r="J197" s="292">
        <f t="shared" si="287"/>
        <v>120</v>
      </c>
      <c r="K197" s="292">
        <f t="shared" si="287"/>
        <v>0</v>
      </c>
      <c r="L197" s="292">
        <f t="shared" si="287"/>
        <v>0</v>
      </c>
      <c r="M197" s="292">
        <f t="shared" si="287"/>
        <v>0</v>
      </c>
      <c r="N197" s="292">
        <f t="shared" si="287"/>
        <v>0</v>
      </c>
      <c r="O197" s="292">
        <f t="shared" si="287"/>
        <v>0</v>
      </c>
      <c r="P197" s="292">
        <f t="shared" si="287"/>
        <v>0</v>
      </c>
      <c r="Q197" s="292"/>
      <c r="R197" s="292"/>
      <c r="S197" s="292"/>
      <c r="T197" s="292"/>
      <c r="U197" s="292"/>
      <c r="V197" s="292"/>
      <c r="W197" s="292"/>
      <c r="X197" s="292"/>
      <c r="Y197" s="292"/>
      <c r="Z197" s="292"/>
      <c r="AA197" s="429"/>
      <c r="AB197" s="429"/>
    </row>
    <row r="198" spans="1:28" hidden="1">
      <c r="G198" s="18" t="s">
        <v>608</v>
      </c>
      <c r="H198" s="429"/>
      <c r="I198" s="292">
        <f t="shared" ref="I198:P198" si="288">I33</f>
        <v>-1686</v>
      </c>
      <c r="J198" s="292">
        <f t="shared" si="288"/>
        <v>-1673</v>
      </c>
      <c r="K198" s="292">
        <f t="shared" si="288"/>
        <v>-1722</v>
      </c>
      <c r="L198" s="292">
        <f t="shared" si="288"/>
        <v>-1677</v>
      </c>
      <c r="M198" s="292">
        <f t="shared" si="288"/>
        <v>-1632</v>
      </c>
      <c r="N198" s="292">
        <f t="shared" si="288"/>
        <v>-1587</v>
      </c>
      <c r="O198" s="292">
        <f t="shared" si="288"/>
        <v>-1542</v>
      </c>
      <c r="P198" s="292">
        <f t="shared" si="288"/>
        <v>-1497.06</v>
      </c>
      <c r="Q198" s="292"/>
      <c r="R198" s="292"/>
      <c r="S198" s="292"/>
      <c r="T198" s="292"/>
      <c r="U198" s="292"/>
      <c r="V198" s="292"/>
      <c r="W198" s="292"/>
      <c r="X198" s="292"/>
      <c r="Y198" s="292"/>
      <c r="Z198" s="292"/>
      <c r="AA198" s="429"/>
      <c r="AB198" s="429"/>
    </row>
    <row r="199" spans="1:28" ht="16" hidden="1" thickBot="1">
      <c r="G199" s="18" t="s">
        <v>676</v>
      </c>
      <c r="H199" s="429"/>
      <c r="I199" s="292">
        <f t="shared" ref="I199:P199" si="289">I99-H99-I44</f>
        <v>0</v>
      </c>
      <c r="J199" s="292">
        <f t="shared" si="289"/>
        <v>0</v>
      </c>
      <c r="K199" s="292">
        <f t="shared" si="289"/>
        <v>0</v>
      </c>
      <c r="L199" s="292">
        <f t="shared" si="289"/>
        <v>0</v>
      </c>
      <c r="M199" s="292">
        <f t="shared" si="289"/>
        <v>0</v>
      </c>
      <c r="N199" s="292">
        <f t="shared" si="289"/>
        <v>0</v>
      </c>
      <c r="O199" s="292">
        <f t="shared" si="289"/>
        <v>-2.9103830456733704E-11</v>
      </c>
      <c r="P199" s="292">
        <f t="shared" si="289"/>
        <v>0</v>
      </c>
      <c r="Q199" s="292"/>
      <c r="R199" s="292"/>
      <c r="S199" s="292"/>
      <c r="T199" s="292"/>
      <c r="U199" s="292"/>
      <c r="V199" s="292"/>
      <c r="W199" s="292"/>
      <c r="X199" s="292"/>
      <c r="Y199" s="292"/>
      <c r="Z199" s="292"/>
      <c r="AA199" s="429"/>
      <c r="AB199" s="429"/>
    </row>
    <row r="200" spans="1:28" s="109" customFormat="1" ht="16" hidden="1" thickBot="1">
      <c r="A200" s="4"/>
      <c r="B200" s="4"/>
      <c r="C200" s="4"/>
      <c r="D200" s="20"/>
      <c r="E200" s="20"/>
      <c r="F200" s="20"/>
      <c r="G200" s="174" t="s">
        <v>610</v>
      </c>
      <c r="H200" s="379"/>
      <c r="I200" s="379">
        <f>SUM(I196:I199)</f>
        <v>-1908</v>
      </c>
      <c r="J200" s="379">
        <f>SUM(J196:J199)</f>
        <v>-2454</v>
      </c>
      <c r="K200" s="379">
        <f t="shared" ref="K200:P200" si="290">SUM(K196:K199)</f>
        <v>-2472</v>
      </c>
      <c r="L200" s="379">
        <f t="shared" si="290"/>
        <v>-2427</v>
      </c>
      <c r="M200" s="379">
        <f t="shared" si="290"/>
        <v>-2382</v>
      </c>
      <c r="N200" s="379">
        <f t="shared" si="290"/>
        <v>-2337</v>
      </c>
      <c r="O200" s="379">
        <f t="shared" si="290"/>
        <v>-2291.0000000000291</v>
      </c>
      <c r="P200" s="379">
        <f t="shared" si="290"/>
        <v>-2245.06</v>
      </c>
      <c r="Q200" s="290"/>
      <c r="R200" s="290"/>
      <c r="S200" s="290"/>
      <c r="T200" s="290"/>
      <c r="U200" s="290"/>
      <c r="V200" s="290"/>
      <c r="W200" s="290"/>
      <c r="X200" s="290"/>
      <c r="Y200" s="290"/>
      <c r="Z200" s="290"/>
      <c r="AA200" s="290"/>
      <c r="AB200" s="290"/>
    </row>
    <row r="201" spans="1:28" hidden="1">
      <c r="G201" s="107" t="s">
        <v>391</v>
      </c>
      <c r="H201" s="428"/>
      <c r="I201" s="373">
        <f>I192+I200</f>
        <v>-416</v>
      </c>
      <c r="J201" s="373">
        <f>J192+J200</f>
        <v>-1</v>
      </c>
      <c r="K201" s="373">
        <f t="shared" ref="K201:P201" si="291">K192+K200</f>
        <v>-7.2759576141834259E-12</v>
      </c>
      <c r="L201" s="373">
        <f t="shared" si="291"/>
        <v>1.0913936421275139E-11</v>
      </c>
      <c r="M201" s="373">
        <f t="shared" si="291"/>
        <v>3.637978807091713E-12</v>
      </c>
      <c r="N201" s="373">
        <f t="shared" si="291"/>
        <v>-3.637978807091713E-12</v>
      </c>
      <c r="O201" s="373">
        <f t="shared" si="291"/>
        <v>-4.0017766878008842E-11</v>
      </c>
      <c r="P201" s="373">
        <f t="shared" si="291"/>
        <v>8.6401996668428183E-12</v>
      </c>
      <c r="Q201" s="373"/>
      <c r="R201" s="373"/>
      <c r="S201" s="373"/>
      <c r="T201" s="373"/>
      <c r="U201" s="373"/>
      <c r="V201" s="373"/>
      <c r="W201" s="373"/>
      <c r="X201" s="373"/>
      <c r="Y201" s="373"/>
      <c r="Z201" s="373"/>
      <c r="AA201" s="428"/>
      <c r="AB201" s="428"/>
    </row>
    <row r="202" spans="1:28" hidden="1">
      <c r="G202" s="18"/>
      <c r="H202" s="429"/>
      <c r="I202" s="292"/>
      <c r="J202" s="292"/>
      <c r="K202" s="18"/>
      <c r="L202" s="18"/>
      <c r="M202" s="18"/>
      <c r="N202" s="18"/>
      <c r="O202" s="18"/>
      <c r="P202" s="18"/>
      <c r="Q202" s="18"/>
      <c r="R202" s="18"/>
      <c r="S202" s="18"/>
      <c r="T202" s="18"/>
      <c r="U202" s="18"/>
      <c r="V202" s="18"/>
      <c r="W202" s="18"/>
      <c r="X202" s="18"/>
      <c r="Y202" s="18"/>
      <c r="Z202" s="18"/>
      <c r="AA202" s="137"/>
      <c r="AB202" s="137"/>
    </row>
    <row r="203" spans="1:28" hidden="1">
      <c r="G203" s="18" t="s">
        <v>673</v>
      </c>
      <c r="H203" s="429"/>
      <c r="I203" s="292">
        <f t="shared" ref="I203:P205" si="292">I100-H100</f>
        <v>0</v>
      </c>
      <c r="J203" s="292">
        <f t="shared" si="292"/>
        <v>0</v>
      </c>
      <c r="K203" s="292">
        <f t="shared" si="292"/>
        <v>0</v>
      </c>
      <c r="L203" s="292">
        <f t="shared" si="292"/>
        <v>0</v>
      </c>
      <c r="M203" s="292">
        <f t="shared" si="292"/>
        <v>0</v>
      </c>
      <c r="N203" s="292">
        <f t="shared" si="292"/>
        <v>0</v>
      </c>
      <c r="O203" s="292">
        <f t="shared" si="292"/>
        <v>0</v>
      </c>
      <c r="P203" s="292">
        <f t="shared" si="292"/>
        <v>0</v>
      </c>
      <c r="Q203" s="292"/>
      <c r="R203" s="292"/>
      <c r="S203" s="292"/>
      <c r="T203" s="292"/>
      <c r="U203" s="292"/>
      <c r="V203" s="292"/>
      <c r="W203" s="292"/>
      <c r="X203" s="292"/>
      <c r="Y203" s="292"/>
      <c r="Z203" s="292"/>
      <c r="AA203" s="429"/>
      <c r="AB203" s="429"/>
    </row>
    <row r="204" spans="1:28" hidden="1">
      <c r="G204" s="18" t="s">
        <v>674</v>
      </c>
      <c r="H204" s="429"/>
      <c r="I204" s="292">
        <f t="shared" si="292"/>
        <v>0</v>
      </c>
      <c r="J204" s="292">
        <f t="shared" si="292"/>
        <v>-213</v>
      </c>
      <c r="K204" s="292">
        <f t="shared" si="292"/>
        <v>0</v>
      </c>
      <c r="L204" s="292">
        <f t="shared" si="292"/>
        <v>0</v>
      </c>
      <c r="M204" s="292">
        <f t="shared" si="292"/>
        <v>0</v>
      </c>
      <c r="N204" s="292">
        <f t="shared" si="292"/>
        <v>0</v>
      </c>
      <c r="O204" s="292">
        <f t="shared" si="292"/>
        <v>0</v>
      </c>
      <c r="P204" s="292">
        <f t="shared" si="292"/>
        <v>0</v>
      </c>
      <c r="Q204" s="292"/>
      <c r="R204" s="292"/>
      <c r="S204" s="292"/>
      <c r="T204" s="292"/>
      <c r="U204" s="292"/>
      <c r="V204" s="292"/>
      <c r="W204" s="292"/>
      <c r="X204" s="292"/>
      <c r="Y204" s="292"/>
      <c r="Z204" s="292"/>
      <c r="AA204" s="429"/>
      <c r="AB204" s="429"/>
    </row>
    <row r="205" spans="1:28" hidden="1">
      <c r="G205" s="18" t="s">
        <v>675</v>
      </c>
      <c r="H205" s="429"/>
      <c r="I205" s="292">
        <f t="shared" si="292"/>
        <v>3543</v>
      </c>
      <c r="J205" s="292">
        <f t="shared" si="292"/>
        <v>457</v>
      </c>
      <c r="K205" s="292">
        <f t="shared" si="292"/>
        <v>0</v>
      </c>
      <c r="L205" s="292">
        <f t="shared" si="292"/>
        <v>0</v>
      </c>
      <c r="M205" s="292">
        <f t="shared" si="292"/>
        <v>0</v>
      </c>
      <c r="N205" s="292">
        <f t="shared" si="292"/>
        <v>0</v>
      </c>
      <c r="O205" s="292">
        <f t="shared" si="292"/>
        <v>0</v>
      </c>
      <c r="P205" s="292">
        <f t="shared" si="292"/>
        <v>0</v>
      </c>
      <c r="Q205" s="292"/>
      <c r="R205" s="292"/>
      <c r="S205" s="292"/>
      <c r="T205" s="292"/>
      <c r="U205" s="292"/>
      <c r="V205" s="292"/>
      <c r="W205" s="292"/>
      <c r="X205" s="292"/>
      <c r="Y205" s="292"/>
      <c r="Z205" s="292"/>
      <c r="AA205" s="429"/>
      <c r="AB205" s="429"/>
    </row>
    <row r="206" spans="1:28" hidden="1">
      <c r="G206" s="18" t="s">
        <v>677</v>
      </c>
      <c r="H206" s="429"/>
      <c r="I206" s="292">
        <f t="shared" ref="I206:P207" si="293">I103-H103-I54</f>
        <v>-3543</v>
      </c>
      <c r="J206" s="292">
        <f t="shared" si="293"/>
        <v>-457</v>
      </c>
      <c r="K206" s="292">
        <f t="shared" si="293"/>
        <v>0</v>
      </c>
      <c r="L206" s="292">
        <f t="shared" si="293"/>
        <v>0</v>
      </c>
      <c r="M206" s="292">
        <f t="shared" si="293"/>
        <v>0</v>
      </c>
      <c r="N206" s="292">
        <f t="shared" si="293"/>
        <v>0</v>
      </c>
      <c r="O206" s="292">
        <f t="shared" si="293"/>
        <v>0</v>
      </c>
      <c r="P206" s="292">
        <f t="shared" si="293"/>
        <v>0</v>
      </c>
      <c r="Q206" s="292"/>
      <c r="R206" s="292"/>
      <c r="S206" s="292"/>
      <c r="T206" s="292"/>
      <c r="U206" s="292"/>
      <c r="V206" s="292"/>
      <c r="W206" s="292"/>
      <c r="X206" s="292"/>
      <c r="Y206" s="292"/>
      <c r="Z206" s="292"/>
      <c r="AA206" s="429"/>
      <c r="AB206" s="429"/>
    </row>
    <row r="207" spans="1:28" ht="16" hidden="1" thickBot="1">
      <c r="G207" s="18" t="s">
        <v>678</v>
      </c>
      <c r="H207" s="429"/>
      <c r="I207" s="292">
        <f t="shared" si="293"/>
        <v>0</v>
      </c>
      <c r="J207" s="292">
        <f t="shared" si="293"/>
        <v>-207</v>
      </c>
      <c r="K207" s="292">
        <f t="shared" si="293"/>
        <v>0</v>
      </c>
      <c r="L207" s="292">
        <f t="shared" si="293"/>
        <v>0</v>
      </c>
      <c r="M207" s="292">
        <f t="shared" si="293"/>
        <v>0</v>
      </c>
      <c r="N207" s="292">
        <f t="shared" si="293"/>
        <v>0</v>
      </c>
      <c r="O207" s="292">
        <f t="shared" si="293"/>
        <v>0</v>
      </c>
      <c r="P207" s="292">
        <f t="shared" si="293"/>
        <v>0</v>
      </c>
      <c r="Q207" s="292"/>
      <c r="R207" s="292"/>
      <c r="S207" s="292"/>
      <c r="T207" s="292"/>
      <c r="U207" s="292"/>
      <c r="V207" s="292"/>
      <c r="W207" s="292"/>
      <c r="X207" s="292"/>
      <c r="Y207" s="292"/>
      <c r="Z207" s="292"/>
      <c r="AA207" s="429"/>
      <c r="AB207" s="429"/>
    </row>
    <row r="208" spans="1:28" s="242" customFormat="1" ht="16" hidden="1" thickBot="1">
      <c r="A208" s="127"/>
      <c r="B208" s="127"/>
      <c r="C208" s="127"/>
      <c r="D208" s="420"/>
      <c r="E208" s="420"/>
      <c r="F208" s="420"/>
      <c r="G208" s="380" t="s">
        <v>676</v>
      </c>
      <c r="H208" s="381"/>
      <c r="I208" s="381">
        <f>SUM(I203:I207)</f>
        <v>0</v>
      </c>
      <c r="J208" s="381">
        <f>SUM(J203:J207)</f>
        <v>-420</v>
      </c>
      <c r="K208" s="381">
        <f t="shared" ref="K208:P208" si="294">SUM(K203:K207)</f>
        <v>0</v>
      </c>
      <c r="L208" s="381">
        <f t="shared" si="294"/>
        <v>0</v>
      </c>
      <c r="M208" s="381">
        <f t="shared" si="294"/>
        <v>0</v>
      </c>
      <c r="N208" s="381">
        <f t="shared" si="294"/>
        <v>0</v>
      </c>
      <c r="O208" s="381">
        <f t="shared" si="294"/>
        <v>0</v>
      </c>
      <c r="P208" s="381">
        <f t="shared" si="294"/>
        <v>0</v>
      </c>
      <c r="Q208" s="398"/>
      <c r="R208" s="398"/>
      <c r="S208" s="398"/>
      <c r="T208" s="398"/>
      <c r="U208" s="398"/>
      <c r="V208" s="398"/>
      <c r="W208" s="398"/>
      <c r="X208" s="398"/>
      <c r="Y208" s="398"/>
      <c r="Z208" s="398"/>
      <c r="AA208" s="398"/>
      <c r="AB208" s="398"/>
    </row>
    <row r="209" spans="1:28" hidden="1">
      <c r="G209" s="107" t="s">
        <v>391</v>
      </c>
      <c r="H209" s="288"/>
      <c r="I209" s="107" t="b">
        <f>I208=I199</f>
        <v>1</v>
      </c>
      <c r="J209" s="107" t="b">
        <f>J208=J199</f>
        <v>0</v>
      </c>
      <c r="K209" s="107" t="b">
        <f t="shared" ref="K209:O209" si="295">K208=K199</f>
        <v>1</v>
      </c>
      <c r="L209" s="107" t="b">
        <f t="shared" si="295"/>
        <v>1</v>
      </c>
      <c r="M209" s="107" t="b">
        <f t="shared" si="295"/>
        <v>1</v>
      </c>
      <c r="N209" s="107" t="b">
        <f t="shared" si="295"/>
        <v>1</v>
      </c>
      <c r="O209" s="107" t="b">
        <f t="shared" si="295"/>
        <v>0</v>
      </c>
      <c r="P209" s="107" t="b">
        <f>P208=P199</f>
        <v>1</v>
      </c>
      <c r="Q209" s="107"/>
      <c r="R209" s="107"/>
      <c r="S209" s="107"/>
      <c r="T209" s="107"/>
      <c r="U209" s="107"/>
      <c r="V209" s="107"/>
      <c r="W209" s="107"/>
      <c r="X209" s="107"/>
      <c r="Y209" s="107"/>
      <c r="Z209" s="107"/>
      <c r="AA209" s="288"/>
      <c r="AB209" s="288"/>
    </row>
    <row r="210" spans="1:28" hidden="1">
      <c r="G210" s="18"/>
      <c r="H210" s="137"/>
      <c r="I210" s="18"/>
      <c r="J210" s="18"/>
      <c r="K210" s="18"/>
      <c r="L210" s="18"/>
      <c r="M210" s="18"/>
      <c r="N210" s="18"/>
      <c r="O210" s="18"/>
      <c r="P210" s="18"/>
      <c r="Q210" s="18"/>
      <c r="R210" s="18"/>
      <c r="S210" s="18"/>
      <c r="T210" s="18"/>
      <c r="U210" s="18"/>
      <c r="V210" s="18"/>
      <c r="W210" s="18"/>
      <c r="X210" s="18"/>
      <c r="Y210" s="18"/>
      <c r="Z210" s="18"/>
      <c r="AA210" s="137"/>
      <c r="AB210" s="137"/>
    </row>
    <row r="211" spans="1:28" hidden="1">
      <c r="G211" s="18"/>
      <c r="H211" s="169"/>
      <c r="I211" s="163"/>
      <c r="J211" s="163"/>
      <c r="K211" s="18"/>
      <c r="L211" s="18"/>
      <c r="M211" s="18"/>
      <c r="N211" s="18"/>
      <c r="O211" s="18"/>
      <c r="P211" s="18"/>
      <c r="Q211" s="18"/>
      <c r="R211" s="18"/>
      <c r="S211" s="18"/>
      <c r="T211" s="18"/>
      <c r="U211" s="18"/>
      <c r="V211" s="18"/>
      <c r="W211" s="18"/>
      <c r="X211" s="18"/>
      <c r="Y211" s="18"/>
      <c r="Z211" s="18"/>
      <c r="AA211" s="137"/>
      <c r="AB211" s="137"/>
    </row>
    <row r="212" spans="1:28" hidden="1">
      <c r="G212" s="18"/>
      <c r="H212" s="169"/>
      <c r="I212" s="163"/>
      <c r="J212" s="163"/>
      <c r="K212" s="18"/>
      <c r="L212" s="18"/>
      <c r="M212" s="18"/>
      <c r="N212" s="18"/>
      <c r="O212" s="18"/>
      <c r="P212" s="18"/>
      <c r="Q212" s="18"/>
      <c r="R212" s="18"/>
      <c r="S212" s="18"/>
      <c r="T212" s="18"/>
      <c r="U212" s="18"/>
      <c r="V212" s="18"/>
      <c r="W212" s="18"/>
      <c r="X212" s="18"/>
      <c r="Y212" s="18"/>
      <c r="Z212" s="18"/>
      <c r="AA212" s="137"/>
      <c r="AB212" s="137"/>
    </row>
    <row r="213" spans="1:28" hidden="1">
      <c r="C213" s="13"/>
      <c r="D213" s="278"/>
      <c r="E213" s="278"/>
      <c r="F213" s="278"/>
      <c r="G213" s="100" t="s">
        <v>943</v>
      </c>
      <c r="H213" s="244" t="s">
        <v>20</v>
      </c>
      <c r="I213" s="130" t="s">
        <v>21</v>
      </c>
      <c r="J213" s="130" t="s">
        <v>22</v>
      </c>
      <c r="K213" s="130" t="s">
        <v>964</v>
      </c>
      <c r="L213" s="130" t="s">
        <v>24</v>
      </c>
      <c r="M213" s="130" t="s">
        <v>25</v>
      </c>
      <c r="N213" s="130" t="s">
        <v>26</v>
      </c>
      <c r="O213" s="130" t="s">
        <v>27</v>
      </c>
      <c r="P213" s="130" t="s">
        <v>712</v>
      </c>
      <c r="Q213" s="130"/>
      <c r="R213" s="130"/>
      <c r="S213" s="130"/>
      <c r="T213" s="130"/>
      <c r="U213" s="130"/>
      <c r="V213" s="130"/>
      <c r="W213" s="130"/>
      <c r="X213" s="130"/>
      <c r="Y213" s="130"/>
      <c r="Z213" s="130"/>
      <c r="AA213" s="244"/>
      <c r="AB213" s="244"/>
    </row>
    <row r="214" spans="1:28" s="242" customFormat="1" hidden="1">
      <c r="A214" s="127"/>
      <c r="B214" s="127"/>
      <c r="C214" s="127"/>
      <c r="D214" s="420"/>
      <c r="E214" s="420"/>
      <c r="F214" s="420"/>
      <c r="G214" s="100" t="s">
        <v>944</v>
      </c>
      <c r="H214" s="993"/>
      <c r="I214" s="382"/>
      <c r="J214" s="382"/>
      <c r="K214" s="302">
        <f t="shared" ref="K214:P214" si="296">J87</f>
        <v>73388</v>
      </c>
      <c r="L214" s="302">
        <f t="shared" si="296"/>
        <v>72061.942857142858</v>
      </c>
      <c r="M214" s="302">
        <f t="shared" si="296"/>
        <v>70669.582857142857</v>
      </c>
      <c r="N214" s="302">
        <f t="shared" si="296"/>
        <v>69214.288185142854</v>
      </c>
      <c r="O214" s="302">
        <f t="shared" si="296"/>
        <v>67700.345137861252</v>
      </c>
      <c r="P214" s="302">
        <f t="shared" si="296"/>
        <v>66132.959901010603</v>
      </c>
      <c r="Q214" s="302"/>
      <c r="R214" s="302"/>
      <c r="S214" s="302"/>
      <c r="T214" s="302"/>
      <c r="U214" s="302"/>
      <c r="V214" s="302"/>
      <c r="W214" s="302"/>
      <c r="X214" s="302"/>
      <c r="Y214" s="302"/>
      <c r="Z214" s="302"/>
      <c r="AA214" s="399"/>
      <c r="AB214" s="399"/>
    </row>
    <row r="215" spans="1:28" s="234" customFormat="1" ht="14" hidden="1">
      <c r="A215" s="126"/>
      <c r="B215" s="126"/>
      <c r="C215" s="126"/>
      <c r="D215" s="443"/>
      <c r="E215" s="443"/>
      <c r="F215" s="443"/>
      <c r="G215" s="131" t="s">
        <v>945</v>
      </c>
      <c r="H215" s="994"/>
      <c r="I215" s="383"/>
      <c r="J215" s="383"/>
      <c r="K215" s="384">
        <f t="shared" ref="K215:P215" si="297">-K79</f>
        <v>3978.1714285714284</v>
      </c>
      <c r="L215" s="384">
        <f t="shared" si="297"/>
        <v>4177.08</v>
      </c>
      <c r="M215" s="384">
        <f t="shared" si="297"/>
        <v>4365.8840159999991</v>
      </c>
      <c r="N215" s="384">
        <f t="shared" si="297"/>
        <v>4541.8291418447989</v>
      </c>
      <c r="O215" s="384">
        <f t="shared" si="297"/>
        <v>4702.1557105519205</v>
      </c>
      <c r="P215" s="384">
        <f t="shared" si="297"/>
        <v>4844.1608130105878</v>
      </c>
      <c r="Q215" s="384"/>
      <c r="R215" s="384"/>
      <c r="S215" s="384"/>
      <c r="T215" s="384"/>
      <c r="U215" s="384"/>
      <c r="V215" s="384"/>
      <c r="W215" s="384"/>
      <c r="X215" s="384"/>
      <c r="Y215" s="384"/>
      <c r="Z215" s="384"/>
      <c r="AA215" s="430"/>
      <c r="AB215" s="430"/>
    </row>
    <row r="216" spans="1:28" s="234" customFormat="1" ht="14" hidden="1">
      <c r="A216" s="126"/>
      <c r="B216" s="126"/>
      <c r="C216" s="126"/>
      <c r="D216" s="443"/>
      <c r="E216" s="443"/>
      <c r="F216" s="443"/>
      <c r="G216" s="131" t="s">
        <v>946</v>
      </c>
      <c r="H216" s="994"/>
      <c r="I216" s="383"/>
      <c r="J216" s="383"/>
      <c r="K216" s="384">
        <f t="shared" ref="K216:P216" si="298">-K77</f>
        <v>-5304.2285714285717</v>
      </c>
      <c r="L216" s="384">
        <f t="shared" si="298"/>
        <v>-5569.4400000000005</v>
      </c>
      <c r="M216" s="384">
        <f t="shared" si="298"/>
        <v>-5821.1786879999991</v>
      </c>
      <c r="N216" s="384">
        <f t="shared" si="298"/>
        <v>-6055.7721891263991</v>
      </c>
      <c r="O216" s="384">
        <f t="shared" si="298"/>
        <v>-6269.540947402561</v>
      </c>
      <c r="P216" s="384">
        <f t="shared" si="298"/>
        <v>-6458.8810840141177</v>
      </c>
      <c r="Q216" s="384"/>
      <c r="R216" s="384"/>
      <c r="S216" s="384"/>
      <c r="T216" s="384"/>
      <c r="U216" s="384"/>
      <c r="V216" s="384"/>
      <c r="W216" s="384"/>
      <c r="X216" s="384"/>
      <c r="Y216" s="384"/>
      <c r="Z216" s="384"/>
      <c r="AA216" s="430"/>
      <c r="AB216" s="430"/>
    </row>
    <row r="217" spans="1:28" s="234" customFormat="1" hidden="1" thickBot="1">
      <c r="A217" s="126"/>
      <c r="B217" s="126"/>
      <c r="C217" s="126"/>
      <c r="D217" s="443"/>
      <c r="E217" s="443"/>
      <c r="F217" s="443"/>
      <c r="G217" s="131" t="s">
        <v>947</v>
      </c>
      <c r="H217" s="994"/>
      <c r="I217" s="383"/>
      <c r="J217" s="383"/>
      <c r="K217" s="384">
        <v>0</v>
      </c>
      <c r="L217" s="384">
        <v>0</v>
      </c>
      <c r="M217" s="384">
        <v>0</v>
      </c>
      <c r="N217" s="384">
        <v>0</v>
      </c>
      <c r="O217" s="384">
        <v>0</v>
      </c>
      <c r="P217" s="384">
        <v>0</v>
      </c>
      <c r="Q217" s="384"/>
      <c r="R217" s="384"/>
      <c r="S217" s="384"/>
      <c r="T217" s="384"/>
      <c r="U217" s="384"/>
      <c r="V217" s="384"/>
      <c r="W217" s="384"/>
      <c r="X217" s="384"/>
      <c r="Y217" s="384"/>
      <c r="Z217" s="384"/>
      <c r="AA217" s="430"/>
      <c r="AB217" s="430"/>
    </row>
    <row r="218" spans="1:28" s="242" customFormat="1" ht="16" hidden="1" thickBot="1">
      <c r="A218" s="127"/>
      <c r="B218" s="127"/>
      <c r="C218" s="127"/>
      <c r="D218" s="420"/>
      <c r="E218" s="420"/>
      <c r="F218" s="420"/>
      <c r="G218" s="380" t="s">
        <v>948</v>
      </c>
      <c r="H218" s="385"/>
      <c r="I218" s="385"/>
      <c r="J218" s="385"/>
      <c r="K218" s="386">
        <f>SUM(K214:K217)</f>
        <v>72061.942857142858</v>
      </c>
      <c r="L218" s="386">
        <f t="shared" ref="L218:P218" si="299">SUM(L214:L217)</f>
        <v>70669.582857142857</v>
      </c>
      <c r="M218" s="386">
        <f t="shared" si="299"/>
        <v>69214.288185142854</v>
      </c>
      <c r="N218" s="386">
        <f t="shared" si="299"/>
        <v>67700.345137861252</v>
      </c>
      <c r="O218" s="386">
        <f t="shared" si="299"/>
        <v>66132.959901010603</v>
      </c>
      <c r="P218" s="386">
        <f t="shared" si="299"/>
        <v>64518.239630007076</v>
      </c>
      <c r="Q218" s="399"/>
      <c r="R218" s="399"/>
      <c r="S218" s="399"/>
      <c r="T218" s="399"/>
      <c r="U218" s="399"/>
      <c r="V218" s="399"/>
      <c r="W218" s="399"/>
      <c r="X218" s="399"/>
      <c r="Y218" s="399"/>
      <c r="Z218" s="399"/>
      <c r="AA218" s="399"/>
      <c r="AB218" s="399"/>
    </row>
    <row r="219" spans="1:28" s="243" customFormat="1" hidden="1">
      <c r="A219" s="122"/>
      <c r="B219" s="122"/>
      <c r="C219" s="122"/>
      <c r="D219" s="307"/>
      <c r="E219" s="307"/>
      <c r="F219" s="307"/>
      <c r="G219" s="115"/>
      <c r="I219" s="115"/>
      <c r="J219" s="115"/>
      <c r="K219" s="115"/>
      <c r="L219" s="115"/>
      <c r="M219" s="115"/>
      <c r="N219" s="115"/>
      <c r="O219" s="115"/>
      <c r="P219" s="115"/>
      <c r="Q219" s="115"/>
      <c r="R219" s="115"/>
      <c r="S219" s="115"/>
      <c r="T219" s="115"/>
      <c r="U219" s="115"/>
      <c r="V219" s="115"/>
      <c r="W219" s="115"/>
      <c r="X219" s="115"/>
      <c r="Y219" s="115"/>
      <c r="Z219" s="115"/>
    </row>
    <row r="220" spans="1:28" s="288" customFormat="1" ht="14" hidden="1">
      <c r="A220" s="117"/>
      <c r="B220" s="117"/>
      <c r="C220" s="13"/>
      <c r="D220" s="278"/>
      <c r="E220" s="278"/>
      <c r="F220" s="278"/>
      <c r="G220" s="107"/>
      <c r="I220" s="107"/>
      <c r="J220" s="107"/>
      <c r="K220" s="107"/>
      <c r="L220" s="107"/>
      <c r="M220" s="107"/>
      <c r="N220" s="107"/>
      <c r="O220" s="107"/>
      <c r="P220" s="107"/>
      <c r="Q220" s="107"/>
      <c r="R220" s="107"/>
      <c r="S220" s="107"/>
      <c r="T220" s="107"/>
      <c r="U220" s="107"/>
      <c r="V220" s="107"/>
      <c r="W220" s="107"/>
      <c r="X220" s="107"/>
      <c r="Y220" s="107"/>
      <c r="Z220" s="107"/>
    </row>
    <row r="221" spans="1:28" hidden="1">
      <c r="C221" s="13"/>
      <c r="D221" s="278"/>
      <c r="E221" s="278"/>
      <c r="F221" s="278"/>
      <c r="G221" s="100" t="s">
        <v>539</v>
      </c>
      <c r="H221" s="244" t="s">
        <v>20</v>
      </c>
      <c r="I221" s="130" t="s">
        <v>21</v>
      </c>
      <c r="J221" s="130" t="s">
        <v>22</v>
      </c>
      <c r="K221" s="130" t="s">
        <v>964</v>
      </c>
      <c r="L221" s="130" t="s">
        <v>24</v>
      </c>
      <c r="M221" s="130" t="s">
        <v>25</v>
      </c>
      <c r="N221" s="130" t="s">
        <v>26</v>
      </c>
      <c r="O221" s="130" t="s">
        <v>27</v>
      </c>
      <c r="P221" s="130" t="s">
        <v>712</v>
      </c>
      <c r="Q221" s="130"/>
      <c r="R221" s="130"/>
      <c r="S221" s="130"/>
      <c r="T221" s="130"/>
      <c r="U221" s="130"/>
      <c r="V221" s="130"/>
      <c r="W221" s="130"/>
      <c r="X221" s="130"/>
      <c r="Y221" s="130"/>
      <c r="Z221" s="130"/>
      <c r="AA221" s="244"/>
      <c r="AB221" s="244"/>
    </row>
    <row r="222" spans="1:28" s="109" customFormat="1" hidden="1">
      <c r="A222" s="46"/>
      <c r="B222" s="46"/>
      <c r="C222" s="167"/>
      <c r="D222" s="444"/>
      <c r="E222" s="444"/>
      <c r="F222" s="444"/>
      <c r="G222" s="100" t="s">
        <v>0</v>
      </c>
      <c r="H222" s="399">
        <f t="shared" ref="H222:P222" si="300">H5</f>
        <v>84308</v>
      </c>
      <c r="I222" s="302">
        <f t="shared" si="300"/>
        <v>90499</v>
      </c>
      <c r="J222" s="302">
        <f t="shared" si="300"/>
        <v>123981</v>
      </c>
      <c r="K222" s="302">
        <f t="shared" si="300"/>
        <v>132605.71428571429</v>
      </c>
      <c r="L222" s="302">
        <f t="shared" si="300"/>
        <v>139236</v>
      </c>
      <c r="M222" s="302">
        <f t="shared" si="300"/>
        <v>145529.46719999998</v>
      </c>
      <c r="N222" s="302">
        <f t="shared" si="300"/>
        <v>151394.30472815997</v>
      </c>
      <c r="O222" s="302">
        <f t="shared" si="300"/>
        <v>156738.52368506402</v>
      </c>
      <c r="P222" s="302">
        <f t="shared" si="300"/>
        <v>161472.02710035295</v>
      </c>
      <c r="Q222" s="302"/>
      <c r="R222" s="302"/>
      <c r="S222" s="302"/>
      <c r="T222" s="302"/>
      <c r="U222" s="302"/>
      <c r="V222" s="302"/>
      <c r="W222" s="302"/>
      <c r="X222" s="302"/>
      <c r="Y222" s="302"/>
      <c r="Z222" s="302"/>
      <c r="AA222" s="399"/>
      <c r="AB222" s="399"/>
    </row>
    <row r="223" spans="1:28" s="243" customFormat="1" hidden="1">
      <c r="A223" s="122"/>
      <c r="B223" s="122"/>
      <c r="C223" s="122"/>
      <c r="D223" s="307"/>
      <c r="E223" s="307"/>
      <c r="F223" s="307"/>
      <c r="G223" s="115" t="s">
        <v>50</v>
      </c>
      <c r="H223" s="431">
        <f>H90</f>
        <v>21101</v>
      </c>
      <c r="I223" s="387">
        <f>I90</f>
        <v>30611</v>
      </c>
      <c r="J223" s="387">
        <f>J90</f>
        <v>23759</v>
      </c>
      <c r="K223" s="387">
        <f>K222*K225</f>
        <v>25411.790239748716</v>
      </c>
      <c r="L223" s="387">
        <f t="shared" ref="L223:P223" si="301">L222*L225</f>
        <v>26682.379751736153</v>
      </c>
      <c r="M223" s="387">
        <f t="shared" si="301"/>
        <v>27888.423316514622</v>
      </c>
      <c r="N223" s="387">
        <f t="shared" si="301"/>
        <v>29012.326776170161</v>
      </c>
      <c r="O223" s="387">
        <f t="shared" si="301"/>
        <v>30036.461911368966</v>
      </c>
      <c r="P223" s="387">
        <f t="shared" si="301"/>
        <v>30943.563061092307</v>
      </c>
      <c r="Q223" s="387"/>
      <c r="R223" s="387"/>
      <c r="S223" s="387"/>
      <c r="T223" s="387"/>
      <c r="U223" s="387"/>
      <c r="V223" s="387"/>
      <c r="W223" s="387"/>
      <c r="X223" s="387"/>
      <c r="Y223" s="387"/>
      <c r="Z223" s="387"/>
      <c r="AA223" s="431"/>
      <c r="AB223" s="431"/>
    </row>
    <row r="224" spans="1:28" s="234" customFormat="1" ht="14" hidden="1">
      <c r="A224" s="126"/>
      <c r="B224" s="126"/>
      <c r="C224" s="126"/>
      <c r="D224" s="443"/>
      <c r="E224" s="443"/>
      <c r="F224" s="443"/>
      <c r="G224" s="131" t="s">
        <v>938</v>
      </c>
      <c r="H224" s="430">
        <v>-1586</v>
      </c>
      <c r="I224" s="384">
        <f>-(I223-H223)</f>
        <v>-9510</v>
      </c>
      <c r="J224" s="384">
        <f>-(J223-I223)</f>
        <v>6852</v>
      </c>
      <c r="K224" s="384">
        <f>-(K223-J223)</f>
        <v>-1652.790239748716</v>
      </c>
      <c r="L224" s="384">
        <f>-(L223-K223)</f>
        <v>-1270.5895119874367</v>
      </c>
      <c r="M224" s="384">
        <f t="shared" ref="M224:P224" si="302">-(M223-L223)</f>
        <v>-1206.0435647784689</v>
      </c>
      <c r="N224" s="384">
        <f t="shared" si="302"/>
        <v>-1123.9034596555393</v>
      </c>
      <c r="O224" s="384">
        <f t="shared" si="302"/>
        <v>-1024.1351351988051</v>
      </c>
      <c r="P224" s="384">
        <f t="shared" si="302"/>
        <v>-907.10114972334122</v>
      </c>
      <c r="Q224" s="384"/>
      <c r="R224" s="384"/>
      <c r="S224" s="384"/>
      <c r="T224" s="384"/>
      <c r="U224" s="384"/>
      <c r="V224" s="384"/>
      <c r="W224" s="384"/>
      <c r="X224" s="384"/>
      <c r="Y224" s="384"/>
      <c r="Z224" s="384"/>
      <c r="AA224" s="430"/>
      <c r="AB224" s="430"/>
    </row>
    <row r="225" spans="1:28" s="221" customFormat="1" ht="14" hidden="1">
      <c r="A225" s="143"/>
      <c r="B225" s="143"/>
      <c r="C225" s="143"/>
      <c r="D225" s="445"/>
      <c r="E225" s="445"/>
      <c r="F225" s="445"/>
      <c r="G225" s="206" t="s">
        <v>939</v>
      </c>
      <c r="H225" s="260">
        <f>H223/H222</f>
        <v>0.25028467049390329</v>
      </c>
      <c r="I225" s="388">
        <f t="shared" ref="I225:J225" si="303">I223/I222</f>
        <v>0.3382468314567012</v>
      </c>
      <c r="J225" s="388">
        <f t="shared" si="303"/>
        <v>0.19163420201482484</v>
      </c>
      <c r="K225" s="388">
        <f>J225</f>
        <v>0.19163420201482484</v>
      </c>
      <c r="L225" s="388">
        <f t="shared" ref="L225:P225" si="304">K225</f>
        <v>0.19163420201482484</v>
      </c>
      <c r="M225" s="388">
        <f t="shared" si="304"/>
        <v>0.19163420201482484</v>
      </c>
      <c r="N225" s="388">
        <f t="shared" si="304"/>
        <v>0.19163420201482484</v>
      </c>
      <c r="O225" s="388">
        <f t="shared" si="304"/>
        <v>0.19163420201482484</v>
      </c>
      <c r="P225" s="388">
        <f t="shared" si="304"/>
        <v>0.19163420201482484</v>
      </c>
      <c r="Q225" s="388"/>
      <c r="R225" s="388"/>
      <c r="S225" s="388"/>
      <c r="T225" s="388"/>
      <c r="U225" s="388"/>
      <c r="V225" s="388"/>
      <c r="W225" s="388"/>
      <c r="X225" s="388"/>
      <c r="Y225" s="388"/>
      <c r="Z225" s="388"/>
      <c r="AA225" s="260"/>
      <c r="AB225" s="260"/>
    </row>
    <row r="226" spans="1:28" s="243" customFormat="1" hidden="1">
      <c r="A226" s="122"/>
      <c r="B226" s="122"/>
      <c r="C226" s="122"/>
      <c r="D226" s="307"/>
      <c r="E226" s="307"/>
      <c r="F226" s="307"/>
      <c r="G226" s="115" t="s">
        <v>540</v>
      </c>
      <c r="H226" s="431">
        <f>H91</f>
        <v>11175</v>
      </c>
      <c r="I226" s="387">
        <f>I91</f>
        <v>7895</v>
      </c>
      <c r="J226" s="387">
        <f>J91</f>
        <v>9072</v>
      </c>
      <c r="K226" s="387">
        <f>K228*K222</f>
        <v>9703.0919253756638</v>
      </c>
      <c r="L226" s="387">
        <f t="shared" ref="L226:P226" si="305">L228*L222</f>
        <v>10188.246521644445</v>
      </c>
      <c r="M226" s="387">
        <f t="shared" si="305"/>
        <v>10648.755264422774</v>
      </c>
      <c r="N226" s="387">
        <f t="shared" si="305"/>
        <v>11077.900101579011</v>
      </c>
      <c r="O226" s="387">
        <f t="shared" si="305"/>
        <v>11468.949975164751</v>
      </c>
      <c r="P226" s="387">
        <f t="shared" si="305"/>
        <v>11815.312264414724</v>
      </c>
      <c r="Q226" s="387"/>
      <c r="R226" s="387"/>
      <c r="S226" s="387"/>
      <c r="T226" s="387"/>
      <c r="U226" s="387"/>
      <c r="V226" s="387"/>
      <c r="W226" s="387"/>
      <c r="X226" s="387"/>
      <c r="Y226" s="387"/>
      <c r="Z226" s="387"/>
      <c r="AA226" s="431"/>
      <c r="AB226" s="431"/>
    </row>
    <row r="227" spans="1:28" s="234" customFormat="1" ht="14" hidden="1">
      <c r="A227" s="126"/>
      <c r="B227" s="126"/>
      <c r="C227" s="126"/>
      <c r="D227" s="443"/>
      <c r="E227" s="443"/>
      <c r="F227" s="443"/>
      <c r="G227" s="131" t="s">
        <v>941</v>
      </c>
      <c r="H227" s="430">
        <v>2884</v>
      </c>
      <c r="I227" s="384">
        <f>-(I226-H226)</f>
        <v>3280</v>
      </c>
      <c r="J227" s="384">
        <f>-(J226-I226)</f>
        <v>-1177</v>
      </c>
      <c r="K227" s="384">
        <f>-(K226-J226)</f>
        <v>-631.09192537566378</v>
      </c>
      <c r="L227" s="384">
        <f t="shared" ref="L227:P227" si="306">-(L226-K226)</f>
        <v>-485.15459626878146</v>
      </c>
      <c r="M227" s="384">
        <f t="shared" si="306"/>
        <v>-460.50874277832918</v>
      </c>
      <c r="N227" s="384">
        <f t="shared" si="306"/>
        <v>-429.14483715623646</v>
      </c>
      <c r="O227" s="384">
        <f t="shared" si="306"/>
        <v>-391.04987358573999</v>
      </c>
      <c r="P227" s="384">
        <f t="shared" si="306"/>
        <v>-346.3622892499734</v>
      </c>
      <c r="Q227" s="384"/>
      <c r="R227" s="384"/>
      <c r="S227" s="384"/>
      <c r="T227" s="384"/>
      <c r="U227" s="384"/>
      <c r="V227" s="384"/>
      <c r="W227" s="384"/>
      <c r="X227" s="384"/>
      <c r="Y227" s="384"/>
      <c r="Z227" s="384"/>
      <c r="AA227" s="430"/>
      <c r="AB227" s="430"/>
    </row>
    <row r="228" spans="1:28" s="221" customFormat="1" ht="14" hidden="1">
      <c r="A228" s="143"/>
      <c r="B228" s="143"/>
      <c r="C228" s="143"/>
      <c r="D228" s="445"/>
      <c r="E228" s="445"/>
      <c r="F228" s="445"/>
      <c r="G228" s="206" t="s">
        <v>940</v>
      </c>
      <c r="H228" s="260">
        <f>H226/H222</f>
        <v>0.13254969872372729</v>
      </c>
      <c r="I228" s="388">
        <f t="shared" ref="I228:J228" si="307">I226/I222</f>
        <v>8.7238533022464343E-2</v>
      </c>
      <c r="J228" s="388">
        <f t="shared" si="307"/>
        <v>7.3172502238246187E-2</v>
      </c>
      <c r="K228" s="388">
        <f>J228</f>
        <v>7.3172502238246187E-2</v>
      </c>
      <c r="L228" s="388">
        <f t="shared" ref="L228:P228" si="308">K228</f>
        <v>7.3172502238246187E-2</v>
      </c>
      <c r="M228" s="388">
        <f t="shared" si="308"/>
        <v>7.3172502238246187E-2</v>
      </c>
      <c r="N228" s="388">
        <f t="shared" si="308"/>
        <v>7.3172502238246187E-2</v>
      </c>
      <c r="O228" s="388">
        <f t="shared" si="308"/>
        <v>7.3172502238246187E-2</v>
      </c>
      <c r="P228" s="388">
        <f t="shared" si="308"/>
        <v>7.3172502238246187E-2</v>
      </c>
      <c r="Q228" s="388"/>
      <c r="R228" s="388"/>
      <c r="S228" s="388"/>
      <c r="T228" s="388"/>
      <c r="U228" s="388"/>
      <c r="V228" s="388"/>
      <c r="W228" s="388"/>
      <c r="X228" s="388"/>
      <c r="Y228" s="388"/>
      <c r="Z228" s="388"/>
      <c r="AA228" s="260"/>
      <c r="AB228" s="260"/>
    </row>
    <row r="229" spans="1:28" s="243" customFormat="1" hidden="1">
      <c r="A229" s="122"/>
      <c r="B229" s="122"/>
      <c r="C229" s="122"/>
      <c r="D229" s="307"/>
      <c r="E229" s="307"/>
      <c r="F229" s="307"/>
      <c r="G229" s="115" t="s">
        <v>529</v>
      </c>
      <c r="H229" s="431">
        <f>H114+H115</f>
        <v>4049</v>
      </c>
      <c r="I229" s="387">
        <f>I114+I115</f>
        <v>4006</v>
      </c>
      <c r="J229" s="387">
        <f>J114</f>
        <v>7038</v>
      </c>
      <c r="K229" s="387">
        <f>K231*K222</f>
        <v>7527.5971087735797</v>
      </c>
      <c r="L229" s="387">
        <f t="shared" ref="L229:P229" si="309">L231*L222</f>
        <v>7903.9769642122583</v>
      </c>
      <c r="M229" s="387">
        <f t="shared" si="309"/>
        <v>8261.2367229946522</v>
      </c>
      <c r="N229" s="387">
        <f t="shared" si="309"/>
        <v>8594.1645629313352</v>
      </c>
      <c r="O229" s="387">
        <f t="shared" si="309"/>
        <v>8897.5385720028116</v>
      </c>
      <c r="P229" s="387">
        <f t="shared" si="309"/>
        <v>9166.2442368772972</v>
      </c>
      <c r="Q229" s="387"/>
      <c r="R229" s="387"/>
      <c r="S229" s="387"/>
      <c r="T229" s="387"/>
      <c r="U229" s="387"/>
      <c r="V229" s="387"/>
      <c r="W229" s="387"/>
      <c r="X229" s="387"/>
      <c r="Y229" s="387"/>
      <c r="Z229" s="387"/>
      <c r="AA229" s="431"/>
      <c r="AB229" s="431"/>
    </row>
    <row r="230" spans="1:28" s="234" customFormat="1" ht="14" hidden="1">
      <c r="A230" s="126"/>
      <c r="B230" s="126"/>
      <c r="C230" s="126"/>
      <c r="D230" s="443"/>
      <c r="E230" s="443"/>
      <c r="F230" s="443"/>
      <c r="G230" s="131" t="s">
        <v>942</v>
      </c>
      <c r="H230" s="430">
        <v>-8899</v>
      </c>
      <c r="I230" s="384">
        <f>I229-H229</f>
        <v>-43</v>
      </c>
      <c r="J230" s="384">
        <f t="shared" ref="J230:P230" si="310">J114-I114</f>
        <v>3032</v>
      </c>
      <c r="K230" s="384">
        <f t="shared" si="310"/>
        <v>489.59710877357975</v>
      </c>
      <c r="L230" s="384">
        <f t="shared" si="310"/>
        <v>376.37985543867853</v>
      </c>
      <c r="M230" s="384">
        <f t="shared" si="310"/>
        <v>357.25975878239387</v>
      </c>
      <c r="N230" s="384">
        <f t="shared" si="310"/>
        <v>332.92783993668309</v>
      </c>
      <c r="O230" s="384">
        <f t="shared" si="310"/>
        <v>303.37400907147639</v>
      </c>
      <c r="P230" s="384">
        <f t="shared" si="310"/>
        <v>268.70566487448559</v>
      </c>
      <c r="Q230" s="384"/>
      <c r="R230" s="384"/>
      <c r="S230" s="384"/>
      <c r="T230" s="384"/>
      <c r="U230" s="384"/>
      <c r="V230" s="384"/>
      <c r="W230" s="384"/>
      <c r="X230" s="384"/>
      <c r="Y230" s="384"/>
      <c r="Z230" s="384"/>
      <c r="AA230" s="430"/>
      <c r="AB230" s="430"/>
    </row>
    <row r="231" spans="1:28" s="221" customFormat="1" ht="14" hidden="1">
      <c r="A231" s="143"/>
      <c r="B231" s="143"/>
      <c r="C231" s="143"/>
      <c r="D231" s="445"/>
      <c r="E231" s="445"/>
      <c r="F231" s="445"/>
      <c r="G231" s="206" t="s">
        <v>940</v>
      </c>
      <c r="H231" s="260">
        <f>H229/H222</f>
        <v>4.8026284575603741E-2</v>
      </c>
      <c r="I231" s="388">
        <f t="shared" ref="I231:J231" si="311">I229/I222</f>
        <v>4.4265682493729211E-2</v>
      </c>
      <c r="J231" s="388">
        <f t="shared" si="311"/>
        <v>5.6766762649115593E-2</v>
      </c>
      <c r="K231" s="388">
        <f>J231</f>
        <v>5.6766762649115593E-2</v>
      </c>
      <c r="L231" s="388">
        <f t="shared" ref="L231:P231" si="312">K231</f>
        <v>5.6766762649115593E-2</v>
      </c>
      <c r="M231" s="388">
        <f t="shared" si="312"/>
        <v>5.6766762649115593E-2</v>
      </c>
      <c r="N231" s="388">
        <f t="shared" si="312"/>
        <v>5.6766762649115593E-2</v>
      </c>
      <c r="O231" s="388">
        <f t="shared" si="312"/>
        <v>5.6766762649115593E-2</v>
      </c>
      <c r="P231" s="388">
        <f t="shared" si="312"/>
        <v>5.6766762649115593E-2</v>
      </c>
      <c r="Q231" s="388"/>
      <c r="R231" s="388"/>
      <c r="S231" s="388"/>
      <c r="T231" s="388"/>
      <c r="U231" s="388"/>
      <c r="V231" s="388"/>
      <c r="W231" s="388"/>
      <c r="X231" s="388"/>
      <c r="Y231" s="388"/>
      <c r="Z231" s="388"/>
      <c r="AA231" s="260"/>
      <c r="AB231" s="260"/>
    </row>
    <row r="232" spans="1:28" s="243" customFormat="1" ht="16" hidden="1" thickBot="1">
      <c r="A232" s="122"/>
      <c r="B232" s="122"/>
      <c r="C232" s="122"/>
      <c r="D232" s="307"/>
      <c r="E232" s="307"/>
      <c r="F232" s="307"/>
      <c r="G232" s="115" t="s">
        <v>542</v>
      </c>
      <c r="H232" s="431">
        <f>H223+H226-H229</f>
        <v>28227</v>
      </c>
      <c r="I232" s="387">
        <f t="shared" ref="I232" si="313">I223+I226-I229</f>
        <v>34500</v>
      </c>
      <c r="J232" s="387">
        <f>J223+J226-J229</f>
        <v>25793</v>
      </c>
      <c r="K232" s="387">
        <f>K223+K226-K229</f>
        <v>27587.285056350796</v>
      </c>
      <c r="L232" s="387">
        <f t="shared" ref="L232:P232" si="314">L223+L226-L229</f>
        <v>28966.649309168341</v>
      </c>
      <c r="M232" s="387">
        <f t="shared" si="314"/>
        <v>30275.941857942744</v>
      </c>
      <c r="N232" s="387">
        <f t="shared" si="314"/>
        <v>31496.062314817835</v>
      </c>
      <c r="O232" s="387">
        <f t="shared" si="314"/>
        <v>32607.873314530902</v>
      </c>
      <c r="P232" s="387">
        <f t="shared" si="314"/>
        <v>33592.631088629736</v>
      </c>
      <c r="Q232" s="387"/>
      <c r="R232" s="387"/>
      <c r="S232" s="387"/>
      <c r="T232" s="387"/>
      <c r="U232" s="387"/>
      <c r="V232" s="387"/>
      <c r="W232" s="387"/>
      <c r="X232" s="387"/>
      <c r="Y232" s="387"/>
      <c r="Z232" s="387"/>
      <c r="AA232" s="431"/>
      <c r="AB232" s="431"/>
    </row>
    <row r="233" spans="1:28" s="242" customFormat="1" ht="16" hidden="1" thickBot="1">
      <c r="A233" s="127"/>
      <c r="B233" s="127"/>
      <c r="C233" s="127"/>
      <c r="D233" s="420"/>
      <c r="E233" s="420"/>
      <c r="F233" s="420"/>
      <c r="G233" s="380" t="s">
        <v>543</v>
      </c>
      <c r="H233" s="386" t="e">
        <f t="shared" ref="H233" si="315">H232-G232</f>
        <v>#VALUE!</v>
      </c>
      <c r="I233" s="386">
        <f>I232-H232</f>
        <v>6273</v>
      </c>
      <c r="J233" s="386">
        <f>J232-I232</f>
        <v>-8707</v>
      </c>
      <c r="K233" s="386">
        <f>K232-J232</f>
        <v>1794.2850563507964</v>
      </c>
      <c r="L233" s="386">
        <f t="shared" ref="L233:P233" si="316">L232-K232</f>
        <v>1379.3642528175442</v>
      </c>
      <c r="M233" s="386">
        <f t="shared" si="316"/>
        <v>1309.2925487744033</v>
      </c>
      <c r="N233" s="386">
        <f t="shared" si="316"/>
        <v>1220.1204568750909</v>
      </c>
      <c r="O233" s="386">
        <f t="shared" si="316"/>
        <v>1111.8109997130668</v>
      </c>
      <c r="P233" s="386">
        <f t="shared" si="316"/>
        <v>984.75777409883449</v>
      </c>
      <c r="Q233" s="399"/>
      <c r="R233" s="399"/>
      <c r="S233" s="399"/>
      <c r="T233" s="399"/>
      <c r="U233" s="399"/>
      <c r="V233" s="399"/>
      <c r="W233" s="399"/>
      <c r="X233" s="399"/>
      <c r="Y233" s="399"/>
      <c r="Z233" s="399"/>
      <c r="AA233" s="399"/>
      <c r="AB233" s="399"/>
    </row>
    <row r="234" spans="1:28" s="244" customFormat="1" ht="14" hidden="1">
      <c r="A234" s="128"/>
      <c r="B234" s="128"/>
      <c r="C234" s="128"/>
      <c r="D234" s="446"/>
      <c r="E234" s="446"/>
      <c r="F234" s="446"/>
      <c r="K234" s="130"/>
      <c r="L234" s="130"/>
      <c r="M234" s="130"/>
      <c r="N234" s="130"/>
      <c r="O234" s="130"/>
      <c r="P234" s="130"/>
      <c r="Q234" s="130"/>
      <c r="R234" s="130"/>
      <c r="S234" s="130"/>
      <c r="T234" s="130"/>
      <c r="U234" s="130"/>
      <c r="V234" s="130"/>
      <c r="W234" s="130"/>
      <c r="X234" s="130"/>
      <c r="Y234" s="130"/>
      <c r="Z234" s="130"/>
    </row>
    <row r="235" spans="1:28" s="243" customFormat="1" hidden="1">
      <c r="A235" s="122"/>
      <c r="B235" s="122"/>
      <c r="C235" s="122"/>
      <c r="D235" s="307"/>
      <c r="E235" s="307"/>
      <c r="F235" s="307"/>
      <c r="G235" s="115"/>
      <c r="H235" s="234"/>
      <c r="I235" s="131"/>
      <c r="J235" s="131"/>
      <c r="K235" s="115"/>
      <c r="L235" s="115"/>
      <c r="M235" s="115"/>
      <c r="N235" s="115"/>
      <c r="O235" s="115"/>
      <c r="P235" s="115"/>
      <c r="Q235" s="115"/>
      <c r="R235" s="115"/>
      <c r="S235" s="115"/>
      <c r="T235" s="115"/>
      <c r="U235" s="115"/>
      <c r="V235" s="115"/>
      <c r="W235" s="115"/>
      <c r="X235" s="115"/>
      <c r="Y235" s="115"/>
      <c r="Z235" s="115"/>
    </row>
    <row r="236" spans="1:28" hidden="1">
      <c r="C236" s="13"/>
      <c r="D236" s="278"/>
      <c r="E236" s="278"/>
      <c r="F236" s="278"/>
      <c r="G236" s="100" t="s">
        <v>550</v>
      </c>
      <c r="H236" s="244" t="s">
        <v>20</v>
      </c>
      <c r="I236" s="130" t="s">
        <v>21</v>
      </c>
      <c r="J236" s="130" t="s">
        <v>22</v>
      </c>
      <c r="K236" s="130" t="s">
        <v>964</v>
      </c>
      <c r="L236" s="130" t="s">
        <v>24</v>
      </c>
      <c r="M236" s="130" t="s">
        <v>25</v>
      </c>
      <c r="N236" s="130" t="s">
        <v>26</v>
      </c>
      <c r="O236" s="130" t="s">
        <v>27</v>
      </c>
      <c r="P236" s="130" t="s">
        <v>712</v>
      </c>
      <c r="Q236" s="130"/>
      <c r="R236" s="130"/>
      <c r="S236" s="130"/>
      <c r="T236" s="130"/>
      <c r="U236" s="130"/>
      <c r="V236" s="130"/>
      <c r="W236" s="130"/>
      <c r="X236" s="130"/>
      <c r="Y236" s="130"/>
      <c r="Z236" s="130"/>
      <c r="AA236" s="244"/>
      <c r="AB236" s="244"/>
    </row>
    <row r="237" spans="1:28" hidden="1">
      <c r="A237" s="18"/>
      <c r="B237" s="18"/>
      <c r="C237" s="112"/>
      <c r="D237" s="113"/>
      <c r="E237" s="113"/>
      <c r="F237" s="113"/>
      <c r="G237" s="100" t="s">
        <v>551</v>
      </c>
      <c r="H237" s="244"/>
      <c r="I237" s="130"/>
      <c r="J237" s="130"/>
      <c r="K237" s="163"/>
      <c r="L237" s="163"/>
      <c r="M237" s="163"/>
      <c r="N237" s="163"/>
      <c r="O237" s="163"/>
      <c r="P237" s="163"/>
      <c r="Q237" s="163"/>
      <c r="R237" s="163"/>
      <c r="S237" s="163"/>
      <c r="T237" s="163"/>
      <c r="U237" s="163"/>
      <c r="V237" s="163"/>
      <c r="W237" s="163"/>
      <c r="X237" s="163"/>
      <c r="Y237" s="163"/>
      <c r="Z237" s="163"/>
      <c r="AA237" s="169"/>
      <c r="AB237" s="169"/>
    </row>
    <row r="238" spans="1:28" s="190" customFormat="1" hidden="1">
      <c r="A238" s="110"/>
      <c r="B238" s="110"/>
      <c r="C238" s="112"/>
      <c r="D238" s="113"/>
      <c r="E238" s="113"/>
      <c r="F238" s="113"/>
      <c r="G238" s="115" t="s">
        <v>552</v>
      </c>
      <c r="H238" s="234">
        <v>2963</v>
      </c>
      <c r="I238" s="131">
        <v>5596</v>
      </c>
      <c r="J238" s="131">
        <v>5028</v>
      </c>
      <c r="K238" s="163"/>
      <c r="L238" s="163"/>
      <c r="M238" s="163"/>
      <c r="N238" s="163"/>
      <c r="O238" s="163"/>
      <c r="P238" s="163"/>
      <c r="Q238" s="163"/>
      <c r="R238" s="163"/>
      <c r="S238" s="163"/>
      <c r="T238" s="163"/>
      <c r="U238" s="163"/>
      <c r="V238" s="163"/>
      <c r="W238" s="163"/>
      <c r="X238" s="163"/>
      <c r="Y238" s="163"/>
      <c r="Z238" s="163"/>
      <c r="AA238" s="169"/>
      <c r="AB238" s="169"/>
    </row>
    <row r="239" spans="1:28" s="190" customFormat="1" hidden="1">
      <c r="A239" s="110"/>
      <c r="B239" s="110"/>
      <c r="C239" s="112"/>
      <c r="D239" s="113"/>
      <c r="E239" s="113"/>
      <c r="F239" s="113"/>
      <c r="G239" s="115" t="s">
        <v>553</v>
      </c>
      <c r="H239" s="303">
        <v>754</v>
      </c>
      <c r="I239" s="303">
        <v>1396</v>
      </c>
      <c r="J239" s="303">
        <v>1655</v>
      </c>
      <c r="K239" s="301"/>
      <c r="L239" s="301"/>
      <c r="M239" s="301"/>
      <c r="N239" s="301"/>
      <c r="O239" s="301"/>
      <c r="P239" s="301"/>
      <c r="Q239" s="301"/>
      <c r="R239" s="301"/>
      <c r="S239" s="301"/>
      <c r="T239" s="301"/>
      <c r="U239" s="301"/>
      <c r="V239" s="301"/>
      <c r="W239" s="301"/>
      <c r="X239" s="301"/>
      <c r="Y239" s="301"/>
      <c r="Z239" s="301"/>
      <c r="AA239" s="298"/>
      <c r="AB239" s="298"/>
    </row>
    <row r="240" spans="1:28" hidden="1">
      <c r="A240" s="18"/>
      <c r="B240" s="18"/>
      <c r="C240" s="112"/>
      <c r="D240" s="113"/>
      <c r="E240" s="113"/>
      <c r="F240" s="113"/>
      <c r="G240" s="100" t="s">
        <v>103</v>
      </c>
      <c r="H240" s="304">
        <f>H238+H239</f>
        <v>3717</v>
      </c>
      <c r="I240" s="304">
        <f t="shared" ref="I240:J240" si="317">I238+I239</f>
        <v>6992</v>
      </c>
      <c r="J240" s="304">
        <f t="shared" si="317"/>
        <v>6683</v>
      </c>
      <c r="K240" s="301"/>
      <c r="L240" s="301"/>
      <c r="M240" s="301"/>
      <c r="N240" s="301"/>
      <c r="O240" s="301"/>
      <c r="P240" s="301"/>
      <c r="Q240" s="301"/>
      <c r="R240" s="301"/>
      <c r="S240" s="301"/>
      <c r="T240" s="301"/>
      <c r="U240" s="301"/>
      <c r="V240" s="301"/>
      <c r="W240" s="301"/>
      <c r="X240" s="301"/>
      <c r="Y240" s="301"/>
      <c r="Z240" s="301"/>
      <c r="AA240" s="298"/>
      <c r="AB240" s="298"/>
    </row>
    <row r="241" spans="1:28" hidden="1">
      <c r="A241" s="18"/>
      <c r="B241" s="18"/>
      <c r="C241" s="112"/>
      <c r="D241" s="113"/>
      <c r="E241" s="113"/>
      <c r="F241" s="113"/>
      <c r="G241" s="100" t="s">
        <v>554</v>
      </c>
      <c r="H241" s="304"/>
      <c r="I241" s="304"/>
      <c r="J241" s="304"/>
      <c r="K241" s="301"/>
      <c r="L241" s="301"/>
      <c r="M241" s="301"/>
      <c r="N241" s="301"/>
      <c r="O241" s="301"/>
      <c r="P241" s="301"/>
      <c r="Q241" s="301"/>
      <c r="R241" s="301"/>
      <c r="S241" s="301"/>
      <c r="T241" s="301"/>
      <c r="U241" s="301"/>
      <c r="V241" s="301"/>
      <c r="W241" s="301"/>
      <c r="X241" s="301"/>
      <c r="Y241" s="301"/>
      <c r="Z241" s="301"/>
      <c r="AA241" s="298"/>
      <c r="AB241" s="298"/>
    </row>
    <row r="242" spans="1:28" s="190" customFormat="1" hidden="1">
      <c r="A242" s="110"/>
      <c r="B242" s="110"/>
      <c r="C242" s="112"/>
      <c r="D242" s="113"/>
      <c r="E242" s="113"/>
      <c r="F242" s="113"/>
      <c r="G242" s="115" t="s">
        <v>552</v>
      </c>
      <c r="H242" s="303">
        <v>2516</v>
      </c>
      <c r="I242" s="303">
        <v>2758</v>
      </c>
      <c r="J242" s="303">
        <v>4672</v>
      </c>
      <c r="K242" s="301"/>
      <c r="L242" s="301"/>
      <c r="M242" s="301"/>
      <c r="N242" s="301"/>
      <c r="O242" s="301"/>
      <c r="P242" s="301"/>
      <c r="Q242" s="301"/>
      <c r="R242" s="301"/>
      <c r="S242" s="301"/>
      <c r="T242" s="301"/>
      <c r="U242" s="301"/>
      <c r="V242" s="301"/>
      <c r="W242" s="301"/>
      <c r="X242" s="301"/>
      <c r="Y242" s="301"/>
      <c r="Z242" s="301"/>
      <c r="AA242" s="298"/>
      <c r="AB242" s="298"/>
    </row>
    <row r="243" spans="1:28" s="190" customFormat="1" hidden="1">
      <c r="A243" s="110"/>
      <c r="B243" s="110"/>
      <c r="C243" s="112"/>
      <c r="D243" s="113"/>
      <c r="E243" s="113"/>
      <c r="F243" s="113"/>
      <c r="G243" s="115" t="s">
        <v>553</v>
      </c>
      <c r="H243" s="303">
        <v>463</v>
      </c>
      <c r="I243" s="303">
        <v>607</v>
      </c>
      <c r="J243" s="303">
        <v>1087</v>
      </c>
      <c r="K243" s="301"/>
      <c r="L243" s="301"/>
      <c r="M243" s="301"/>
      <c r="N243" s="301"/>
      <c r="O243" s="301"/>
      <c r="P243" s="301"/>
      <c r="Q243" s="301"/>
      <c r="R243" s="301"/>
      <c r="S243" s="301"/>
      <c r="T243" s="301"/>
      <c r="U243" s="301"/>
      <c r="V243" s="301"/>
      <c r="W243" s="301"/>
      <c r="X243" s="301"/>
      <c r="Y243" s="301"/>
      <c r="Z243" s="301"/>
      <c r="AA243" s="298"/>
      <c r="AB243" s="298"/>
    </row>
    <row r="244" spans="1:28" ht="16" hidden="1" thickBot="1">
      <c r="A244" s="18"/>
      <c r="B244" s="18"/>
      <c r="C244" s="112"/>
      <c r="D244" s="113"/>
      <c r="E244" s="113"/>
      <c r="F244" s="113"/>
      <c r="G244" s="100" t="s">
        <v>103</v>
      </c>
      <c r="H244" s="304">
        <f>H242+H243</f>
        <v>2979</v>
      </c>
      <c r="I244" s="304">
        <f t="shared" ref="I244" si="318">I242+I243</f>
        <v>3365</v>
      </c>
      <c r="J244" s="304">
        <f t="shared" ref="J244" si="319">J242+J243</f>
        <v>5759</v>
      </c>
      <c r="K244" s="301"/>
      <c r="L244" s="301"/>
      <c r="M244" s="301"/>
      <c r="N244" s="301"/>
      <c r="O244" s="301"/>
      <c r="P244" s="301"/>
      <c r="Q244" s="301"/>
      <c r="R244" s="301"/>
      <c r="S244" s="301"/>
      <c r="T244" s="301"/>
      <c r="U244" s="301"/>
      <c r="V244" s="301"/>
      <c r="W244" s="301"/>
      <c r="X244" s="301"/>
      <c r="Y244" s="301"/>
      <c r="Z244" s="301"/>
      <c r="AA244" s="298"/>
      <c r="AB244" s="298"/>
    </row>
    <row r="245" spans="1:28" s="243" customFormat="1" ht="16" hidden="1" thickBot="1">
      <c r="A245" s="122"/>
      <c r="B245" s="122"/>
      <c r="C245" s="122"/>
      <c r="D245" s="307"/>
      <c r="E245" s="307"/>
      <c r="F245" s="307"/>
      <c r="G245" s="380" t="s">
        <v>555</v>
      </c>
      <c r="H245" s="389">
        <f>SUM(H244,H240)</f>
        <v>6696</v>
      </c>
      <c r="I245" s="389">
        <f t="shared" ref="I245:J245" si="320">SUM(I244,I240)</f>
        <v>10357</v>
      </c>
      <c r="J245" s="389">
        <f t="shared" si="320"/>
        <v>12442</v>
      </c>
      <c r="K245" s="303"/>
      <c r="L245" s="303"/>
      <c r="M245" s="303"/>
      <c r="N245" s="303"/>
      <c r="O245" s="303"/>
      <c r="P245" s="303"/>
      <c r="Q245" s="303"/>
      <c r="R245" s="303"/>
      <c r="S245" s="303"/>
      <c r="T245" s="303"/>
      <c r="U245" s="303"/>
      <c r="V245" s="303"/>
      <c r="W245" s="303"/>
      <c r="X245" s="303"/>
      <c r="Y245" s="303"/>
      <c r="Z245" s="303"/>
      <c r="AA245" s="432"/>
      <c r="AB245" s="432"/>
    </row>
    <row r="246" spans="1:28" s="113" customFormat="1" ht="14" hidden="1">
      <c r="A246" s="13"/>
      <c r="B246" s="13"/>
      <c r="C246" s="13"/>
      <c r="D246" s="278"/>
      <c r="E246" s="278"/>
      <c r="F246" s="278"/>
      <c r="G246" s="112" t="s">
        <v>548</v>
      </c>
      <c r="H246" s="390" t="b">
        <f>-H245=H35</f>
        <v>1</v>
      </c>
      <c r="I246" s="390" t="b">
        <f>-I245=I35</f>
        <v>1</v>
      </c>
      <c r="J246" s="390" t="b">
        <f>-J245=J35</f>
        <v>1</v>
      </c>
      <c r="K246" s="390"/>
      <c r="L246" s="390"/>
      <c r="M246" s="390"/>
      <c r="N246" s="390"/>
      <c r="O246" s="390"/>
      <c r="P246" s="390"/>
      <c r="Q246" s="390"/>
      <c r="R246" s="390"/>
      <c r="S246" s="390"/>
      <c r="T246" s="390"/>
      <c r="U246" s="390"/>
      <c r="V246" s="390"/>
      <c r="W246" s="390"/>
      <c r="X246" s="390"/>
      <c r="Y246" s="390"/>
      <c r="Z246" s="390"/>
      <c r="AA246" s="433"/>
      <c r="AB246" s="433"/>
    </row>
    <row r="247" spans="1:28" s="243" customFormat="1" hidden="1">
      <c r="A247" s="122"/>
      <c r="B247" s="122"/>
      <c r="C247" s="122"/>
      <c r="D247" s="307"/>
      <c r="E247" s="307"/>
      <c r="F247" s="307"/>
      <c r="G247" s="115" t="s">
        <v>556</v>
      </c>
      <c r="H247" s="303">
        <v>2253</v>
      </c>
      <c r="I247" s="303">
        <f>H117</f>
        <v>638</v>
      </c>
      <c r="J247" s="303">
        <f>I117</f>
        <v>2626</v>
      </c>
      <c r="K247" s="303">
        <f>J117</f>
        <v>1576</v>
      </c>
      <c r="L247" s="303"/>
      <c r="M247" s="303"/>
      <c r="N247" s="303"/>
      <c r="O247" s="303"/>
      <c r="P247" s="303"/>
      <c r="Q247" s="303"/>
      <c r="R247" s="303"/>
      <c r="S247" s="303"/>
      <c r="T247" s="303"/>
      <c r="U247" s="303"/>
      <c r="V247" s="303"/>
      <c r="W247" s="303"/>
      <c r="X247" s="303"/>
      <c r="Y247" s="303"/>
      <c r="Z247" s="303"/>
      <c r="AA247" s="432"/>
      <c r="AB247" s="432"/>
    </row>
    <row r="248" spans="1:28" s="243" customFormat="1" hidden="1">
      <c r="A248" s="122"/>
      <c r="B248" s="122"/>
      <c r="C248" s="122"/>
      <c r="D248" s="307"/>
      <c r="E248" s="307"/>
      <c r="F248" s="307"/>
      <c r="G248" s="115" t="s">
        <v>557</v>
      </c>
      <c r="H248" s="303">
        <f>H240</f>
        <v>3717</v>
      </c>
      <c r="I248" s="303">
        <f t="shared" ref="I248" si="321">I240</f>
        <v>6992</v>
      </c>
      <c r="J248" s="303">
        <f>J240</f>
        <v>6683</v>
      </c>
      <c r="K248" s="303">
        <f>-K35</f>
        <v>15786.703771428573</v>
      </c>
      <c r="L248" s="303"/>
      <c r="M248" s="303"/>
      <c r="N248" s="303"/>
      <c r="O248" s="303"/>
      <c r="P248" s="303"/>
      <c r="Q248" s="303"/>
      <c r="R248" s="303"/>
      <c r="S248" s="303"/>
      <c r="T248" s="303"/>
      <c r="U248" s="303"/>
      <c r="V248" s="303"/>
      <c r="W248" s="303"/>
      <c r="X248" s="303"/>
      <c r="Y248" s="303"/>
      <c r="Z248" s="303"/>
      <c r="AA248" s="432"/>
      <c r="AB248" s="432"/>
    </row>
    <row r="249" spans="1:28" s="243" customFormat="1" ht="16" hidden="1" thickBot="1">
      <c r="A249" s="122"/>
      <c r="B249" s="122"/>
      <c r="C249" s="122"/>
      <c r="D249" s="307"/>
      <c r="E249" s="307"/>
      <c r="F249" s="307"/>
      <c r="G249" s="115" t="s">
        <v>558</v>
      </c>
      <c r="H249" s="303">
        <f>-H117</f>
        <v>-638</v>
      </c>
      <c r="I249" s="303">
        <f>-I117</f>
        <v>-2626</v>
      </c>
      <c r="J249" s="303">
        <f>-J117</f>
        <v>-1576</v>
      </c>
      <c r="K249" s="303"/>
      <c r="L249" s="303"/>
      <c r="M249" s="303"/>
      <c r="N249" s="303"/>
      <c r="O249" s="303"/>
      <c r="P249" s="303"/>
      <c r="Q249" s="303"/>
      <c r="R249" s="303"/>
      <c r="S249" s="303"/>
      <c r="T249" s="303"/>
      <c r="U249" s="303"/>
      <c r="V249" s="303"/>
      <c r="W249" s="303"/>
      <c r="X249" s="303"/>
      <c r="Y249" s="303"/>
      <c r="Z249" s="303"/>
      <c r="AA249" s="432"/>
      <c r="AB249" s="432"/>
    </row>
    <row r="250" spans="1:28" s="243" customFormat="1" ht="16" hidden="1" thickBot="1">
      <c r="A250" s="122"/>
      <c r="B250" s="122"/>
      <c r="C250" s="122"/>
      <c r="D250" s="307"/>
      <c r="E250" s="307"/>
      <c r="F250" s="307"/>
      <c r="G250" s="380" t="s">
        <v>259</v>
      </c>
      <c r="H250" s="389">
        <f>SUM(H247:H249)</f>
        <v>5332</v>
      </c>
      <c r="I250" s="389">
        <f t="shared" ref="I250" si="322">SUM(I247:I249)</f>
        <v>5004</v>
      </c>
      <c r="J250" s="389">
        <f>SUM(J247:J249)</f>
        <v>7733</v>
      </c>
      <c r="K250" s="303"/>
      <c r="L250" s="303"/>
      <c r="M250" s="303"/>
      <c r="N250" s="303"/>
      <c r="O250" s="303"/>
      <c r="P250" s="303"/>
      <c r="Q250" s="303"/>
      <c r="R250" s="303"/>
      <c r="S250" s="303"/>
      <c r="T250" s="303"/>
      <c r="U250" s="303"/>
      <c r="V250" s="303"/>
      <c r="W250" s="303"/>
      <c r="X250" s="303"/>
      <c r="Y250" s="303"/>
      <c r="Z250" s="303"/>
      <c r="AA250" s="432"/>
      <c r="AB250" s="432"/>
    </row>
    <row r="251" spans="1:28" hidden="1">
      <c r="G251" s="115" t="s">
        <v>653</v>
      </c>
      <c r="H251" s="303">
        <v>0.35</v>
      </c>
      <c r="I251" s="303">
        <v>0.35</v>
      </c>
      <c r="J251" s="303">
        <v>0.35</v>
      </c>
      <c r="K251" s="301"/>
      <c r="L251" s="301"/>
      <c r="M251" s="301"/>
      <c r="N251" s="301"/>
      <c r="O251" s="301"/>
      <c r="P251" s="301"/>
      <c r="Q251" s="301"/>
      <c r="R251" s="301"/>
      <c r="S251" s="301"/>
      <c r="T251" s="301"/>
      <c r="U251" s="301"/>
      <c r="V251" s="301"/>
      <c r="W251" s="301"/>
      <c r="X251" s="301"/>
      <c r="Y251" s="301"/>
      <c r="Z251" s="301"/>
      <c r="AA251" s="298"/>
      <c r="AB251" s="298"/>
    </row>
    <row r="252" spans="1:28" hidden="1">
      <c r="G252" s="115" t="s">
        <v>654</v>
      </c>
      <c r="H252" s="303">
        <v>0.08</v>
      </c>
      <c r="I252" s="303">
        <v>0.08</v>
      </c>
      <c r="J252" s="303">
        <v>0.08</v>
      </c>
      <c r="K252" s="301"/>
      <c r="L252" s="301"/>
      <c r="M252" s="301"/>
      <c r="N252" s="301"/>
      <c r="O252" s="301"/>
      <c r="P252" s="301"/>
      <c r="Q252" s="301"/>
      <c r="R252" s="301"/>
      <c r="S252" s="301"/>
      <c r="T252" s="301"/>
      <c r="U252" s="301"/>
      <c r="V252" s="301"/>
      <c r="W252" s="301"/>
      <c r="X252" s="301"/>
      <c r="Y252" s="301"/>
      <c r="Z252" s="301"/>
      <c r="AA252" s="298"/>
      <c r="AB252" s="298"/>
    </row>
    <row r="253" spans="1:28" hidden="1">
      <c r="G253" s="115"/>
      <c r="H253" s="303"/>
      <c r="I253" s="303"/>
      <c r="J253" s="303"/>
      <c r="K253" s="301"/>
      <c r="L253" s="301"/>
      <c r="M253" s="301"/>
      <c r="N253" s="301"/>
      <c r="O253" s="301"/>
      <c r="P253" s="301"/>
      <c r="Q253" s="301"/>
      <c r="R253" s="301"/>
      <c r="S253" s="301"/>
      <c r="T253" s="301"/>
      <c r="U253" s="301"/>
      <c r="V253" s="301"/>
      <c r="W253" s="301"/>
      <c r="X253" s="301"/>
      <c r="Y253" s="301"/>
      <c r="Z253" s="301"/>
      <c r="AA253" s="298"/>
      <c r="AB253" s="298"/>
    </row>
    <row r="254" spans="1:28" s="109" customFormat="1" hidden="1">
      <c r="A254" s="4"/>
      <c r="B254" s="4"/>
      <c r="C254" s="4"/>
      <c r="D254" s="20"/>
      <c r="E254" s="20"/>
      <c r="F254" s="20"/>
      <c r="G254" s="100" t="s">
        <v>967</v>
      </c>
      <c r="H254" s="304"/>
      <c r="I254" s="304"/>
      <c r="J254" s="304"/>
      <c r="K254" s="391"/>
      <c r="L254" s="391"/>
      <c r="M254" s="391"/>
      <c r="N254" s="391"/>
      <c r="O254" s="391"/>
      <c r="P254" s="391"/>
      <c r="Q254" s="391"/>
      <c r="R254" s="391"/>
      <c r="S254" s="391"/>
      <c r="T254" s="391"/>
      <c r="U254" s="391"/>
      <c r="V254" s="391"/>
      <c r="W254" s="391"/>
      <c r="X254" s="391"/>
      <c r="Y254" s="391"/>
      <c r="Z254" s="391"/>
      <c r="AA254" s="372"/>
      <c r="AB254" s="372"/>
    </row>
    <row r="255" spans="1:28" s="434" customFormat="1" hidden="1">
      <c r="A255" s="177"/>
      <c r="B255" s="177"/>
      <c r="C255" s="177"/>
      <c r="D255" s="447"/>
      <c r="E255" s="447"/>
      <c r="F255" s="447"/>
      <c r="G255" s="392" t="s">
        <v>952</v>
      </c>
      <c r="H255" s="393"/>
      <c r="I255" s="393"/>
      <c r="J255" s="393">
        <f>J247</f>
        <v>2626</v>
      </c>
      <c r="K255" s="393">
        <f>K247</f>
        <v>1576</v>
      </c>
      <c r="L255" s="366">
        <f>K258</f>
        <v>3248.3518857142863</v>
      </c>
      <c r="M255" s="366">
        <f t="shared" ref="M255:P255" si="323">L258</f>
        <v>3394.7844359258706</v>
      </c>
      <c r="N255" s="366">
        <f t="shared" si="323"/>
        <v>3640.5687570469054</v>
      </c>
      <c r="O255" s="366">
        <f t="shared" si="323"/>
        <v>4000.4938697514444</v>
      </c>
      <c r="P255" s="366">
        <f t="shared" si="323"/>
        <v>4329.9708340712532</v>
      </c>
      <c r="Q255" s="366"/>
      <c r="R255" s="366"/>
      <c r="S255" s="366"/>
      <c r="T255" s="366"/>
      <c r="U255" s="366"/>
      <c r="V255" s="366"/>
      <c r="W255" s="366"/>
      <c r="X255" s="366"/>
      <c r="Y255" s="366"/>
      <c r="Z255" s="366"/>
      <c r="AA255" s="370"/>
      <c r="AB255" s="370"/>
    </row>
    <row r="256" spans="1:28" s="435" customFormat="1" hidden="1">
      <c r="A256" s="168"/>
      <c r="B256" s="168"/>
      <c r="C256" s="168"/>
      <c r="D256" s="448"/>
      <c r="E256" s="448"/>
      <c r="F256" s="448"/>
      <c r="G256" s="394" t="s">
        <v>968</v>
      </c>
      <c r="H256" s="303"/>
      <c r="I256" s="303"/>
      <c r="J256" s="303">
        <f t="shared" ref="J256:P256" si="324">-J35</f>
        <v>12442</v>
      </c>
      <c r="K256" s="303">
        <f t="shared" si="324"/>
        <v>15786.703771428573</v>
      </c>
      <c r="L256" s="303">
        <f t="shared" si="324"/>
        <v>16079.568871851743</v>
      </c>
      <c r="M256" s="303">
        <f t="shared" si="324"/>
        <v>16571.137514093811</v>
      </c>
      <c r="N256" s="303">
        <f t="shared" si="324"/>
        <v>17290.987739502885</v>
      </c>
      <c r="O256" s="303">
        <f t="shared" si="324"/>
        <v>17949.941668142506</v>
      </c>
      <c r="P256" s="303">
        <f t="shared" si="324"/>
        <v>18537.255456628071</v>
      </c>
      <c r="Q256" s="303"/>
      <c r="R256" s="303"/>
      <c r="S256" s="303"/>
      <c r="T256" s="303"/>
      <c r="U256" s="303"/>
      <c r="V256" s="303"/>
      <c r="W256" s="303"/>
      <c r="X256" s="303"/>
      <c r="Y256" s="303"/>
      <c r="Z256" s="303"/>
      <c r="AA256" s="432"/>
      <c r="AB256" s="432"/>
    </row>
    <row r="257" spans="1:28" s="435" customFormat="1" hidden="1">
      <c r="A257" s="168"/>
      <c r="B257" s="168"/>
      <c r="C257" s="168"/>
      <c r="D257" s="448"/>
      <c r="E257" s="448"/>
      <c r="F257" s="448"/>
      <c r="G257" s="394" t="s">
        <v>969</v>
      </c>
      <c r="H257" s="303"/>
      <c r="I257" s="303"/>
      <c r="J257" s="303">
        <f>-J250</f>
        <v>-7733</v>
      </c>
      <c r="K257" s="301">
        <f>-AVERAGE(J256:K256)</f>
        <v>-14114.351885714286</v>
      </c>
      <c r="L257" s="301">
        <f>-AVERAGE(K256:L256)</f>
        <v>-15933.136321640159</v>
      </c>
      <c r="M257" s="301">
        <f t="shared" ref="M257:P257" si="325">-AVERAGE(L256:M256)</f>
        <v>-16325.353192972776</v>
      </c>
      <c r="N257" s="301">
        <f t="shared" si="325"/>
        <v>-16931.062626798346</v>
      </c>
      <c r="O257" s="301">
        <f t="shared" si="325"/>
        <v>-17620.464703822698</v>
      </c>
      <c r="P257" s="301">
        <f t="shared" si="325"/>
        <v>-18243.59856238529</v>
      </c>
      <c r="Q257" s="301"/>
      <c r="R257" s="301"/>
      <c r="S257" s="301"/>
      <c r="T257" s="301"/>
      <c r="U257" s="301"/>
      <c r="V257" s="301"/>
      <c r="W257" s="301"/>
      <c r="X257" s="301"/>
      <c r="Y257" s="301"/>
      <c r="Z257" s="301"/>
      <c r="AA257" s="298"/>
      <c r="AB257" s="298"/>
    </row>
    <row r="258" spans="1:28" s="434" customFormat="1" ht="16" hidden="1" thickBot="1">
      <c r="A258" s="177"/>
      <c r="B258" s="177"/>
      <c r="C258" s="177"/>
      <c r="D258" s="447"/>
      <c r="E258" s="447"/>
      <c r="F258" s="447"/>
      <c r="G258" s="392" t="s">
        <v>957</v>
      </c>
      <c r="H258" s="393"/>
      <c r="I258" s="393"/>
      <c r="J258" s="393">
        <f>J249</f>
        <v>-1576</v>
      </c>
      <c r="K258" s="366">
        <f>SUM(K255:K257)</f>
        <v>3248.3518857142863</v>
      </c>
      <c r="L258" s="366">
        <f>SUM(L255:L257)</f>
        <v>3394.7844359258706</v>
      </c>
      <c r="M258" s="366">
        <f t="shared" ref="M258:P258" si="326">SUM(M255:M257)</f>
        <v>3640.5687570469054</v>
      </c>
      <c r="N258" s="366">
        <f t="shared" si="326"/>
        <v>4000.4938697514444</v>
      </c>
      <c r="O258" s="366">
        <f t="shared" si="326"/>
        <v>4329.9708340712532</v>
      </c>
      <c r="P258" s="366">
        <f t="shared" si="326"/>
        <v>4623.6277283140334</v>
      </c>
      <c r="Q258" s="366"/>
      <c r="R258" s="366"/>
      <c r="S258" s="366"/>
      <c r="T258" s="366"/>
      <c r="U258" s="366"/>
      <c r="V258" s="366"/>
      <c r="W258" s="366"/>
      <c r="X258" s="366"/>
      <c r="Y258" s="366"/>
      <c r="Z258" s="366"/>
      <c r="AA258" s="370"/>
      <c r="AB258" s="370"/>
    </row>
    <row r="259" spans="1:28" s="434" customFormat="1" ht="16" hidden="1" thickBot="1">
      <c r="A259" s="177"/>
      <c r="B259" s="177"/>
      <c r="C259" s="177"/>
      <c r="D259" s="447"/>
      <c r="E259" s="447"/>
      <c r="F259" s="447"/>
      <c r="G259" s="395" t="s">
        <v>970</v>
      </c>
      <c r="H259" s="308"/>
      <c r="I259" s="308"/>
      <c r="J259" s="308"/>
      <c r="K259" s="306">
        <f>K258+J258</f>
        <v>1672.3518857142863</v>
      </c>
      <c r="L259" s="306">
        <f>L258-K258</f>
        <v>146.43255021158438</v>
      </c>
      <c r="M259" s="306">
        <f t="shared" ref="M259:P259" si="327">M258-L258</f>
        <v>245.78432112103474</v>
      </c>
      <c r="N259" s="306">
        <f t="shared" si="327"/>
        <v>359.92511270453906</v>
      </c>
      <c r="O259" s="306">
        <f t="shared" si="327"/>
        <v>329.47696431980876</v>
      </c>
      <c r="P259" s="306">
        <f t="shared" si="327"/>
        <v>293.65689424278025</v>
      </c>
      <c r="Q259" s="370"/>
      <c r="R259" s="370"/>
      <c r="S259" s="370"/>
      <c r="T259" s="370"/>
      <c r="U259" s="370"/>
      <c r="V259" s="370"/>
      <c r="W259" s="370"/>
      <c r="X259" s="370"/>
      <c r="Y259" s="370"/>
      <c r="Z259" s="370"/>
      <c r="AA259" s="370"/>
      <c r="AB259" s="370"/>
    </row>
    <row r="260" spans="1:28" hidden="1">
      <c r="G260" s="115"/>
      <c r="H260" s="396"/>
      <c r="I260" s="396"/>
      <c r="J260" s="396"/>
      <c r="K260" s="18"/>
      <c r="L260" s="18"/>
      <c r="M260" s="18"/>
      <c r="N260" s="18"/>
      <c r="O260" s="18"/>
      <c r="P260" s="18"/>
      <c r="Q260" s="18"/>
      <c r="R260" s="18"/>
      <c r="S260" s="18"/>
      <c r="T260" s="18"/>
      <c r="U260" s="18"/>
      <c r="V260" s="18"/>
      <c r="W260" s="18"/>
      <c r="X260" s="18"/>
      <c r="Y260" s="18"/>
      <c r="Z260" s="18"/>
      <c r="AA260" s="137"/>
      <c r="AB260" s="137"/>
    </row>
    <row r="261" spans="1:28" hidden="1">
      <c r="G261" s="115"/>
      <c r="H261" s="396"/>
      <c r="I261" s="396"/>
      <c r="J261" s="396"/>
      <c r="K261" s="18"/>
      <c r="L261" s="18"/>
      <c r="M261" s="18"/>
      <c r="N261" s="18"/>
      <c r="O261" s="18"/>
      <c r="P261" s="18"/>
      <c r="Q261" s="18"/>
      <c r="R261" s="18"/>
      <c r="S261" s="18"/>
      <c r="T261" s="18"/>
      <c r="U261" s="18"/>
      <c r="V261" s="18"/>
      <c r="W261" s="18"/>
      <c r="X261" s="18"/>
      <c r="Y261" s="18"/>
      <c r="Z261" s="18"/>
      <c r="AA261" s="137"/>
      <c r="AB261" s="137"/>
    </row>
    <row r="262" spans="1:28" hidden="1">
      <c r="C262" s="13"/>
      <c r="D262" s="278"/>
      <c r="E262" s="278"/>
      <c r="F262" s="278"/>
      <c r="G262" s="100" t="s">
        <v>949</v>
      </c>
      <c r="H262" s="130" t="s">
        <v>20</v>
      </c>
      <c r="I262" s="130" t="s">
        <v>21</v>
      </c>
      <c r="J262" s="130" t="s">
        <v>22</v>
      </c>
      <c r="K262" s="130" t="s">
        <v>964</v>
      </c>
      <c r="L262" s="130" t="s">
        <v>24</v>
      </c>
      <c r="M262" s="130" t="s">
        <v>25</v>
      </c>
      <c r="N262" s="130" t="s">
        <v>26</v>
      </c>
      <c r="O262" s="130" t="s">
        <v>27</v>
      </c>
      <c r="P262" s="130" t="s">
        <v>712</v>
      </c>
      <c r="Q262" s="130"/>
      <c r="R262" s="130"/>
      <c r="S262" s="130"/>
      <c r="T262" s="130"/>
      <c r="U262" s="130"/>
      <c r="V262" s="130"/>
      <c r="W262" s="130"/>
      <c r="X262" s="130"/>
      <c r="Y262" s="130"/>
      <c r="Z262" s="130"/>
      <c r="AA262" s="244"/>
      <c r="AB262" s="244"/>
    </row>
    <row r="263" spans="1:28" s="435" customFormat="1" hidden="1">
      <c r="A263" s="168"/>
      <c r="B263" s="168"/>
      <c r="C263" s="168"/>
      <c r="D263" s="448"/>
      <c r="E263" s="448"/>
      <c r="F263" s="448"/>
      <c r="G263" s="394" t="s">
        <v>950</v>
      </c>
      <c r="H263" s="207"/>
      <c r="I263" s="207"/>
      <c r="J263" s="207"/>
      <c r="K263" s="397"/>
      <c r="L263" s="397"/>
      <c r="M263" s="397"/>
      <c r="N263" s="397"/>
      <c r="O263" s="397"/>
      <c r="P263" s="397"/>
      <c r="Q263" s="397"/>
      <c r="R263" s="397"/>
      <c r="S263" s="397"/>
      <c r="T263" s="397"/>
      <c r="U263" s="397"/>
      <c r="V263" s="397"/>
      <c r="W263" s="397"/>
      <c r="X263" s="397"/>
      <c r="Y263" s="397"/>
      <c r="Z263" s="397"/>
      <c r="AA263" s="436"/>
      <c r="AB263" s="436"/>
    </row>
    <row r="264" spans="1:28" s="435" customFormat="1" hidden="1">
      <c r="A264" s="168"/>
      <c r="B264" s="168"/>
      <c r="C264" s="168"/>
      <c r="D264" s="448"/>
      <c r="E264" s="448"/>
      <c r="F264" s="448"/>
      <c r="G264" s="394"/>
      <c r="H264" s="207"/>
      <c r="I264" s="207"/>
      <c r="J264" s="207"/>
      <c r="K264" s="397"/>
      <c r="L264" s="397"/>
      <c r="M264" s="397"/>
      <c r="N264" s="397"/>
      <c r="O264" s="397"/>
      <c r="P264" s="397"/>
      <c r="Q264" s="397"/>
      <c r="R264" s="397"/>
      <c r="S264" s="397"/>
      <c r="T264" s="397"/>
      <c r="U264" s="397"/>
      <c r="V264" s="397"/>
      <c r="W264" s="397"/>
      <c r="X264" s="397"/>
      <c r="Y264" s="397"/>
      <c r="Z264" s="397"/>
      <c r="AA264" s="436"/>
      <c r="AB264" s="436"/>
    </row>
    <row r="265" spans="1:28" s="434" customFormat="1" hidden="1">
      <c r="A265" s="177"/>
      <c r="B265" s="177"/>
      <c r="C265" s="177"/>
      <c r="D265" s="447"/>
      <c r="E265" s="447"/>
      <c r="F265" s="447"/>
      <c r="G265" s="392" t="s">
        <v>951</v>
      </c>
      <c r="H265" s="392"/>
      <c r="I265" s="392"/>
      <c r="J265" s="392"/>
      <c r="K265" s="297"/>
      <c r="L265" s="297"/>
      <c r="M265" s="297"/>
      <c r="N265" s="297"/>
      <c r="O265" s="297"/>
      <c r="P265" s="297"/>
      <c r="Q265" s="297"/>
      <c r="R265" s="297"/>
      <c r="S265" s="297"/>
      <c r="T265" s="297"/>
      <c r="U265" s="297"/>
      <c r="V265" s="297"/>
      <c r="W265" s="297"/>
      <c r="X265" s="297"/>
      <c r="Y265" s="297"/>
      <c r="Z265" s="297"/>
    </row>
    <row r="266" spans="1:28" s="434" customFormat="1" hidden="1">
      <c r="A266" s="177"/>
      <c r="B266" s="177"/>
      <c r="C266" s="177"/>
      <c r="D266" s="447"/>
      <c r="E266" s="447"/>
      <c r="F266" s="447"/>
      <c r="G266" s="392" t="s">
        <v>952</v>
      </c>
      <c r="H266" s="392"/>
      <c r="I266" s="393">
        <f>H107</f>
        <v>30483</v>
      </c>
      <c r="J266" s="393">
        <f>I107</f>
        <v>29601</v>
      </c>
      <c r="K266" s="366">
        <f>J272</f>
        <v>28700</v>
      </c>
      <c r="L266" s="366">
        <f>K272</f>
        <v>27950</v>
      </c>
      <c r="M266" s="366">
        <f t="shared" ref="M266:P266" si="328">L272</f>
        <v>27200</v>
      </c>
      <c r="N266" s="366">
        <f t="shared" si="328"/>
        <v>26450</v>
      </c>
      <c r="O266" s="366">
        <f t="shared" si="328"/>
        <v>25700</v>
      </c>
      <c r="P266" s="366">
        <f t="shared" si="328"/>
        <v>24951</v>
      </c>
      <c r="Q266" s="366"/>
      <c r="R266" s="366"/>
      <c r="S266" s="366"/>
      <c r="T266" s="366"/>
      <c r="U266" s="366"/>
      <c r="V266" s="366"/>
      <c r="W266" s="366"/>
      <c r="X266" s="366"/>
      <c r="Y266" s="366"/>
      <c r="Z266" s="366"/>
      <c r="AA266" s="370"/>
      <c r="AB266" s="370"/>
    </row>
    <row r="267" spans="1:28" s="435" customFormat="1" hidden="1">
      <c r="A267" s="168"/>
      <c r="B267" s="168"/>
      <c r="C267" s="168"/>
      <c r="D267" s="448"/>
      <c r="E267" s="448"/>
      <c r="F267" s="448"/>
      <c r="G267" s="394" t="s">
        <v>953</v>
      </c>
      <c r="H267" s="207"/>
      <c r="I267" s="303">
        <f>I33</f>
        <v>-1686</v>
      </c>
      <c r="J267" s="303">
        <f>J33+J156</f>
        <v>-1773</v>
      </c>
      <c r="K267" s="301">
        <f>-K266*K268</f>
        <v>-1722</v>
      </c>
      <c r="L267" s="301">
        <f>-L266*L268</f>
        <v>-1677</v>
      </c>
      <c r="M267" s="301">
        <f t="shared" ref="M267:P267" si="329">-M266*M268</f>
        <v>-1632</v>
      </c>
      <c r="N267" s="301">
        <f t="shared" si="329"/>
        <v>-1587</v>
      </c>
      <c r="O267" s="301">
        <f t="shared" si="329"/>
        <v>-1542</v>
      </c>
      <c r="P267" s="301">
        <f t="shared" si="329"/>
        <v>-1497.06</v>
      </c>
      <c r="Q267" s="301"/>
      <c r="R267" s="301"/>
      <c r="S267" s="301"/>
      <c r="T267" s="301"/>
      <c r="U267" s="301"/>
      <c r="V267" s="301"/>
      <c r="W267" s="301"/>
      <c r="X267" s="301"/>
      <c r="Y267" s="301"/>
      <c r="Z267" s="301"/>
      <c r="AA267" s="298"/>
      <c r="AB267" s="298"/>
    </row>
    <row r="268" spans="1:28" s="437" customFormat="1" hidden="1">
      <c r="A268" s="12"/>
      <c r="B268" s="12"/>
      <c r="C268" s="12"/>
      <c r="D268" s="449"/>
      <c r="E268" s="449"/>
      <c r="F268" s="449"/>
      <c r="G268" s="357" t="s">
        <v>962</v>
      </c>
      <c r="H268" s="206"/>
      <c r="I268" s="206">
        <f>-(I267/I266)</f>
        <v>5.5309516779844504E-2</v>
      </c>
      <c r="J268" s="206">
        <f>-(J267/J266)</f>
        <v>5.9896625114016416E-2</v>
      </c>
      <c r="K268" s="202">
        <v>0.06</v>
      </c>
      <c r="L268" s="202">
        <v>0.06</v>
      </c>
      <c r="M268" s="202">
        <v>0.06</v>
      </c>
      <c r="N268" s="202">
        <v>0.06</v>
      </c>
      <c r="O268" s="202">
        <v>0.06</v>
      </c>
      <c r="P268" s="202">
        <v>0.06</v>
      </c>
      <c r="Q268" s="202"/>
      <c r="R268" s="202"/>
      <c r="S268" s="202"/>
      <c r="T268" s="202"/>
      <c r="U268" s="202"/>
      <c r="V268" s="202"/>
      <c r="W268" s="202"/>
      <c r="X268" s="202"/>
      <c r="Y268" s="202"/>
      <c r="Z268" s="202"/>
      <c r="AA268" s="238"/>
      <c r="AB268" s="238"/>
    </row>
    <row r="269" spans="1:28" s="435" customFormat="1" hidden="1">
      <c r="A269" s="168"/>
      <c r="B269" s="168"/>
      <c r="C269" s="168"/>
      <c r="D269" s="448"/>
      <c r="E269" s="448"/>
      <c r="F269" s="448"/>
      <c r="G269" s="394" t="s">
        <v>954</v>
      </c>
      <c r="H269" s="207"/>
      <c r="I269" s="303">
        <f>I158</f>
        <v>-221</v>
      </c>
      <c r="J269" s="303">
        <f>J158</f>
        <v>-731</v>
      </c>
      <c r="K269" s="301">
        <v>-750</v>
      </c>
      <c r="L269" s="301">
        <v>-750</v>
      </c>
      <c r="M269" s="301">
        <v>-750</v>
      </c>
      <c r="N269" s="301">
        <v>-750</v>
      </c>
      <c r="O269" s="301">
        <v>-750</v>
      </c>
      <c r="P269" s="301">
        <v>-750</v>
      </c>
      <c r="Q269" s="301"/>
      <c r="R269" s="301"/>
      <c r="S269" s="301"/>
      <c r="T269" s="301"/>
      <c r="U269" s="301"/>
      <c r="V269" s="301"/>
      <c r="W269" s="301"/>
      <c r="X269" s="301"/>
      <c r="Y269" s="301"/>
      <c r="Z269" s="301"/>
      <c r="AA269" s="298"/>
      <c r="AB269" s="298"/>
    </row>
    <row r="270" spans="1:28" s="437" customFormat="1" hidden="1">
      <c r="A270" s="12"/>
      <c r="B270" s="12"/>
      <c r="C270" s="12"/>
      <c r="D270" s="449"/>
      <c r="E270" s="449"/>
      <c r="F270" s="449"/>
      <c r="G270" s="357" t="s">
        <v>956</v>
      </c>
      <c r="H270" s="206"/>
      <c r="I270" s="206">
        <f>-(I269/I266)</f>
        <v>7.2499425909523345E-3</v>
      </c>
      <c r="J270" s="206">
        <f>-(J269/J266)</f>
        <v>2.4695111651633392E-2</v>
      </c>
      <c r="K270" s="202">
        <v>0.03</v>
      </c>
      <c r="L270" s="202">
        <f>L269/L266</f>
        <v>-2.6833631484794274E-2</v>
      </c>
      <c r="M270" s="202">
        <f t="shared" ref="M270:P270" si="330">M269/M266</f>
        <v>-2.7573529411764705E-2</v>
      </c>
      <c r="N270" s="202">
        <f t="shared" si="330"/>
        <v>-2.835538752362949E-2</v>
      </c>
      <c r="O270" s="202">
        <f t="shared" si="330"/>
        <v>-2.9182879377431907E-2</v>
      </c>
      <c r="P270" s="202">
        <f t="shared" si="330"/>
        <v>-3.0058915474329685E-2</v>
      </c>
      <c r="Q270" s="202"/>
      <c r="R270" s="202"/>
      <c r="S270" s="202"/>
      <c r="T270" s="202"/>
      <c r="U270" s="202"/>
      <c r="V270" s="202"/>
      <c r="W270" s="202"/>
      <c r="X270" s="202"/>
      <c r="Y270" s="202"/>
      <c r="Z270" s="202"/>
      <c r="AA270" s="238"/>
      <c r="AB270" s="238"/>
    </row>
    <row r="271" spans="1:28" s="435" customFormat="1" ht="16" hidden="1" thickBot="1">
      <c r="A271" s="168"/>
      <c r="B271" s="168"/>
      <c r="C271" s="168"/>
      <c r="D271" s="448"/>
      <c r="E271" s="448"/>
      <c r="F271" s="448"/>
      <c r="G271" s="394" t="s">
        <v>955</v>
      </c>
      <c r="H271" s="207"/>
      <c r="I271" s="303">
        <f>I157</f>
        <v>0</v>
      </c>
      <c r="J271" s="303">
        <v>0</v>
      </c>
      <c r="K271" s="301">
        <v>0</v>
      </c>
      <c r="L271" s="301">
        <v>0</v>
      </c>
      <c r="M271" s="301">
        <v>0</v>
      </c>
      <c r="N271" s="301">
        <v>0</v>
      </c>
      <c r="O271" s="301">
        <v>1</v>
      </c>
      <c r="P271" s="301">
        <v>2</v>
      </c>
      <c r="Q271" s="301"/>
      <c r="R271" s="301"/>
      <c r="S271" s="301"/>
      <c r="T271" s="301"/>
      <c r="U271" s="301"/>
      <c r="V271" s="301"/>
      <c r="W271" s="301"/>
      <c r="X271" s="301"/>
      <c r="Y271" s="301"/>
      <c r="Z271" s="301"/>
      <c r="AA271" s="298"/>
      <c r="AB271" s="298"/>
    </row>
    <row r="272" spans="1:28" s="434" customFormat="1" ht="16" hidden="1" thickBot="1">
      <c r="A272" s="177"/>
      <c r="B272" s="177"/>
      <c r="C272" s="177"/>
      <c r="D272" s="447"/>
      <c r="E272" s="447"/>
      <c r="F272" s="447"/>
      <c r="G272" s="395" t="s">
        <v>957</v>
      </c>
      <c r="H272" s="395"/>
      <c r="I272" s="308">
        <f>I107</f>
        <v>29601</v>
      </c>
      <c r="J272" s="308">
        <f>J107</f>
        <v>28700</v>
      </c>
      <c r="K272" s="306">
        <f>K266+K269</f>
        <v>27950</v>
      </c>
      <c r="L272" s="306">
        <f>L266+L269</f>
        <v>27200</v>
      </c>
      <c r="M272" s="306">
        <f t="shared" ref="M272:N272" si="331">M266+M269</f>
        <v>26450</v>
      </c>
      <c r="N272" s="306">
        <f t="shared" si="331"/>
        <v>25700</v>
      </c>
      <c r="O272" s="306">
        <f>O271+O269+O266</f>
        <v>24951</v>
      </c>
      <c r="P272" s="306">
        <f>P266+P269+P271</f>
        <v>24203</v>
      </c>
      <c r="Q272" s="370"/>
      <c r="R272" s="370"/>
      <c r="S272" s="370"/>
      <c r="T272" s="370"/>
      <c r="U272" s="370"/>
      <c r="V272" s="370"/>
      <c r="W272" s="370"/>
      <c r="X272" s="370"/>
      <c r="Y272" s="370"/>
      <c r="Z272" s="370"/>
      <c r="AA272" s="370"/>
      <c r="AB272" s="370"/>
    </row>
    <row r="273" spans="1:28" s="435" customFormat="1" hidden="1">
      <c r="A273" s="168"/>
      <c r="B273" s="168"/>
      <c r="C273" s="168"/>
      <c r="D273" s="448"/>
      <c r="E273" s="448"/>
      <c r="F273" s="448"/>
      <c r="G273" s="394"/>
      <c r="H273" s="207"/>
      <c r="I273" s="303"/>
      <c r="J273" s="303">
        <f>J272-J266</f>
        <v>-901</v>
      </c>
      <c r="K273" s="301">
        <f>K272-K266</f>
        <v>-750</v>
      </c>
      <c r="L273" s="301">
        <f>L272-L266</f>
        <v>-750</v>
      </c>
      <c r="M273" s="301">
        <f t="shared" ref="M273:P273" si="332">M272-M266</f>
        <v>-750</v>
      </c>
      <c r="N273" s="301">
        <f t="shared" si="332"/>
        <v>-750</v>
      </c>
      <c r="O273" s="301">
        <f t="shared" si="332"/>
        <v>-749</v>
      </c>
      <c r="P273" s="301">
        <f t="shared" si="332"/>
        <v>-748</v>
      </c>
      <c r="Q273" s="301"/>
      <c r="R273" s="301"/>
      <c r="S273" s="301"/>
      <c r="T273" s="301"/>
      <c r="U273" s="301"/>
      <c r="V273" s="301"/>
      <c r="W273" s="301"/>
      <c r="X273" s="301"/>
      <c r="Y273" s="301"/>
      <c r="Z273" s="301"/>
      <c r="AA273" s="298"/>
      <c r="AB273" s="298"/>
    </row>
    <row r="274" spans="1:28" s="434" customFormat="1" hidden="1">
      <c r="A274" s="177"/>
      <c r="B274" s="177"/>
      <c r="C274" s="177"/>
      <c r="D274" s="447"/>
      <c r="E274" s="447"/>
      <c r="F274" s="447"/>
      <c r="G274" s="392" t="s">
        <v>958</v>
      </c>
      <c r="H274" s="392"/>
      <c r="I274" s="393"/>
      <c r="J274" s="393"/>
      <c r="K274" s="366"/>
      <c r="L274" s="366"/>
      <c r="M274" s="366"/>
      <c r="N274" s="366"/>
      <c r="O274" s="366"/>
      <c r="P274" s="366"/>
      <c r="Q274" s="366"/>
      <c r="R274" s="366"/>
      <c r="S274" s="366"/>
      <c r="T274" s="366"/>
      <c r="U274" s="366"/>
      <c r="V274" s="366"/>
      <c r="W274" s="366"/>
      <c r="X274" s="366"/>
      <c r="Y274" s="366"/>
      <c r="Z274" s="366"/>
      <c r="AA274" s="370"/>
      <c r="AB274" s="370"/>
    </row>
    <row r="275" spans="1:28" s="435" customFormat="1" hidden="1">
      <c r="A275" s="168"/>
      <c r="B275" s="168"/>
      <c r="C275" s="168"/>
      <c r="D275" s="448"/>
      <c r="E275" s="448"/>
      <c r="F275" s="448"/>
      <c r="G275" s="394" t="s">
        <v>952</v>
      </c>
      <c r="H275" s="207"/>
      <c r="I275" s="303">
        <f>I118</f>
        <v>898</v>
      </c>
      <c r="J275" s="303">
        <f>J118</f>
        <v>1018</v>
      </c>
      <c r="K275" s="301">
        <f>J275</f>
        <v>1018</v>
      </c>
      <c r="L275" s="301"/>
      <c r="M275" s="301"/>
      <c r="N275" s="301"/>
      <c r="O275" s="301"/>
      <c r="P275" s="301"/>
      <c r="Q275" s="301"/>
      <c r="R275" s="301"/>
      <c r="S275" s="301"/>
      <c r="T275" s="301"/>
      <c r="U275" s="301"/>
      <c r="V275" s="301"/>
      <c r="W275" s="301"/>
      <c r="X275" s="301"/>
      <c r="Y275" s="301"/>
      <c r="Z275" s="301"/>
      <c r="AA275" s="298"/>
      <c r="AB275" s="298"/>
    </row>
    <row r="276" spans="1:28" s="435" customFormat="1" ht="16" hidden="1" thickBot="1">
      <c r="A276" s="168"/>
      <c r="B276" s="168"/>
      <c r="C276" s="168"/>
      <c r="D276" s="448"/>
      <c r="E276" s="448"/>
      <c r="F276" s="448"/>
      <c r="G276" s="394"/>
      <c r="H276" s="207"/>
      <c r="I276" s="207"/>
      <c r="J276" s="207"/>
      <c r="K276" s="397"/>
      <c r="L276" s="397"/>
      <c r="M276" s="397"/>
      <c r="N276" s="397"/>
      <c r="O276" s="397"/>
      <c r="P276" s="397"/>
      <c r="Q276" s="397"/>
      <c r="R276" s="397"/>
      <c r="S276" s="397"/>
      <c r="T276" s="397"/>
      <c r="U276" s="397"/>
      <c r="V276" s="397"/>
      <c r="W276" s="397"/>
      <c r="X276" s="397"/>
      <c r="Y276" s="397"/>
      <c r="Z276" s="397"/>
      <c r="AA276" s="436"/>
      <c r="AB276" s="436"/>
    </row>
    <row r="277" spans="1:28" s="434" customFormat="1" ht="16" hidden="1" thickBot="1">
      <c r="A277" s="177"/>
      <c r="B277" s="177"/>
      <c r="C277" s="177"/>
      <c r="D277" s="447"/>
      <c r="E277" s="447"/>
      <c r="F277" s="447"/>
      <c r="G277" s="395" t="s">
        <v>959</v>
      </c>
      <c r="H277" s="308">
        <f>H93</f>
        <v>45547</v>
      </c>
      <c r="I277" s="308">
        <f>I93</f>
        <v>57222</v>
      </c>
      <c r="J277" s="308">
        <f>J93</f>
        <v>80988</v>
      </c>
      <c r="K277" s="306">
        <f t="shared" ref="K277:P277" si="333">K164</f>
        <v>105122.1796293635</v>
      </c>
      <c r="L277" s="306">
        <f t="shared" si="333"/>
        <v>128650.96123453515</v>
      </c>
      <c r="M277" s="306">
        <f t="shared" si="333"/>
        <v>153149.45395002249</v>
      </c>
      <c r="N277" s="306">
        <f t="shared" si="333"/>
        <v>178989.68326238787</v>
      </c>
      <c r="O277" s="306">
        <f t="shared" si="333"/>
        <v>205950.64696605902</v>
      </c>
      <c r="P277" s="306">
        <f t="shared" si="333"/>
        <v>233932.1495421486</v>
      </c>
      <c r="Q277" s="370"/>
      <c r="R277" s="370"/>
      <c r="S277" s="370"/>
      <c r="T277" s="370"/>
      <c r="U277" s="370"/>
      <c r="V277" s="370"/>
      <c r="W277" s="370"/>
      <c r="X277" s="370"/>
      <c r="Y277" s="370"/>
      <c r="Z277" s="370"/>
      <c r="AA277" s="370"/>
      <c r="AB277" s="370"/>
    </row>
    <row r="278" spans="1:28" s="437" customFormat="1" ht="16" hidden="1" thickBot="1">
      <c r="A278" s="12"/>
      <c r="B278" s="12"/>
      <c r="C278" s="12"/>
      <c r="D278" s="449"/>
      <c r="E278" s="449"/>
      <c r="F278" s="449"/>
      <c r="G278" s="357" t="s">
        <v>960</v>
      </c>
      <c r="H278" s="206">
        <f>H279/H277</f>
        <v>1.0977671416339165E-3</v>
      </c>
      <c r="I278" s="206">
        <f t="shared" ref="I278:J278" si="334">I279/I277</f>
        <v>9.4369298521547657E-4</v>
      </c>
      <c r="J278" s="206">
        <f t="shared" si="334"/>
        <v>8.0258803773398523E-4</v>
      </c>
      <c r="K278" s="206">
        <f>K279/K277</f>
        <v>7.7041781558891728E-4</v>
      </c>
      <c r="L278" s="206">
        <f t="shared" ref="L278" si="335">L279/L277</f>
        <v>8.1711149781245828E-4</v>
      </c>
      <c r="M278" s="206">
        <f t="shared" ref="M278" si="336">M279/M277</f>
        <v>8.400353897214548E-4</v>
      </c>
      <c r="N278" s="206">
        <f t="shared" ref="N278" si="337">N279/N277</f>
        <v>8.5563285636700546E-4</v>
      </c>
      <c r="O278" s="206">
        <f t="shared" ref="O278" si="338">O279/O277</f>
        <v>8.690901723260216E-4</v>
      </c>
      <c r="P278" s="206">
        <f t="shared" ref="P278" si="339">P279/P277</f>
        <v>8.8038624605102421E-4</v>
      </c>
      <c r="Q278" s="206"/>
      <c r="R278" s="206"/>
      <c r="S278" s="206"/>
      <c r="T278" s="206"/>
      <c r="U278" s="206"/>
      <c r="V278" s="206"/>
      <c r="W278" s="206"/>
      <c r="X278" s="206"/>
      <c r="Y278" s="206"/>
      <c r="Z278" s="206"/>
      <c r="AA278" s="221"/>
      <c r="AB278" s="221"/>
    </row>
    <row r="279" spans="1:28" s="434" customFormat="1" ht="16" hidden="1" thickBot="1">
      <c r="A279" s="177"/>
      <c r="B279" s="177"/>
      <c r="C279" s="177"/>
      <c r="D279" s="447"/>
      <c r="E279" s="447"/>
      <c r="F279" s="447"/>
      <c r="G279" s="395" t="s">
        <v>961</v>
      </c>
      <c r="H279" s="308">
        <f>H32</f>
        <v>50</v>
      </c>
      <c r="I279" s="308">
        <f>I32</f>
        <v>54</v>
      </c>
      <c r="J279" s="308">
        <f>J32</f>
        <v>65</v>
      </c>
      <c r="K279" s="306">
        <f>0.1*J277/100</f>
        <v>80.988</v>
      </c>
      <c r="L279" s="306">
        <f>0.1*K277/100</f>
        <v>105.12217962936352</v>
      </c>
      <c r="M279" s="306">
        <f t="shared" ref="M279:P279" si="340">0.1*L277/100</f>
        <v>128.65096123453515</v>
      </c>
      <c r="N279" s="306">
        <f t="shared" si="340"/>
        <v>153.14945395002252</v>
      </c>
      <c r="O279" s="306">
        <f t="shared" si="340"/>
        <v>178.98968326238787</v>
      </c>
      <c r="P279" s="306">
        <f t="shared" si="340"/>
        <v>205.95064696605903</v>
      </c>
      <c r="Q279" s="370"/>
      <c r="R279" s="370"/>
      <c r="S279" s="370"/>
      <c r="T279" s="370"/>
      <c r="U279" s="370"/>
      <c r="V279" s="370"/>
      <c r="W279" s="370"/>
      <c r="X279" s="370"/>
      <c r="Y279" s="370"/>
      <c r="Z279" s="370"/>
      <c r="AA279" s="370"/>
      <c r="AB279" s="370"/>
    </row>
    <row r="280" spans="1:28">
      <c r="G280" s="18"/>
      <c r="H280" s="18"/>
      <c r="I280" s="18"/>
      <c r="J280" s="18"/>
      <c r="K280" s="18"/>
      <c r="L280" s="18"/>
      <c r="M280" s="18"/>
      <c r="N280" s="18"/>
      <c r="O280" s="18"/>
      <c r="P280" s="18"/>
      <c r="Q280" s="18"/>
      <c r="R280" s="18"/>
      <c r="S280" s="18"/>
      <c r="T280" s="18"/>
      <c r="U280" s="18"/>
      <c r="V280" s="18"/>
      <c r="W280" s="18"/>
      <c r="X280" s="18"/>
      <c r="Y280" s="18"/>
      <c r="Z280" s="18"/>
      <c r="AA280" s="137"/>
      <c r="AB280" s="137"/>
    </row>
    <row r="281" spans="1:28">
      <c r="G281" s="18"/>
      <c r="H281" s="18"/>
      <c r="I281" s="18"/>
      <c r="J281" s="18"/>
      <c r="K281" s="18"/>
      <c r="L281" s="18"/>
      <c r="M281" s="18"/>
      <c r="N281" s="18"/>
      <c r="O281" s="18"/>
      <c r="P281" s="18"/>
      <c r="Q281" s="18"/>
      <c r="R281" s="18"/>
      <c r="S281" s="18"/>
      <c r="T281" s="18"/>
      <c r="U281" s="18"/>
      <c r="V281" s="18"/>
      <c r="W281" s="18"/>
      <c r="X281" s="18"/>
      <c r="Y281" s="18"/>
      <c r="Z281" s="18"/>
      <c r="AA281" s="137"/>
      <c r="AB281" s="137"/>
    </row>
    <row r="282" spans="1:28">
      <c r="G282" s="18"/>
      <c r="H282" s="18"/>
      <c r="I282" s="18"/>
      <c r="J282" s="18"/>
      <c r="K282" s="18"/>
      <c r="L282" s="18"/>
      <c r="M282" s="18"/>
      <c r="N282" s="18"/>
      <c r="O282" s="18"/>
      <c r="P282" s="18"/>
      <c r="Q282" s="18"/>
      <c r="R282" s="18"/>
      <c r="S282" s="18"/>
      <c r="T282" s="18"/>
      <c r="U282" s="18"/>
      <c r="V282" s="18"/>
      <c r="W282" s="18"/>
      <c r="X282" s="18"/>
      <c r="Y282" s="18"/>
      <c r="Z282" s="18"/>
      <c r="AA282" s="137"/>
      <c r="AB282" s="137"/>
    </row>
    <row r="283" spans="1:28">
      <c r="G283" s="18"/>
      <c r="H283" s="18"/>
      <c r="I283" s="18"/>
      <c r="J283" s="18"/>
      <c r="K283" s="18"/>
      <c r="L283" s="18"/>
      <c r="M283" s="18"/>
      <c r="N283" s="18"/>
      <c r="O283" s="18"/>
      <c r="P283" s="18"/>
      <c r="Q283" s="18"/>
      <c r="R283" s="18"/>
      <c r="S283" s="18"/>
      <c r="T283" s="18"/>
      <c r="U283" s="18"/>
      <c r="V283" s="18"/>
      <c r="W283" s="18"/>
      <c r="X283" s="18"/>
      <c r="Y283" s="18"/>
      <c r="Z283" s="18"/>
      <c r="AA283" s="137"/>
      <c r="AB283" s="137"/>
    </row>
    <row r="284" spans="1:28">
      <c r="G284" s="18"/>
      <c r="H284" s="18"/>
      <c r="I284" s="18"/>
      <c r="J284" s="18"/>
      <c r="K284" s="18"/>
      <c r="L284" s="18"/>
      <c r="M284" s="18"/>
      <c r="N284" s="18"/>
      <c r="O284" s="18"/>
      <c r="P284" s="18"/>
      <c r="Q284" s="18"/>
      <c r="R284" s="18"/>
      <c r="S284" s="18"/>
      <c r="T284" s="18"/>
      <c r="U284" s="18"/>
      <c r="V284" s="18"/>
      <c r="W284" s="18"/>
      <c r="X284" s="18"/>
      <c r="Y284" s="18"/>
      <c r="Z284" s="18"/>
      <c r="AA284" s="137"/>
      <c r="AB284" s="137"/>
    </row>
    <row r="285" spans="1:28">
      <c r="G285" s="18"/>
      <c r="H285" s="18"/>
      <c r="I285" s="18"/>
      <c r="J285" s="18"/>
      <c r="K285" s="18"/>
      <c r="L285" s="18"/>
      <c r="M285" s="18"/>
      <c r="N285" s="18"/>
      <c r="O285" s="18"/>
      <c r="P285" s="18"/>
      <c r="Q285" s="18"/>
      <c r="R285" s="18"/>
      <c r="S285" s="18"/>
      <c r="T285" s="18"/>
      <c r="U285" s="18"/>
      <c r="V285" s="18"/>
      <c r="W285" s="18"/>
      <c r="X285" s="18"/>
      <c r="Y285" s="18"/>
      <c r="Z285" s="18"/>
      <c r="AA285" s="137"/>
      <c r="AB285" s="137"/>
    </row>
    <row r="286" spans="1:28">
      <c r="G286" s="18"/>
      <c r="H286" s="18"/>
      <c r="I286" s="18"/>
      <c r="J286" s="18"/>
      <c r="K286" s="18"/>
      <c r="L286" s="18"/>
      <c r="M286" s="18"/>
      <c r="N286" s="18"/>
      <c r="O286" s="18"/>
      <c r="P286" s="18"/>
      <c r="Q286" s="18"/>
      <c r="R286" s="18"/>
      <c r="S286" s="18"/>
      <c r="T286" s="18"/>
      <c r="U286" s="18"/>
      <c r="V286" s="18"/>
      <c r="W286" s="18"/>
      <c r="X286" s="18"/>
      <c r="Y286" s="18"/>
      <c r="Z286" s="18"/>
      <c r="AA286" s="137"/>
      <c r="AB286" s="137"/>
    </row>
    <row r="287" spans="1:28">
      <c r="G287" s="18"/>
      <c r="H287" s="18"/>
      <c r="I287" s="18"/>
      <c r="J287" s="18"/>
      <c r="K287" s="18"/>
      <c r="L287" s="18"/>
      <c r="M287" s="18"/>
      <c r="N287" s="18"/>
      <c r="O287" s="18"/>
      <c r="P287" s="18"/>
      <c r="Q287" s="18"/>
      <c r="R287" s="18"/>
      <c r="S287" s="18"/>
      <c r="T287" s="18"/>
      <c r="U287" s="18"/>
      <c r="V287" s="18"/>
      <c r="W287" s="18"/>
      <c r="X287" s="18"/>
      <c r="Y287" s="18"/>
      <c r="Z287" s="18"/>
      <c r="AA287" s="137"/>
      <c r="AB287" s="137"/>
    </row>
    <row r="288" spans="1:28">
      <c r="G288" s="18"/>
      <c r="H288" s="18"/>
      <c r="I288" s="18"/>
      <c r="J288" s="18"/>
      <c r="K288" s="18"/>
      <c r="L288" s="18"/>
      <c r="M288" s="18"/>
      <c r="N288" s="18"/>
      <c r="O288" s="18"/>
      <c r="P288" s="18"/>
      <c r="Q288" s="18"/>
      <c r="R288" s="18"/>
      <c r="S288" s="18"/>
      <c r="T288" s="18"/>
      <c r="U288" s="18"/>
      <c r="V288" s="18"/>
      <c r="W288" s="18"/>
      <c r="X288" s="18"/>
      <c r="Y288" s="18"/>
      <c r="Z288" s="18"/>
      <c r="AA288" s="137"/>
      <c r="AB288" s="137"/>
    </row>
    <row r="289" spans="7:28">
      <c r="G289" s="18"/>
      <c r="H289" s="18"/>
      <c r="I289" s="18"/>
      <c r="J289" s="18"/>
      <c r="K289" s="18"/>
      <c r="L289" s="18"/>
      <c r="M289" s="18"/>
      <c r="N289" s="18"/>
      <c r="O289" s="18"/>
      <c r="P289" s="18"/>
      <c r="Q289" s="18"/>
      <c r="R289" s="18"/>
      <c r="S289" s="18"/>
      <c r="T289" s="18"/>
      <c r="U289" s="18"/>
      <c r="V289" s="18"/>
      <c r="W289" s="18"/>
      <c r="X289" s="18"/>
      <c r="Y289" s="18"/>
      <c r="Z289" s="18"/>
      <c r="AA289" s="137"/>
      <c r="AB289" s="137"/>
    </row>
  </sheetData>
  <mergeCells count="1">
    <mergeCell ref="G2:AB2"/>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3:AV84"/>
  <sheetViews>
    <sheetView showGridLines="0" topLeftCell="A20" zoomScale="75" zoomScaleNormal="75" zoomScalePageLayoutView="75" workbookViewId="0">
      <selection activeCell="N31" sqref="N31"/>
    </sheetView>
  </sheetViews>
  <sheetFormatPr baseColWidth="10" defaultRowHeight="15" x14ac:dyDescent="0"/>
  <cols>
    <col min="4" max="4" width="40.6640625" bestFit="1" customWidth="1"/>
    <col min="5" max="5" width="13" hidden="1" customWidth="1"/>
    <col min="6" max="23" width="13" customWidth="1"/>
    <col min="24" max="25" width="13" style="18" customWidth="1"/>
    <col min="26" max="26" width="30.1640625" style="18" bestFit="1" customWidth="1"/>
    <col min="27" max="28" width="23.5" style="18" customWidth="1"/>
    <col min="29" max="29" width="15.6640625" style="18" customWidth="1"/>
    <col min="30" max="32" width="23.5" style="18" customWidth="1"/>
    <col min="33" max="33" width="11.83203125" style="18" bestFit="1" customWidth="1"/>
    <col min="34" max="34" width="6" style="18" customWidth="1"/>
    <col min="35" max="35" width="11.83203125" style="18" bestFit="1" customWidth="1"/>
    <col min="36" max="16384" width="10.83203125" style="18"/>
  </cols>
  <sheetData>
    <row r="3" spans="1:48" ht="21" thickBot="1">
      <c r="D3" s="1928" t="s">
        <v>1011</v>
      </c>
      <c r="E3" s="1928"/>
      <c r="F3" s="1928"/>
      <c r="G3" s="1928"/>
      <c r="H3" s="1928"/>
      <c r="I3" s="1928"/>
      <c r="J3" s="1928"/>
      <c r="K3" s="1928"/>
      <c r="L3" s="1928"/>
      <c r="M3" s="1928"/>
      <c r="N3" s="1928"/>
      <c r="O3" s="1928"/>
      <c r="P3" s="1928"/>
      <c r="Q3" s="1928"/>
      <c r="R3" s="1928"/>
      <c r="S3" s="1928"/>
      <c r="T3" s="1928"/>
      <c r="U3" s="1928"/>
      <c r="V3" s="1928"/>
      <c r="W3" s="1928"/>
      <c r="AA3" s="1316" t="s">
        <v>1815</v>
      </c>
    </row>
    <row r="4" spans="1:48" s="171" customFormat="1" ht="16" thickBot="1">
      <c r="D4" s="710" t="s">
        <v>1612</v>
      </c>
      <c r="E4" s="710" t="s">
        <v>20</v>
      </c>
      <c r="F4" s="422" t="s">
        <v>21</v>
      </c>
      <c r="G4" s="422" t="s">
        <v>22</v>
      </c>
      <c r="H4" s="422" t="s">
        <v>964</v>
      </c>
      <c r="I4" s="422" t="s">
        <v>24</v>
      </c>
      <c r="J4" s="422" t="s">
        <v>25</v>
      </c>
      <c r="K4" s="422" t="s">
        <v>26</v>
      </c>
      <c r="L4" s="422" t="s">
        <v>27</v>
      </c>
      <c r="M4" s="422" t="s">
        <v>712</v>
      </c>
      <c r="N4" s="422" t="s">
        <v>713</v>
      </c>
      <c r="O4" s="422" t="s">
        <v>714</v>
      </c>
      <c r="P4" s="422" t="s">
        <v>715</v>
      </c>
      <c r="Q4" s="422" t="s">
        <v>716</v>
      </c>
      <c r="R4" s="422" t="s">
        <v>717</v>
      </c>
      <c r="S4" s="422" t="s">
        <v>718</v>
      </c>
      <c r="T4" s="422" t="s">
        <v>719</v>
      </c>
      <c r="U4" s="422" t="s">
        <v>720</v>
      </c>
      <c r="V4" s="422" t="s">
        <v>721</v>
      </c>
      <c r="W4" s="422" t="s">
        <v>722</v>
      </c>
      <c r="X4" s="1317" t="s">
        <v>1486</v>
      </c>
      <c r="Y4" s="1317" t="s">
        <v>1446</v>
      </c>
      <c r="AA4" s="377"/>
      <c r="AB4" s="377"/>
      <c r="AC4" s="377"/>
      <c r="AD4" s="377"/>
      <c r="AE4" s="377"/>
      <c r="AF4" s="377"/>
      <c r="AG4" s="377"/>
      <c r="AH4" s="377"/>
      <c r="AI4" s="377"/>
      <c r="AJ4" s="377"/>
      <c r="AK4" s="377"/>
      <c r="AL4" s="377"/>
      <c r="AM4" s="377"/>
      <c r="AN4" s="377"/>
      <c r="AO4" s="377"/>
      <c r="AP4" s="377"/>
      <c r="AQ4" s="377"/>
      <c r="AR4" s="377"/>
      <c r="AS4" s="377"/>
      <c r="AT4" s="377"/>
      <c r="AU4" s="1321"/>
      <c r="AV4" s="1321"/>
    </row>
    <row r="5" spans="1:48" s="999" customFormat="1">
      <c r="A5" s="996"/>
      <c r="B5" s="996"/>
      <c r="C5" s="996"/>
      <c r="D5" s="1520" t="s">
        <v>975</v>
      </c>
      <c r="E5" s="1521"/>
      <c r="F5" s="1522">
        <v>12</v>
      </c>
      <c r="G5" s="1522">
        <v>10.55</v>
      </c>
      <c r="H5" s="1522">
        <f>'3f. Exchange Rate USDZAR'!G4</f>
        <v>12.760864615384605</v>
      </c>
      <c r="I5" s="1523">
        <f>'3f. Exchange Rate USDZAR'!H4</f>
        <v>15.4284</v>
      </c>
      <c r="J5" s="1523">
        <f>'3f. Exchange Rate USDZAR'!I4</f>
        <v>15.969999999999999</v>
      </c>
      <c r="K5" s="1523">
        <f>'3f. Exchange Rate USDZAR'!J4</f>
        <v>17.2425</v>
      </c>
      <c r="L5" s="1523">
        <f>'3f. Exchange Rate USDZAR'!K4</f>
        <v>18.68</v>
      </c>
      <c r="M5" s="1523">
        <f>'3f. Exchange Rate USDZAR'!L4</f>
        <v>20.2</v>
      </c>
      <c r="N5" s="1766">
        <f>'3f. Exchange Rate USDZAR'!M4</f>
        <v>21.712499999999999</v>
      </c>
      <c r="O5" s="1766">
        <f>'3f. Exchange Rate USDZAR'!N4</f>
        <v>23.372499999999999</v>
      </c>
      <c r="P5" s="1766">
        <f>'3f. Exchange Rate USDZAR'!O4</f>
        <v>25.232499999999998</v>
      </c>
      <c r="Q5" s="1766">
        <f>'3f. Exchange Rate USDZAR'!P4</f>
        <v>27.224999999999998</v>
      </c>
      <c r="R5" s="1766">
        <f>'3f. Exchange Rate USDZAR'!Q4</f>
        <v>29.362499999999997</v>
      </c>
      <c r="S5" s="1766">
        <f>'3f. Exchange Rate USDZAR'!R4</f>
        <v>31.622500000000002</v>
      </c>
      <c r="T5" s="1766">
        <f>'3f. Exchange Rate USDZAR'!S4</f>
        <v>34.05644976585782</v>
      </c>
      <c r="U5" s="1766">
        <f>'3f. Exchange Rate USDZAR'!T4</f>
        <v>36.677738023698225</v>
      </c>
      <c r="V5" s="1766">
        <f>'3f. Exchange Rate USDZAR'!U4</f>
        <v>39.500784015475432</v>
      </c>
      <c r="W5" s="1767">
        <f>'3f. Exchange Rate USDZAR'!V4</f>
        <v>42.541116816666573</v>
      </c>
      <c r="X5" s="1524"/>
      <c r="Y5" s="1524"/>
      <c r="Z5" s="1037"/>
      <c r="AA5" s="1322"/>
      <c r="AB5" s="1323"/>
      <c r="AC5" s="1324"/>
      <c r="AD5" s="1324"/>
      <c r="AE5" s="1324"/>
      <c r="AF5" s="1325"/>
      <c r="AG5" s="1325"/>
      <c r="AH5" s="1325"/>
      <c r="AI5" s="1325"/>
      <c r="AJ5" s="1325"/>
      <c r="AK5" s="1326"/>
      <c r="AL5" s="1326"/>
      <c r="AM5" s="1326"/>
      <c r="AN5" s="1326"/>
      <c r="AO5" s="1326"/>
      <c r="AP5" s="1326"/>
      <c r="AQ5" s="1326"/>
      <c r="AR5" s="1326"/>
      <c r="AS5" s="1326"/>
      <c r="AT5" s="1326"/>
      <c r="AU5" s="1036"/>
      <c r="AV5" s="1036"/>
    </row>
    <row r="6" spans="1:48" s="46" customFormat="1">
      <c r="A6" s="4"/>
      <c r="B6" s="4"/>
      <c r="C6" s="4"/>
      <c r="D6" s="726" t="s">
        <v>0</v>
      </c>
      <c r="E6" s="1525"/>
      <c r="F6" s="919">
        <f>F5*'3d. Daybrook'!I5</f>
        <v>1085988</v>
      </c>
      <c r="G6" s="919">
        <f>G5*'3d. Daybrook'!J5</f>
        <v>1307999.55</v>
      </c>
      <c r="H6" s="919">
        <f>H5*'3d. Daybrook'!K5</f>
        <v>1692163.5672263724</v>
      </c>
      <c r="I6" s="1216">
        <f>I5*'3d. Daybrook'!L5</f>
        <v>2148188.7023999998</v>
      </c>
      <c r="J6" s="1216">
        <f>J5*'3d. Daybrook'!M5</f>
        <v>2324105.5911839996</v>
      </c>
      <c r="K6" s="1216">
        <f>K5*'3d. Daybrook'!N5</f>
        <v>2610416.2992752981</v>
      </c>
      <c r="L6" s="1216">
        <f>L5*'3d. Daybrook'!O5</f>
        <v>2927875.6224369961</v>
      </c>
      <c r="M6" s="1216">
        <f>M5*'3d. Daybrook'!P5</f>
        <v>3261734.9474271294</v>
      </c>
      <c r="N6" s="1216">
        <f>N5*'3d. Daybrook'!Q5</f>
        <v>3593961.0192656643</v>
      </c>
      <c r="O6" s="1216">
        <f>O5*'3d. Daybrook'!R5</f>
        <v>3965837.6629245216</v>
      </c>
      <c r="P6" s="1216">
        <f>P5*'3d. Daybrook'!S5</f>
        <v>4388906.0049361214</v>
      </c>
      <c r="Q6" s="1216">
        <f>Q5*'3d. Daybrook'!T5</f>
        <v>4854339.2026392166</v>
      </c>
      <c r="R6" s="1216">
        <f>R5*'3d. Daybrook'!U5</f>
        <v>5366875.1795010129</v>
      </c>
      <c r="S6" s="1216">
        <f>S5*'3d. Daybrook'!V5</f>
        <v>5925034.7219719514</v>
      </c>
      <c r="T6" s="1216">
        <f>T5*'3d. Daybrook'!W5</f>
        <v>6541243.327339177</v>
      </c>
      <c r="U6" s="1216">
        <f>U5*'3d. Daybrook'!X5</f>
        <v>7221538.1470741462</v>
      </c>
      <c r="V6" s="1216">
        <f>V5*'3d. Daybrook'!Y5</f>
        <v>7972584.2014901359</v>
      </c>
      <c r="W6" s="1526">
        <f>W5*'3d. Daybrook'!Z5</f>
        <v>8801739.67863103</v>
      </c>
      <c r="X6" s="1527">
        <f>(H6/F6)^(1/2)-1</f>
        <v>0.24827035595614744</v>
      </c>
      <c r="Y6" s="1527">
        <f>(I6/G6)^(1/2)-1</f>
        <v>0.2815407398049492</v>
      </c>
      <c r="Z6" s="1765"/>
      <c r="AA6" s="109"/>
      <c r="AB6" s="370"/>
      <c r="AC6" s="919"/>
      <c r="AD6" s="919"/>
      <c r="AE6" s="919"/>
      <c r="AF6" s="1216"/>
      <c r="AG6" s="1216"/>
      <c r="AH6" s="1216"/>
      <c r="AI6" s="1216"/>
      <c r="AJ6" s="1216"/>
      <c r="AK6" s="1216"/>
      <c r="AL6" s="1216"/>
      <c r="AM6" s="1216"/>
      <c r="AN6" s="1216"/>
      <c r="AO6" s="1216"/>
      <c r="AP6" s="1216"/>
      <c r="AQ6" s="1216"/>
      <c r="AR6" s="1216"/>
      <c r="AS6" s="1216"/>
      <c r="AT6" s="1216"/>
      <c r="AU6" s="239"/>
      <c r="AV6" s="239"/>
    </row>
    <row r="7" spans="1:48" s="107" customFormat="1" ht="14">
      <c r="A7" s="117"/>
      <c r="B7" s="117"/>
      <c r="C7" s="117"/>
      <c r="D7" s="1003" t="s">
        <v>832</v>
      </c>
      <c r="E7" s="439"/>
      <c r="F7" s="1004"/>
      <c r="G7" s="1402">
        <f>(G6/F6)-1</f>
        <v>0.20443278378766627</v>
      </c>
      <c r="H7" s="1402">
        <f t="shared" ref="H7:M7" si="0">(H6/G6)-1</f>
        <v>0.2937034781291572</v>
      </c>
      <c r="I7" s="1402">
        <f t="shared" si="0"/>
        <v>0.26949234932477517</v>
      </c>
      <c r="J7" s="1402">
        <f t="shared" si="0"/>
        <v>8.1890798786653063E-2</v>
      </c>
      <c r="K7" s="1402">
        <f t="shared" si="0"/>
        <v>0.12319178146524723</v>
      </c>
      <c r="L7" s="1402">
        <f t="shared" si="0"/>
        <v>0.12161252718573312</v>
      </c>
      <c r="M7" s="1402">
        <f t="shared" si="0"/>
        <v>0.11402783725910037</v>
      </c>
      <c r="N7" s="1402">
        <f t="shared" ref="N7" si="1">(N6/M6)-1</f>
        <v>0.10185563118811847</v>
      </c>
      <c r="O7" s="1402">
        <f t="shared" ref="O7" si="2">(O6/N6)-1</f>
        <v>0.10347264248704646</v>
      </c>
      <c r="P7" s="1402">
        <f t="shared" ref="P7" si="3">(P6/O6)-1</f>
        <v>0.10667817948443648</v>
      </c>
      <c r="Q7" s="1402">
        <f t="shared" ref="Q7" si="4">(Q6/P6)-1</f>
        <v>0.10604765679183625</v>
      </c>
      <c r="R7" s="1402">
        <f t="shared" ref="R7" si="5">(R6/Q6)-1</f>
        <v>0.10558305785123956</v>
      </c>
      <c r="S7" s="1402">
        <f t="shared" ref="S7" si="6">(S6/R6)-1</f>
        <v>0.10400084291187728</v>
      </c>
      <c r="T7" s="1402">
        <f t="shared" ref="T7" si="7">(T6/S6)-1</f>
        <v>0.10400084291187772</v>
      </c>
      <c r="U7" s="1402">
        <f t="shared" ref="U7" si="8">(U6/T6)-1</f>
        <v>0.1040008429118775</v>
      </c>
      <c r="V7" s="1402">
        <f t="shared" ref="V7" si="9">(V6/U6)-1</f>
        <v>0.1040008429118775</v>
      </c>
      <c r="W7" s="1452">
        <f t="shared" ref="W7" si="10">(W6/V6)-1</f>
        <v>0.10400084291187772</v>
      </c>
      <c r="X7" s="1318"/>
      <c r="Y7" s="1318"/>
      <c r="Z7" s="1039"/>
      <c r="AA7" s="288"/>
      <c r="AB7" s="288"/>
      <c r="AC7" s="1004"/>
      <c r="AD7" s="1402"/>
      <c r="AE7" s="1402"/>
      <c r="AF7" s="1402"/>
      <c r="AG7" s="1402"/>
      <c r="AH7" s="1402"/>
      <c r="AI7" s="1402"/>
      <c r="AJ7" s="1402"/>
      <c r="AK7" s="1402"/>
      <c r="AL7" s="1402"/>
      <c r="AM7" s="1402"/>
      <c r="AN7" s="1402"/>
      <c r="AO7" s="1402"/>
      <c r="AP7" s="1402"/>
      <c r="AQ7" s="1402"/>
      <c r="AR7" s="1402"/>
      <c r="AS7" s="1402"/>
      <c r="AT7" s="1402"/>
      <c r="AU7" s="1038"/>
      <c r="AV7" s="1038"/>
    </row>
    <row r="8" spans="1:48" s="291" customFormat="1" hidden="1">
      <c r="A8" s="6"/>
      <c r="B8" s="6"/>
      <c r="C8" s="6"/>
      <c r="D8" s="726" t="s">
        <v>450</v>
      </c>
      <c r="E8" s="20"/>
      <c r="F8" s="370">
        <f>'3d. Daybrook'!I74*F5</f>
        <v>399684</v>
      </c>
      <c r="G8" s="370">
        <f>'3d. Daybrook'!J74*G5</f>
        <v>462322.10000000003</v>
      </c>
      <c r="H8" s="370">
        <f>'3d. Daybrook'!K74*H5</f>
        <v>592257.24852923024</v>
      </c>
      <c r="I8" s="1531">
        <f>'3d. Daybrook'!L74*I5</f>
        <v>730384.15881599998</v>
      </c>
      <c r="J8" s="1531">
        <f>'3d. Daybrook'!M74*J5</f>
        <v>778575.37304663984</v>
      </c>
      <c r="K8" s="1531">
        <f>'3d. Daybrook'!N74*K5</f>
        <v>874489.46025722486</v>
      </c>
      <c r="L8" s="1531">
        <f>'3d. Daybrook'!O74*L5</f>
        <v>980838.33351639344</v>
      </c>
      <c r="M8" s="1531">
        <f>'3d. Daybrook'!P74*M5</f>
        <v>1092681.2073880883</v>
      </c>
      <c r="N8" s="1531">
        <f>'3d. Daybrook'!Q74*N5</f>
        <v>1203998.6539539974</v>
      </c>
      <c r="O8" s="1531">
        <f>'3d. Daybrook'!R74*O5</f>
        <v>1328602.3620797149</v>
      </c>
      <c r="P8" s="1531">
        <f>'3d. Daybrook'!S74*P5</f>
        <v>1470359.2091536007</v>
      </c>
      <c r="Q8" s="1531">
        <f>'3d. Daybrook'!T74*Q5</f>
        <v>1626312.5328841372</v>
      </c>
      <c r="R8" s="1531">
        <f>'3d. Daybrook'!U74*R5</f>
        <v>1798049.9976328393</v>
      </c>
      <c r="S8" s="1531">
        <f>'3d. Daybrook'!V74*S5</f>
        <v>1985076.3668606037</v>
      </c>
      <c r="T8" s="1531">
        <f>'3d. Daybrook'!W74*T5</f>
        <v>2191554.9098069849</v>
      </c>
      <c r="U8" s="1531">
        <f>'3d. Daybrook'!X74*U5</f>
        <v>2419508.7011740282</v>
      </c>
      <c r="V8" s="1531">
        <f>'3d. Daybrook'!Y74*V5</f>
        <v>2671171.2145553343</v>
      </c>
      <c r="W8" s="1532">
        <f>'3d. Daybrook'!Z74*W5</f>
        <v>2949008.2035095617</v>
      </c>
      <c r="X8" s="1527"/>
      <c r="Y8" s="1527"/>
      <c r="Z8" s="1002"/>
      <c r="AA8" s="235"/>
      <c r="AB8" s="235"/>
      <c r="AC8" s="372"/>
      <c r="AD8" s="372"/>
      <c r="AE8" s="372"/>
      <c r="AF8" s="1000"/>
      <c r="AG8" s="1000"/>
      <c r="AH8" s="1000"/>
      <c r="AI8" s="1000"/>
      <c r="AJ8" s="1000"/>
      <c r="AK8" s="1000"/>
      <c r="AL8" s="1000"/>
      <c r="AM8" s="1000"/>
      <c r="AN8" s="1000"/>
      <c r="AO8" s="1000"/>
      <c r="AP8" s="1000"/>
      <c r="AQ8" s="1000"/>
      <c r="AR8" s="1000"/>
      <c r="AS8" s="1000"/>
      <c r="AT8" s="1000"/>
      <c r="AU8" s="977"/>
      <c r="AV8" s="977"/>
    </row>
    <row r="9" spans="1:48" s="107" customFormat="1" hidden="1">
      <c r="A9" s="117"/>
      <c r="B9" s="117"/>
      <c r="C9" s="117"/>
      <c r="D9" s="1528" t="s">
        <v>832</v>
      </c>
      <c r="E9" s="410"/>
      <c r="F9" s="1529"/>
      <c r="G9" s="1432">
        <f>(G8/F8)-1</f>
        <v>0.15671905805586417</v>
      </c>
      <c r="H9" s="1394">
        <f t="shared" ref="H9" si="11">(H8/G8)-1</f>
        <v>0.28104896679010194</v>
      </c>
      <c r="I9" s="1533">
        <f t="shared" ref="I9" si="12">(I8/H8)-1</f>
        <v>0.23322113934406774</v>
      </c>
      <c r="J9" s="1533">
        <f t="shared" ref="J9" si="13">(J8/I8)-1</f>
        <v>6.5980639980966815E-2</v>
      </c>
      <c r="K9" s="1533">
        <f t="shared" ref="K9" si="14">(K8/J8)-1</f>
        <v>0.12319178146524723</v>
      </c>
      <c r="L9" s="1533">
        <f t="shared" ref="L9" si="15">(L8/K8)-1</f>
        <v>0.1216125271857329</v>
      </c>
      <c r="M9" s="1533">
        <f t="shared" ref="M9" si="16">(M8/L8)-1</f>
        <v>0.11402783725910082</v>
      </c>
      <c r="N9" s="1533">
        <f t="shared" ref="N9" si="17">(N8/M8)-1</f>
        <v>0.10187550203411933</v>
      </c>
      <c r="O9" s="1533">
        <f t="shared" ref="O9" si="18">(O8/N8)-1</f>
        <v>0.10349156763299705</v>
      </c>
      <c r="P9" s="1533">
        <f t="shared" ref="P9" si="19">(P8/O8)-1</f>
        <v>0.10669621786008876</v>
      </c>
      <c r="Q9" s="1533">
        <f t="shared" ref="Q9" si="20">(Q8/P8)-1</f>
        <v>0.10606477842942175</v>
      </c>
      <c r="R9" s="1533">
        <f t="shared" ref="R9" si="21">(R8/Q8)-1</f>
        <v>0.10559929981240401</v>
      </c>
      <c r="S9" s="1533">
        <f t="shared" ref="S9" si="22">(S8/R8)-1</f>
        <v>0.10401622283806766</v>
      </c>
      <c r="T9" s="1533">
        <f t="shared" ref="T9" si="23">(T8/S8)-1</f>
        <v>0.10401541542350179</v>
      </c>
      <c r="U9" s="1533">
        <f t="shared" ref="U9" si="24">(U8/T8)-1</f>
        <v>0.10401463834968183</v>
      </c>
      <c r="V9" s="1533">
        <f t="shared" ref="V9" si="25">(V8/U8)-1</f>
        <v>0.10401389061307809</v>
      </c>
      <c r="W9" s="1534">
        <f t="shared" ref="W9" si="26">(W8/V8)-1</f>
        <v>0.10401317124124465</v>
      </c>
      <c r="X9" s="1530"/>
      <c r="Y9" s="1530"/>
      <c r="Z9" s="1039"/>
      <c r="AA9" s="288"/>
      <c r="AB9" s="288"/>
      <c r="AC9" s="1004"/>
      <c r="AD9" s="317"/>
      <c r="AE9" s="1038"/>
      <c r="AF9" s="1040"/>
      <c r="AG9" s="1040"/>
      <c r="AH9" s="1040"/>
      <c r="AI9" s="1040"/>
      <c r="AJ9" s="1040"/>
      <c r="AK9" s="1040"/>
      <c r="AL9" s="1040"/>
      <c r="AM9" s="1040"/>
      <c r="AN9" s="1040"/>
      <c r="AO9" s="1040"/>
      <c r="AP9" s="1040"/>
      <c r="AQ9" s="1040"/>
      <c r="AR9" s="1040"/>
      <c r="AS9" s="1040"/>
      <c r="AT9" s="1040"/>
      <c r="AU9" s="1038"/>
      <c r="AV9" s="1038"/>
    </row>
    <row r="10" spans="1:48" s="107" customFormat="1" hidden="1">
      <c r="A10" s="117"/>
      <c r="B10" s="117"/>
      <c r="C10" s="117"/>
      <c r="D10" s="1528" t="s">
        <v>976</v>
      </c>
      <c r="E10" s="410"/>
      <c r="F10" s="1432">
        <f t="shared" ref="F10:M10" si="27">F8/F6</f>
        <v>0.36803721588083849</v>
      </c>
      <c r="G10" s="1432">
        <f t="shared" si="27"/>
        <v>0.35345738459925313</v>
      </c>
      <c r="H10" s="1432">
        <f t="shared" si="27"/>
        <v>0.34999999999999992</v>
      </c>
      <c r="I10" s="1535">
        <f t="shared" si="27"/>
        <v>0.34</v>
      </c>
      <c r="J10" s="1535">
        <f t="shared" si="27"/>
        <v>0.33500000000000002</v>
      </c>
      <c r="K10" s="1535">
        <f t="shared" si="27"/>
        <v>0.33499999999999996</v>
      </c>
      <c r="L10" s="1535">
        <f t="shared" si="27"/>
        <v>0.33499999999999991</v>
      </c>
      <c r="M10" s="1535">
        <f t="shared" si="27"/>
        <v>0.33500000000000002</v>
      </c>
      <c r="N10" s="1535">
        <f t="shared" ref="N10:W10" si="28">N8/N6</f>
        <v>0.33500604138438994</v>
      </c>
      <c r="O10" s="1535">
        <f t="shared" si="28"/>
        <v>0.33501178691715933</v>
      </c>
      <c r="P10" s="1535">
        <f t="shared" si="28"/>
        <v>0.33501724746438288</v>
      </c>
      <c r="Q10" s="1535">
        <f t="shared" si="28"/>
        <v>0.3350224335373887</v>
      </c>
      <c r="R10" s="1535">
        <f t="shared" si="28"/>
        <v>0.33502735530361516</v>
      </c>
      <c r="S10" s="1535">
        <f t="shared" si="28"/>
        <v>0.33503202259714976</v>
      </c>
      <c r="T10" s="1535">
        <f t="shared" si="28"/>
        <v>0.33503644492895779</v>
      </c>
      <c r="U10" s="1535">
        <f t="shared" si="28"/>
        <v>0.3350406314968104</v>
      </c>
      <c r="V10" s="1535">
        <f t="shared" si="28"/>
        <v>0.33504459119491925</v>
      </c>
      <c r="W10" s="1536">
        <f t="shared" si="28"/>
        <v>0.33504833262328804</v>
      </c>
      <c r="X10" s="1537"/>
      <c r="Y10" s="1537"/>
      <c r="AA10" s="288"/>
      <c r="AB10" s="288"/>
      <c r="AC10" s="317"/>
      <c r="AD10" s="317"/>
      <c r="AE10" s="317"/>
      <c r="AF10" s="319"/>
      <c r="AG10" s="319"/>
      <c r="AH10" s="319"/>
      <c r="AI10" s="319"/>
      <c r="AJ10" s="319"/>
      <c r="AK10" s="319"/>
      <c r="AL10" s="319"/>
      <c r="AM10" s="319"/>
      <c r="AN10" s="319"/>
      <c r="AO10" s="319"/>
      <c r="AP10" s="319"/>
      <c r="AQ10" s="319"/>
      <c r="AR10" s="319"/>
      <c r="AS10" s="319"/>
      <c r="AT10" s="319"/>
      <c r="AU10" s="317"/>
      <c r="AV10" s="317"/>
    </row>
    <row r="11" spans="1:48" s="131" customFormat="1" hidden="1">
      <c r="A11" s="126"/>
      <c r="B11" s="126"/>
      <c r="C11" s="126"/>
      <c r="D11" s="180" t="s">
        <v>977</v>
      </c>
      <c r="E11" s="307"/>
      <c r="F11" s="312">
        <f>'3d. Daybrook'!I77*F5</f>
        <v>67032</v>
      </c>
      <c r="G11" s="312">
        <f>'3d. Daybrook'!J77*G5</f>
        <v>69260.75</v>
      </c>
      <c r="H11" s="312">
        <f>'3d. Daybrook'!K77*H5</f>
        <v>67686.542689054899</v>
      </c>
      <c r="I11" s="312">
        <f>'3d. Daybrook'!L77*I5</f>
        <v>85927.548096000013</v>
      </c>
      <c r="J11" s="312">
        <f>'3d. Daybrook'!M77*J5</f>
        <v>92964.223647359977</v>
      </c>
      <c r="K11" s="312">
        <f>'3d. Daybrook'!N77*K5</f>
        <v>104416.65197101193</v>
      </c>
      <c r="L11" s="312">
        <f>'3d. Daybrook'!O77*L5</f>
        <v>117115.02489747983</v>
      </c>
      <c r="M11" s="312">
        <f>'3d. Daybrook'!P77*M5</f>
        <v>130469.39789708517</v>
      </c>
      <c r="N11" s="312">
        <f>'3d. Daybrook'!Q77*N5</f>
        <v>143758.44077062659</v>
      </c>
      <c r="O11" s="312">
        <f>'3d. Daybrook'!R77*O5</f>
        <v>158633.50651698088</v>
      </c>
      <c r="P11" s="312">
        <f>'3d. Daybrook'!S77*P5</f>
        <v>175556.24019744489</v>
      </c>
      <c r="Q11" s="312">
        <f>'3d. Daybrook'!T77*Q5</f>
        <v>194173.56810556867</v>
      </c>
      <c r="R11" s="312">
        <f>'3d. Daybrook'!U77*R5</f>
        <v>214675.0071800405</v>
      </c>
      <c r="S11" s="312">
        <f>'3d. Daybrook'!V77*S5</f>
        <v>237001.38887887806</v>
      </c>
      <c r="T11" s="312">
        <f>'3d. Daybrook'!W77*T5</f>
        <v>261649.73309356711</v>
      </c>
      <c r="U11" s="312">
        <f>'3d. Daybrook'!X77*U5</f>
        <v>288861.52588296583</v>
      </c>
      <c r="V11" s="312">
        <f>'3d. Daybrook'!Y77*V5</f>
        <v>318903.36805960542</v>
      </c>
      <c r="W11" s="1538">
        <f>'3d. Daybrook'!Z77*W5</f>
        <v>352069.58714524127</v>
      </c>
      <c r="X11" s="1539"/>
      <c r="Y11" s="1539"/>
      <c r="AA11" s="234"/>
      <c r="AB11" s="234"/>
      <c r="AC11" s="432"/>
      <c r="AD11" s="432"/>
      <c r="AE11" s="432"/>
      <c r="AF11" s="432"/>
      <c r="AG11" s="432"/>
      <c r="AH11" s="432"/>
      <c r="AI11" s="432"/>
      <c r="AJ11" s="432"/>
      <c r="AK11" s="432"/>
      <c r="AL11" s="432"/>
      <c r="AM11" s="432"/>
      <c r="AN11" s="432"/>
      <c r="AO11" s="432"/>
      <c r="AP11" s="432"/>
      <c r="AQ11" s="432"/>
      <c r="AR11" s="432"/>
      <c r="AS11" s="432"/>
      <c r="AT11" s="432"/>
      <c r="AU11" s="221"/>
      <c r="AV11" s="221"/>
    </row>
    <row r="12" spans="1:48" s="100" customFormat="1">
      <c r="A12" s="127"/>
      <c r="B12" s="127"/>
      <c r="C12" s="127"/>
      <c r="D12" s="1540" t="s">
        <v>494</v>
      </c>
      <c r="E12" s="420"/>
      <c r="F12" s="1216">
        <f>'3d. Daybrook'!I29*'3e. Daybrook Currency Adjusted'!F5</f>
        <v>332652</v>
      </c>
      <c r="G12" s="1216">
        <f>'3d. Daybrook'!J29*'3e. Daybrook Currency Adjusted'!G5</f>
        <v>393061.35000000003</v>
      </c>
      <c r="H12" s="1216">
        <f>'3d. Daybrook'!K29*'3e. Daybrook Currency Adjusted'!H5</f>
        <v>524570.70584017551</v>
      </c>
      <c r="I12" s="1216">
        <f>'3d. Daybrook'!L29*'3e. Daybrook Currency Adjusted'!I5</f>
        <v>644456.61071999988</v>
      </c>
      <c r="J12" s="1216">
        <f>'3d. Daybrook'!M29*'3e. Daybrook Currency Adjusted'!J5</f>
        <v>685611.14939927985</v>
      </c>
      <c r="K12" s="1216">
        <f>'3d. Daybrook'!N29*'3e. Daybrook Currency Adjusted'!K5</f>
        <v>770072.80828621297</v>
      </c>
      <c r="L12" s="1216">
        <f>'3d. Daybrook'!O29*'3e. Daybrook Currency Adjusted'!L5</f>
        <v>863723.30861891364</v>
      </c>
      <c r="M12" s="1216">
        <f>'3d. Daybrook'!P29*'3e. Daybrook Currency Adjusted'!M5</f>
        <v>962211.80949100317</v>
      </c>
      <c r="N12" s="1216">
        <f>'3d. Daybrook'!Q29*'3e. Daybrook Currency Adjusted'!N5</f>
        <v>1060240.2131833709</v>
      </c>
      <c r="O12" s="1216">
        <f>'3d. Daybrook'!R29*'3e. Daybrook Currency Adjusted'!O5</f>
        <v>1169968.855562734</v>
      </c>
      <c r="P12" s="1216">
        <f>'3d. Daybrook'!S29*'3e. Daybrook Currency Adjusted'!P5</f>
        <v>1294802.9689561559</v>
      </c>
      <c r="Q12" s="1216">
        <f>'3d. Daybrook'!T29*'3e. Daybrook Currency Adjusted'!Q5</f>
        <v>1432138.9647785686</v>
      </c>
      <c r="R12" s="1216">
        <f>'3d. Daybrook'!U29*'3e. Daybrook Currency Adjusted'!R5</f>
        <v>1583374.9904527988</v>
      </c>
      <c r="S12" s="1216">
        <f>'3d. Daybrook'!V29*'3e. Daybrook Currency Adjusted'!S5</f>
        <v>1748074.9779817255</v>
      </c>
      <c r="T12" s="1216">
        <f>'3d. Daybrook'!W29*'3e. Daybrook Currency Adjusted'!T5</f>
        <v>1929905.1767134182</v>
      </c>
      <c r="U12" s="1216">
        <f>'3d. Daybrook'!X29*'3e. Daybrook Currency Adjusted'!U5</f>
        <v>2130647.1752910623</v>
      </c>
      <c r="V12" s="1216">
        <f>'3d. Daybrook'!Y29*'3e. Daybrook Currency Adjusted'!V5</f>
        <v>2352267.8464957289</v>
      </c>
      <c r="W12" s="1526">
        <f>'3d. Daybrook'!Z29*'3e. Daybrook Currency Adjusted'!W5</f>
        <v>2596938.6163643207</v>
      </c>
      <c r="X12" s="1541">
        <f>(M12/I12)^(1/4)-1</f>
        <v>0.10539946477233619</v>
      </c>
      <c r="Y12" s="1541">
        <f>(N12/J12)^(1/4)-1</f>
        <v>0.11514566435920526</v>
      </c>
      <c r="AA12" s="242"/>
      <c r="AB12" s="242"/>
      <c r="AC12" s="1216"/>
      <c r="AD12" s="1216"/>
      <c r="AE12" s="1216"/>
      <c r="AF12" s="1216"/>
      <c r="AG12" s="1216"/>
      <c r="AH12" s="1216"/>
      <c r="AI12" s="1216"/>
      <c r="AJ12" s="1216"/>
      <c r="AK12" s="1216"/>
      <c r="AL12" s="1216"/>
      <c r="AM12" s="1216"/>
      <c r="AN12" s="1216"/>
      <c r="AO12" s="1216"/>
      <c r="AP12" s="1216"/>
      <c r="AQ12" s="1216"/>
      <c r="AR12" s="1216"/>
      <c r="AS12" s="1216"/>
      <c r="AT12" s="1216"/>
      <c r="AU12" s="236"/>
      <c r="AV12" s="236"/>
    </row>
    <row r="13" spans="1:48" s="107" customFormat="1" ht="14">
      <c r="A13" s="117"/>
      <c r="B13" s="117"/>
      <c r="C13" s="117"/>
      <c r="D13" s="1003" t="s">
        <v>832</v>
      </c>
      <c r="E13" s="439"/>
      <c r="F13" s="1542"/>
      <c r="G13" s="1410">
        <f>(G12/F12)-1</f>
        <v>0.1815992388441976</v>
      </c>
      <c r="H13" s="1410">
        <f t="shared" ref="H13" si="29">(H12/G12)-1</f>
        <v>0.33457717437793222</v>
      </c>
      <c r="I13" s="1410">
        <f t="shared" ref="I13" si="30">(I12/H12)-1</f>
        <v>0.22854098321752425</v>
      </c>
      <c r="J13" s="1410">
        <f t="shared" ref="J13" si="31">(J12/I12)-1</f>
        <v>6.3859285473542249E-2</v>
      </c>
      <c r="K13" s="1410">
        <f t="shared" ref="K13" si="32">(K12/J12)-1</f>
        <v>0.12319178146524723</v>
      </c>
      <c r="L13" s="1410">
        <f t="shared" ref="L13" si="33">(L12/K12)-1</f>
        <v>0.1216125271857329</v>
      </c>
      <c r="M13" s="1410">
        <f t="shared" ref="M13" si="34">(M12/L12)-1</f>
        <v>0.11402783725910082</v>
      </c>
      <c r="N13" s="1410">
        <f t="shared" ref="N13" si="35">(N12/M12)-1</f>
        <v>0.1018781963861195</v>
      </c>
      <c r="O13" s="1410">
        <f t="shared" ref="O13" si="36">(O12/N12)-1</f>
        <v>0.10349413370193039</v>
      </c>
      <c r="P13" s="1410">
        <f t="shared" ref="P13" si="37">(P12/O12)-1</f>
        <v>0.10669866364381053</v>
      </c>
      <c r="Q13" s="1410">
        <f t="shared" ref="Q13" si="38">(Q12/P12)-1</f>
        <v>0.10606709987167395</v>
      </c>
      <c r="R13" s="1410">
        <f t="shared" ref="R13" si="39">(R12/Q12)-1</f>
        <v>0.10560150194475981</v>
      </c>
      <c r="S13" s="1410">
        <f t="shared" ref="S13" si="40">(S12/R12)-1</f>
        <v>0.10401830805842605</v>
      </c>
      <c r="T13" s="1410">
        <f t="shared" ref="T13" si="41">(T12/S12)-1</f>
        <v>0.10401739114281483</v>
      </c>
      <c r="U13" s="1410">
        <f t="shared" ref="U13" si="42">(U12/T12)-1</f>
        <v>0.10401650868645418</v>
      </c>
      <c r="V13" s="1410">
        <f t="shared" ref="V13" si="43">(V12/U12)-1</f>
        <v>0.10401565954925962</v>
      </c>
      <c r="W13" s="1543">
        <f t="shared" ref="W13" si="44">(W12/V12)-1</f>
        <v>0.10401484262648397</v>
      </c>
      <c r="X13" s="1319"/>
      <c r="Y13" s="1319"/>
      <c r="AA13" s="288"/>
      <c r="AB13" s="288"/>
      <c r="AC13" s="1542"/>
      <c r="AD13" s="1410"/>
      <c r="AE13" s="1410"/>
      <c r="AF13" s="1410"/>
      <c r="AG13" s="1410"/>
      <c r="AH13" s="1410"/>
      <c r="AI13" s="1410"/>
      <c r="AJ13" s="1410"/>
      <c r="AK13" s="1410"/>
      <c r="AL13" s="1410"/>
      <c r="AM13" s="1410"/>
      <c r="AN13" s="1410"/>
      <c r="AO13" s="1410"/>
      <c r="AP13" s="1410"/>
      <c r="AQ13" s="1410"/>
      <c r="AR13" s="1410"/>
      <c r="AS13" s="1410"/>
      <c r="AT13" s="1410"/>
      <c r="AU13" s="317"/>
      <c r="AV13" s="317"/>
    </row>
    <row r="14" spans="1:48" s="107" customFormat="1" thickBot="1">
      <c r="A14" s="117"/>
      <c r="B14" s="117"/>
      <c r="C14" s="117"/>
      <c r="D14" s="1003" t="s">
        <v>978</v>
      </c>
      <c r="E14" s="439"/>
      <c r="F14" s="1410">
        <f t="shared" ref="F14:M14" si="45">F12/F6</f>
        <v>0.30631277693676173</v>
      </c>
      <c r="G14" s="1410">
        <f t="shared" si="45"/>
        <v>0.30050572265105141</v>
      </c>
      <c r="H14" s="1410">
        <f t="shared" si="45"/>
        <v>0.31000000000000005</v>
      </c>
      <c r="I14" s="1410">
        <f t="shared" si="45"/>
        <v>0.3</v>
      </c>
      <c r="J14" s="1410">
        <f t="shared" si="45"/>
        <v>0.29499999999999998</v>
      </c>
      <c r="K14" s="1410">
        <f t="shared" si="45"/>
        <v>0.29499999999999998</v>
      </c>
      <c r="L14" s="1410">
        <f t="shared" si="45"/>
        <v>0.29499999999999993</v>
      </c>
      <c r="M14" s="1410">
        <f t="shared" si="45"/>
        <v>0.29499999999999998</v>
      </c>
      <c r="N14" s="1410">
        <f t="shared" ref="N14:W14" si="46">N12/N6</f>
        <v>0.29500604138438996</v>
      </c>
      <c r="O14" s="1410">
        <f t="shared" si="46"/>
        <v>0.29501178691715929</v>
      </c>
      <c r="P14" s="1410">
        <f t="shared" si="46"/>
        <v>0.2950172474643829</v>
      </c>
      <c r="Q14" s="1410">
        <f t="shared" si="46"/>
        <v>0.29502243353738866</v>
      </c>
      <c r="R14" s="1410">
        <f t="shared" si="46"/>
        <v>0.29502735530361518</v>
      </c>
      <c r="S14" s="1410">
        <f t="shared" si="46"/>
        <v>0.29503202259714972</v>
      </c>
      <c r="T14" s="1410">
        <f t="shared" si="46"/>
        <v>0.29503644492895786</v>
      </c>
      <c r="U14" s="1410">
        <f t="shared" si="46"/>
        <v>0.29504063149681042</v>
      </c>
      <c r="V14" s="1410">
        <f t="shared" si="46"/>
        <v>0.29504459119491927</v>
      </c>
      <c r="W14" s="1543">
        <f t="shared" si="46"/>
        <v>0.29504833262328806</v>
      </c>
      <c r="X14" s="1320"/>
      <c r="Y14" s="1320"/>
      <c r="AA14" s="288"/>
      <c r="AB14" s="288"/>
      <c r="AC14" s="1410"/>
      <c r="AD14" s="1410"/>
      <c r="AE14" s="1410"/>
      <c r="AF14" s="1410"/>
      <c r="AG14" s="1410"/>
      <c r="AH14" s="1410"/>
      <c r="AI14" s="1410"/>
      <c r="AJ14" s="1410"/>
      <c r="AK14" s="1410"/>
      <c r="AL14" s="1410"/>
      <c r="AM14" s="1410"/>
      <c r="AN14" s="1410"/>
      <c r="AO14" s="1410"/>
      <c r="AP14" s="1410"/>
      <c r="AQ14" s="1410"/>
      <c r="AR14" s="1410"/>
      <c r="AS14" s="1410"/>
      <c r="AT14" s="1410"/>
      <c r="AU14" s="317"/>
      <c r="AV14" s="317"/>
    </row>
    <row r="15" spans="1:48" s="110" customFormat="1">
      <c r="A15" s="9"/>
      <c r="B15" s="9"/>
      <c r="C15" s="9"/>
      <c r="D15" s="1228" t="s">
        <v>979</v>
      </c>
      <c r="E15" s="50"/>
      <c r="F15" s="1390">
        <f>'3d. Daybrook'!I33*F5</f>
        <v>-20232</v>
      </c>
      <c r="G15" s="1390">
        <f>'3d. Daybrook'!J33*G5</f>
        <v>-17650.150000000001</v>
      </c>
      <c r="H15" s="1390">
        <f>'3d. Daybrook'!K33*H5</f>
        <v>-21974.20886769229</v>
      </c>
      <c r="I15" s="852">
        <f>'3d. Daybrook'!L33*I5</f>
        <v>-25873.426800000001</v>
      </c>
      <c r="J15" s="852">
        <f>'3d. Daybrook'!M33*J5</f>
        <v>-26063.039999999997</v>
      </c>
      <c r="K15" s="852">
        <f>'3d. Daybrook'!N33*K5</f>
        <v>-27363.8475</v>
      </c>
      <c r="L15" s="852">
        <f>'3d. Daybrook'!O33*L5</f>
        <v>-28804.560000000001</v>
      </c>
      <c r="M15" s="852">
        <f>'3d. Daybrook'!P33*M5</f>
        <v>-30240.611999999997</v>
      </c>
      <c r="N15" s="852">
        <f>'3d. Daybrook'!Q33*N5</f>
        <v>0</v>
      </c>
      <c r="O15" s="852">
        <f>'3d. Daybrook'!R33*O5</f>
        <v>0</v>
      </c>
      <c r="P15" s="852">
        <f>'3d. Daybrook'!S33*P5</f>
        <v>0</v>
      </c>
      <c r="Q15" s="852">
        <f>'3d. Daybrook'!T33*Q5</f>
        <v>0</v>
      </c>
      <c r="R15" s="852">
        <f>'3d. Daybrook'!U33*R5</f>
        <v>0</v>
      </c>
      <c r="S15" s="852">
        <f>'3d. Daybrook'!V33*S5</f>
        <v>0</v>
      </c>
      <c r="T15" s="852">
        <f>'3d. Daybrook'!W33*T5</f>
        <v>0</v>
      </c>
      <c r="U15" s="852">
        <f>'3d. Daybrook'!X33*U5</f>
        <v>0</v>
      </c>
      <c r="V15" s="852">
        <f>'3d. Daybrook'!Y33*V5</f>
        <v>0</v>
      </c>
      <c r="W15" s="1601">
        <f>'3d. Daybrook'!Z33*W5</f>
        <v>0</v>
      </c>
    </row>
    <row r="16" spans="1:48" s="110" customFormat="1">
      <c r="A16" s="9"/>
      <c r="B16" s="9"/>
      <c r="C16" s="9"/>
      <c r="D16" s="1228" t="s">
        <v>980</v>
      </c>
      <c r="E16" s="50"/>
      <c r="F16" s="1390">
        <f>'3d. Daybrook'!I32*F5</f>
        <v>648</v>
      </c>
      <c r="G16" s="1390">
        <f>'3d. Daybrook'!J32*G5</f>
        <v>685.75</v>
      </c>
      <c r="H16" s="1390">
        <f>'3d. Daybrook'!K32*H5</f>
        <v>1033.4769034707683</v>
      </c>
      <c r="I16" s="852">
        <f>'3d. Daybrook'!L32*I5</f>
        <v>1621.867036193672</v>
      </c>
      <c r="J16" s="852">
        <f>'3d. Daybrook'!M32*J5</f>
        <v>2054.5558509155262</v>
      </c>
      <c r="K16" s="852">
        <f>'3d. Daybrook'!N32*K5</f>
        <v>2640.6794597332632</v>
      </c>
      <c r="L16" s="852">
        <f>'3d. Daybrook'!O32*L5</f>
        <v>3343.5272833414056</v>
      </c>
      <c r="M16" s="852">
        <f>'3d. Daybrook'!P32*M5</f>
        <v>4160.2030687143924</v>
      </c>
      <c r="N16" s="852">
        <f>'3d. Daybrook'!Q32*N5</f>
        <v>0</v>
      </c>
      <c r="O16" s="852">
        <f>'3d. Daybrook'!R32*O5</f>
        <v>0</v>
      </c>
      <c r="P16" s="852">
        <f>'3d. Daybrook'!S32*P5</f>
        <v>0</v>
      </c>
      <c r="Q16" s="852">
        <f>'3d. Daybrook'!T32*Q5</f>
        <v>0</v>
      </c>
      <c r="R16" s="852">
        <f>'3d. Daybrook'!U32*R5</f>
        <v>0</v>
      </c>
      <c r="S16" s="852">
        <f>'3d. Daybrook'!V32*S5</f>
        <v>0</v>
      </c>
      <c r="T16" s="852">
        <f>'3d. Daybrook'!W32*T5</f>
        <v>0</v>
      </c>
      <c r="U16" s="852">
        <f>'3d. Daybrook'!X32*U5</f>
        <v>0</v>
      </c>
      <c r="V16" s="852">
        <f>'3d. Daybrook'!Y32*V5</f>
        <v>0</v>
      </c>
      <c r="W16" s="1601">
        <f>'3d. Daybrook'!Z32*W5</f>
        <v>0</v>
      </c>
    </row>
    <row r="17" spans="1:27" s="46" customFormat="1">
      <c r="A17" s="4"/>
      <c r="B17" s="4"/>
      <c r="C17" s="4"/>
      <c r="D17" s="726" t="s">
        <v>981</v>
      </c>
      <c r="E17" s="20"/>
      <c r="F17" s="919">
        <f>'3d. Daybrook'!I34*F5</f>
        <v>313068</v>
      </c>
      <c r="G17" s="919">
        <f>'3d. Daybrook'!J34*G5</f>
        <v>376096.95</v>
      </c>
      <c r="H17" s="919">
        <f>'3d. Daybrook'!K34*H5</f>
        <v>503629.97387595387</v>
      </c>
      <c r="I17" s="1216">
        <f>'3d. Daybrook'!L34*I5</f>
        <v>620205.05095619359</v>
      </c>
      <c r="J17" s="1216">
        <f>'3d. Daybrook'!M34*J5</f>
        <v>661602.66525019531</v>
      </c>
      <c r="K17" s="1216">
        <f>'3d. Daybrook'!N34*K5</f>
        <v>745349.64024594612</v>
      </c>
      <c r="L17" s="1216">
        <f>'3d. Daybrook'!O34*L5</f>
        <v>838262.27590225509</v>
      </c>
      <c r="M17" s="1216">
        <f>'3d. Daybrook'!P34*M5</f>
        <v>936131.40055971756</v>
      </c>
      <c r="N17" s="1216">
        <f>'3d. Daybrook'!Q34*N5</f>
        <v>1060240.2131833709</v>
      </c>
      <c r="O17" s="1216">
        <f>'3d. Daybrook'!R34*O5</f>
        <v>1169968.855562734</v>
      </c>
      <c r="P17" s="1216">
        <f>'3d. Daybrook'!S34*P5</f>
        <v>1294802.9689561559</v>
      </c>
      <c r="Q17" s="1216">
        <f>'3d. Daybrook'!T34*Q5</f>
        <v>1432138.9647785686</v>
      </c>
      <c r="R17" s="1216">
        <f>'3d. Daybrook'!U34*R5</f>
        <v>1583374.9904527988</v>
      </c>
      <c r="S17" s="1216">
        <f>'3d. Daybrook'!V34*S5</f>
        <v>1748074.9779817255</v>
      </c>
      <c r="T17" s="1216">
        <f>'3d. Daybrook'!W34*T5</f>
        <v>1929905.1767134182</v>
      </c>
      <c r="U17" s="1216">
        <f>'3d. Daybrook'!X34*U5</f>
        <v>2130647.1752910623</v>
      </c>
      <c r="V17" s="1216">
        <f>'3d. Daybrook'!Y34*V5</f>
        <v>2352267.8464957289</v>
      </c>
      <c r="W17" s="1526">
        <f>'3d. Daybrook'!Z34*W5</f>
        <v>2596938.6163643207</v>
      </c>
      <c r="AA17" s="110" t="s">
        <v>1658</v>
      </c>
    </row>
    <row r="18" spans="1:27" s="107" customFormat="1" ht="14">
      <c r="A18" s="117"/>
      <c r="B18" s="117"/>
      <c r="C18" s="117"/>
      <c r="D18" s="1003" t="s">
        <v>832</v>
      </c>
      <c r="E18" s="439"/>
      <c r="F18" s="1542"/>
      <c r="G18" s="1410">
        <f>(G17/F17)-1</f>
        <v>0.20132670857449497</v>
      </c>
      <c r="H18" s="1410">
        <f t="shared" ref="H18" si="47">(H17/G17)-1</f>
        <v>0.33909613964153085</v>
      </c>
      <c r="I18" s="1410">
        <f t="shared" ref="I18" si="48">(I17/H17)-1</f>
        <v>0.23146969625948555</v>
      </c>
      <c r="J18" s="1410">
        <f t="shared" ref="J18" si="49">(J17/I17)-1</f>
        <v>6.6748270157067413E-2</v>
      </c>
      <c r="K18" s="1410">
        <f t="shared" ref="K18" si="50">(K17/J17)-1</f>
        <v>0.12658197947869598</v>
      </c>
      <c r="L18" s="1410">
        <f t="shared" ref="L18" si="51">(L17/K17)-1</f>
        <v>0.12465644395514852</v>
      </c>
      <c r="M18" s="1410">
        <f t="shared" ref="M18" si="52">(M17/L17)-1</f>
        <v>0.1167523905953205</v>
      </c>
      <c r="N18" s="1410">
        <f t="shared" ref="N18" si="53">(N17/M17)-1</f>
        <v>0.13257627353323276</v>
      </c>
      <c r="O18" s="1410">
        <f t="shared" ref="O18" si="54">(O17/N17)-1</f>
        <v>0.10349413370193039</v>
      </c>
      <c r="P18" s="1410">
        <f t="shared" ref="P18" si="55">(P17/O17)-1</f>
        <v>0.10669866364381053</v>
      </c>
      <c r="Q18" s="1410">
        <f t="shared" ref="Q18" si="56">(Q17/P17)-1</f>
        <v>0.10606709987167395</v>
      </c>
      <c r="R18" s="1410">
        <f t="shared" ref="R18" si="57">(R17/Q17)-1</f>
        <v>0.10560150194475981</v>
      </c>
      <c r="S18" s="1410">
        <f t="shared" ref="S18" si="58">(S17/R17)-1</f>
        <v>0.10401830805842605</v>
      </c>
      <c r="T18" s="1410">
        <f t="shared" ref="T18" si="59">(T17/S17)-1</f>
        <v>0.10401739114281483</v>
      </c>
      <c r="U18" s="1410">
        <f t="shared" ref="U18" si="60">(U17/T17)-1</f>
        <v>0.10401650868645418</v>
      </c>
      <c r="V18" s="1410">
        <f t="shared" ref="V18" si="61">(V17/U17)-1</f>
        <v>0.10401565954925962</v>
      </c>
      <c r="W18" s="1543">
        <f t="shared" ref="W18" si="62">(W17/V17)-1</f>
        <v>0.10401484262648397</v>
      </c>
    </row>
    <row r="19" spans="1:27" s="107" customFormat="1" ht="14">
      <c r="A19" s="117"/>
      <c r="B19" s="117"/>
      <c r="C19" s="117"/>
      <c r="D19" s="1003" t="s">
        <v>978</v>
      </c>
      <c r="E19" s="439"/>
      <c r="F19" s="1410">
        <f t="shared" ref="F19:M19" si="63">F17/F6</f>
        <v>0.28827942850197241</v>
      </c>
      <c r="G19" s="1410">
        <f t="shared" si="63"/>
        <v>0.28753599341834635</v>
      </c>
      <c r="H19" s="1410">
        <f t="shared" si="63"/>
        <v>0.29762487718693437</v>
      </c>
      <c r="I19" s="1410">
        <f t="shared" si="63"/>
        <v>0.28871069392706888</v>
      </c>
      <c r="J19" s="1410">
        <f t="shared" si="63"/>
        <v>0.28466979631211436</v>
      </c>
      <c r="K19" s="1410">
        <f t="shared" si="63"/>
        <v>0.28552903245848932</v>
      </c>
      <c r="L19" s="1410">
        <f t="shared" si="63"/>
        <v>0.28630392270711746</v>
      </c>
      <c r="M19" s="1410">
        <f t="shared" si="63"/>
        <v>0.2870041299027507</v>
      </c>
      <c r="N19" s="1410">
        <f t="shared" ref="N19:W19" si="64">N17/N6</f>
        <v>0.29500604138438996</v>
      </c>
      <c r="O19" s="1410">
        <f t="shared" si="64"/>
        <v>0.29501178691715929</v>
      </c>
      <c r="P19" s="1410">
        <f t="shared" si="64"/>
        <v>0.2950172474643829</v>
      </c>
      <c r="Q19" s="1410">
        <f t="shared" si="64"/>
        <v>0.29502243353738866</v>
      </c>
      <c r="R19" s="1410">
        <f t="shared" si="64"/>
        <v>0.29502735530361518</v>
      </c>
      <c r="S19" s="1410">
        <f t="shared" si="64"/>
        <v>0.29503202259714972</v>
      </c>
      <c r="T19" s="1410">
        <f t="shared" si="64"/>
        <v>0.29503644492895786</v>
      </c>
      <c r="U19" s="1410">
        <f t="shared" si="64"/>
        <v>0.29504063149681042</v>
      </c>
      <c r="V19" s="1410">
        <f t="shared" si="64"/>
        <v>0.29504459119491927</v>
      </c>
      <c r="W19" s="1543">
        <f t="shared" si="64"/>
        <v>0.29504833262328806</v>
      </c>
    </row>
    <row r="20" spans="1:27" s="110" customFormat="1">
      <c r="A20" s="9"/>
      <c r="B20" s="9"/>
      <c r="C20" s="9"/>
      <c r="D20" s="1228" t="s">
        <v>15</v>
      </c>
      <c r="E20" s="50"/>
      <c r="F20" s="1390">
        <f>'3d. Daybrook'!I35*F5</f>
        <v>-124284</v>
      </c>
      <c r="G20" s="1390">
        <f>'3d. Daybrook'!J35*G5</f>
        <v>-131263.1</v>
      </c>
      <c r="H20" s="1390">
        <f>'3d. Daybrook'!K35*H5</f>
        <v>-201451.98955038158</v>
      </c>
      <c r="I20" s="852">
        <f>'3d. Daybrook'!L35*I5</f>
        <v>-248082.02038247744</v>
      </c>
      <c r="J20" s="852">
        <f>'3d. Daybrook'!M35*J5</f>
        <v>-264641.06610007811</v>
      </c>
      <c r="K20" s="852">
        <f>'3d. Daybrook'!N35*K5</f>
        <v>-298139.85609837848</v>
      </c>
      <c r="L20" s="852">
        <f>'3d. Daybrook'!O35*L5</f>
        <v>-335304.91036090202</v>
      </c>
      <c r="M20" s="852">
        <f>'3d. Daybrook'!P35*M5</f>
        <v>-374452.56022388703</v>
      </c>
      <c r="N20" s="852">
        <f>'3d. Daybrook'!Q35*N5</f>
        <v>-424096.08527334844</v>
      </c>
      <c r="O20" s="852">
        <f>'3d. Daybrook'!R35*O5</f>
        <v>-467987.54222509358</v>
      </c>
      <c r="P20" s="852">
        <f>'3d. Daybrook'!S35*P5</f>
        <v>-517921.18758246233</v>
      </c>
      <c r="Q20" s="852">
        <f>'3d. Daybrook'!T35*Q5</f>
        <v>-572855.58591142751</v>
      </c>
      <c r="R20" s="852">
        <f>'3d. Daybrook'!U35*R5</f>
        <v>-633349.99618111958</v>
      </c>
      <c r="S20" s="852">
        <f>'3d. Daybrook'!V35*S5</f>
        <v>-699229.99119269021</v>
      </c>
      <c r="T20" s="852">
        <f>'3d. Daybrook'!W35*T5</f>
        <v>-771962.07068536733</v>
      </c>
      <c r="U20" s="852">
        <f>'3d. Daybrook'!X35*U5</f>
        <v>-852258.8701164251</v>
      </c>
      <c r="V20" s="852">
        <f>'3d. Daybrook'!Y35*V5</f>
        <v>-940907.13859829167</v>
      </c>
      <c r="W20" s="1601">
        <f>'3d. Daybrook'!Z35*W5</f>
        <v>-1038775.4465457284</v>
      </c>
    </row>
    <row r="21" spans="1:27" s="110" customFormat="1">
      <c r="A21" s="9"/>
      <c r="B21" s="9"/>
      <c r="C21" s="9"/>
      <c r="D21" s="1228" t="s">
        <v>928</v>
      </c>
      <c r="E21" s="50"/>
      <c r="F21" s="1763">
        <f>-F20/F17</f>
        <v>0.3969872359998467</v>
      </c>
      <c r="G21" s="1763">
        <f t="shared" ref="G21:M21" si="65">-G20/G17</f>
        <v>0.34901399758759011</v>
      </c>
      <c r="H21" s="1763">
        <f t="shared" si="65"/>
        <v>0.40000000000000008</v>
      </c>
      <c r="I21" s="1763">
        <f t="shared" si="65"/>
        <v>0.4</v>
      </c>
      <c r="J21" s="1763">
        <f t="shared" si="65"/>
        <v>0.39999999999999997</v>
      </c>
      <c r="K21" s="1763">
        <f t="shared" si="65"/>
        <v>0.4</v>
      </c>
      <c r="L21" s="1763">
        <f t="shared" si="65"/>
        <v>0.39999999999999997</v>
      </c>
      <c r="M21" s="1763">
        <f t="shared" si="65"/>
        <v>0.4</v>
      </c>
      <c r="N21" s="1763">
        <f t="shared" ref="N21:W21" si="66">-N20/N17</f>
        <v>0.40000000000000008</v>
      </c>
      <c r="O21" s="1763">
        <f t="shared" si="66"/>
        <v>0.4</v>
      </c>
      <c r="P21" s="1763">
        <f t="shared" si="66"/>
        <v>0.39999999999999997</v>
      </c>
      <c r="Q21" s="1763">
        <f t="shared" si="66"/>
        <v>0.4</v>
      </c>
      <c r="R21" s="1763">
        <f t="shared" si="66"/>
        <v>0.4</v>
      </c>
      <c r="S21" s="1763">
        <f t="shared" si="66"/>
        <v>0.4</v>
      </c>
      <c r="T21" s="1763">
        <f t="shared" si="66"/>
        <v>0.4</v>
      </c>
      <c r="U21" s="1763">
        <f t="shared" si="66"/>
        <v>0.40000000000000008</v>
      </c>
      <c r="V21" s="1763">
        <f t="shared" si="66"/>
        <v>0.4</v>
      </c>
      <c r="W21" s="1764">
        <f t="shared" si="66"/>
        <v>0.4</v>
      </c>
    </row>
    <row r="22" spans="1:27" s="46" customFormat="1">
      <c r="A22" s="4"/>
      <c r="B22" s="4"/>
      <c r="C22" s="4"/>
      <c r="D22" s="726" t="s">
        <v>982</v>
      </c>
      <c r="E22" s="20"/>
      <c r="F22" s="1216">
        <f>'3d. Daybrook'!I37*F5</f>
        <v>188784</v>
      </c>
      <c r="G22" s="1216">
        <f>'3d. Daybrook'!J37*G5</f>
        <v>244833.85</v>
      </c>
      <c r="H22" s="1216">
        <f>'3d. Daybrook'!K37*H5</f>
        <v>302177.98432557232</v>
      </c>
      <c r="I22" s="1216">
        <f>'3d. Daybrook'!L37*I5</f>
        <v>372123.03057371615</v>
      </c>
      <c r="J22" s="1216">
        <f>'3d. Daybrook'!M37*J5</f>
        <v>396961.59915011714</v>
      </c>
      <c r="K22" s="1216">
        <f>'3d. Daybrook'!N37*K5</f>
        <v>447209.78414756764</v>
      </c>
      <c r="L22" s="1216">
        <f>'3d. Daybrook'!O37*L5</f>
        <v>502957.36554135301</v>
      </c>
      <c r="M22" s="1216">
        <f>'3d. Daybrook'!P37*M5</f>
        <v>561678.84033583058</v>
      </c>
      <c r="N22" s="1216">
        <f>'3d. Daybrook'!Q37*N5</f>
        <v>636144.12791002251</v>
      </c>
      <c r="O22" s="1216">
        <f>'3d. Daybrook'!R37*O5</f>
        <v>701981.31333764025</v>
      </c>
      <c r="P22" s="1216">
        <f>'3d. Daybrook'!S37*P5</f>
        <v>776881.78137369349</v>
      </c>
      <c r="Q22" s="1216">
        <f>'3d. Daybrook'!T37*Q5</f>
        <v>859283.3788671412</v>
      </c>
      <c r="R22" s="1216">
        <f>'3d. Daybrook'!U37*R5</f>
        <v>950024.9942716792</v>
      </c>
      <c r="S22" s="1216">
        <f>'3d. Daybrook'!V37*S5</f>
        <v>1048844.9867890351</v>
      </c>
      <c r="T22" s="1216">
        <f>'3d. Daybrook'!W37*T5</f>
        <v>1157943.1060280509</v>
      </c>
      <c r="U22" s="1216">
        <f>'3d. Daybrook'!X37*U5</f>
        <v>1278388.3051746374</v>
      </c>
      <c r="V22" s="1216">
        <f>'3d. Daybrook'!Y37*V5</f>
        <v>1411360.7078974375</v>
      </c>
      <c r="W22" s="1526">
        <f>'3d. Daybrook'!Z37*W5</f>
        <v>1558163.1698185923</v>
      </c>
    </row>
    <row r="23" spans="1:27" s="107" customFormat="1" ht="14">
      <c r="A23" s="117"/>
      <c r="B23" s="117"/>
      <c r="C23" s="117"/>
      <c r="D23" s="1003" t="s">
        <v>832</v>
      </c>
      <c r="E23" s="439"/>
      <c r="F23" s="1542"/>
      <c r="G23" s="1410">
        <f>(G22/F22)-1</f>
        <v>0.29689936647173498</v>
      </c>
      <c r="H23" s="1410">
        <f t="shared" ref="H23" si="67">(H22/G22)-1</f>
        <v>0.23421652817031768</v>
      </c>
      <c r="I23" s="1410">
        <f t="shared" ref="I23" si="68">(I22/H22)-1</f>
        <v>0.23146969625948555</v>
      </c>
      <c r="J23" s="1410">
        <f t="shared" ref="J23" si="69">(J22/I22)-1</f>
        <v>6.6748270157067191E-2</v>
      </c>
      <c r="K23" s="1410">
        <f t="shared" ref="K23" si="70">(K22/J22)-1</f>
        <v>0.12658197947869598</v>
      </c>
      <c r="L23" s="1410">
        <f t="shared" ref="L23" si="71">(L22/K22)-1</f>
        <v>0.12465644395514852</v>
      </c>
      <c r="M23" s="1410">
        <f t="shared" ref="M23" si="72">(M22/L22)-1</f>
        <v>0.11675239059532072</v>
      </c>
      <c r="N23" s="1410">
        <f t="shared" ref="N23" si="73">(N22/M22)-1</f>
        <v>0.13257627353323254</v>
      </c>
      <c r="O23" s="1410">
        <f t="shared" ref="O23" si="74">(O22/N22)-1</f>
        <v>0.10349413370193039</v>
      </c>
      <c r="P23" s="1410">
        <f t="shared" ref="P23" si="75">(P22/O22)-1</f>
        <v>0.10669866364381053</v>
      </c>
      <c r="Q23" s="1410">
        <f t="shared" ref="Q23" si="76">(Q22/P22)-1</f>
        <v>0.10606709987167418</v>
      </c>
      <c r="R23" s="1410">
        <f t="shared" ref="R23" si="77">(R22/Q22)-1</f>
        <v>0.10560150194475959</v>
      </c>
      <c r="S23" s="1410">
        <f t="shared" ref="S23" si="78">(S22/R22)-1</f>
        <v>0.10401830805842605</v>
      </c>
      <c r="T23" s="1410">
        <f t="shared" ref="T23" si="79">(T22/S22)-1</f>
        <v>0.10401739114281505</v>
      </c>
      <c r="U23" s="1410">
        <f t="shared" ref="U23" si="80">(U22/T22)-1</f>
        <v>0.10401650868645418</v>
      </c>
      <c r="V23" s="1410">
        <f t="shared" ref="V23" si="81">(V22/U22)-1</f>
        <v>0.10401565954925962</v>
      </c>
      <c r="W23" s="1543">
        <f t="shared" ref="W23" si="82">(W22/V22)-1</f>
        <v>0.10401484262648375</v>
      </c>
    </row>
    <row r="24" spans="1:27" s="107" customFormat="1" thickBot="1">
      <c r="A24" s="117"/>
      <c r="B24" s="117"/>
      <c r="C24" s="117"/>
      <c r="D24" s="1013" t="s">
        <v>1236</v>
      </c>
      <c r="E24" s="1014"/>
      <c r="F24" s="1412">
        <f>F22/F6</f>
        <v>0.17383617498535894</v>
      </c>
      <c r="G24" s="1412">
        <f t="shared" ref="G24:M24" si="83">G22/G6</f>
        <v>0.18718190690509029</v>
      </c>
      <c r="H24" s="1412">
        <f t="shared" si="83"/>
        <v>0.17857492631216063</v>
      </c>
      <c r="I24" s="1412">
        <f t="shared" si="83"/>
        <v>0.17322641635624134</v>
      </c>
      <c r="J24" s="1412">
        <f t="shared" si="83"/>
        <v>0.1708018777872686</v>
      </c>
      <c r="K24" s="1412">
        <f t="shared" si="83"/>
        <v>0.17131741947509357</v>
      </c>
      <c r="L24" s="1412">
        <f t="shared" si="83"/>
        <v>0.17178235362427044</v>
      </c>
      <c r="M24" s="1412">
        <f t="shared" si="83"/>
        <v>0.17220247794165044</v>
      </c>
      <c r="N24" s="1412">
        <f t="shared" ref="N24:W24" si="84">N22/N6</f>
        <v>0.17700362483063398</v>
      </c>
      <c r="O24" s="1412">
        <f t="shared" si="84"/>
        <v>0.17700707215029554</v>
      </c>
      <c r="P24" s="1412">
        <f t="shared" si="84"/>
        <v>0.17701034847862973</v>
      </c>
      <c r="Q24" s="1412">
        <f t="shared" si="84"/>
        <v>0.17701346012243321</v>
      </c>
      <c r="R24" s="1412">
        <f t="shared" si="84"/>
        <v>0.1770164131821691</v>
      </c>
      <c r="S24" s="1412">
        <f t="shared" si="84"/>
        <v>0.17701921355828981</v>
      </c>
      <c r="T24" s="1412">
        <f t="shared" si="84"/>
        <v>0.17702186695737471</v>
      </c>
      <c r="U24" s="1412">
        <f t="shared" si="84"/>
        <v>0.17702437889808625</v>
      </c>
      <c r="V24" s="1412">
        <f t="shared" si="84"/>
        <v>0.17702675471695156</v>
      </c>
      <c r="W24" s="1544">
        <f t="shared" si="84"/>
        <v>0.17702899957397281</v>
      </c>
    </row>
    <row r="25" spans="1:27" s="163" customFormat="1" ht="14" hidden="1">
      <c r="A25" s="7"/>
      <c r="B25" s="7"/>
      <c r="C25" s="7"/>
      <c r="D25" s="175"/>
      <c r="E25" s="160"/>
      <c r="F25" s="169"/>
      <c r="G25" s="169"/>
      <c r="H25" s="169"/>
      <c r="I25" s="234"/>
      <c r="J25" s="234"/>
      <c r="K25" s="234"/>
      <c r="L25" s="234"/>
      <c r="M25" s="234"/>
      <c r="N25" s="234"/>
      <c r="O25" s="234"/>
      <c r="P25" s="234"/>
      <c r="Q25" s="234"/>
      <c r="R25" s="234"/>
      <c r="S25" s="234"/>
      <c r="T25" s="234"/>
      <c r="U25" s="234"/>
      <c r="V25" s="234"/>
      <c r="W25" s="1007"/>
    </row>
    <row r="26" spans="1:27" s="163" customFormat="1" ht="14" hidden="1">
      <c r="A26" s="7"/>
      <c r="B26" s="7"/>
      <c r="C26" s="7"/>
      <c r="D26" s="175"/>
      <c r="E26" s="160"/>
      <c r="F26" s="169"/>
      <c r="G26" s="169"/>
      <c r="H26" s="169"/>
      <c r="I26" s="234"/>
      <c r="J26" s="234"/>
      <c r="K26" s="234"/>
      <c r="L26" s="234"/>
      <c r="M26" s="234"/>
      <c r="N26" s="234"/>
      <c r="O26" s="234"/>
      <c r="P26" s="234"/>
      <c r="Q26" s="234"/>
      <c r="R26" s="234"/>
      <c r="S26" s="234"/>
      <c r="T26" s="234"/>
      <c r="U26" s="234"/>
      <c r="V26" s="234"/>
      <c r="W26" s="1007"/>
    </row>
    <row r="27" spans="1:27" s="291" customFormat="1" ht="14" hidden="1">
      <c r="A27" s="6"/>
      <c r="B27" s="6"/>
      <c r="C27" s="6"/>
      <c r="D27" s="624" t="s">
        <v>498</v>
      </c>
      <c r="E27" s="124"/>
      <c r="F27" s="372">
        <f>-'3d. Daybrook'!I79*F5</f>
        <v>73536</v>
      </c>
      <c r="G27" s="372">
        <f>-'3d. Daybrook'!J79*G5</f>
        <v>151255.35</v>
      </c>
      <c r="H27" s="372">
        <f>-'3d. Daybrook'!K79*H5</f>
        <v>50764.907016791163</v>
      </c>
      <c r="I27" s="1000">
        <f>-'3d. Daybrook'!L79*I5</f>
        <v>64445.661071999995</v>
      </c>
      <c r="J27" s="1000">
        <f>-'3d. Daybrook'!M79*J5</f>
        <v>69723.167735519979</v>
      </c>
      <c r="K27" s="1000">
        <f>-'3d. Daybrook'!N79*K5</f>
        <v>78312.488978258945</v>
      </c>
      <c r="L27" s="1000">
        <f>-'3d. Daybrook'!O79*L5</f>
        <v>87836.26867310988</v>
      </c>
      <c r="M27" s="1000">
        <f>-'3d. Daybrook'!P79*M5</f>
        <v>97852.048422813867</v>
      </c>
      <c r="N27" s="1000">
        <f>-'3d. Daybrook'!Q79*N5</f>
        <v>107818.83057796993</v>
      </c>
      <c r="O27" s="1000">
        <f>-'3d. Daybrook'!R79*O5</f>
        <v>118975.12988773563</v>
      </c>
      <c r="P27" s="1000">
        <f>-'3d. Daybrook'!S79*P5</f>
        <v>131667.18014808366</v>
      </c>
      <c r="Q27" s="1000">
        <f>-'3d. Daybrook'!T79*Q5</f>
        <v>145630.17607917648</v>
      </c>
      <c r="R27" s="1000">
        <f>-'3d. Daybrook'!U79*R5</f>
        <v>161006.25538503035</v>
      </c>
      <c r="S27" s="1000">
        <f>-'3d. Daybrook'!V79*S5</f>
        <v>177751.04165915854</v>
      </c>
      <c r="T27" s="1000">
        <f>-'3d. Daybrook'!W79*T5</f>
        <v>196237.29982017531</v>
      </c>
      <c r="U27" s="1000">
        <f>-'3d. Daybrook'!X79*U5</f>
        <v>216646.14441222438</v>
      </c>
      <c r="V27" s="1000">
        <f>-'3d. Daybrook'!Y79*V5</f>
        <v>239177.52604470408</v>
      </c>
      <c r="W27" s="1001">
        <f>-'3d. Daybrook'!Z79*W5</f>
        <v>264052.19035893091</v>
      </c>
    </row>
    <row r="28" spans="1:27" s="562" customFormat="1" hidden="1" thickBot="1">
      <c r="A28" s="1008"/>
      <c r="B28" s="1008"/>
      <c r="C28" s="1008"/>
      <c r="D28" s="1009" t="s">
        <v>983</v>
      </c>
      <c r="E28" s="1010"/>
      <c r="F28" s="1006">
        <f>F27/F6</f>
        <v>6.7713455397297201E-2</v>
      </c>
      <c r="G28" s="1006">
        <f t="shared" ref="G28:W28" si="85">G27/G6</f>
        <v>0.11563868657294263</v>
      </c>
      <c r="H28" s="1006">
        <f t="shared" si="85"/>
        <v>2.9999999999999995E-2</v>
      </c>
      <c r="I28" s="1006">
        <f t="shared" si="85"/>
        <v>0.03</v>
      </c>
      <c r="J28" s="1006">
        <f t="shared" si="85"/>
        <v>2.9999999999999995E-2</v>
      </c>
      <c r="K28" s="1006">
        <f t="shared" si="85"/>
        <v>0.03</v>
      </c>
      <c r="L28" s="1006">
        <f t="shared" si="85"/>
        <v>0.03</v>
      </c>
      <c r="M28" s="1006">
        <f t="shared" si="85"/>
        <v>2.9999999999999995E-2</v>
      </c>
      <c r="N28" s="1006">
        <f t="shared" si="85"/>
        <v>0.03</v>
      </c>
      <c r="O28" s="1006">
        <f t="shared" si="85"/>
        <v>2.9999999999999995E-2</v>
      </c>
      <c r="P28" s="1006">
        <f t="shared" si="85"/>
        <v>3.0000000000000002E-2</v>
      </c>
      <c r="Q28" s="1006">
        <f t="shared" si="85"/>
        <v>2.9999999999999995E-2</v>
      </c>
      <c r="R28" s="1006">
        <f t="shared" si="85"/>
        <v>2.9999999999999992E-2</v>
      </c>
      <c r="S28" s="1006">
        <f t="shared" si="85"/>
        <v>0.03</v>
      </c>
      <c r="T28" s="1006">
        <f t="shared" si="85"/>
        <v>0.03</v>
      </c>
      <c r="U28" s="1006">
        <f t="shared" si="85"/>
        <v>0.03</v>
      </c>
      <c r="V28" s="1006">
        <f t="shared" si="85"/>
        <v>0.03</v>
      </c>
      <c r="W28" s="1006">
        <f t="shared" si="85"/>
        <v>3.0000000000000002E-2</v>
      </c>
    </row>
    <row r="29" spans="1:27">
      <c r="H29" s="969"/>
      <c r="I29" s="969"/>
      <c r="J29" s="969"/>
      <c r="K29" s="969"/>
      <c r="L29" s="969"/>
      <c r="M29" s="969"/>
      <c r="N29" s="969"/>
      <c r="O29" s="969"/>
      <c r="P29" s="969"/>
      <c r="Q29" s="969"/>
      <c r="R29" s="969"/>
      <c r="S29" s="969"/>
      <c r="T29" s="969"/>
      <c r="U29" s="969"/>
      <c r="V29" s="969"/>
      <c r="W29" s="969"/>
      <c r="X29" s="1029"/>
      <c r="Y29" s="1029"/>
      <c r="Z29" s="1029"/>
    </row>
    <row r="30" spans="1:27" ht="16" thickBot="1"/>
    <row r="31" spans="1:27" s="171" customFormat="1">
      <c r="D31" s="733" t="s">
        <v>1613</v>
      </c>
      <c r="E31" s="1016" t="s">
        <v>20</v>
      </c>
      <c r="F31" s="1016" t="s">
        <v>21</v>
      </c>
      <c r="G31" s="1016" t="s">
        <v>22</v>
      </c>
      <c r="H31" s="1016" t="s">
        <v>964</v>
      </c>
      <c r="I31" s="1016" t="s">
        <v>24</v>
      </c>
      <c r="J31" s="1016" t="s">
        <v>25</v>
      </c>
      <c r="K31" s="1016" t="s">
        <v>26</v>
      </c>
      <c r="L31" s="1016" t="s">
        <v>27</v>
      </c>
      <c r="M31" s="513" t="s">
        <v>712</v>
      </c>
    </row>
    <row r="32" spans="1:27" s="184" customFormat="1">
      <c r="A32" s="1768"/>
      <c r="B32" s="1768"/>
      <c r="C32" s="1768"/>
      <c r="D32" s="1769" t="s">
        <v>975</v>
      </c>
      <c r="E32" s="1770"/>
      <c r="F32" s="1771">
        <v>12</v>
      </c>
      <c r="G32" s="1771">
        <v>11.28</v>
      </c>
      <c r="H32" s="1771">
        <f>H5</f>
        <v>12.760864615384605</v>
      </c>
      <c r="I32" s="1771">
        <f t="shared" ref="I32:M32" si="86">I5</f>
        <v>15.4284</v>
      </c>
      <c r="J32" s="1771">
        <f t="shared" si="86"/>
        <v>15.969999999999999</v>
      </c>
      <c r="K32" s="1771">
        <f t="shared" si="86"/>
        <v>17.2425</v>
      </c>
      <c r="L32" s="1771">
        <f t="shared" si="86"/>
        <v>18.68</v>
      </c>
      <c r="M32" s="1772">
        <f t="shared" si="86"/>
        <v>20.2</v>
      </c>
      <c r="N32" s="1034"/>
      <c r="O32" s="1034"/>
      <c r="P32" s="1034"/>
      <c r="Q32" s="1034"/>
      <c r="R32" s="1034"/>
      <c r="S32" s="1034"/>
      <c r="T32" s="1034"/>
      <c r="U32" s="1034"/>
      <c r="V32" s="1034"/>
      <c r="W32" s="1034"/>
      <c r="X32" s="1034"/>
      <c r="Y32" s="1034"/>
      <c r="Z32" s="1034"/>
    </row>
    <row r="33" spans="1:23" s="1032" customFormat="1">
      <c r="A33" s="1773"/>
      <c r="B33" s="1773"/>
      <c r="C33" s="1773"/>
      <c r="D33" s="1774" t="s">
        <v>42</v>
      </c>
      <c r="E33" s="1211">
        <f>SUM(E34)</f>
        <v>0</v>
      </c>
      <c r="F33" s="1211">
        <f t="shared" ref="F33:M33" si="87">SUM(F34)</f>
        <v>787788</v>
      </c>
      <c r="G33" s="1211">
        <f t="shared" si="87"/>
        <v>827816.6399999999</v>
      </c>
      <c r="H33" s="1211">
        <f t="shared" si="87"/>
        <v>919572.69672158174</v>
      </c>
      <c r="I33" s="919">
        <f t="shared" si="87"/>
        <v>1090318.5921531429</v>
      </c>
      <c r="J33" s="919">
        <f t="shared" si="87"/>
        <v>1105352.1823167312</v>
      </c>
      <c r="K33" s="919">
        <f t="shared" si="87"/>
        <v>1167323.2010395727</v>
      </c>
      <c r="L33" s="919">
        <f t="shared" si="87"/>
        <v>1235363.690950878</v>
      </c>
      <c r="M33" s="920">
        <f t="shared" si="87"/>
        <v>1303268.4405261429</v>
      </c>
    </row>
    <row r="34" spans="1:23" s="1777" customFormat="1">
      <c r="A34" s="1775"/>
      <c r="B34" s="1775"/>
      <c r="C34" s="1775"/>
      <c r="D34" s="1776" t="s">
        <v>43</v>
      </c>
      <c r="E34" s="1415"/>
      <c r="F34" s="1415">
        <f>'3d. Daybrook'!I87*F32</f>
        <v>787788</v>
      </c>
      <c r="G34" s="1415">
        <f>'3d. Daybrook'!J87*G32</f>
        <v>827816.6399999999</v>
      </c>
      <c r="H34" s="1415">
        <f>'3d. Daybrook'!K87*H32</f>
        <v>919572.69672158174</v>
      </c>
      <c r="I34" s="1390">
        <f>'3d. Daybrook'!L87*I32</f>
        <v>1090318.5921531429</v>
      </c>
      <c r="J34" s="1390">
        <f>'3d. Daybrook'!M87*J32</f>
        <v>1105352.1823167312</v>
      </c>
      <c r="K34" s="1390">
        <f>'3d. Daybrook'!N87*K32</f>
        <v>1167323.2010395727</v>
      </c>
      <c r="L34" s="1390">
        <f>'3d. Daybrook'!O87*L32</f>
        <v>1235363.690950878</v>
      </c>
      <c r="M34" s="1547">
        <f>'3d. Daybrook'!P87*M32</f>
        <v>1303268.4405261429</v>
      </c>
    </row>
    <row r="35" spans="1:23" s="1777" customFormat="1">
      <c r="A35" s="1775"/>
      <c r="B35" s="1775"/>
      <c r="C35" s="1775"/>
      <c r="D35" s="1776"/>
      <c r="E35" s="1415"/>
      <c r="F35" s="1415"/>
      <c r="G35" s="1415"/>
      <c r="H35" s="1415"/>
      <c r="I35" s="1390"/>
      <c r="J35" s="1390"/>
      <c r="K35" s="1390"/>
      <c r="L35" s="1390"/>
      <c r="M35" s="1547"/>
    </row>
    <row r="36" spans="1:23" s="1032" customFormat="1">
      <c r="A36" s="1773"/>
      <c r="B36" s="1773"/>
      <c r="C36" s="1773"/>
      <c r="D36" s="1774" t="s">
        <v>49</v>
      </c>
      <c r="E36" s="1211">
        <f>SUM(E37:E40)</f>
        <v>0</v>
      </c>
      <c r="F36" s="1211">
        <f t="shared" ref="F36:M36" si="88">SUM(F37:F40)</f>
        <v>1149168</v>
      </c>
      <c r="G36" s="1211">
        <f t="shared" si="88"/>
        <v>1284273.1199999999</v>
      </c>
      <c r="H36" s="1211">
        <f t="shared" si="88"/>
        <v>1789992.7898803232</v>
      </c>
      <c r="I36" s="919">
        <f t="shared" si="88"/>
        <v>2554273.2547071269</v>
      </c>
      <c r="J36" s="919">
        <f t="shared" si="88"/>
        <v>3061794.4715194297</v>
      </c>
      <c r="K36" s="919">
        <f t="shared" si="88"/>
        <v>3778088.8380913124</v>
      </c>
      <c r="L36" s="919">
        <f t="shared" si="88"/>
        <v>4623132.9793664319</v>
      </c>
      <c r="M36" s="920">
        <f t="shared" si="88"/>
        <v>5589865.7023266433</v>
      </c>
    </row>
    <row r="37" spans="1:23" s="1777" customFormat="1">
      <c r="A37" s="1775"/>
      <c r="B37" s="1775"/>
      <c r="C37" s="1775"/>
      <c r="D37" s="1776" t="s">
        <v>50</v>
      </c>
      <c r="E37" s="1415"/>
      <c r="F37" s="1415">
        <f>'3d. Daybrook'!I90*F32</f>
        <v>367332</v>
      </c>
      <c r="G37" s="1415">
        <f>'3d. Daybrook'!J90*G32</f>
        <v>268001.51999999996</v>
      </c>
      <c r="H37" s="1415">
        <f>'3d. Daybrook'!K90*H32</f>
        <v>324276.41488398524</v>
      </c>
      <c r="I37" s="1390">
        <f>'3d. Daybrook'!L90*I32</f>
        <v>411666.42776168603</v>
      </c>
      <c r="J37" s="1390">
        <f>'3d. Daybrook'!M90*J32</f>
        <v>445378.12036473845</v>
      </c>
      <c r="K37" s="1390">
        <f>'3d. Daybrook'!N90*K32</f>
        <v>500245.04443811398</v>
      </c>
      <c r="L37" s="1390">
        <f>'3d. Daybrook'!O90*L32</f>
        <v>561081.1085043723</v>
      </c>
      <c r="M37" s="1547">
        <f>'3d. Daybrook'!P90*M32</f>
        <v>625059.97383406456</v>
      </c>
    </row>
    <row r="38" spans="1:23" s="1777" customFormat="1">
      <c r="A38" s="1775"/>
      <c r="B38" s="1775"/>
      <c r="C38" s="1775"/>
      <c r="D38" s="1776" t="s">
        <v>51</v>
      </c>
      <c r="E38" s="1415"/>
      <c r="F38" s="1415">
        <f>'3d. Daybrook'!I91*F32</f>
        <v>94740</v>
      </c>
      <c r="G38" s="1415">
        <f>'3d. Daybrook'!J91*G32</f>
        <v>102332.15999999999</v>
      </c>
      <c r="H38" s="1415">
        <f>'3d. Daybrook'!K91*H32</f>
        <v>123819.84241035039</v>
      </c>
      <c r="I38" s="1390">
        <f>'3d. Daybrook'!L91*I32</f>
        <v>157188.34263453915</v>
      </c>
      <c r="J38" s="1390">
        <f>'3d. Daybrook'!M91*J32</f>
        <v>170060.6215728317</v>
      </c>
      <c r="K38" s="1390">
        <f>'3d. Daybrook'!N91*K32</f>
        <v>191010.69250147609</v>
      </c>
      <c r="L38" s="1390">
        <f>'3d. Daybrook'!O91*L32</f>
        <v>214239.98553607755</v>
      </c>
      <c r="M38" s="1547">
        <f>'3d. Daybrook'!P91*M32</f>
        <v>238669.30774117741</v>
      </c>
    </row>
    <row r="39" spans="1:23" s="1777" customFormat="1">
      <c r="A39" s="1775"/>
      <c r="B39" s="1775"/>
      <c r="C39" s="1775"/>
      <c r="D39" s="1776" t="s">
        <v>984</v>
      </c>
      <c r="E39" s="1415"/>
      <c r="F39" s="1415">
        <f>'3d. Daybrook'!I93*F32</f>
        <v>686664</v>
      </c>
      <c r="G39" s="1415">
        <f>'3d. Daybrook'!J93*G32</f>
        <v>913544.6399999999</v>
      </c>
      <c r="H39" s="1415">
        <f>'3d. Daybrook'!K93*H32</f>
        <v>1341449.902324449</v>
      </c>
      <c r="I39" s="1390">
        <f>'3d. Daybrook'!L93*I32</f>
        <v>1984878.490310902</v>
      </c>
      <c r="J39" s="1390">
        <f>'3d. Daybrook'!M93*J32</f>
        <v>2445796.7795818592</v>
      </c>
      <c r="K39" s="1390">
        <f>'3d. Daybrook'!N93*K32</f>
        <v>3086229.6136517227</v>
      </c>
      <c r="L39" s="1390">
        <f>'3d. Daybrook'!O93*L32</f>
        <v>3847158.0853259824</v>
      </c>
      <c r="M39" s="1547">
        <f>'3d. Daybrook'!P93*M32</f>
        <v>4725429.4207514012</v>
      </c>
    </row>
    <row r="40" spans="1:23" s="1777" customFormat="1">
      <c r="A40" s="1775"/>
      <c r="B40" s="1775"/>
      <c r="C40" s="1775"/>
      <c r="D40" s="1776" t="s">
        <v>541</v>
      </c>
      <c r="E40" s="1415"/>
      <c r="F40" s="1415">
        <f>'3d. Daybrook'!I92*F32</f>
        <v>432</v>
      </c>
      <c r="G40" s="1415">
        <f>'3d. Daybrook'!J92*G32</f>
        <v>394.79999999999995</v>
      </c>
      <c r="H40" s="1415">
        <f>'3d. Daybrook'!K92*H32</f>
        <v>446.63026153846118</v>
      </c>
      <c r="I40" s="1390">
        <f>'3d. Daybrook'!L92*I32</f>
        <v>539.99400000000003</v>
      </c>
      <c r="J40" s="1390">
        <f>'3d. Daybrook'!M92*J32</f>
        <v>558.94999999999993</v>
      </c>
      <c r="K40" s="1390">
        <f>'3d. Daybrook'!N92*K32</f>
        <v>603.48749999999995</v>
      </c>
      <c r="L40" s="1390">
        <f>'3d. Daybrook'!O92*L32</f>
        <v>653.79999999999995</v>
      </c>
      <c r="M40" s="1547">
        <f>'3d. Daybrook'!P92*M32</f>
        <v>707</v>
      </c>
    </row>
    <row r="41" spans="1:23" s="1777" customFormat="1" ht="16" thickBot="1">
      <c r="A41" s="1775"/>
      <c r="B41" s="1775"/>
      <c r="C41" s="1775"/>
      <c r="D41" s="1776"/>
      <c r="E41" s="1415"/>
      <c r="F41" s="1415"/>
      <c r="G41" s="1415"/>
      <c r="H41" s="1415"/>
      <c r="I41" s="1390"/>
      <c r="J41" s="1390"/>
      <c r="K41" s="1390"/>
      <c r="L41" s="1390"/>
      <c r="M41" s="1547"/>
    </row>
    <row r="42" spans="1:23" s="1032" customFormat="1" ht="16" thickBot="1">
      <c r="A42" s="1773"/>
      <c r="B42" s="1773"/>
      <c r="C42" s="1773"/>
      <c r="D42" s="1778" t="s">
        <v>55</v>
      </c>
      <c r="E42" s="961">
        <f>SUM(E36,E33)</f>
        <v>0</v>
      </c>
      <c r="F42" s="961">
        <f t="shared" ref="F42:M42" si="89">SUM(F36,F33)</f>
        <v>1936956</v>
      </c>
      <c r="G42" s="961">
        <f t="shared" si="89"/>
        <v>2112089.7599999998</v>
      </c>
      <c r="H42" s="961">
        <f t="shared" si="89"/>
        <v>2709565.486601905</v>
      </c>
      <c r="I42" s="843">
        <f t="shared" si="89"/>
        <v>3644591.84686027</v>
      </c>
      <c r="J42" s="843">
        <f t="shared" si="89"/>
        <v>4167146.6538361609</v>
      </c>
      <c r="K42" s="843">
        <f t="shared" si="89"/>
        <v>4945412.0391308852</v>
      </c>
      <c r="L42" s="843">
        <f t="shared" si="89"/>
        <v>5858496.6703173099</v>
      </c>
      <c r="M42" s="857">
        <f t="shared" si="89"/>
        <v>6893134.142852786</v>
      </c>
      <c r="N42" s="919"/>
      <c r="O42" s="919"/>
      <c r="P42" s="919"/>
      <c r="Q42" s="919"/>
      <c r="R42" s="919"/>
      <c r="S42" s="919"/>
      <c r="T42" s="919"/>
      <c r="U42" s="919"/>
      <c r="V42" s="919"/>
      <c r="W42" s="919"/>
    </row>
    <row r="43" spans="1:23" s="1777" customFormat="1">
      <c r="A43" s="1775"/>
      <c r="B43" s="1775"/>
      <c r="C43" s="1775"/>
      <c r="D43" s="1776"/>
      <c r="E43" s="1415"/>
      <c r="F43" s="1415"/>
      <c r="G43" s="1415"/>
      <c r="H43" s="1415"/>
      <c r="I43" s="1390"/>
      <c r="J43" s="1390"/>
      <c r="K43" s="1390"/>
      <c r="L43" s="1390"/>
      <c r="M43" s="1547"/>
    </row>
    <row r="44" spans="1:23" s="1777" customFormat="1">
      <c r="A44" s="1775"/>
      <c r="B44" s="1775"/>
      <c r="C44" s="1775"/>
      <c r="D44" s="1774" t="s">
        <v>526</v>
      </c>
      <c r="E44" s="1415"/>
      <c r="F44" s="1415"/>
      <c r="G44" s="1415"/>
      <c r="H44" s="1415"/>
      <c r="I44" s="1390"/>
      <c r="J44" s="1390"/>
      <c r="K44" s="1390"/>
      <c r="L44" s="1390"/>
      <c r="M44" s="1547"/>
    </row>
    <row r="45" spans="1:23" s="1032" customFormat="1">
      <c r="A45" s="1773"/>
      <c r="B45" s="1773"/>
      <c r="C45" s="1773"/>
      <c r="D45" s="1774" t="s">
        <v>486</v>
      </c>
      <c r="E45" s="1211">
        <f>SUM(E46:E50)</f>
        <v>0</v>
      </c>
      <c r="F45" s="1211">
        <f t="shared" ref="F45:M45" si="90">SUM(F46:F50)</f>
        <v>1052904</v>
      </c>
      <c r="G45" s="1211">
        <f t="shared" si="90"/>
        <v>1246767.1199999999</v>
      </c>
      <c r="H45" s="1211">
        <f t="shared" si="90"/>
        <v>1712623.5893994174</v>
      </c>
      <c r="I45" s="919">
        <f t="shared" si="90"/>
        <v>2442754.0248743789</v>
      </c>
      <c r="J45" s="919">
        <f t="shared" si="90"/>
        <v>2925466.2903198972</v>
      </c>
      <c r="K45" s="919">
        <f t="shared" si="90"/>
        <v>3605779.1336053526</v>
      </c>
      <c r="L45" s="919">
        <f t="shared" si="90"/>
        <v>4409348.794611847</v>
      </c>
      <c r="M45" s="920">
        <f t="shared" si="90"/>
        <v>5329818.3291559219</v>
      </c>
    </row>
    <row r="46" spans="1:23" s="1777" customFormat="1">
      <c r="A46" s="1775"/>
      <c r="B46" s="1775"/>
      <c r="C46" s="1775"/>
      <c r="D46" s="1776" t="s">
        <v>527</v>
      </c>
      <c r="E46" s="1415"/>
      <c r="F46" s="1415">
        <f>'3d. Daybrook'!I100*$F$32</f>
        <v>43644</v>
      </c>
      <c r="G46" s="1415">
        <f>'3d. Daybrook'!J100*G32</f>
        <v>41025.360000000001</v>
      </c>
      <c r="H46" s="1415">
        <f>'3d. Daybrook'!K100*H32</f>
        <v>46411.264606153811</v>
      </c>
      <c r="I46" s="1390">
        <f>'3d. Daybrook'!L100*I32</f>
        <v>56113.090799999998</v>
      </c>
      <c r="J46" s="1390">
        <f>'3d. Daybrook'!M100*J32</f>
        <v>58082.89</v>
      </c>
      <c r="K46" s="1390">
        <f>'3d. Daybrook'!N100*K32</f>
        <v>62710.972499999996</v>
      </c>
      <c r="L46" s="1390">
        <f>'3d. Daybrook'!O100*L32</f>
        <v>67939.16</v>
      </c>
      <c r="M46" s="1547">
        <f>'3d. Daybrook'!P100*M32</f>
        <v>73467.399999999994</v>
      </c>
    </row>
    <row r="47" spans="1:23" s="1777" customFormat="1">
      <c r="A47" s="1775"/>
      <c r="B47" s="1775"/>
      <c r="C47" s="1775"/>
      <c r="D47" s="1776" t="s">
        <v>487</v>
      </c>
      <c r="E47" s="1415"/>
      <c r="F47" s="1415">
        <f>'3d. Daybrook'!I101*F32</f>
        <v>0</v>
      </c>
      <c r="G47" s="1415">
        <f>'3d. Daybrook'!J101*G32</f>
        <v>-2402.64</v>
      </c>
      <c r="H47" s="1415">
        <f>'3d. Daybrook'!K101*H32</f>
        <v>-2718.064163076921</v>
      </c>
      <c r="I47" s="1390">
        <f>'3d. Daybrook'!L101*I32</f>
        <v>-3286.2492000000002</v>
      </c>
      <c r="J47" s="1390">
        <f>'3d. Daybrook'!M101*J32</f>
        <v>-3401.6099999999997</v>
      </c>
      <c r="K47" s="1390">
        <f>'3d. Daybrook'!N101*K32</f>
        <v>-3672.6525000000001</v>
      </c>
      <c r="L47" s="1390">
        <f>'3d. Daybrook'!O101*L32</f>
        <v>-3978.84</v>
      </c>
      <c r="M47" s="1547">
        <f>'3d. Daybrook'!P101*M32</f>
        <v>-4302.5999999999995</v>
      </c>
    </row>
    <row r="48" spans="1:23" s="1777" customFormat="1">
      <c r="A48" s="1775"/>
      <c r="B48" s="1775"/>
      <c r="C48" s="1775"/>
      <c r="D48" s="1776" t="s">
        <v>488</v>
      </c>
      <c r="E48" s="1415"/>
      <c r="F48" s="1415">
        <f>'3d. Daybrook'!I102*F32</f>
        <v>105516</v>
      </c>
      <c r="G48" s="1415">
        <f>'3d. Daybrook'!J102*G32</f>
        <v>104340</v>
      </c>
      <c r="H48" s="1415">
        <f>'3d. Daybrook'!K102*H32</f>
        <v>118037.9976923076</v>
      </c>
      <c r="I48" s="1390">
        <f>'3d. Daybrook'!L102*I32</f>
        <v>142712.70000000001</v>
      </c>
      <c r="J48" s="1390">
        <f>'3d. Daybrook'!M102*J32</f>
        <v>147722.5</v>
      </c>
      <c r="K48" s="1390">
        <f>'3d. Daybrook'!N102*K32</f>
        <v>159493.125</v>
      </c>
      <c r="L48" s="1390">
        <f>'3d. Daybrook'!O102*L32</f>
        <v>172790</v>
      </c>
      <c r="M48" s="1547">
        <f>'3d. Daybrook'!P102*M32</f>
        <v>186850</v>
      </c>
    </row>
    <row r="49" spans="1:16" s="1777" customFormat="1">
      <c r="A49" s="1775"/>
      <c r="B49" s="1775"/>
      <c r="C49" s="1775"/>
      <c r="D49" s="1776" t="s">
        <v>63</v>
      </c>
      <c r="E49" s="1415"/>
      <c r="F49" s="1415">
        <f>'3d. Daybrook'!I103*F32</f>
        <v>370380</v>
      </c>
      <c r="G49" s="1415">
        <f>'3d. Daybrook'!J103*G32</f>
        <v>475632.48</v>
      </c>
      <c r="H49" s="1415">
        <f>'3d. Daybrook'!K103*H32</f>
        <v>819100.14279508952</v>
      </c>
      <c r="I49" s="1390">
        <f>'3d. Daybrook'!L103*I32</f>
        <v>1362448.1397253328</v>
      </c>
      <c r="J49" s="1390">
        <f>'3d. Daybrook'!M103*J32</f>
        <v>1807237.2461007773</v>
      </c>
      <c r="K49" s="1390">
        <f>'3d. Daybrook'!N103*K32</f>
        <v>2398448.870928573</v>
      </c>
      <c r="L49" s="1390">
        <f>'3d. Daybrook'!O103*L32</f>
        <v>3101363.9138345667</v>
      </c>
      <c r="M49" s="1547">
        <f>'3d. Daybrook'!P103*M32</f>
        <v>3915402.1304567219</v>
      </c>
    </row>
    <row r="50" spans="1:16" s="1777" customFormat="1">
      <c r="A50" s="1775"/>
      <c r="B50" s="1775"/>
      <c r="C50" s="1775"/>
      <c r="D50" s="1776" t="s">
        <v>528</v>
      </c>
      <c r="E50" s="1415"/>
      <c r="F50" s="1415">
        <f>'3d. Daybrook'!I104*F32</f>
        <v>533364</v>
      </c>
      <c r="G50" s="1415">
        <f>'3d. Daybrook'!J104*G32</f>
        <v>628171.91999999993</v>
      </c>
      <c r="H50" s="1415">
        <f>'3d. Daybrook'!K104*H32</f>
        <v>731792.24846894341</v>
      </c>
      <c r="I50" s="1390">
        <f>'3d. Daybrook'!L104*I32</f>
        <v>884766.34354904643</v>
      </c>
      <c r="J50" s="1390">
        <f>'3d. Daybrook'!M104*J32</f>
        <v>915825.26421911991</v>
      </c>
      <c r="K50" s="1390">
        <f>'3d. Daybrook'!N104*K32</f>
        <v>988798.81767678005</v>
      </c>
      <c r="L50" s="1390">
        <f>'3d. Daybrook'!O104*L32</f>
        <v>1071234.56077728</v>
      </c>
      <c r="M50" s="1547">
        <f>'3d. Daybrook'!P104*M32</f>
        <v>1158401.3986992</v>
      </c>
    </row>
    <row r="51" spans="1:16" s="1777" customFormat="1">
      <c r="A51" s="1775"/>
      <c r="B51" s="1775"/>
      <c r="C51" s="1775"/>
      <c r="D51" s="1776"/>
      <c r="E51" s="1415"/>
      <c r="F51" s="1415"/>
      <c r="G51" s="1415"/>
      <c r="H51" s="1415"/>
      <c r="I51" s="1390"/>
      <c r="J51" s="1390"/>
      <c r="K51" s="1390"/>
      <c r="L51" s="1390"/>
      <c r="M51" s="1547"/>
      <c r="P51" s="1779"/>
    </row>
    <row r="52" spans="1:16" s="1032" customFormat="1">
      <c r="A52" s="1773"/>
      <c r="B52" s="1773"/>
      <c r="C52" s="1773"/>
      <c r="D52" s="1774" t="s">
        <v>489</v>
      </c>
      <c r="E52" s="1211">
        <f>SUM(E53:E57)</f>
        <v>0</v>
      </c>
      <c r="F52" s="1211">
        <f t="shared" ref="F52:M52" si="91">SUM(F53:F57)</f>
        <v>747384</v>
      </c>
      <c r="G52" s="1211">
        <f t="shared" si="91"/>
        <v>756673.67999999993</v>
      </c>
      <c r="H52" s="1211">
        <f t="shared" si="91"/>
        <v>846440.91080307635</v>
      </c>
      <c r="I52" s="919">
        <f t="shared" si="91"/>
        <v>1011809.9003999999</v>
      </c>
      <c r="J52" s="919">
        <f t="shared" si="91"/>
        <v>1035351.07</v>
      </c>
      <c r="K52" s="919">
        <f t="shared" si="91"/>
        <v>1104916.6425000001</v>
      </c>
      <c r="L52" s="919">
        <f t="shared" si="91"/>
        <v>1183041.7599999998</v>
      </c>
      <c r="M52" s="920">
        <f t="shared" si="91"/>
        <v>1264196.7999999998</v>
      </c>
    </row>
    <row r="53" spans="1:16" s="1777" customFormat="1">
      <c r="A53" s="1775"/>
      <c r="B53" s="1775"/>
      <c r="C53" s="1775"/>
      <c r="D53" s="1776" t="s">
        <v>68</v>
      </c>
      <c r="E53" s="1415"/>
      <c r="F53" s="1415">
        <f>'3d. Daybrook'!I107*F32</f>
        <v>355212</v>
      </c>
      <c r="G53" s="1415">
        <f>'3d. Daybrook'!J107*G32</f>
        <v>323736</v>
      </c>
      <c r="H53" s="1415">
        <f>'3d. Daybrook'!K107*H32</f>
        <v>356666.16599999974</v>
      </c>
      <c r="I53" s="1390">
        <f>'3d. Daybrook'!L107*I32</f>
        <v>419652.48</v>
      </c>
      <c r="J53" s="1390">
        <f>'3d. Daybrook'!M107*J32</f>
        <v>422406.49999999994</v>
      </c>
      <c r="K53" s="1390">
        <f>'3d. Daybrook'!N107*K32</f>
        <v>443132.25</v>
      </c>
      <c r="L53" s="1390">
        <f>'3d. Daybrook'!O107*L32</f>
        <v>466084.68</v>
      </c>
      <c r="M53" s="1547">
        <f>'3d. Daybrook'!P107*M32</f>
        <v>488900.6</v>
      </c>
    </row>
    <row r="54" spans="1:16" s="1777" customFormat="1">
      <c r="A54" s="1775"/>
      <c r="B54" s="1775"/>
      <c r="C54" s="1775"/>
      <c r="D54" s="1776" t="s">
        <v>490</v>
      </c>
      <c r="E54" s="1415"/>
      <c r="F54" s="1415">
        <f>'3d. Daybrook'!I108*F32</f>
        <v>79824</v>
      </c>
      <c r="G54" s="1415">
        <f>'3d. Daybrook'!J108*G32</f>
        <v>85085.04</v>
      </c>
      <c r="H54" s="1415">
        <f>'3d. Daybrook'!K108*H32</f>
        <v>96255.201793846078</v>
      </c>
      <c r="I54" s="1390">
        <f>'3d. Daybrook'!L108*I32</f>
        <v>116376.4212</v>
      </c>
      <c r="J54" s="1390">
        <f>'3d. Daybrook'!M108*J32</f>
        <v>120461.70999999999</v>
      </c>
      <c r="K54" s="1390">
        <f>'3d. Daybrook'!N108*K32</f>
        <v>130060.17749999999</v>
      </c>
      <c r="L54" s="1390">
        <f>'3d. Daybrook'!O108*L32</f>
        <v>140903.24</v>
      </c>
      <c r="M54" s="1547">
        <f>'3d. Daybrook'!P108*M32</f>
        <v>152368.6</v>
      </c>
    </row>
    <row r="55" spans="1:16" s="1777" customFormat="1">
      <c r="A55" s="1775"/>
      <c r="B55" s="1775"/>
      <c r="C55" s="1775"/>
      <c r="D55" s="1776" t="s">
        <v>73</v>
      </c>
      <c r="E55" s="1415"/>
      <c r="F55" s="1415">
        <f>'3d. Daybrook'!I109*F32</f>
        <v>8940</v>
      </c>
      <c r="G55" s="1415">
        <f>'3d. Daybrook'!J109*G32</f>
        <v>0</v>
      </c>
      <c r="H55" s="1415">
        <f>'3d. Daybrook'!K109*H32</f>
        <v>0</v>
      </c>
      <c r="I55" s="1390">
        <f>'3d. Daybrook'!L109*I32</f>
        <v>0</v>
      </c>
      <c r="J55" s="1390">
        <f>'3d. Daybrook'!M109*J32</f>
        <v>0</v>
      </c>
      <c r="K55" s="1390">
        <f>'3d. Daybrook'!N109*K32</f>
        <v>0</v>
      </c>
      <c r="L55" s="1390">
        <f>'3d. Daybrook'!O109*L32</f>
        <v>0</v>
      </c>
      <c r="M55" s="1547">
        <f>'3d. Daybrook'!P109*M32</f>
        <v>0</v>
      </c>
    </row>
    <row r="56" spans="1:16" s="1777" customFormat="1">
      <c r="A56" s="1775"/>
      <c r="B56" s="1775"/>
      <c r="C56" s="1775"/>
      <c r="D56" s="1776" t="s">
        <v>491</v>
      </c>
      <c r="E56" s="1415"/>
      <c r="F56" s="1415">
        <f>'3d. Daybrook'!I110*F32</f>
        <v>2472</v>
      </c>
      <c r="G56" s="1415">
        <f>'3d. Daybrook'!J110*G32</f>
        <v>0</v>
      </c>
      <c r="H56" s="1415">
        <f>'3d. Daybrook'!K110*H32</f>
        <v>0</v>
      </c>
      <c r="I56" s="1390">
        <f>'3d. Daybrook'!L110*I32</f>
        <v>0</v>
      </c>
      <c r="J56" s="1390">
        <f>'3d. Daybrook'!M110*J32</f>
        <v>0</v>
      </c>
      <c r="K56" s="1390">
        <f>'3d. Daybrook'!N110*K32</f>
        <v>0</v>
      </c>
      <c r="L56" s="1390">
        <f>'3d. Daybrook'!O110*L32</f>
        <v>0</v>
      </c>
      <c r="M56" s="1547">
        <f>'3d. Daybrook'!P110*M32</f>
        <v>0</v>
      </c>
    </row>
    <row r="57" spans="1:16" s="1777" customFormat="1">
      <c r="A57" s="1775"/>
      <c r="B57" s="1775"/>
      <c r="C57" s="1775"/>
      <c r="D57" s="1776" t="s">
        <v>70</v>
      </c>
      <c r="E57" s="1415"/>
      <c r="F57" s="1415">
        <f>'3d. Daybrook'!I111*F32</f>
        <v>300936</v>
      </c>
      <c r="G57" s="1415">
        <f>'3d. Daybrook'!J111*G32</f>
        <v>347852.63999999996</v>
      </c>
      <c r="H57" s="1415">
        <f>'3d. Daybrook'!K111*H32</f>
        <v>393519.54300923046</v>
      </c>
      <c r="I57" s="1390">
        <f>'3d. Daybrook'!L111*I32</f>
        <v>475780.99920000002</v>
      </c>
      <c r="J57" s="1390">
        <f>'3d. Daybrook'!M111*J32</f>
        <v>492482.86</v>
      </c>
      <c r="K57" s="1390">
        <f>'3d. Daybrook'!N111*K32</f>
        <v>531724.21499999997</v>
      </c>
      <c r="L57" s="1390">
        <f>'3d. Daybrook'!O111*L32</f>
        <v>576053.84</v>
      </c>
      <c r="M57" s="1547">
        <f>'3d. Daybrook'!P111*M32</f>
        <v>622927.6</v>
      </c>
    </row>
    <row r="58" spans="1:16" s="1777" customFormat="1">
      <c r="A58" s="1775"/>
      <c r="B58" s="1775"/>
      <c r="C58" s="1775"/>
      <c r="D58" s="1776"/>
      <c r="E58" s="1415"/>
      <c r="F58" s="1415"/>
      <c r="G58" s="1415"/>
      <c r="H58" s="1415"/>
      <c r="I58" s="1390"/>
      <c r="J58" s="1390"/>
      <c r="K58" s="1390"/>
      <c r="L58" s="1390"/>
      <c r="M58" s="1547"/>
    </row>
    <row r="59" spans="1:16" s="1032" customFormat="1">
      <c r="A59" s="1773"/>
      <c r="B59" s="1773"/>
      <c r="C59" s="1773"/>
      <c r="D59" s="1774" t="s">
        <v>71</v>
      </c>
      <c r="E59" s="1211">
        <f>SUM(E60:E64)</f>
        <v>0</v>
      </c>
      <c r="F59" s="1211">
        <f t="shared" ref="F59:M59" si="92">SUM(F60:F64)</f>
        <v>136668</v>
      </c>
      <c r="G59" s="1211">
        <f t="shared" si="92"/>
        <v>108648.95999999999</v>
      </c>
      <c r="H59" s="1211">
        <f t="shared" si="92"/>
        <v>150500.98639941105</v>
      </c>
      <c r="I59" s="919">
        <f t="shared" si="92"/>
        <v>190027.9215858911</v>
      </c>
      <c r="J59" s="919">
        <f t="shared" si="92"/>
        <v>206329.29351626363</v>
      </c>
      <c r="K59" s="919">
        <f t="shared" si="92"/>
        <v>234716.26302553283</v>
      </c>
      <c r="L59" s="919">
        <f t="shared" si="92"/>
        <v>266106.11570546351</v>
      </c>
      <c r="M59" s="920">
        <f t="shared" si="92"/>
        <v>299119.01369686483</v>
      </c>
    </row>
    <row r="60" spans="1:16" s="1777" customFormat="1">
      <c r="A60" s="1775"/>
      <c r="B60" s="1775"/>
      <c r="C60" s="1775"/>
      <c r="D60" s="1776" t="s">
        <v>529</v>
      </c>
      <c r="E60" s="1415"/>
      <c r="F60" s="1415">
        <f>'3d. Daybrook'!I114*F32</f>
        <v>48072</v>
      </c>
      <c r="G60" s="1415">
        <f>'3d. Daybrook'!J114*G32</f>
        <v>79388.639999999999</v>
      </c>
      <c r="H60" s="1415">
        <f>'3d. Daybrook'!K114*H32</f>
        <v>96058.647584220234</v>
      </c>
      <c r="I60" s="1390">
        <f>'3d. Daybrook'!L114*I32</f>
        <v>121945.71819465241</v>
      </c>
      <c r="J60" s="1390">
        <f>'3d. Daybrook'!M114*J32</f>
        <v>131931.95046622457</v>
      </c>
      <c r="K60" s="1390">
        <f>'3d. Daybrook'!N114*K32</f>
        <v>148184.88247634354</v>
      </c>
      <c r="L60" s="1390">
        <f>'3d. Daybrook'!O114*L32</f>
        <v>166206.02052501251</v>
      </c>
      <c r="M60" s="1547">
        <f>'3d. Daybrook'!P114*M32</f>
        <v>185158.13358492139</v>
      </c>
    </row>
    <row r="61" spans="1:16" s="1777" customFormat="1">
      <c r="A61" s="1775"/>
      <c r="B61" s="1775"/>
      <c r="C61" s="1775"/>
      <c r="D61" s="1776" t="s">
        <v>492</v>
      </c>
      <c r="E61" s="1415"/>
      <c r="F61" s="1415">
        <f>'3d. Daybrook'!I115*F32</f>
        <v>0</v>
      </c>
      <c r="G61" s="1415">
        <f>'3d. Daybrook'!J115*G32</f>
        <v>0</v>
      </c>
      <c r="H61" s="1415">
        <f>'3d. Daybrook'!K115*H32</f>
        <v>0</v>
      </c>
      <c r="I61" s="1390">
        <f>'3d. Daybrook'!L115*I32</f>
        <v>0</v>
      </c>
      <c r="J61" s="1390">
        <f>'3d. Daybrook'!M115*J32</f>
        <v>0</v>
      </c>
      <c r="K61" s="1390">
        <f>'3d. Daybrook'!N115*K32</f>
        <v>0</v>
      </c>
      <c r="L61" s="1390">
        <f>'3d. Daybrook'!O115*L32</f>
        <v>0</v>
      </c>
      <c r="M61" s="1547">
        <f>'3d. Daybrook'!P115*M32</f>
        <v>0</v>
      </c>
    </row>
    <row r="62" spans="1:16" s="1777" customFormat="1">
      <c r="A62" s="1775"/>
      <c r="B62" s="1775"/>
      <c r="C62" s="1775"/>
      <c r="D62" s="1776" t="s">
        <v>73</v>
      </c>
      <c r="E62" s="1415"/>
      <c r="F62" s="1415">
        <f>'3d. Daybrook'!I116*F32</f>
        <v>46308</v>
      </c>
      <c r="G62" s="1415">
        <f>'3d. Daybrook'!J116*G32</f>
        <v>0</v>
      </c>
      <c r="H62" s="1415">
        <f>'3d. Daybrook'!K116*H32</f>
        <v>0</v>
      </c>
      <c r="I62" s="1390">
        <f>'3d. Daybrook'!L116*I32</f>
        <v>0</v>
      </c>
      <c r="J62" s="1390">
        <f>'3d. Daybrook'!M116*J32</f>
        <v>0</v>
      </c>
      <c r="K62" s="1390">
        <f>'3d. Daybrook'!N116*K32</f>
        <v>0</v>
      </c>
      <c r="L62" s="1390">
        <f>'3d. Daybrook'!O116*L32</f>
        <v>0</v>
      </c>
      <c r="M62" s="1547">
        <f>'3d. Daybrook'!P116*M32</f>
        <v>0</v>
      </c>
    </row>
    <row r="63" spans="1:16" s="1779" customFormat="1">
      <c r="A63" s="1780"/>
      <c r="B63" s="1780"/>
      <c r="C63" s="1780"/>
      <c r="D63" s="1781" t="s">
        <v>15</v>
      </c>
      <c r="E63" s="1782"/>
      <c r="F63" s="1782">
        <f>'3d. Daybrook'!I117*F32</f>
        <v>31512</v>
      </c>
      <c r="G63" s="1782">
        <f>'3d. Daybrook'!J117*G32</f>
        <v>17777.28</v>
      </c>
      <c r="H63" s="1782">
        <f>'3d. Daybrook'!K117*H32</f>
        <v>41451.778636729294</v>
      </c>
      <c r="I63" s="1099">
        <f>'3d. Daybrook'!L117*I32</f>
        <v>52376.092191238706</v>
      </c>
      <c r="J63" s="1099">
        <f>'3d. Daybrook'!M117*J32</f>
        <v>58139.883050039076</v>
      </c>
      <c r="K63" s="1099">
        <f>'3d. Daybrook'!N117*K32</f>
        <v>68978.51554918928</v>
      </c>
      <c r="L63" s="1099">
        <f>'3d. Daybrook'!O117*L32</f>
        <v>80883.855180451006</v>
      </c>
      <c r="M63" s="1127">
        <f>'3d. Daybrook'!P117*M32</f>
        <v>93397.280111943473</v>
      </c>
    </row>
    <row r="64" spans="1:16" s="1777" customFormat="1" ht="16" thickBot="1">
      <c r="A64" s="1775"/>
      <c r="B64" s="1775"/>
      <c r="C64" s="1775"/>
      <c r="D64" s="1776" t="s">
        <v>493</v>
      </c>
      <c r="E64" s="1415"/>
      <c r="F64" s="1415">
        <f>'3d. Daybrook'!I118*F32</f>
        <v>10776</v>
      </c>
      <c r="G64" s="1415">
        <f>'3d. Daybrook'!J118*G32</f>
        <v>11483.039999999999</v>
      </c>
      <c r="H64" s="1415">
        <f>'3d. Daybrook'!K118*H32</f>
        <v>12990.560178461528</v>
      </c>
      <c r="I64" s="1390">
        <f>'3d. Daybrook'!L118*I32</f>
        <v>15706.111199999999</v>
      </c>
      <c r="J64" s="1390">
        <f>'3d. Daybrook'!M118*J32</f>
        <v>16257.46</v>
      </c>
      <c r="K64" s="1390">
        <f>'3d. Daybrook'!N118*K32</f>
        <v>17552.864999999998</v>
      </c>
      <c r="L64" s="1390">
        <f>'3d. Daybrook'!O118*L32</f>
        <v>19016.239999999998</v>
      </c>
      <c r="M64" s="1547">
        <f>'3d. Daybrook'!P118*M32</f>
        <v>20563.599999999999</v>
      </c>
    </row>
    <row r="65" spans="1:28" s="1032" customFormat="1" ht="16" thickBot="1">
      <c r="A65" s="1773"/>
      <c r="B65" s="1773"/>
      <c r="C65" s="1773"/>
      <c r="D65" s="1778" t="s">
        <v>74</v>
      </c>
      <c r="E65" s="961">
        <f>SUM(E59,E52,E45)</f>
        <v>0</v>
      </c>
      <c r="F65" s="961">
        <f t="shared" ref="F65:M65" si="93">SUM(F59,F52,F45)</f>
        <v>1936956</v>
      </c>
      <c r="G65" s="961">
        <f t="shared" si="93"/>
        <v>2112089.7599999998</v>
      </c>
      <c r="H65" s="961">
        <f t="shared" si="93"/>
        <v>2709565.486601905</v>
      </c>
      <c r="I65" s="843">
        <f t="shared" si="93"/>
        <v>3644591.84686027</v>
      </c>
      <c r="J65" s="843">
        <f t="shared" si="93"/>
        <v>4167146.6538361609</v>
      </c>
      <c r="K65" s="843">
        <f t="shared" si="93"/>
        <v>4945412.0391308852</v>
      </c>
      <c r="L65" s="843">
        <f t="shared" si="93"/>
        <v>5858496.6703173108</v>
      </c>
      <c r="M65" s="857">
        <f t="shared" si="93"/>
        <v>6893134.1428527869</v>
      </c>
      <c r="N65" s="919"/>
      <c r="O65" s="919"/>
      <c r="P65" s="919"/>
      <c r="Q65" s="919"/>
      <c r="R65" s="919"/>
      <c r="S65" s="919"/>
      <c r="T65" s="919"/>
      <c r="U65" s="919"/>
      <c r="V65" s="919"/>
      <c r="W65" s="919"/>
    </row>
    <row r="66" spans="1:28" s="185" customFormat="1" ht="12" thickBot="1">
      <c r="A66" s="161"/>
      <c r="B66" s="161"/>
      <c r="C66" s="161"/>
      <c r="D66" s="523" t="s">
        <v>391</v>
      </c>
      <c r="E66" s="461">
        <f>E42-E65</f>
        <v>0</v>
      </c>
      <c r="F66" s="461">
        <f t="shared" ref="F66:M66" si="94">F42-F65</f>
        <v>0</v>
      </c>
      <c r="G66" s="461">
        <f t="shared" si="94"/>
        <v>0</v>
      </c>
      <c r="H66" s="461">
        <f t="shared" si="94"/>
        <v>0</v>
      </c>
      <c r="I66" s="687">
        <f t="shared" si="94"/>
        <v>0</v>
      </c>
      <c r="J66" s="687">
        <f t="shared" si="94"/>
        <v>0</v>
      </c>
      <c r="K66" s="687">
        <f t="shared" si="94"/>
        <v>0</v>
      </c>
      <c r="L66" s="687">
        <f t="shared" si="94"/>
        <v>0</v>
      </c>
      <c r="M66" s="698">
        <f t="shared" si="94"/>
        <v>0</v>
      </c>
    </row>
    <row r="67" spans="1:28" s="186" customFormat="1" ht="11">
      <c r="E67" s="320"/>
      <c r="F67" s="320"/>
      <c r="G67" s="320"/>
      <c r="H67" s="854"/>
      <c r="I67" s="854"/>
      <c r="J67" s="854"/>
      <c r="K67" s="854"/>
      <c r="L67" s="854"/>
      <c r="M67" s="854"/>
      <c r="N67" s="854"/>
      <c r="O67" s="854"/>
      <c r="P67" s="854"/>
      <c r="Q67" s="320"/>
      <c r="R67" s="320"/>
      <c r="S67" s="320"/>
      <c r="T67" s="320"/>
      <c r="U67" s="320"/>
      <c r="V67" s="320"/>
      <c r="W67" s="320"/>
    </row>
    <row r="68" spans="1:28" s="185" customFormat="1" ht="11"/>
    <row r="69" spans="1:28" s="186" customFormat="1" ht="12" thickBot="1">
      <c r="E69" s="320"/>
      <c r="F69" s="320"/>
      <c r="G69" s="320"/>
      <c r="H69" s="320"/>
      <c r="I69" s="320"/>
      <c r="J69" s="320"/>
      <c r="K69" s="320"/>
      <c r="L69" s="320"/>
      <c r="M69" s="320"/>
      <c r="N69" s="320"/>
      <c r="O69" s="320"/>
      <c r="P69" s="320"/>
      <c r="Q69" s="320"/>
      <c r="R69" s="320"/>
      <c r="S69" s="320"/>
      <c r="T69" s="320"/>
      <c r="U69" s="320"/>
      <c r="V69" s="320"/>
      <c r="W69" s="320"/>
    </row>
    <row r="70" spans="1:28" s="186" customFormat="1">
      <c r="D70" s="1017" t="s">
        <v>1614</v>
      </c>
      <c r="E70" s="1016" t="s">
        <v>20</v>
      </c>
      <c r="F70" s="1016" t="s">
        <v>21</v>
      </c>
      <c r="G70" s="1016" t="s">
        <v>22</v>
      </c>
      <c r="H70" s="1016" t="s">
        <v>964</v>
      </c>
      <c r="I70" s="1016" t="s">
        <v>24</v>
      </c>
      <c r="J70" s="1016" t="s">
        <v>25</v>
      </c>
      <c r="K70" s="1016" t="s">
        <v>26</v>
      </c>
      <c r="L70" s="1016" t="s">
        <v>27</v>
      </c>
      <c r="M70" s="513" t="s">
        <v>712</v>
      </c>
      <c r="N70" s="171"/>
      <c r="O70" s="171"/>
      <c r="P70" s="171"/>
      <c r="Q70" s="171"/>
      <c r="R70" s="171"/>
      <c r="S70" s="171"/>
      <c r="T70" s="171"/>
      <c r="U70" s="171"/>
      <c r="V70" s="171"/>
      <c r="W70" s="171"/>
    </row>
    <row r="71" spans="1:28" s="1783" customFormat="1">
      <c r="D71" s="1784" t="s">
        <v>50</v>
      </c>
      <c r="E71" s="1458"/>
      <c r="F71" s="1458">
        <f t="shared" ref="F71:M71" si="95">F37</f>
        <v>367332</v>
      </c>
      <c r="G71" s="1458">
        <f t="shared" si="95"/>
        <v>268001.51999999996</v>
      </c>
      <c r="H71" s="1458">
        <f t="shared" si="95"/>
        <v>324276.41488398524</v>
      </c>
      <c r="I71" s="1458">
        <f t="shared" si="95"/>
        <v>411666.42776168603</v>
      </c>
      <c r="J71" s="1458">
        <f t="shared" si="95"/>
        <v>445378.12036473845</v>
      </c>
      <c r="K71" s="1458">
        <f t="shared" si="95"/>
        <v>500245.04443811398</v>
      </c>
      <c r="L71" s="1458">
        <f t="shared" si="95"/>
        <v>561081.1085043723</v>
      </c>
      <c r="M71" s="1785">
        <f t="shared" si="95"/>
        <v>625059.97383406456</v>
      </c>
    </row>
    <row r="72" spans="1:28" s="1783" customFormat="1">
      <c r="D72" s="1784" t="s">
        <v>1121</v>
      </c>
      <c r="E72" s="1458"/>
      <c r="F72" s="1458"/>
      <c r="G72" s="1458">
        <f>-(G71-F71)</f>
        <v>99330.48000000004</v>
      </c>
      <c r="H72" s="1458">
        <f t="shared" ref="H72:M72" si="96">-(H71-G71)</f>
        <v>-56274.894883985282</v>
      </c>
      <c r="I72" s="1458">
        <f t="shared" si="96"/>
        <v>-87390.012877700792</v>
      </c>
      <c r="J72" s="1458">
        <f t="shared" si="96"/>
        <v>-33711.692603052419</v>
      </c>
      <c r="K72" s="1458">
        <f t="shared" si="96"/>
        <v>-54866.924073375529</v>
      </c>
      <c r="L72" s="1458">
        <f t="shared" si="96"/>
        <v>-60836.064066258317</v>
      </c>
      <c r="M72" s="1785">
        <f t="shared" si="96"/>
        <v>-63978.865329692257</v>
      </c>
      <c r="N72" s="1458"/>
      <c r="O72" s="1458"/>
      <c r="P72" s="1458"/>
      <c r="Q72" s="1458"/>
      <c r="R72" s="1458"/>
      <c r="S72" s="1458"/>
      <c r="T72" s="1458"/>
      <c r="U72" s="1458"/>
      <c r="V72" s="1458"/>
      <c r="W72" s="1458"/>
      <c r="X72" s="1458"/>
      <c r="Y72" s="1458"/>
      <c r="Z72" s="1458"/>
      <c r="AA72" s="1458"/>
      <c r="AB72" s="1458"/>
    </row>
    <row r="73" spans="1:28" s="1783" customFormat="1">
      <c r="D73" s="1784" t="s">
        <v>1122</v>
      </c>
      <c r="E73" s="1458"/>
      <c r="F73" s="1458">
        <f t="shared" ref="F73:M73" si="97">F38</f>
        <v>94740</v>
      </c>
      <c r="G73" s="1458">
        <f t="shared" si="97"/>
        <v>102332.15999999999</v>
      </c>
      <c r="H73" s="1458">
        <f t="shared" si="97"/>
        <v>123819.84241035039</v>
      </c>
      <c r="I73" s="1458">
        <f t="shared" si="97"/>
        <v>157188.34263453915</v>
      </c>
      <c r="J73" s="1458">
        <f t="shared" si="97"/>
        <v>170060.6215728317</v>
      </c>
      <c r="K73" s="1458">
        <f t="shared" si="97"/>
        <v>191010.69250147609</v>
      </c>
      <c r="L73" s="1458">
        <f t="shared" si="97"/>
        <v>214239.98553607755</v>
      </c>
      <c r="M73" s="1785">
        <f t="shared" si="97"/>
        <v>238669.30774117741</v>
      </c>
      <c r="N73" s="1458"/>
      <c r="O73" s="1458"/>
      <c r="P73" s="1458"/>
      <c r="Q73" s="1458"/>
      <c r="R73" s="1458"/>
      <c r="S73" s="1458"/>
      <c r="T73" s="1458"/>
      <c r="U73" s="1458"/>
      <c r="V73" s="1458"/>
      <c r="W73" s="1458"/>
      <c r="X73" s="1458"/>
      <c r="Y73" s="1458"/>
      <c r="Z73" s="1458"/>
      <c r="AA73" s="1458"/>
      <c r="AB73" s="1458"/>
    </row>
    <row r="74" spans="1:28" s="1783" customFormat="1">
      <c r="D74" s="1784" t="s">
        <v>1123</v>
      </c>
      <c r="E74" s="1458"/>
      <c r="F74" s="1458"/>
      <c r="G74" s="1458">
        <f>-(G73-F73)</f>
        <v>-7592.1599999999889</v>
      </c>
      <c r="H74" s="1458">
        <f t="shared" ref="H74:M74" si="98">-(H73-G73)</f>
        <v>-21487.682410350404</v>
      </c>
      <c r="I74" s="1458">
        <f t="shared" si="98"/>
        <v>-33368.500224188756</v>
      </c>
      <c r="J74" s="1458">
        <f t="shared" si="98"/>
        <v>-12872.278938292555</v>
      </c>
      <c r="K74" s="1458">
        <f t="shared" si="98"/>
        <v>-20950.070928644389</v>
      </c>
      <c r="L74" s="1458">
        <f t="shared" si="98"/>
        <v>-23229.293034601462</v>
      </c>
      <c r="M74" s="1785">
        <f t="shared" si="98"/>
        <v>-24429.322205099859</v>
      </c>
      <c r="N74" s="1458"/>
      <c r="O74" s="1458"/>
      <c r="P74" s="1458"/>
      <c r="Q74" s="1458"/>
      <c r="R74" s="1458"/>
      <c r="S74" s="1458"/>
      <c r="T74" s="1458"/>
      <c r="U74" s="1458"/>
      <c r="V74" s="1458"/>
      <c r="W74" s="1458"/>
      <c r="X74" s="1458"/>
      <c r="Y74" s="1458"/>
      <c r="Z74" s="1458"/>
      <c r="AA74" s="1458"/>
      <c r="AB74" s="1458"/>
    </row>
    <row r="75" spans="1:28" s="1783" customFormat="1">
      <c r="D75" s="1784" t="s">
        <v>1124</v>
      </c>
      <c r="E75" s="1458"/>
      <c r="F75" s="1458">
        <f t="shared" ref="F75:M75" si="99">F60+F62</f>
        <v>94380</v>
      </c>
      <c r="G75" s="1458">
        <f t="shared" si="99"/>
        <v>79388.639999999999</v>
      </c>
      <c r="H75" s="1458">
        <f t="shared" si="99"/>
        <v>96058.647584220234</v>
      </c>
      <c r="I75" s="1458">
        <f t="shared" si="99"/>
        <v>121945.71819465241</v>
      </c>
      <c r="J75" s="1458">
        <f t="shared" si="99"/>
        <v>131931.95046622457</v>
      </c>
      <c r="K75" s="1458">
        <f t="shared" si="99"/>
        <v>148184.88247634354</v>
      </c>
      <c r="L75" s="1458">
        <f t="shared" si="99"/>
        <v>166206.02052501251</v>
      </c>
      <c r="M75" s="1785">
        <f t="shared" si="99"/>
        <v>185158.13358492139</v>
      </c>
      <c r="N75" s="1458"/>
      <c r="O75" s="1458"/>
      <c r="P75" s="1458"/>
      <c r="Q75" s="1458"/>
      <c r="R75" s="1458"/>
      <c r="S75" s="1458"/>
      <c r="T75" s="1458"/>
      <c r="U75" s="1458"/>
      <c r="V75" s="1458"/>
      <c r="W75" s="1458"/>
      <c r="X75" s="1458"/>
      <c r="Y75" s="1458"/>
      <c r="Z75" s="1458"/>
      <c r="AA75" s="1458"/>
      <c r="AB75" s="1458"/>
    </row>
    <row r="76" spans="1:28" s="1783" customFormat="1">
      <c r="D76" s="1784" t="s">
        <v>1125</v>
      </c>
      <c r="E76" s="1458"/>
      <c r="F76" s="1458"/>
      <c r="G76" s="1458">
        <f>G75-F75</f>
        <v>-14991.36</v>
      </c>
      <c r="H76" s="1458">
        <f t="shared" ref="H76:M76" si="100">H75-G75</f>
        <v>16670.007584220235</v>
      </c>
      <c r="I76" s="1458">
        <f t="shared" si="100"/>
        <v>25887.070610432173</v>
      </c>
      <c r="J76" s="1458">
        <f t="shared" si="100"/>
        <v>9986.2322715721675</v>
      </c>
      <c r="K76" s="1458">
        <f t="shared" si="100"/>
        <v>16252.932010118966</v>
      </c>
      <c r="L76" s="1458">
        <f t="shared" si="100"/>
        <v>18021.138048668974</v>
      </c>
      <c r="M76" s="1785">
        <f t="shared" si="100"/>
        <v>18952.113059908879</v>
      </c>
      <c r="N76" s="1458"/>
      <c r="O76" s="1458"/>
      <c r="P76" s="1458"/>
      <c r="Q76" s="1458"/>
      <c r="R76" s="1458"/>
      <c r="S76" s="1458"/>
      <c r="T76" s="1458"/>
      <c r="U76" s="1458"/>
      <c r="V76" s="1458"/>
      <c r="W76" s="1458"/>
      <c r="X76" s="1458"/>
      <c r="Y76" s="1458"/>
      <c r="Z76" s="1458"/>
      <c r="AA76" s="1458"/>
      <c r="AB76" s="1458"/>
    </row>
    <row r="77" spans="1:28" s="1783" customFormat="1">
      <c r="D77" s="1784" t="s">
        <v>1126</v>
      </c>
      <c r="E77" s="1458"/>
      <c r="F77" s="1458"/>
      <c r="G77" s="1458">
        <f>G72+G74+G76</f>
        <v>76746.96000000005</v>
      </c>
      <c r="H77" s="1458">
        <f t="shared" ref="H77:M77" si="101">H72+H74+H76</f>
        <v>-61092.569710115451</v>
      </c>
      <c r="I77" s="1458">
        <f t="shared" si="101"/>
        <v>-94871.442491457376</v>
      </c>
      <c r="J77" s="1458">
        <f t="shared" si="101"/>
        <v>-36597.739269772806</v>
      </c>
      <c r="K77" s="1458">
        <f t="shared" si="101"/>
        <v>-59564.062991900952</v>
      </c>
      <c r="L77" s="1458">
        <f t="shared" si="101"/>
        <v>-66044.219052190805</v>
      </c>
      <c r="M77" s="1785">
        <f t="shared" si="101"/>
        <v>-69456.074474883237</v>
      </c>
      <c r="N77" s="1458"/>
      <c r="O77" s="1458"/>
      <c r="P77" s="1458"/>
      <c r="Q77" s="1458"/>
      <c r="R77" s="1458"/>
      <c r="S77" s="1458"/>
      <c r="T77" s="1458"/>
      <c r="U77" s="1458"/>
      <c r="V77" s="1458"/>
      <c r="W77" s="1458"/>
      <c r="X77" s="1458"/>
      <c r="Y77" s="1458"/>
      <c r="Z77" s="1458"/>
      <c r="AA77" s="1458"/>
      <c r="AB77" s="1458"/>
    </row>
    <row r="78" spans="1:28" s="1783" customFormat="1">
      <c r="D78" s="1784" t="s">
        <v>542</v>
      </c>
      <c r="E78" s="1458"/>
      <c r="F78" s="1458">
        <f>F71+F73-F75</f>
        <v>367692</v>
      </c>
      <c r="G78" s="1458">
        <f t="shared" ref="G78:M78" si="102">G71+G73-G75</f>
        <v>290945.03999999992</v>
      </c>
      <c r="H78" s="1458">
        <f t="shared" si="102"/>
        <v>352037.60971011542</v>
      </c>
      <c r="I78" s="1458">
        <f t="shared" si="102"/>
        <v>446909.05220157275</v>
      </c>
      <c r="J78" s="1458">
        <f t="shared" si="102"/>
        <v>483506.79147134558</v>
      </c>
      <c r="K78" s="1458">
        <f t="shared" si="102"/>
        <v>543070.85446324653</v>
      </c>
      <c r="L78" s="1458">
        <f t="shared" si="102"/>
        <v>609115.07351543731</v>
      </c>
      <c r="M78" s="1785">
        <f t="shared" si="102"/>
        <v>678571.14799032058</v>
      </c>
      <c r="N78" s="1458"/>
      <c r="O78" s="1458"/>
      <c r="P78" s="1458"/>
      <c r="Q78" s="1458"/>
      <c r="R78" s="1458"/>
      <c r="S78" s="1458"/>
      <c r="T78" s="1458"/>
      <c r="U78" s="1458"/>
      <c r="V78" s="1458"/>
      <c r="W78" s="1458"/>
      <c r="X78" s="1458"/>
      <c r="Y78" s="1458"/>
      <c r="Z78" s="1458"/>
      <c r="AA78" s="1458"/>
      <c r="AB78" s="1458"/>
    </row>
    <row r="79" spans="1:28" s="1783" customFormat="1" ht="16" thickBot="1">
      <c r="D79" s="1786" t="s">
        <v>1126</v>
      </c>
      <c r="E79" s="1787"/>
      <c r="F79" s="1787"/>
      <c r="G79" s="1787">
        <f>-G78+F78</f>
        <v>76746.960000000079</v>
      </c>
      <c r="H79" s="1787">
        <f t="shared" ref="H79:M79" si="103">-H78+G78</f>
        <v>-61092.569710115495</v>
      </c>
      <c r="I79" s="1787">
        <f t="shared" si="103"/>
        <v>-94871.442491457332</v>
      </c>
      <c r="J79" s="1787">
        <f t="shared" si="103"/>
        <v>-36597.739269772836</v>
      </c>
      <c r="K79" s="1787">
        <f t="shared" si="103"/>
        <v>-59564.062991900952</v>
      </c>
      <c r="L79" s="1787">
        <f t="shared" si="103"/>
        <v>-66044.219052190776</v>
      </c>
      <c r="M79" s="1788">
        <f t="shared" si="103"/>
        <v>-69456.074474883266</v>
      </c>
      <c r="N79" s="1458"/>
      <c r="O79" s="1458"/>
      <c r="P79" s="1458"/>
      <c r="Q79" s="1458"/>
      <c r="R79" s="1458"/>
      <c r="S79" s="1458"/>
      <c r="T79" s="1458"/>
      <c r="U79" s="1458"/>
      <c r="V79" s="1458"/>
      <c r="W79" s="1458"/>
      <c r="X79" s="1458"/>
      <c r="Y79" s="1458"/>
      <c r="Z79" s="1458"/>
      <c r="AA79" s="1458"/>
      <c r="AB79" s="1458"/>
    </row>
    <row r="80" spans="1:28" s="1080" customFormat="1" ht="11">
      <c r="G80" s="1148"/>
      <c r="H80" s="1148"/>
      <c r="I80" s="1148"/>
      <c r="J80" s="1148"/>
      <c r="K80" s="1148"/>
      <c r="L80" s="1148"/>
      <c r="M80" s="1148"/>
      <c r="N80" s="1012"/>
      <c r="O80" s="1012"/>
      <c r="P80" s="1012"/>
      <c r="Q80" s="1012"/>
      <c r="R80" s="1012"/>
      <c r="S80" s="1012"/>
      <c r="T80" s="1012"/>
      <c r="U80" s="1012"/>
      <c r="V80" s="1012"/>
      <c r="W80" s="1012"/>
      <c r="X80" s="1012"/>
      <c r="Y80" s="1012"/>
      <c r="Z80" s="1012"/>
      <c r="AA80" s="1012"/>
      <c r="AB80" s="1012"/>
    </row>
    <row r="81" spans="5:28" s="249" customFormat="1" ht="14">
      <c r="E81" s="321"/>
      <c r="F81" s="321"/>
      <c r="G81" s="321"/>
      <c r="H81" s="321"/>
      <c r="I81" s="321"/>
      <c r="J81" s="321"/>
      <c r="K81" s="321"/>
      <c r="L81" s="321"/>
      <c r="M81" s="321"/>
      <c r="N81" s="723"/>
      <c r="O81" s="723"/>
      <c r="P81" s="723"/>
      <c r="Q81" s="723"/>
      <c r="R81" s="723"/>
      <c r="S81" s="723"/>
      <c r="T81" s="723"/>
      <c r="U81" s="723"/>
      <c r="V81" s="723"/>
      <c r="W81" s="723"/>
      <c r="X81" s="224"/>
      <c r="Y81" s="224"/>
      <c r="Z81" s="224"/>
      <c r="AA81" s="224"/>
      <c r="AB81" s="224"/>
    </row>
    <row r="82" spans="5:28" s="249" customFormat="1" ht="14">
      <c r="E82" s="321"/>
      <c r="F82" s="321"/>
      <c r="G82" s="321"/>
      <c r="H82" s="321"/>
      <c r="I82" s="321"/>
      <c r="J82" s="321"/>
      <c r="K82" s="321"/>
      <c r="L82" s="321"/>
      <c r="M82" s="321"/>
      <c r="N82" s="723"/>
      <c r="O82" s="723"/>
      <c r="P82" s="723"/>
      <c r="Q82" s="723"/>
      <c r="R82" s="723"/>
      <c r="S82" s="723"/>
      <c r="T82" s="723"/>
      <c r="U82" s="723"/>
      <c r="V82" s="723"/>
      <c r="W82" s="723"/>
      <c r="X82" s="224"/>
      <c r="Y82" s="224"/>
      <c r="Z82" s="224"/>
      <c r="AA82" s="224"/>
      <c r="AB82" s="224"/>
    </row>
    <row r="83" spans="5:28" s="249" customFormat="1" ht="14">
      <c r="E83" s="321"/>
      <c r="F83" s="321"/>
      <c r="G83" s="321"/>
      <c r="H83" s="321"/>
      <c r="I83" s="321"/>
      <c r="J83" s="321"/>
      <c r="K83" s="321"/>
      <c r="L83" s="321"/>
      <c r="M83" s="321"/>
      <c r="N83" s="723"/>
      <c r="O83" s="723"/>
      <c r="P83" s="723"/>
      <c r="Q83" s="723"/>
      <c r="R83" s="723"/>
      <c r="S83" s="723"/>
      <c r="T83" s="723"/>
      <c r="U83" s="723"/>
      <c r="V83" s="723"/>
      <c r="W83" s="723"/>
      <c r="X83" s="224"/>
      <c r="Y83" s="224"/>
      <c r="Z83" s="224"/>
      <c r="AA83" s="224"/>
      <c r="AB83" s="224"/>
    </row>
    <row r="84" spans="5:28">
      <c r="N84" s="39"/>
      <c r="O84" s="39"/>
      <c r="P84" s="39"/>
      <c r="Q84" s="39"/>
      <c r="R84" s="39"/>
      <c r="S84" s="39"/>
      <c r="T84" s="39"/>
      <c r="U84" s="39"/>
      <c r="V84" s="39"/>
      <c r="W84" s="39"/>
      <c r="X84" s="137"/>
      <c r="Y84" s="137"/>
      <c r="Z84" s="137"/>
      <c r="AA84" s="137"/>
      <c r="AB84" s="137"/>
    </row>
  </sheetData>
  <mergeCells count="1">
    <mergeCell ref="D3:W3"/>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AF2616"/>
  <sheetViews>
    <sheetView showGridLines="0" zoomScale="75" zoomScaleNormal="75" zoomScalePageLayoutView="75" workbookViewId="0">
      <selection activeCell="I6" sqref="I6"/>
    </sheetView>
  </sheetViews>
  <sheetFormatPr baseColWidth="10" defaultRowHeight="15" x14ac:dyDescent="0"/>
  <cols>
    <col min="1" max="1" width="13" bestFit="1" customWidth="1"/>
    <col min="2" max="2" width="12.6640625" customWidth="1"/>
    <col min="6" max="6" width="25" bestFit="1" customWidth="1"/>
    <col min="8" max="8" width="6.33203125" customWidth="1"/>
  </cols>
  <sheetData>
    <row r="1" spans="1:32">
      <c r="A1" t="s">
        <v>1500</v>
      </c>
      <c r="B1" t="s">
        <v>1515</v>
      </c>
    </row>
    <row r="2" spans="1:32" ht="16" thickBot="1">
      <c r="A2" t="s">
        <v>1501</v>
      </c>
      <c r="B2">
        <v>38842</v>
      </c>
    </row>
    <row r="3" spans="1:32">
      <c r="A3" s="189" t="s">
        <v>1502</v>
      </c>
      <c r="B3">
        <v>42495</v>
      </c>
      <c r="F3" s="767" t="s">
        <v>1177</v>
      </c>
      <c r="G3" s="684" t="s">
        <v>23</v>
      </c>
      <c r="H3" s="684" t="s">
        <v>24</v>
      </c>
      <c r="I3" s="684" t="s">
        <v>25</v>
      </c>
      <c r="J3" s="684" t="s">
        <v>26</v>
      </c>
      <c r="K3" s="684" t="s">
        <v>27</v>
      </c>
      <c r="L3" s="684" t="s">
        <v>712</v>
      </c>
      <c r="M3" s="684" t="s">
        <v>713</v>
      </c>
      <c r="N3" s="684" t="s">
        <v>714</v>
      </c>
      <c r="O3" s="684" t="s">
        <v>715</v>
      </c>
      <c r="P3" s="684" t="s">
        <v>716</v>
      </c>
      <c r="Q3" s="684" t="s">
        <v>717</v>
      </c>
      <c r="R3" s="684" t="s">
        <v>718</v>
      </c>
      <c r="S3" s="684" t="s">
        <v>719</v>
      </c>
      <c r="T3" s="684" t="s">
        <v>720</v>
      </c>
      <c r="U3" s="684" t="s">
        <v>721</v>
      </c>
      <c r="V3" s="768" t="s">
        <v>722</v>
      </c>
      <c r="W3" s="3"/>
      <c r="X3" s="3"/>
      <c r="Y3" s="3"/>
      <c r="Z3" s="3"/>
      <c r="AA3" s="3"/>
      <c r="AB3" s="3"/>
      <c r="AC3" s="3"/>
      <c r="AD3" s="3"/>
      <c r="AE3" s="3"/>
      <c r="AF3" s="3"/>
    </row>
    <row r="4" spans="1:32">
      <c r="A4" s="189" t="s">
        <v>1503</v>
      </c>
      <c r="B4" t="s">
        <v>1220</v>
      </c>
      <c r="F4" s="802" t="s">
        <v>1178</v>
      </c>
      <c r="G4" s="432">
        <f>C99</f>
        <v>12.760864615384605</v>
      </c>
      <c r="H4" s="801">
        <f>G5/2+H5/2</f>
        <v>15.4284</v>
      </c>
      <c r="I4" s="801">
        <f>H5/2+I5/2</f>
        <v>15.969999999999999</v>
      </c>
      <c r="J4" s="801">
        <f>I5/2+J5/2</f>
        <v>17.2425</v>
      </c>
      <c r="K4" s="801">
        <f t="shared" ref="K4:R4" si="0">J5/2+K5/2</f>
        <v>18.68</v>
      </c>
      <c r="L4" s="801">
        <f t="shared" si="0"/>
        <v>20.2</v>
      </c>
      <c r="M4" s="801">
        <f t="shared" si="0"/>
        <v>21.712499999999999</v>
      </c>
      <c r="N4" s="801">
        <f t="shared" si="0"/>
        <v>23.372499999999999</v>
      </c>
      <c r="O4" s="801">
        <f t="shared" si="0"/>
        <v>25.232499999999998</v>
      </c>
      <c r="P4" s="801">
        <f t="shared" si="0"/>
        <v>27.224999999999998</v>
      </c>
      <c r="Q4" s="801">
        <f t="shared" si="0"/>
        <v>29.362499999999997</v>
      </c>
      <c r="R4" s="801">
        <f t="shared" si="0"/>
        <v>31.622500000000002</v>
      </c>
      <c r="S4" s="432">
        <f>R4*(1+S6)</f>
        <v>34.05644976585782</v>
      </c>
      <c r="T4" s="432">
        <f t="shared" ref="T4:V4" si="1">S4*(1+T6)</f>
        <v>36.677738023698225</v>
      </c>
      <c r="U4" s="432">
        <f t="shared" si="1"/>
        <v>39.500784015475432</v>
      </c>
      <c r="V4" s="803">
        <f t="shared" si="1"/>
        <v>42.541116816666573</v>
      </c>
      <c r="W4" s="18"/>
      <c r="X4" s="18"/>
      <c r="Y4" s="18"/>
      <c r="Z4" s="18"/>
      <c r="AA4" s="18"/>
      <c r="AB4" s="18"/>
      <c r="AC4" s="18"/>
      <c r="AD4" s="18"/>
      <c r="AE4" s="18"/>
      <c r="AF4" s="18"/>
    </row>
    <row r="5" spans="1:32">
      <c r="A5" s="189" t="s">
        <v>1516</v>
      </c>
      <c r="B5" t="s">
        <v>1517</v>
      </c>
      <c r="F5" s="802" t="s">
        <v>1575</v>
      </c>
      <c r="G5" s="432">
        <f>B99</f>
        <v>15.486800000000001</v>
      </c>
      <c r="H5" s="1231">
        <v>15.37</v>
      </c>
      <c r="I5" s="1231">
        <f>((16.54+16.6)/2)</f>
        <v>16.57</v>
      </c>
      <c r="J5" s="1231">
        <f>(17.87+17.96)/2</f>
        <v>17.914999999999999</v>
      </c>
      <c r="K5" s="1231">
        <f>(19.38+19.51)/2</f>
        <v>19.445</v>
      </c>
      <c r="L5" s="1231">
        <f>(20.88+21.03)/2</f>
        <v>20.954999999999998</v>
      </c>
      <c r="M5" s="1231">
        <f>(22.37+22.57)/2</f>
        <v>22.47</v>
      </c>
      <c r="N5" s="1231">
        <f>(24.17+24.38)/2</f>
        <v>24.274999999999999</v>
      </c>
      <c r="O5" s="1231">
        <f>(26.07+26.31)/2</f>
        <v>26.189999999999998</v>
      </c>
      <c r="P5" s="1231">
        <f>(28.12+28.4)/2</f>
        <v>28.259999999999998</v>
      </c>
      <c r="Q5" s="1231">
        <f>(30.3+30.63)/2</f>
        <v>30.465</v>
      </c>
      <c r="R5" s="1231">
        <f>(32.59+32.97)/2</f>
        <v>32.78</v>
      </c>
      <c r="S5" s="1232">
        <f>R5*(1+S6)</f>
        <v>35.303041294167741</v>
      </c>
      <c r="T5" s="1232">
        <f t="shared" ref="T5:V5" si="2">S5*(1+T6)</f>
        <v>38.020278359295688</v>
      </c>
      <c r="U5" s="1232">
        <f t="shared" si="2"/>
        <v>40.946658234715308</v>
      </c>
      <c r="V5" s="1233">
        <f t="shared" si="2"/>
        <v>44.098278417276632</v>
      </c>
      <c r="W5" s="969" t="s">
        <v>1881</v>
      </c>
      <c r="X5" s="969"/>
      <c r="Y5" s="969"/>
      <c r="Z5" s="969"/>
    </row>
    <row r="6" spans="1:32" ht="16" thickBot="1">
      <c r="A6" s="189"/>
      <c r="F6" s="804" t="s">
        <v>1179</v>
      </c>
      <c r="G6" s="805"/>
      <c r="H6" s="805">
        <f>H4/G4-1</f>
        <v>0.20904033269026234</v>
      </c>
      <c r="I6" s="805">
        <f>I4/H4-1</f>
        <v>3.5104093749189769E-2</v>
      </c>
      <c r="J6" s="805">
        <f t="shared" ref="J6:R6" si="3">J4/I4-1</f>
        <v>7.9680651221039511E-2</v>
      </c>
      <c r="K6" s="805">
        <f t="shared" si="3"/>
        <v>8.3369580977236568E-2</v>
      </c>
      <c r="L6" s="805">
        <f t="shared" si="3"/>
        <v>8.1370449678800805E-2</v>
      </c>
      <c r="M6" s="805">
        <f t="shared" si="3"/>
        <v>7.4876237623762387E-2</v>
      </c>
      <c r="N6" s="805">
        <f t="shared" si="3"/>
        <v>7.6453655728267123E-2</v>
      </c>
      <c r="O6" s="805">
        <f t="shared" si="3"/>
        <v>7.9580703818590282E-2</v>
      </c>
      <c r="P6" s="805">
        <f t="shared" si="3"/>
        <v>7.8965619736450998E-2</v>
      </c>
      <c r="Q6" s="805">
        <f>Q4/P4-1</f>
        <v>7.8512396694214948E-2</v>
      </c>
      <c r="R6" s="805">
        <f t="shared" si="3"/>
        <v>7.6968922945934715E-2</v>
      </c>
      <c r="S6" s="805">
        <f>R6</f>
        <v>7.6968922945934715E-2</v>
      </c>
      <c r="T6" s="805">
        <f t="shared" ref="T6:V6" si="4">S6</f>
        <v>7.6968922945934715E-2</v>
      </c>
      <c r="U6" s="805">
        <f t="shared" si="4"/>
        <v>7.6968922945934715E-2</v>
      </c>
      <c r="V6" s="788">
        <f t="shared" si="4"/>
        <v>7.6968922945934715E-2</v>
      </c>
    </row>
    <row r="7" spans="1:32">
      <c r="A7" s="189" t="s">
        <v>1176</v>
      </c>
      <c r="B7" t="s">
        <v>1505</v>
      </c>
      <c r="H7" s="969"/>
      <c r="I7" s="969"/>
      <c r="J7" s="969"/>
      <c r="K7" s="969"/>
      <c r="L7" s="969"/>
      <c r="M7" s="969"/>
      <c r="N7" s="969"/>
      <c r="O7" s="969"/>
      <c r="P7" s="969"/>
      <c r="Q7" s="969"/>
      <c r="R7" s="969"/>
      <c r="S7" s="969"/>
      <c r="T7" s="969"/>
      <c r="U7" s="969"/>
      <c r="V7" s="969"/>
      <c r="W7" s="969"/>
      <c r="X7" s="969"/>
      <c r="Y7" s="969"/>
      <c r="Z7" s="969"/>
    </row>
    <row r="8" spans="1:32">
      <c r="A8" s="189" t="e">
        <v>#NAME?</v>
      </c>
      <c r="B8">
        <v>14.9396</v>
      </c>
    </row>
    <row r="9" spans="1:32">
      <c r="A9" s="189"/>
    </row>
    <row r="10" spans="1:32">
      <c r="A10" s="1203">
        <v>42494</v>
      </c>
      <c r="B10" s="1205">
        <v>14.9047</v>
      </c>
      <c r="H10" s="969"/>
      <c r="I10" s="969"/>
      <c r="J10" s="969"/>
      <c r="K10" s="969"/>
      <c r="L10" s="969"/>
      <c r="M10" s="969"/>
      <c r="N10" s="969"/>
      <c r="O10" s="969"/>
      <c r="P10" s="969"/>
      <c r="Q10" s="969"/>
      <c r="R10" s="969"/>
      <c r="S10" s="969"/>
      <c r="T10" s="969"/>
      <c r="U10" s="969"/>
      <c r="V10" s="969"/>
      <c r="W10" s="969"/>
      <c r="X10" s="969"/>
      <c r="Y10" s="969"/>
      <c r="Z10" s="969"/>
    </row>
    <row r="11" spans="1:32">
      <c r="A11" s="1203">
        <v>42493</v>
      </c>
      <c r="B11" s="1205">
        <v>14.595800000000001</v>
      </c>
    </row>
    <row r="12" spans="1:32" ht="16" thickBot="1">
      <c r="A12" s="1203">
        <v>42492</v>
      </c>
      <c r="B12" s="1205">
        <v>14.3226</v>
      </c>
      <c r="E12" s="341"/>
      <c r="F12" s="342"/>
      <c r="G12" s="334"/>
      <c r="N12" s="322" t="s">
        <v>1058</v>
      </c>
      <c r="O12" s="323" t="s">
        <v>1062</v>
      </c>
      <c r="P12" s="323" t="s">
        <v>1061</v>
      </c>
      <c r="Q12" s="323" t="s">
        <v>1060</v>
      </c>
      <c r="R12" s="323" t="s">
        <v>1059</v>
      </c>
      <c r="S12" s="323">
        <v>2017</v>
      </c>
      <c r="T12" s="323">
        <v>2018</v>
      </c>
      <c r="U12" s="323">
        <v>2019</v>
      </c>
      <c r="V12" s="323">
        <v>2020</v>
      </c>
    </row>
    <row r="13" spans="1:32">
      <c r="A13" s="1203">
        <v>42489</v>
      </c>
      <c r="B13" s="1205">
        <v>14.2506</v>
      </c>
      <c r="E13" s="343"/>
      <c r="F13" s="342"/>
      <c r="G13" s="334"/>
      <c r="N13" s="324" t="s">
        <v>1064</v>
      </c>
      <c r="O13" s="1160">
        <v>16.5</v>
      </c>
      <c r="P13" s="1160">
        <v>16.5</v>
      </c>
      <c r="Q13" s="1160">
        <v>16.7</v>
      </c>
      <c r="R13" s="1160">
        <v>16.7</v>
      </c>
      <c r="S13" s="1160">
        <v>16.399999999999999</v>
      </c>
      <c r="T13" s="1160">
        <v>16.5</v>
      </c>
      <c r="U13" s="1160">
        <v>10.199999999999999</v>
      </c>
      <c r="V13" s="1161">
        <v>10.199999999999999</v>
      </c>
    </row>
    <row r="14" spans="1:32" ht="20">
      <c r="A14" s="1203">
        <v>42488</v>
      </c>
      <c r="B14" s="1205">
        <v>14.2742</v>
      </c>
      <c r="E14" s="343"/>
      <c r="F14" s="1209" t="s">
        <v>1778</v>
      </c>
      <c r="G14" s="334"/>
      <c r="N14" s="325" t="s">
        <v>1065</v>
      </c>
      <c r="O14" s="1162">
        <v>15.38</v>
      </c>
      <c r="P14" s="1162">
        <v>15.95</v>
      </c>
      <c r="Q14" s="1162">
        <v>16.39</v>
      </c>
      <c r="R14" s="1162">
        <v>16.920000000000002</v>
      </c>
      <c r="S14" s="1162">
        <v>9.98</v>
      </c>
      <c r="T14" s="1162">
        <v>9.6999999999999993</v>
      </c>
      <c r="U14" s="1162">
        <v>9.49</v>
      </c>
      <c r="V14" s="1163" t="s">
        <v>707</v>
      </c>
    </row>
    <row r="15" spans="1:32">
      <c r="A15" s="1203">
        <v>42487</v>
      </c>
      <c r="B15" s="1205">
        <v>14.521800000000001</v>
      </c>
      <c r="E15" s="343"/>
      <c r="F15" s="342"/>
      <c r="G15" s="334"/>
      <c r="N15" s="325" t="s">
        <v>1066</v>
      </c>
      <c r="O15" s="1162">
        <v>15.5</v>
      </c>
      <c r="P15" s="1162">
        <v>15.5</v>
      </c>
      <c r="Q15" s="1162">
        <v>15.3</v>
      </c>
      <c r="R15" s="1162">
        <v>15.13</v>
      </c>
      <c r="S15" s="1162">
        <v>14.6</v>
      </c>
      <c r="T15" s="1162">
        <v>14</v>
      </c>
      <c r="U15" s="1162">
        <v>14.5</v>
      </c>
      <c r="V15" s="1163">
        <v>15.01</v>
      </c>
    </row>
    <row r="16" spans="1:32">
      <c r="A16" s="1203">
        <v>42486</v>
      </c>
      <c r="B16" s="1205">
        <v>14.4132</v>
      </c>
      <c r="E16" s="343"/>
      <c r="F16" s="342"/>
      <c r="G16" s="334"/>
      <c r="N16" s="325" t="s">
        <v>1067</v>
      </c>
      <c r="O16" s="1162">
        <v>15.4</v>
      </c>
      <c r="P16" s="1162">
        <v>15.8</v>
      </c>
      <c r="Q16" s="1162">
        <v>16</v>
      </c>
      <c r="R16" s="1162">
        <v>16.2</v>
      </c>
      <c r="S16" s="1162">
        <v>16.600000000000001</v>
      </c>
      <c r="T16" s="1162">
        <v>16.100000000000001</v>
      </c>
      <c r="U16" s="1162">
        <v>15.7</v>
      </c>
      <c r="V16" s="1163">
        <v>15.15</v>
      </c>
    </row>
    <row r="17" spans="1:27">
      <c r="A17" s="1203">
        <v>42485</v>
      </c>
      <c r="B17" s="1205">
        <v>14.498100000000001</v>
      </c>
      <c r="E17" s="343"/>
      <c r="F17" s="342"/>
      <c r="G17" s="334"/>
      <c r="N17" s="325" t="s">
        <v>1068</v>
      </c>
      <c r="O17" s="1162">
        <v>14.2</v>
      </c>
      <c r="P17" s="1162">
        <v>14.2</v>
      </c>
      <c r="Q17" s="1162">
        <v>14.2</v>
      </c>
      <c r="R17" s="1162">
        <v>14.1</v>
      </c>
      <c r="S17" s="1162">
        <v>13.8</v>
      </c>
      <c r="T17" s="1162">
        <v>14</v>
      </c>
      <c r="U17" s="1162">
        <v>13.9</v>
      </c>
      <c r="V17" s="1163">
        <v>13.8</v>
      </c>
    </row>
    <row r="18" spans="1:27">
      <c r="A18" s="1203">
        <v>42482</v>
      </c>
      <c r="B18" s="1205">
        <v>14.427</v>
      </c>
      <c r="E18" s="343"/>
      <c r="F18" s="342"/>
      <c r="G18" s="334"/>
      <c r="H18" s="18"/>
      <c r="I18" s="18"/>
      <c r="J18" s="18"/>
      <c r="K18" s="18"/>
      <c r="L18" s="18"/>
      <c r="M18" s="18"/>
      <c r="N18" s="325" t="s">
        <v>1069</v>
      </c>
      <c r="O18" s="1162">
        <v>16.600000000000001</v>
      </c>
      <c r="P18" s="1162">
        <v>15.9</v>
      </c>
      <c r="Q18" s="1162">
        <v>15.4</v>
      </c>
      <c r="R18" s="1162">
        <v>15</v>
      </c>
      <c r="S18" s="1162">
        <v>15.4</v>
      </c>
      <c r="T18" s="1162">
        <v>13.4</v>
      </c>
      <c r="U18" s="1162">
        <v>13.5</v>
      </c>
      <c r="V18" s="1163">
        <v>13.6</v>
      </c>
      <c r="W18" s="18"/>
      <c r="X18" s="18"/>
      <c r="Y18" s="18"/>
      <c r="Z18" s="18"/>
      <c r="AA18" s="18"/>
    </row>
    <row r="19" spans="1:27" ht="16" thickBot="1">
      <c r="A19" s="1203">
        <v>42481</v>
      </c>
      <c r="B19" s="1205">
        <v>14.287599999999999</v>
      </c>
      <c r="E19" s="343"/>
      <c r="F19" s="342"/>
      <c r="G19" s="334"/>
      <c r="H19" s="339"/>
      <c r="I19" s="339"/>
      <c r="J19" s="339"/>
      <c r="K19" s="339"/>
      <c r="L19" s="339"/>
      <c r="M19" s="340"/>
      <c r="N19" s="326" t="s">
        <v>1070</v>
      </c>
      <c r="O19" s="1164">
        <v>17</v>
      </c>
      <c r="P19" s="1164">
        <v>16.79</v>
      </c>
      <c r="Q19" s="1164">
        <v>16.5</v>
      </c>
      <c r="R19" s="1164" t="s">
        <v>707</v>
      </c>
      <c r="S19" s="1164">
        <v>15.5</v>
      </c>
      <c r="T19" s="1164">
        <v>14.5</v>
      </c>
      <c r="U19" s="1164">
        <v>14</v>
      </c>
      <c r="V19" s="1165">
        <v>13.52</v>
      </c>
      <c r="W19" s="339"/>
      <c r="X19" s="339"/>
      <c r="Y19" s="339"/>
      <c r="Z19" s="184"/>
      <c r="AA19" s="18"/>
    </row>
    <row r="20" spans="1:27">
      <c r="A20" s="1203">
        <v>42480</v>
      </c>
      <c r="B20" s="1205">
        <v>14.218500000000001</v>
      </c>
      <c r="E20" s="343"/>
      <c r="F20" s="342"/>
      <c r="G20" s="334"/>
      <c r="H20" s="333"/>
      <c r="I20" s="333"/>
      <c r="J20" s="333"/>
      <c r="K20" s="333"/>
      <c r="L20" s="333"/>
      <c r="M20" s="333"/>
      <c r="N20" s="325" t="s">
        <v>1071</v>
      </c>
      <c r="O20" s="1162" t="s">
        <v>707</v>
      </c>
      <c r="P20" s="1162" t="s">
        <v>707</v>
      </c>
      <c r="Q20" s="1162">
        <v>10.25</v>
      </c>
      <c r="R20" s="1162" t="s">
        <v>707</v>
      </c>
      <c r="S20" s="1162">
        <v>9.75</v>
      </c>
      <c r="T20" s="1162">
        <v>9.8800000000000008</v>
      </c>
      <c r="U20" s="1162">
        <v>10.26</v>
      </c>
      <c r="V20" s="1163" t="s">
        <v>707</v>
      </c>
      <c r="W20" s="334"/>
      <c r="X20" s="334"/>
      <c r="Y20" s="334"/>
      <c r="Z20" s="46"/>
      <c r="AA20" s="18"/>
    </row>
    <row r="21" spans="1:27">
      <c r="A21" s="1203">
        <v>42479</v>
      </c>
      <c r="B21" s="1205">
        <v>14.313800000000001</v>
      </c>
      <c r="E21" s="343"/>
      <c r="F21" s="342"/>
      <c r="G21" s="335"/>
      <c r="H21" s="333"/>
      <c r="I21" s="193"/>
      <c r="J21" s="333"/>
      <c r="K21" s="333"/>
      <c r="L21" s="333"/>
      <c r="M21" s="333"/>
      <c r="N21" s="325" t="s">
        <v>1072</v>
      </c>
      <c r="O21" s="1162" t="s">
        <v>707</v>
      </c>
      <c r="P21" s="1162" t="s">
        <v>707</v>
      </c>
      <c r="Q21" s="1162">
        <v>9.73</v>
      </c>
      <c r="R21" s="1162" t="s">
        <v>707</v>
      </c>
      <c r="S21" s="1162">
        <v>10</v>
      </c>
      <c r="T21" s="1162">
        <v>10.4</v>
      </c>
      <c r="U21" s="1162">
        <v>10.82</v>
      </c>
      <c r="V21" s="1163" t="s">
        <v>707</v>
      </c>
      <c r="W21" s="335"/>
      <c r="X21" s="334"/>
      <c r="Y21" s="334"/>
      <c r="Z21" s="112"/>
      <c r="AA21" s="18"/>
    </row>
    <row r="22" spans="1:27">
      <c r="A22" s="1203">
        <v>42478</v>
      </c>
      <c r="B22" s="1205">
        <v>14.460599999999999</v>
      </c>
      <c r="E22" s="343"/>
      <c r="F22" s="342"/>
      <c r="G22" s="334"/>
      <c r="H22" s="333"/>
      <c r="I22" s="193"/>
      <c r="J22" s="333"/>
      <c r="K22" s="333"/>
      <c r="L22" s="333"/>
      <c r="M22" s="333"/>
      <c r="N22" s="325" t="s">
        <v>1063</v>
      </c>
      <c r="O22" s="1162">
        <v>16.5</v>
      </c>
      <c r="P22" s="1162">
        <v>17</v>
      </c>
      <c r="Q22" s="1162">
        <v>17.5</v>
      </c>
      <c r="R22" s="1162">
        <v>18</v>
      </c>
      <c r="S22" s="1162">
        <v>17.399999999999999</v>
      </c>
      <c r="T22" s="1162" t="s">
        <v>707</v>
      </c>
      <c r="U22" s="1162" t="s">
        <v>707</v>
      </c>
      <c r="V22" s="1163" t="s">
        <v>707</v>
      </c>
      <c r="W22" s="334"/>
      <c r="X22" s="334"/>
      <c r="Y22" s="334"/>
      <c r="Z22" s="46"/>
      <c r="AA22" s="18"/>
    </row>
    <row r="23" spans="1:27">
      <c r="A23" s="1203">
        <v>42475</v>
      </c>
      <c r="B23" s="1205">
        <v>14.567399999999999</v>
      </c>
      <c r="E23" s="343"/>
      <c r="F23" s="342"/>
      <c r="G23" s="334"/>
      <c r="H23" s="333"/>
      <c r="I23" s="193"/>
      <c r="J23" s="333"/>
      <c r="K23" s="333"/>
      <c r="L23" s="333"/>
      <c r="M23" s="333"/>
      <c r="N23" s="325" t="s">
        <v>1077</v>
      </c>
      <c r="O23" s="1162">
        <v>15.5</v>
      </c>
      <c r="P23" s="1162">
        <v>15.5</v>
      </c>
      <c r="Q23" s="1162">
        <v>15.7</v>
      </c>
      <c r="R23" s="1162">
        <v>16.399999999999999</v>
      </c>
      <c r="S23" s="1162">
        <v>16.350000000000001</v>
      </c>
      <c r="T23" s="1162">
        <v>16</v>
      </c>
      <c r="U23" s="1162" t="s">
        <v>707</v>
      </c>
      <c r="V23" s="1163" t="s">
        <v>707</v>
      </c>
      <c r="W23" s="334"/>
      <c r="X23" s="334"/>
      <c r="Y23" s="334"/>
      <c r="Z23" s="131"/>
      <c r="AA23" s="18"/>
    </row>
    <row r="24" spans="1:27">
      <c r="A24" s="1203">
        <v>42474</v>
      </c>
      <c r="B24" s="1205">
        <v>14.5563</v>
      </c>
      <c r="E24" s="341"/>
      <c r="F24" s="342"/>
      <c r="G24" s="334"/>
      <c r="H24" s="112"/>
      <c r="I24" s="112"/>
      <c r="J24" s="112"/>
      <c r="K24" s="112"/>
      <c r="L24" s="112"/>
      <c r="M24" s="112"/>
      <c r="N24" s="325" t="s">
        <v>1078</v>
      </c>
      <c r="O24" s="1162">
        <v>16.5</v>
      </c>
      <c r="P24" s="1162">
        <v>16.75</v>
      </c>
      <c r="Q24" s="1162">
        <v>17</v>
      </c>
      <c r="R24" s="1162">
        <v>17.5</v>
      </c>
      <c r="S24" s="1162" t="s">
        <v>707</v>
      </c>
      <c r="T24" s="1162" t="s">
        <v>707</v>
      </c>
      <c r="U24" s="1162" t="s">
        <v>707</v>
      </c>
      <c r="V24" s="1163" t="s">
        <v>707</v>
      </c>
      <c r="W24" s="112"/>
      <c r="X24" s="112"/>
      <c r="Y24" s="112"/>
      <c r="Z24" s="112"/>
    </row>
    <row r="25" spans="1:27">
      <c r="A25" s="1203">
        <v>42473</v>
      </c>
      <c r="B25" s="1205">
        <v>14.5776</v>
      </c>
      <c r="E25" s="343"/>
      <c r="F25" s="342"/>
      <c r="G25" s="334"/>
      <c r="H25" s="115"/>
      <c r="I25" s="115"/>
      <c r="J25" s="115"/>
      <c r="K25" s="115"/>
      <c r="L25" s="115"/>
      <c r="M25" s="115"/>
      <c r="N25" s="325" t="s">
        <v>1079</v>
      </c>
      <c r="O25" s="1162">
        <v>15.75</v>
      </c>
      <c r="P25" s="1162">
        <v>16</v>
      </c>
      <c r="Q25" s="1162">
        <v>16.3</v>
      </c>
      <c r="R25" s="1162">
        <v>16.350000000000001</v>
      </c>
      <c r="S25" s="1162">
        <v>17</v>
      </c>
      <c r="T25" s="1162" t="s">
        <v>707</v>
      </c>
      <c r="U25" s="1162" t="s">
        <v>707</v>
      </c>
      <c r="V25" s="1163" t="s">
        <v>707</v>
      </c>
      <c r="W25" s="115"/>
      <c r="X25" s="115"/>
      <c r="Y25" s="115"/>
      <c r="Z25" s="115"/>
    </row>
    <row r="26" spans="1:27">
      <c r="A26" s="1203">
        <v>42472</v>
      </c>
      <c r="B26" s="1205">
        <v>14.7463</v>
      </c>
      <c r="E26" s="343"/>
      <c r="F26" s="342"/>
      <c r="G26" s="334"/>
      <c r="H26" s="100"/>
      <c r="I26" s="100"/>
      <c r="J26" s="100"/>
      <c r="K26" s="100"/>
      <c r="L26" s="100"/>
      <c r="M26" s="100"/>
      <c r="N26" s="325" t="s">
        <v>1080</v>
      </c>
      <c r="O26" s="1162">
        <v>15.3</v>
      </c>
      <c r="P26" s="1162">
        <v>15.3</v>
      </c>
      <c r="Q26" s="1162">
        <v>15.17</v>
      </c>
      <c r="R26" s="1162">
        <v>15.03</v>
      </c>
      <c r="S26" s="1162" t="s">
        <v>707</v>
      </c>
      <c r="T26" s="1162" t="s">
        <v>707</v>
      </c>
      <c r="U26" s="1162" t="s">
        <v>707</v>
      </c>
      <c r="V26" s="1163" t="s">
        <v>707</v>
      </c>
      <c r="Z26" s="100"/>
    </row>
    <row r="27" spans="1:27">
      <c r="A27" s="1203">
        <v>42471</v>
      </c>
      <c r="B27" s="1205">
        <v>14.704499999999999</v>
      </c>
      <c r="E27" s="343"/>
      <c r="F27" s="342"/>
      <c r="G27" s="334"/>
      <c r="I27" s="112"/>
      <c r="J27" s="112"/>
      <c r="K27" s="112"/>
      <c r="L27" s="112"/>
      <c r="M27" s="112"/>
      <c r="N27" s="325" t="s">
        <v>1081</v>
      </c>
      <c r="O27" s="1162">
        <v>14.5</v>
      </c>
      <c r="P27" s="1162">
        <v>14.7</v>
      </c>
      <c r="Q27" s="1162">
        <v>14.9</v>
      </c>
      <c r="R27" s="1162">
        <v>15.1</v>
      </c>
      <c r="S27" s="1162" t="s">
        <v>707</v>
      </c>
      <c r="T27" s="1162" t="s">
        <v>707</v>
      </c>
      <c r="U27" s="1162" t="s">
        <v>707</v>
      </c>
      <c r="V27" s="1163" t="s">
        <v>707</v>
      </c>
      <c r="Z27" s="112"/>
    </row>
    <row r="28" spans="1:27">
      <c r="A28" s="1203">
        <v>42468</v>
      </c>
      <c r="B28" s="1205">
        <v>14.988799999999999</v>
      </c>
      <c r="E28" s="343"/>
      <c r="F28" s="342"/>
      <c r="G28" s="334"/>
      <c r="I28" s="112"/>
      <c r="J28" s="112"/>
      <c r="K28" s="112"/>
      <c r="L28" s="112"/>
      <c r="M28" s="112"/>
      <c r="N28" s="325" t="s">
        <v>1082</v>
      </c>
      <c r="O28" s="1162">
        <v>14.9</v>
      </c>
      <c r="P28" s="1162">
        <v>15.2</v>
      </c>
      <c r="Q28" s="1162">
        <v>15.5</v>
      </c>
      <c r="R28" s="1162">
        <v>16</v>
      </c>
      <c r="S28" s="1162" t="s">
        <v>707</v>
      </c>
      <c r="T28" s="1162" t="s">
        <v>707</v>
      </c>
      <c r="U28" s="1162" t="s">
        <v>707</v>
      </c>
      <c r="V28" s="1163" t="s">
        <v>707</v>
      </c>
      <c r="Z28" s="112"/>
    </row>
    <row r="29" spans="1:27">
      <c r="A29" s="1203">
        <v>42467</v>
      </c>
      <c r="B29" s="1205">
        <v>15.2295</v>
      </c>
      <c r="E29" s="343"/>
      <c r="F29" s="342"/>
      <c r="G29" s="334"/>
      <c r="I29" s="18"/>
      <c r="J29" s="18"/>
      <c r="K29" s="18"/>
      <c r="L29" s="18"/>
      <c r="M29" s="18"/>
      <c r="N29" s="325" t="s">
        <v>1083</v>
      </c>
      <c r="O29" s="1162">
        <v>15.4</v>
      </c>
      <c r="P29" s="1162">
        <v>16</v>
      </c>
      <c r="Q29" s="1162">
        <v>16.8</v>
      </c>
      <c r="R29" s="1162">
        <v>16.7</v>
      </c>
      <c r="S29" s="1162" t="s">
        <v>707</v>
      </c>
      <c r="T29" s="1162" t="s">
        <v>707</v>
      </c>
      <c r="U29" s="1162" t="s">
        <v>707</v>
      </c>
      <c r="V29" s="1163" t="s">
        <v>707</v>
      </c>
      <c r="Z29" s="18"/>
    </row>
    <row r="30" spans="1:27">
      <c r="A30" s="1203">
        <v>42466</v>
      </c>
      <c r="B30" s="1205">
        <v>15.2064</v>
      </c>
      <c r="E30" s="343"/>
      <c r="F30" s="342"/>
      <c r="G30" s="334"/>
      <c r="H30" s="969"/>
      <c r="I30" s="1029"/>
      <c r="J30" s="1029"/>
      <c r="K30" s="1029"/>
      <c r="L30" s="1029"/>
      <c r="M30" s="1029"/>
      <c r="N30" s="1030" t="s">
        <v>1084</v>
      </c>
      <c r="O30" s="1162">
        <v>16.2</v>
      </c>
      <c r="P30" s="1162">
        <v>16.3</v>
      </c>
      <c r="Q30" s="1162">
        <v>16.399999999999999</v>
      </c>
      <c r="R30" s="1162">
        <v>16.5</v>
      </c>
      <c r="S30" s="1162">
        <v>16.7</v>
      </c>
      <c r="T30" s="1162" t="s">
        <v>707</v>
      </c>
      <c r="U30" s="1162" t="s">
        <v>707</v>
      </c>
      <c r="V30" s="1163" t="s">
        <v>707</v>
      </c>
      <c r="W30" s="969"/>
      <c r="X30" s="969"/>
      <c r="Y30" s="969"/>
      <c r="Z30" s="1029"/>
    </row>
    <row r="31" spans="1:27">
      <c r="A31" s="1203">
        <v>42465</v>
      </c>
      <c r="B31" s="1205">
        <v>15.136699999999999</v>
      </c>
      <c r="E31" s="343"/>
      <c r="F31" s="342"/>
      <c r="G31" s="334"/>
      <c r="I31" s="46"/>
      <c r="J31" s="46"/>
      <c r="K31" s="46"/>
      <c r="L31" s="46"/>
      <c r="M31" s="46"/>
      <c r="N31" s="325" t="s">
        <v>1085</v>
      </c>
      <c r="O31" s="1162">
        <v>16</v>
      </c>
      <c r="P31" s="1162">
        <v>16.2</v>
      </c>
      <c r="Q31" s="1162">
        <v>16.2</v>
      </c>
      <c r="R31" s="1162" t="s">
        <v>707</v>
      </c>
      <c r="S31" s="1162" t="s">
        <v>707</v>
      </c>
      <c r="T31" s="1162" t="s">
        <v>707</v>
      </c>
      <c r="U31" s="1162" t="s">
        <v>707</v>
      </c>
      <c r="V31" s="1163" t="s">
        <v>707</v>
      </c>
      <c r="Z31" s="46"/>
    </row>
    <row r="32" spans="1:27">
      <c r="A32" s="1203">
        <v>42464</v>
      </c>
      <c r="B32" s="1205">
        <v>14.7136</v>
      </c>
      <c r="E32" s="343"/>
      <c r="F32" s="342"/>
      <c r="G32" s="334"/>
      <c r="I32" s="112"/>
      <c r="J32" s="112"/>
      <c r="K32" s="112"/>
      <c r="L32" s="112"/>
      <c r="M32" s="112"/>
      <c r="N32" s="325" t="s">
        <v>1086</v>
      </c>
      <c r="O32" s="1162">
        <v>16</v>
      </c>
      <c r="P32" s="1162">
        <v>16.3</v>
      </c>
      <c r="Q32" s="1162">
        <v>16.600000000000001</v>
      </c>
      <c r="R32" s="1162">
        <v>16.600000000000001</v>
      </c>
      <c r="S32" s="1162" t="s">
        <v>707</v>
      </c>
      <c r="T32" s="1162" t="s">
        <v>707</v>
      </c>
      <c r="U32" s="1162" t="s">
        <v>707</v>
      </c>
      <c r="V32" s="1163" t="s">
        <v>707</v>
      </c>
      <c r="Z32" s="112"/>
    </row>
    <row r="33" spans="1:26">
      <c r="A33" s="1203">
        <v>42461</v>
      </c>
      <c r="B33" s="1205">
        <v>14.6378</v>
      </c>
      <c r="E33" s="343"/>
      <c r="F33" s="342" t="s">
        <v>1733</v>
      </c>
      <c r="G33" s="334"/>
      <c r="H33" s="969"/>
      <c r="I33" s="1031"/>
      <c r="J33" s="1031"/>
      <c r="K33" s="1031"/>
      <c r="L33" s="1031"/>
      <c r="M33" s="1031"/>
      <c r="N33" s="1030" t="s">
        <v>1087</v>
      </c>
      <c r="O33" s="1162">
        <v>15.32</v>
      </c>
      <c r="P33" s="1162">
        <v>15.58</v>
      </c>
      <c r="Q33" s="1162">
        <v>15.59</v>
      </c>
      <c r="R33" s="1162">
        <v>15.6</v>
      </c>
      <c r="S33" s="1162">
        <v>15.57</v>
      </c>
      <c r="T33" s="1162">
        <v>16.27</v>
      </c>
      <c r="U33" s="1162" t="s">
        <v>707</v>
      </c>
      <c r="V33" s="1163" t="s">
        <v>707</v>
      </c>
      <c r="W33" s="969"/>
      <c r="X33" s="969"/>
      <c r="Y33" s="969"/>
      <c r="Z33" s="1031"/>
    </row>
    <row r="34" spans="1:26">
      <c r="A34" s="1203">
        <v>42460</v>
      </c>
      <c r="B34" s="1205">
        <v>14.6915</v>
      </c>
      <c r="E34" s="343"/>
      <c r="F34" s="342"/>
      <c r="G34" s="334"/>
      <c r="H34" s="969"/>
      <c r="I34" s="1029"/>
      <c r="J34" s="1029"/>
      <c r="K34" s="1029"/>
      <c r="L34" s="1029"/>
      <c r="M34" s="1029"/>
      <c r="N34" s="1030" t="s">
        <v>1088</v>
      </c>
      <c r="O34" s="1162">
        <v>16.100000000000001</v>
      </c>
      <c r="P34" s="1162">
        <v>17</v>
      </c>
      <c r="Q34" s="1162">
        <v>17.5</v>
      </c>
      <c r="R34" s="1162">
        <v>18.3</v>
      </c>
      <c r="S34" s="1162" t="s">
        <v>707</v>
      </c>
      <c r="T34" s="1162" t="s">
        <v>707</v>
      </c>
      <c r="U34" s="1162" t="s">
        <v>707</v>
      </c>
      <c r="V34" s="1163" t="s">
        <v>707</v>
      </c>
      <c r="W34" s="969"/>
      <c r="X34" s="969"/>
      <c r="Y34" s="969"/>
      <c r="Z34" s="1029"/>
    </row>
    <row r="35" spans="1:26">
      <c r="A35" s="1203">
        <v>42459</v>
      </c>
      <c r="B35" s="1205">
        <v>14.9482</v>
      </c>
      <c r="E35" s="343"/>
      <c r="F35" s="342"/>
      <c r="G35" s="334"/>
      <c r="H35" s="969"/>
      <c r="I35" s="1029"/>
      <c r="J35" s="1029"/>
      <c r="K35" s="1029"/>
      <c r="L35" s="1029"/>
      <c r="M35" s="1029"/>
      <c r="N35" s="1030" t="s">
        <v>1089</v>
      </c>
      <c r="O35" s="1162">
        <v>16</v>
      </c>
      <c r="P35" s="1162">
        <v>17</v>
      </c>
      <c r="Q35" s="1162">
        <v>16</v>
      </c>
      <c r="R35" s="1162">
        <v>15.75</v>
      </c>
      <c r="S35" s="1162">
        <v>15</v>
      </c>
      <c r="T35" s="1162" t="s">
        <v>707</v>
      </c>
      <c r="U35" s="1162" t="s">
        <v>707</v>
      </c>
      <c r="V35" s="1163" t="s">
        <v>707</v>
      </c>
      <c r="W35" s="969"/>
      <c r="X35" s="969"/>
      <c r="Y35" s="969"/>
      <c r="Z35" s="1029"/>
    </row>
    <row r="36" spans="1:26">
      <c r="A36" s="1203">
        <v>42458</v>
      </c>
      <c r="B36" s="1205">
        <v>15.244300000000001</v>
      </c>
      <c r="H36" s="969"/>
      <c r="I36" s="1032"/>
      <c r="J36" s="1032"/>
      <c r="K36" s="1032"/>
      <c r="L36" s="1032"/>
      <c r="M36" s="1032"/>
      <c r="N36" s="1030" t="s">
        <v>1090</v>
      </c>
      <c r="O36" s="1162">
        <v>15</v>
      </c>
      <c r="P36" s="1162">
        <v>15.5</v>
      </c>
      <c r="Q36" s="1162">
        <v>16</v>
      </c>
      <c r="R36" s="1162">
        <v>15.5</v>
      </c>
      <c r="S36" s="1162" t="s">
        <v>707</v>
      </c>
      <c r="T36" s="1162" t="s">
        <v>707</v>
      </c>
      <c r="U36" s="1162" t="s">
        <v>707</v>
      </c>
      <c r="V36" s="1163" t="s">
        <v>707</v>
      </c>
      <c r="W36" s="969"/>
      <c r="X36" s="969"/>
      <c r="Y36" s="969"/>
      <c r="Z36" s="1032"/>
    </row>
    <row r="37" spans="1:26">
      <c r="A37" s="1203">
        <v>42457</v>
      </c>
      <c r="B37" s="1205">
        <v>15.549799999999999</v>
      </c>
      <c r="I37" s="112"/>
      <c r="J37" s="112"/>
      <c r="K37" s="112"/>
      <c r="L37" s="112"/>
      <c r="M37" s="112"/>
      <c r="N37" s="325" t="s">
        <v>1091</v>
      </c>
      <c r="O37" s="1162">
        <v>15</v>
      </c>
      <c r="P37" s="1162">
        <v>15.5</v>
      </c>
      <c r="Q37" s="1162">
        <v>16</v>
      </c>
      <c r="R37" s="1162">
        <v>16</v>
      </c>
      <c r="S37" s="1162">
        <v>15.5</v>
      </c>
      <c r="T37" s="1162" t="s">
        <v>707</v>
      </c>
      <c r="U37" s="1162" t="s">
        <v>707</v>
      </c>
      <c r="V37" s="1163" t="s">
        <v>707</v>
      </c>
      <c r="Z37" s="112"/>
    </row>
    <row r="38" spans="1:26">
      <c r="A38" s="1203">
        <v>42454</v>
      </c>
      <c r="B38" s="1205">
        <v>15.4642</v>
      </c>
      <c r="H38" s="969"/>
      <c r="I38" s="1031"/>
      <c r="J38" s="1031"/>
      <c r="K38" s="1031"/>
      <c r="L38" s="1031"/>
      <c r="M38" s="1031"/>
      <c r="N38" s="1030" t="s">
        <v>1092</v>
      </c>
      <c r="O38" s="1162">
        <v>16</v>
      </c>
      <c r="P38" s="1162">
        <v>16</v>
      </c>
      <c r="Q38" s="1162">
        <v>17</v>
      </c>
      <c r="R38" s="1162">
        <v>17</v>
      </c>
      <c r="S38" s="1162" t="s">
        <v>707</v>
      </c>
      <c r="T38" s="1162" t="s">
        <v>707</v>
      </c>
      <c r="U38" s="1162" t="s">
        <v>707</v>
      </c>
      <c r="V38" s="1163" t="s">
        <v>707</v>
      </c>
      <c r="W38" s="969"/>
      <c r="X38" s="969"/>
      <c r="Y38" s="969"/>
      <c r="Z38" s="1031"/>
    </row>
    <row r="39" spans="1:26">
      <c r="A39" s="1203">
        <v>42453</v>
      </c>
      <c r="B39" s="1205">
        <v>15.5344</v>
      </c>
      <c r="I39" s="18"/>
      <c r="J39" s="18"/>
      <c r="K39" s="18"/>
      <c r="L39" s="18"/>
      <c r="M39" s="18"/>
      <c r="N39" s="325" t="s">
        <v>1093</v>
      </c>
      <c r="O39" s="1162">
        <v>16</v>
      </c>
      <c r="P39" s="1162">
        <v>16.399999999999999</v>
      </c>
      <c r="Q39" s="1162">
        <v>16.739999999999998</v>
      </c>
      <c r="R39" s="1162">
        <v>17.079999999999998</v>
      </c>
      <c r="S39" s="1162" t="s">
        <v>707</v>
      </c>
      <c r="T39" s="1162" t="s">
        <v>707</v>
      </c>
      <c r="U39" s="1162" t="s">
        <v>707</v>
      </c>
      <c r="V39" s="1163" t="s">
        <v>707</v>
      </c>
      <c r="Z39" s="18"/>
    </row>
    <row r="40" spans="1:26">
      <c r="A40" s="1203">
        <v>42452</v>
      </c>
      <c r="B40" s="1205">
        <v>15.3721</v>
      </c>
      <c r="I40" s="18"/>
      <c r="J40" s="18"/>
      <c r="K40" s="18"/>
      <c r="L40" s="18"/>
      <c r="M40" s="18"/>
      <c r="N40" s="325" t="s">
        <v>1094</v>
      </c>
      <c r="O40" s="1162">
        <v>17.5</v>
      </c>
      <c r="P40" s="1162">
        <v>18.25</v>
      </c>
      <c r="Q40" s="1162">
        <v>19</v>
      </c>
      <c r="R40" s="1162">
        <v>19.25</v>
      </c>
      <c r="S40" s="1162">
        <v>20</v>
      </c>
      <c r="T40" s="1162" t="s">
        <v>707</v>
      </c>
      <c r="U40" s="1162" t="s">
        <v>707</v>
      </c>
      <c r="V40" s="1163" t="s">
        <v>707</v>
      </c>
      <c r="Z40" s="18"/>
    </row>
    <row r="41" spans="1:26">
      <c r="A41" s="1203">
        <v>42451</v>
      </c>
      <c r="B41" s="1205">
        <v>15.211499999999999</v>
      </c>
      <c r="I41" s="46"/>
      <c r="J41" s="46"/>
      <c r="K41" s="46"/>
      <c r="L41" s="46"/>
      <c r="M41" s="46"/>
      <c r="N41" s="325" t="s">
        <v>1095</v>
      </c>
      <c r="O41" s="1162">
        <v>15</v>
      </c>
      <c r="P41" s="1162">
        <v>14.75</v>
      </c>
      <c r="Q41" s="1162">
        <v>14.5</v>
      </c>
      <c r="R41" s="1162">
        <v>14.25</v>
      </c>
      <c r="S41" s="1162">
        <v>13.5</v>
      </c>
      <c r="T41" s="1162" t="s">
        <v>707</v>
      </c>
      <c r="U41" s="1162" t="s">
        <v>707</v>
      </c>
      <c r="V41" s="1163" t="s">
        <v>707</v>
      </c>
      <c r="Z41" s="46"/>
    </row>
    <row r="42" spans="1:26">
      <c r="A42" s="1203">
        <v>42450</v>
      </c>
      <c r="B42" s="1205">
        <v>15.218299999999999</v>
      </c>
      <c r="H42" s="969"/>
      <c r="I42" s="854"/>
      <c r="J42" s="854"/>
      <c r="K42" s="854"/>
      <c r="L42" s="854"/>
      <c r="M42" s="854"/>
      <c r="N42" s="1030" t="s">
        <v>1096</v>
      </c>
      <c r="O42" s="1162">
        <v>14.96</v>
      </c>
      <c r="P42" s="1162">
        <v>14.73</v>
      </c>
      <c r="Q42" s="1162">
        <v>14.5</v>
      </c>
      <c r="R42" s="1162">
        <v>14.38</v>
      </c>
      <c r="S42" s="1162">
        <v>14</v>
      </c>
      <c r="T42" s="1162" t="s">
        <v>707</v>
      </c>
      <c r="U42" s="1162" t="s">
        <v>707</v>
      </c>
      <c r="V42" s="1163" t="s">
        <v>707</v>
      </c>
      <c r="Z42" s="185"/>
    </row>
    <row r="43" spans="1:26">
      <c r="A43" s="1203">
        <v>42447</v>
      </c>
      <c r="B43" s="1205">
        <v>15.2684</v>
      </c>
      <c r="H43" s="969"/>
      <c r="I43" s="1029"/>
      <c r="J43" s="1029"/>
      <c r="K43" s="1029"/>
      <c r="L43" s="1029"/>
      <c r="M43" s="1029"/>
      <c r="N43" s="1030" t="s">
        <v>1097</v>
      </c>
      <c r="O43" s="1162">
        <v>16.3</v>
      </c>
      <c r="P43" s="1162">
        <v>16.68</v>
      </c>
      <c r="Q43" s="1162">
        <v>16.989999999999998</v>
      </c>
      <c r="R43" s="1162">
        <v>16.95</v>
      </c>
      <c r="S43" s="1162">
        <v>16.829999999999998</v>
      </c>
      <c r="T43" s="1162" t="s">
        <v>707</v>
      </c>
      <c r="U43" s="1162" t="s">
        <v>707</v>
      </c>
      <c r="V43" s="1163" t="s">
        <v>707</v>
      </c>
      <c r="Z43" s="18"/>
    </row>
    <row r="44" spans="1:26">
      <c r="A44" s="1203">
        <v>42446</v>
      </c>
      <c r="B44" s="1205">
        <v>15.165800000000001</v>
      </c>
      <c r="H44" s="969"/>
      <c r="I44" s="1029"/>
      <c r="J44" s="1029"/>
      <c r="K44" s="1029"/>
      <c r="L44" s="1029"/>
      <c r="M44" s="1029"/>
      <c r="N44" s="1030" t="s">
        <v>1098</v>
      </c>
      <c r="O44" s="1162">
        <v>14.5</v>
      </c>
      <c r="P44" s="1162">
        <v>16</v>
      </c>
      <c r="Q44" s="1162">
        <v>16</v>
      </c>
      <c r="R44" s="1162" t="s">
        <v>707</v>
      </c>
      <c r="S44" s="1162" t="s">
        <v>707</v>
      </c>
      <c r="T44" s="1162" t="s">
        <v>707</v>
      </c>
      <c r="U44" s="1162" t="s">
        <v>707</v>
      </c>
      <c r="V44" s="1163" t="s">
        <v>707</v>
      </c>
      <c r="Z44" s="18"/>
    </row>
    <row r="45" spans="1:26">
      <c r="A45" s="1203">
        <v>42445</v>
      </c>
      <c r="B45" s="1205">
        <v>15.953200000000001</v>
      </c>
      <c r="H45" s="969"/>
      <c r="I45" s="1033"/>
      <c r="J45" s="1033"/>
      <c r="K45" s="1033"/>
      <c r="L45" s="1033"/>
      <c r="M45" s="1033"/>
      <c r="N45" s="1030" t="s">
        <v>1099</v>
      </c>
      <c r="O45" s="1162">
        <v>15.7</v>
      </c>
      <c r="P45" s="1162">
        <v>15.65</v>
      </c>
      <c r="Q45" s="1162">
        <v>15.6</v>
      </c>
      <c r="R45" s="1162" t="s">
        <v>707</v>
      </c>
      <c r="S45" s="1162">
        <v>14</v>
      </c>
      <c r="T45" s="1162" t="s">
        <v>707</v>
      </c>
      <c r="U45" s="1162" t="s">
        <v>707</v>
      </c>
      <c r="V45" s="1163" t="s">
        <v>707</v>
      </c>
      <c r="Z45" s="171"/>
    </row>
    <row r="46" spans="1:26">
      <c r="A46" s="1203">
        <v>42444</v>
      </c>
      <c r="B46" s="1205">
        <v>15.9192</v>
      </c>
      <c r="H46" s="969"/>
      <c r="I46" s="1034"/>
      <c r="J46" s="1034"/>
      <c r="K46" s="1034"/>
      <c r="L46" s="1034"/>
      <c r="M46" s="1034"/>
      <c r="N46" s="1030" t="s">
        <v>1100</v>
      </c>
      <c r="O46" s="1162">
        <v>18</v>
      </c>
      <c r="P46" s="1162">
        <v>17.5</v>
      </c>
      <c r="Q46" s="1162">
        <v>17</v>
      </c>
      <c r="R46" s="1162">
        <v>16.8</v>
      </c>
      <c r="S46" s="1162">
        <v>16.5</v>
      </c>
      <c r="T46" s="1162" t="s">
        <v>707</v>
      </c>
      <c r="U46" s="1162" t="s">
        <v>707</v>
      </c>
      <c r="V46" s="1163" t="s">
        <v>707</v>
      </c>
      <c r="Z46" s="184"/>
    </row>
    <row r="47" spans="1:26">
      <c r="A47" s="1203">
        <v>42443</v>
      </c>
      <c r="B47" s="1205">
        <v>15.543100000000001</v>
      </c>
      <c r="H47" s="969"/>
      <c r="I47" s="1032"/>
      <c r="J47" s="1032"/>
      <c r="K47" s="1032"/>
      <c r="L47" s="1032"/>
      <c r="M47" s="1032"/>
      <c r="N47" s="1030" t="s">
        <v>1101</v>
      </c>
      <c r="O47" s="1162">
        <v>15</v>
      </c>
      <c r="P47" s="1162">
        <v>14.5</v>
      </c>
      <c r="Q47" s="1162">
        <v>14.25</v>
      </c>
      <c r="R47" s="1162" t="s">
        <v>707</v>
      </c>
      <c r="S47" s="1162">
        <v>14</v>
      </c>
      <c r="T47" s="1162" t="s">
        <v>707</v>
      </c>
      <c r="U47" s="1162" t="s">
        <v>707</v>
      </c>
      <c r="V47" s="1163" t="s">
        <v>707</v>
      </c>
      <c r="Z47" s="46"/>
    </row>
    <row r="48" spans="1:26">
      <c r="A48" s="1203">
        <v>42440</v>
      </c>
      <c r="B48" s="1205">
        <v>15.2697</v>
      </c>
      <c r="H48" s="969"/>
      <c r="I48" s="1029"/>
      <c r="J48" s="1029"/>
      <c r="K48" s="1029"/>
      <c r="L48" s="1029"/>
      <c r="M48" s="1029"/>
      <c r="N48" s="1030" t="s">
        <v>1102</v>
      </c>
      <c r="O48" s="1162">
        <v>13.4</v>
      </c>
      <c r="P48" s="1162">
        <v>14.5</v>
      </c>
      <c r="Q48" s="1162">
        <v>18</v>
      </c>
      <c r="R48" s="1162" t="s">
        <v>707</v>
      </c>
      <c r="S48" s="1162" t="s">
        <v>707</v>
      </c>
      <c r="T48" s="1162" t="s">
        <v>707</v>
      </c>
      <c r="U48" s="1162" t="s">
        <v>707</v>
      </c>
      <c r="V48" s="1163" t="s">
        <v>707</v>
      </c>
      <c r="Z48" s="18"/>
    </row>
    <row r="49" spans="1:26">
      <c r="A49" s="1203">
        <v>42439</v>
      </c>
      <c r="B49" s="1205">
        <v>15.4536</v>
      </c>
      <c r="H49" s="969"/>
      <c r="I49" s="1029"/>
      <c r="J49" s="1029"/>
      <c r="K49" s="1029"/>
      <c r="L49" s="1029"/>
      <c r="M49" s="1029"/>
      <c r="N49" s="1030" t="s">
        <v>1103</v>
      </c>
      <c r="O49" s="1162" t="s">
        <v>707</v>
      </c>
      <c r="P49" s="1162" t="s">
        <v>707</v>
      </c>
      <c r="Q49" s="1162">
        <v>15</v>
      </c>
      <c r="R49" s="1162" t="s">
        <v>707</v>
      </c>
      <c r="S49" s="1162">
        <v>15.3</v>
      </c>
      <c r="T49" s="1162" t="s">
        <v>707</v>
      </c>
      <c r="U49" s="1162" t="s">
        <v>707</v>
      </c>
      <c r="V49" s="1163" t="s">
        <v>707</v>
      </c>
      <c r="Z49" s="18"/>
    </row>
    <row r="50" spans="1:26">
      <c r="A50" s="1203">
        <v>42438</v>
      </c>
      <c r="B50" s="1205">
        <v>15.2074</v>
      </c>
      <c r="H50" s="969"/>
      <c r="I50" s="1032"/>
      <c r="J50" s="1032"/>
      <c r="K50" s="1032"/>
      <c r="L50" s="1032"/>
      <c r="M50" s="1032"/>
      <c r="N50" s="1030" t="s">
        <v>1104</v>
      </c>
      <c r="O50" s="1162">
        <v>16.7</v>
      </c>
      <c r="P50" s="1162">
        <v>17</v>
      </c>
      <c r="Q50" s="1162">
        <v>16.8</v>
      </c>
      <c r="R50" s="1162" t="s">
        <v>707</v>
      </c>
      <c r="S50" s="1162">
        <v>16.5</v>
      </c>
      <c r="T50" s="1162" t="s">
        <v>707</v>
      </c>
      <c r="U50" s="1162" t="s">
        <v>707</v>
      </c>
      <c r="V50" s="1163" t="s">
        <v>707</v>
      </c>
      <c r="Z50" s="46"/>
    </row>
    <row r="51" spans="1:26">
      <c r="A51" s="1203">
        <v>42437</v>
      </c>
      <c r="B51" s="1205">
        <v>15.414199999999999</v>
      </c>
      <c r="H51" s="969"/>
      <c r="I51" s="1029"/>
      <c r="J51" s="1029"/>
      <c r="K51" s="1029"/>
      <c r="L51" s="1029"/>
      <c r="M51" s="1029"/>
      <c r="N51" s="1030" t="s">
        <v>1105</v>
      </c>
      <c r="O51" s="1162">
        <v>15.5</v>
      </c>
      <c r="P51" s="1162">
        <v>15</v>
      </c>
      <c r="Q51" s="1162">
        <v>14.8</v>
      </c>
      <c r="R51" s="1162" t="s">
        <v>707</v>
      </c>
      <c r="S51" s="1162" t="s">
        <v>707</v>
      </c>
      <c r="T51" s="1166" t="s">
        <v>707</v>
      </c>
      <c r="U51" s="1162" t="s">
        <v>707</v>
      </c>
      <c r="V51" s="1163" t="s">
        <v>707</v>
      </c>
      <c r="Z51" s="18"/>
    </row>
    <row r="52" spans="1:26">
      <c r="A52" s="1203">
        <v>42436</v>
      </c>
      <c r="B52" s="1205">
        <v>15.2394</v>
      </c>
      <c r="H52" s="969"/>
      <c r="I52" s="1029"/>
      <c r="J52" s="1029"/>
      <c r="K52" s="1029"/>
      <c r="L52" s="1029"/>
      <c r="M52" s="1029"/>
      <c r="N52" s="1030" t="s">
        <v>1106</v>
      </c>
      <c r="O52" s="1162">
        <v>16.5</v>
      </c>
      <c r="P52" s="1162">
        <v>16.7</v>
      </c>
      <c r="Q52" s="1162">
        <v>17.2</v>
      </c>
      <c r="R52" s="1162" t="s">
        <v>707</v>
      </c>
      <c r="S52" s="1162" t="s">
        <v>707</v>
      </c>
      <c r="T52" s="1162" t="s">
        <v>707</v>
      </c>
      <c r="U52" s="1162" t="s">
        <v>707</v>
      </c>
      <c r="V52" s="1163" t="s">
        <v>707</v>
      </c>
      <c r="Z52" s="18"/>
    </row>
    <row r="53" spans="1:26">
      <c r="A53" s="1203">
        <v>42433</v>
      </c>
      <c r="B53" s="1205">
        <v>15.2973</v>
      </c>
      <c r="H53" s="969"/>
      <c r="I53" s="1029"/>
      <c r="J53" s="1029"/>
      <c r="K53" s="1029"/>
      <c r="L53" s="1029"/>
      <c r="M53" s="1029"/>
      <c r="N53" s="1030" t="s">
        <v>1107</v>
      </c>
      <c r="O53" s="1162">
        <v>15.55</v>
      </c>
      <c r="P53" s="1162">
        <v>14.3</v>
      </c>
      <c r="Q53" s="1162">
        <v>12.9</v>
      </c>
      <c r="R53" s="1162" t="s">
        <v>707</v>
      </c>
      <c r="S53" s="1162" t="s">
        <v>707</v>
      </c>
      <c r="T53" s="1162" t="s">
        <v>707</v>
      </c>
      <c r="U53" s="1162" t="s">
        <v>707</v>
      </c>
      <c r="V53" s="1163" t="s">
        <v>707</v>
      </c>
      <c r="Z53" s="18"/>
    </row>
    <row r="54" spans="1:26">
      <c r="A54" s="1203">
        <v>42432</v>
      </c>
      <c r="B54" s="1205">
        <v>15.585599999999999</v>
      </c>
      <c r="G54" s="18"/>
      <c r="H54" s="1029"/>
      <c r="I54" s="1029"/>
      <c r="J54" s="1029"/>
      <c r="K54" s="1029"/>
      <c r="L54" s="1029"/>
      <c r="M54" s="1029"/>
      <c r="N54" s="1030" t="s">
        <v>1108</v>
      </c>
      <c r="O54" s="1162">
        <v>17</v>
      </c>
      <c r="P54" s="1162">
        <v>17.3</v>
      </c>
      <c r="Q54" s="1162">
        <v>16.899999999999999</v>
      </c>
      <c r="R54" s="1162" t="s">
        <v>707</v>
      </c>
      <c r="S54" s="1162" t="s">
        <v>707</v>
      </c>
      <c r="T54" s="1162" t="s">
        <v>707</v>
      </c>
      <c r="U54" s="1162" t="s">
        <v>707</v>
      </c>
      <c r="V54" s="1163" t="s">
        <v>707</v>
      </c>
      <c r="Z54" s="18"/>
    </row>
    <row r="55" spans="1:26">
      <c r="A55" s="1203">
        <v>42431</v>
      </c>
      <c r="B55" s="1205">
        <v>15.6195</v>
      </c>
      <c r="G55" s="18"/>
      <c r="H55" s="1029"/>
      <c r="I55" s="1029"/>
      <c r="J55" s="1029"/>
      <c r="K55" s="1029"/>
      <c r="L55" s="1029"/>
      <c r="M55" s="1029"/>
      <c r="N55" s="1030" t="s">
        <v>1109</v>
      </c>
      <c r="O55" s="1162">
        <v>17</v>
      </c>
      <c r="P55" s="1162">
        <v>16.75</v>
      </c>
      <c r="Q55" s="1162">
        <v>16.5</v>
      </c>
      <c r="R55" s="1162" t="s">
        <v>707</v>
      </c>
      <c r="S55" s="1162">
        <v>15</v>
      </c>
      <c r="T55" s="1162" t="s">
        <v>707</v>
      </c>
      <c r="U55" s="1162" t="s">
        <v>707</v>
      </c>
      <c r="V55" s="1163" t="s">
        <v>707</v>
      </c>
      <c r="Z55" s="18"/>
    </row>
    <row r="56" spans="1:26">
      <c r="A56" s="1203">
        <v>42430</v>
      </c>
      <c r="B56" s="1205">
        <v>15.590199999999999</v>
      </c>
      <c r="G56" s="46"/>
      <c r="H56" s="1032"/>
      <c r="I56" s="1032"/>
      <c r="J56" s="1032"/>
      <c r="K56" s="1032"/>
      <c r="L56" s="1032"/>
      <c r="M56" s="1032"/>
      <c r="N56" s="1030" t="s">
        <v>1110</v>
      </c>
      <c r="O56" s="1162">
        <v>14.8</v>
      </c>
      <c r="P56" s="1162">
        <v>15.1</v>
      </c>
      <c r="Q56" s="1162">
        <v>15.45</v>
      </c>
      <c r="R56" s="1162" t="s">
        <v>707</v>
      </c>
      <c r="S56" s="1162" t="s">
        <v>707</v>
      </c>
      <c r="T56" s="1162" t="s">
        <v>707</v>
      </c>
      <c r="U56" s="1162" t="s">
        <v>707</v>
      </c>
      <c r="V56" s="1163" t="s">
        <v>707</v>
      </c>
      <c r="Z56" s="46"/>
    </row>
    <row r="57" spans="1:26">
      <c r="A57" s="1203">
        <v>42429</v>
      </c>
      <c r="B57" s="1205">
        <v>15.815799999999999</v>
      </c>
      <c r="G57" s="18"/>
      <c r="H57" s="1029"/>
      <c r="I57" s="1029"/>
      <c r="J57" s="1029"/>
      <c r="K57" s="1029"/>
      <c r="L57" s="1029"/>
      <c r="M57" s="1029"/>
      <c r="N57" s="1030" t="s">
        <v>1111</v>
      </c>
      <c r="O57" s="1162">
        <v>16.7</v>
      </c>
      <c r="P57" s="1162">
        <v>17</v>
      </c>
      <c r="Q57" s="1162">
        <v>16.7</v>
      </c>
      <c r="R57" s="1162" t="s">
        <v>707</v>
      </c>
      <c r="S57" s="1162">
        <v>16.3</v>
      </c>
      <c r="T57" s="1162" t="s">
        <v>707</v>
      </c>
      <c r="U57" s="1162" t="s">
        <v>707</v>
      </c>
      <c r="V57" s="1163" t="s">
        <v>707</v>
      </c>
      <c r="Z57" s="18"/>
    </row>
    <row r="58" spans="1:26">
      <c r="A58" s="1203">
        <v>42426</v>
      </c>
      <c r="B58" s="1205">
        <v>16.236799999999999</v>
      </c>
      <c r="G58" s="18"/>
      <c r="H58" s="1029"/>
      <c r="I58" s="1029"/>
      <c r="J58" s="1029"/>
      <c r="K58" s="1029"/>
      <c r="L58" s="1029"/>
      <c r="M58" s="1029"/>
      <c r="N58" s="1030" t="s">
        <v>1112</v>
      </c>
      <c r="O58" s="1162">
        <v>13.2</v>
      </c>
      <c r="P58" s="1162">
        <v>14</v>
      </c>
      <c r="Q58" s="1162">
        <v>15</v>
      </c>
      <c r="R58" s="1162" t="s">
        <v>707</v>
      </c>
      <c r="S58" s="1162" t="s">
        <v>707</v>
      </c>
      <c r="T58" s="1162" t="s">
        <v>707</v>
      </c>
      <c r="U58" s="1162" t="s">
        <v>707</v>
      </c>
      <c r="V58" s="1163" t="s">
        <v>707</v>
      </c>
      <c r="Z58" s="18"/>
    </row>
    <row r="59" spans="1:26">
      <c r="A59" s="1203">
        <v>42425</v>
      </c>
      <c r="B59" s="1205">
        <v>15.6523</v>
      </c>
      <c r="G59" s="46"/>
      <c r="H59" s="1032"/>
      <c r="I59" s="1032"/>
      <c r="J59" s="1032"/>
      <c r="K59" s="1032"/>
      <c r="L59" s="1032"/>
      <c r="M59" s="1032"/>
      <c r="N59" s="1030" t="s">
        <v>1113</v>
      </c>
      <c r="O59" s="1162">
        <v>14.5</v>
      </c>
      <c r="P59" s="1162">
        <v>14</v>
      </c>
      <c r="Q59" s="1162">
        <v>13.5</v>
      </c>
      <c r="R59" s="1162" t="s">
        <v>707</v>
      </c>
      <c r="S59" s="1162" t="s">
        <v>707</v>
      </c>
      <c r="T59" s="1162" t="s">
        <v>707</v>
      </c>
      <c r="U59" s="1162" t="s">
        <v>707</v>
      </c>
      <c r="V59" s="1163" t="s">
        <v>707</v>
      </c>
      <c r="Z59" s="46"/>
    </row>
    <row r="60" spans="1:26">
      <c r="A60" s="1203">
        <v>42424</v>
      </c>
      <c r="B60" s="1205">
        <v>15.626099999999999</v>
      </c>
      <c r="G60" s="18"/>
      <c r="H60" s="1029"/>
      <c r="I60" s="1029"/>
      <c r="J60" s="1029"/>
      <c r="K60" s="1029"/>
      <c r="L60" s="1029"/>
      <c r="M60" s="1029"/>
      <c r="N60" s="1030" t="s">
        <v>1114</v>
      </c>
      <c r="O60" s="1162">
        <v>11.5</v>
      </c>
      <c r="P60" s="1162">
        <v>11</v>
      </c>
      <c r="Q60" s="1162">
        <v>10.5</v>
      </c>
      <c r="R60" s="1162" t="s">
        <v>707</v>
      </c>
      <c r="S60" s="1162" t="s">
        <v>707</v>
      </c>
      <c r="T60" s="1162"/>
      <c r="U60" s="1162"/>
      <c r="V60" s="1163"/>
      <c r="Z60" s="18"/>
    </row>
    <row r="61" spans="1:26" ht="16" thickBot="1">
      <c r="A61" s="1203">
        <v>42423</v>
      </c>
      <c r="B61" s="1205">
        <v>15.198</v>
      </c>
      <c r="G61" s="18"/>
      <c r="H61" s="1029"/>
      <c r="I61" s="1029"/>
      <c r="J61" s="1029"/>
      <c r="K61" s="1029"/>
      <c r="L61" s="1029"/>
      <c r="M61" s="1029"/>
      <c r="N61" s="1035" t="s">
        <v>1115</v>
      </c>
      <c r="O61" s="1167" t="s">
        <v>707</v>
      </c>
      <c r="P61" s="1167" t="s">
        <v>707</v>
      </c>
      <c r="Q61" s="1167">
        <v>9.27</v>
      </c>
      <c r="R61" s="1167" t="s">
        <v>707</v>
      </c>
      <c r="S61" s="1167" t="s">
        <v>707</v>
      </c>
      <c r="T61" s="1167" t="s">
        <v>707</v>
      </c>
      <c r="U61" s="1167" t="s">
        <v>707</v>
      </c>
      <c r="V61" s="1168" t="s">
        <v>707</v>
      </c>
      <c r="Z61" s="18"/>
    </row>
    <row r="62" spans="1:26">
      <c r="A62" s="1203">
        <v>42422</v>
      </c>
      <c r="B62" s="1205">
        <v>15.175000000000001</v>
      </c>
      <c r="G62" s="18"/>
      <c r="H62" s="1029"/>
      <c r="I62" s="1029"/>
      <c r="J62" s="1029"/>
      <c r="K62" s="1029"/>
      <c r="L62" s="1029"/>
      <c r="M62" s="1029"/>
      <c r="N62" s="960"/>
      <c r="O62" s="960"/>
      <c r="P62" s="960"/>
      <c r="Q62" s="7"/>
      <c r="R62" s="7"/>
      <c r="S62" s="7"/>
      <c r="T62" s="7"/>
      <c r="U62" s="7"/>
      <c r="V62" s="7"/>
      <c r="Z62" s="18"/>
    </row>
    <row r="63" spans="1:26">
      <c r="A63" s="1203">
        <v>42419</v>
      </c>
      <c r="B63" s="1205">
        <v>15.4124</v>
      </c>
      <c r="G63" s="18"/>
      <c r="H63" s="1029"/>
      <c r="I63" s="1029"/>
      <c r="J63" s="1029"/>
      <c r="K63" s="1029"/>
      <c r="L63" s="1029"/>
      <c r="M63" s="1029"/>
      <c r="N63" s="960"/>
      <c r="O63" s="960"/>
      <c r="P63" s="960"/>
      <c r="Q63" s="7"/>
      <c r="R63" s="7"/>
      <c r="S63" s="7"/>
      <c r="T63" s="7"/>
      <c r="U63" s="7"/>
      <c r="V63" s="7"/>
      <c r="Z63" s="18"/>
    </row>
    <row r="64" spans="1:26" s="1065" customFormat="1" thickBot="1">
      <c r="A64" s="1208">
        <v>42418</v>
      </c>
      <c r="B64" s="1206">
        <v>15.420500000000001</v>
      </c>
      <c r="G64" s="1067"/>
      <c r="H64" s="1067"/>
      <c r="I64" s="1067"/>
      <c r="J64" s="1067"/>
      <c r="K64" s="1067"/>
      <c r="L64" s="1067"/>
      <c r="M64" s="1067"/>
      <c r="N64" s="1186" t="s">
        <v>1150</v>
      </c>
      <c r="O64" s="1187" t="s">
        <v>1062</v>
      </c>
      <c r="P64" s="1187" t="s">
        <v>1061</v>
      </c>
      <c r="Q64" s="1187" t="s">
        <v>1060</v>
      </c>
      <c r="R64" s="1187" t="s">
        <v>1059</v>
      </c>
      <c r="S64" s="1187">
        <v>2017</v>
      </c>
      <c r="T64" s="1187">
        <v>2018</v>
      </c>
      <c r="U64" s="1187">
        <v>2019</v>
      </c>
      <c r="V64" s="1187">
        <v>2020</v>
      </c>
      <c r="Z64" s="1067"/>
    </row>
    <row r="65" spans="1:27">
      <c r="A65" s="1203">
        <v>42417</v>
      </c>
      <c r="B65" s="1205">
        <v>15.4771</v>
      </c>
      <c r="G65" s="18"/>
      <c r="H65" s="18"/>
      <c r="I65" s="18"/>
      <c r="J65" s="18"/>
      <c r="K65" s="18"/>
      <c r="L65" s="18"/>
      <c r="M65" s="18"/>
      <c r="N65" s="1178" t="s">
        <v>1116</v>
      </c>
      <c r="O65" s="462"/>
      <c r="P65" s="462"/>
      <c r="Q65" s="462"/>
      <c r="R65" s="462"/>
      <c r="S65" s="462"/>
      <c r="T65" s="462"/>
      <c r="U65" s="462"/>
      <c r="V65" s="1183"/>
      <c r="Z65" s="18"/>
    </row>
    <row r="66" spans="1:27">
      <c r="A66" s="1203">
        <v>42416</v>
      </c>
      <c r="B66" s="1205">
        <v>15.7462</v>
      </c>
      <c r="G66" s="46"/>
      <c r="H66" s="1032"/>
      <c r="I66" s="1032"/>
      <c r="J66" s="1032"/>
      <c r="K66" s="1032"/>
      <c r="L66" s="1032"/>
      <c r="M66" s="1032"/>
      <c r="N66" s="1179" t="s">
        <v>1073</v>
      </c>
      <c r="O66" s="328">
        <f>MEDIAN(O13:O19)</f>
        <v>15.5</v>
      </c>
      <c r="P66" s="328">
        <f t="shared" ref="P66:V66" si="5">MEDIAN(P13:P19)</f>
        <v>15.9</v>
      </c>
      <c r="Q66" s="328">
        <f t="shared" si="5"/>
        <v>16</v>
      </c>
      <c r="R66" s="328">
        <f t="shared" si="5"/>
        <v>15.664999999999999</v>
      </c>
      <c r="S66" s="328">
        <f t="shared" si="5"/>
        <v>15.4</v>
      </c>
      <c r="T66" s="328">
        <f t="shared" si="5"/>
        <v>14</v>
      </c>
      <c r="U66" s="328">
        <f t="shared" si="5"/>
        <v>13.9</v>
      </c>
      <c r="V66" s="329">
        <f t="shared" si="5"/>
        <v>13.7</v>
      </c>
      <c r="Z66" s="46"/>
    </row>
    <row r="67" spans="1:27" s="1065" customFormat="1" ht="14">
      <c r="A67" s="1208">
        <v>42415</v>
      </c>
      <c r="B67" s="1206">
        <v>15.749000000000001</v>
      </c>
      <c r="G67" s="1067"/>
      <c r="H67" s="1067"/>
      <c r="I67" s="1067"/>
      <c r="J67" s="1067"/>
      <c r="K67" s="1067"/>
      <c r="L67" s="1067"/>
      <c r="M67" s="1067"/>
      <c r="N67" s="1180" t="s">
        <v>1076</v>
      </c>
      <c r="O67" s="1184">
        <f t="shared" ref="O67:V67" si="6">AVERAGE(O13:O19)</f>
        <v>15.797142857142859</v>
      </c>
      <c r="P67" s="1184">
        <f t="shared" si="6"/>
        <v>15.805714285714288</v>
      </c>
      <c r="Q67" s="1184">
        <f t="shared" si="6"/>
        <v>15.784285714285716</v>
      </c>
      <c r="R67" s="1184">
        <f t="shared" si="6"/>
        <v>15.674999999999999</v>
      </c>
      <c r="S67" s="1184">
        <f t="shared" si="6"/>
        <v>14.611428571428572</v>
      </c>
      <c r="T67" s="1184">
        <f t="shared" si="6"/>
        <v>14.02857142857143</v>
      </c>
      <c r="U67" s="1184">
        <f t="shared" si="6"/>
        <v>13.04142857142857</v>
      </c>
      <c r="V67" s="1185">
        <f t="shared" si="6"/>
        <v>13.546666666666665</v>
      </c>
      <c r="Z67" s="1067"/>
    </row>
    <row r="68" spans="1:27">
      <c r="A68" s="1203">
        <v>42412</v>
      </c>
      <c r="B68" s="1205">
        <v>15.835599999999999</v>
      </c>
      <c r="G68" s="18"/>
      <c r="H68" s="1029"/>
      <c r="I68" s="1029"/>
      <c r="J68" s="1029"/>
      <c r="K68" s="1029"/>
      <c r="L68" s="1029"/>
      <c r="M68" s="1029"/>
      <c r="N68" s="1179" t="s">
        <v>1074</v>
      </c>
      <c r="O68" s="328">
        <f>MAX(O13:O19)</f>
        <v>17</v>
      </c>
      <c r="P68" s="328">
        <f t="shared" ref="P68:V68" si="7">MAX(P13:P19)</f>
        <v>16.79</v>
      </c>
      <c r="Q68" s="328">
        <f t="shared" si="7"/>
        <v>16.7</v>
      </c>
      <c r="R68" s="328">
        <f t="shared" si="7"/>
        <v>16.920000000000002</v>
      </c>
      <c r="S68" s="328">
        <f t="shared" si="7"/>
        <v>16.600000000000001</v>
      </c>
      <c r="T68" s="328">
        <f t="shared" si="7"/>
        <v>16.5</v>
      </c>
      <c r="U68" s="328">
        <f t="shared" si="7"/>
        <v>15.7</v>
      </c>
      <c r="V68" s="329">
        <f t="shared" si="7"/>
        <v>15.15</v>
      </c>
      <c r="Z68" s="18"/>
    </row>
    <row r="69" spans="1:27" s="1065" customFormat="1" ht="14">
      <c r="A69" s="1208">
        <v>42411</v>
      </c>
      <c r="B69" s="1206">
        <v>15.8134</v>
      </c>
      <c r="G69" s="1067"/>
      <c r="H69" s="1067"/>
      <c r="I69" s="1067"/>
      <c r="J69" s="1067"/>
      <c r="K69" s="1067"/>
      <c r="L69" s="1067"/>
      <c r="M69" s="1067"/>
      <c r="N69" s="1181" t="s">
        <v>1075</v>
      </c>
      <c r="O69" s="956">
        <f>MIN(O13:O19)</f>
        <v>14.2</v>
      </c>
      <c r="P69" s="956">
        <f t="shared" ref="P69:V69" si="8">MIN(P13:P19)</f>
        <v>14.2</v>
      </c>
      <c r="Q69" s="956">
        <f t="shared" si="8"/>
        <v>14.2</v>
      </c>
      <c r="R69" s="956">
        <f t="shared" si="8"/>
        <v>14.1</v>
      </c>
      <c r="S69" s="956">
        <f t="shared" si="8"/>
        <v>9.98</v>
      </c>
      <c r="T69" s="956">
        <f t="shared" si="8"/>
        <v>9.6999999999999993</v>
      </c>
      <c r="U69" s="956">
        <f t="shared" si="8"/>
        <v>9.49</v>
      </c>
      <c r="V69" s="958">
        <f t="shared" si="8"/>
        <v>10.199999999999999</v>
      </c>
      <c r="Z69" s="1067"/>
    </row>
    <row r="70" spans="1:27" ht="16" thickBot="1">
      <c r="A70" s="1203">
        <v>42410</v>
      </c>
      <c r="B70" s="1205">
        <v>15.849299999999999</v>
      </c>
      <c r="G70" s="18"/>
      <c r="H70" s="18"/>
      <c r="I70" s="18"/>
      <c r="J70" s="18"/>
      <c r="K70" s="18"/>
      <c r="L70" s="18"/>
      <c r="M70" s="18"/>
      <c r="N70" s="1182"/>
      <c r="O70" s="330"/>
      <c r="P70" s="330"/>
      <c r="Q70" s="330"/>
      <c r="R70" s="330"/>
      <c r="S70" s="330"/>
      <c r="T70" s="330"/>
      <c r="U70" s="330"/>
      <c r="V70" s="331"/>
      <c r="Z70" s="18"/>
    </row>
    <row r="71" spans="1:27">
      <c r="A71" s="1203">
        <v>42409</v>
      </c>
      <c r="B71" s="1205">
        <v>16.0581</v>
      </c>
      <c r="G71" s="18"/>
      <c r="H71" s="18"/>
      <c r="I71" s="18"/>
      <c r="J71" s="18"/>
      <c r="K71" s="18"/>
      <c r="L71" s="18"/>
      <c r="M71" s="18"/>
      <c r="N71" s="7"/>
      <c r="O71" s="332"/>
      <c r="P71" s="332"/>
      <c r="Q71" s="332"/>
      <c r="R71" s="332"/>
      <c r="S71" s="332"/>
      <c r="T71" s="332"/>
      <c r="U71" s="332"/>
      <c r="V71" s="332"/>
      <c r="Z71" s="18"/>
    </row>
    <row r="72" spans="1:27">
      <c r="A72" s="1203">
        <v>42408</v>
      </c>
      <c r="B72" s="1205">
        <v>16.146899999999999</v>
      </c>
      <c r="F72" s="137"/>
      <c r="G72" s="137"/>
      <c r="H72" s="137"/>
      <c r="I72" s="137"/>
      <c r="J72" s="137"/>
      <c r="K72" s="137"/>
      <c r="L72" s="137"/>
      <c r="M72" s="137"/>
      <c r="N72" s="1169"/>
      <c r="O72" s="1170"/>
      <c r="P72" s="1170"/>
      <c r="Q72" s="1170"/>
      <c r="R72" s="1170"/>
      <c r="S72" s="1170"/>
      <c r="T72" s="1170"/>
      <c r="U72" s="1170"/>
      <c r="V72" s="1170"/>
      <c r="W72" s="137"/>
      <c r="X72" s="137"/>
      <c r="Y72" s="137"/>
      <c r="Z72" s="137"/>
      <c r="AA72" s="137"/>
    </row>
    <row r="73" spans="1:27">
      <c r="A73" s="1203">
        <v>42405</v>
      </c>
      <c r="B73" s="1205">
        <v>15.9771</v>
      </c>
      <c r="F73" s="137"/>
      <c r="G73" s="109"/>
      <c r="H73" s="109"/>
      <c r="I73" s="109"/>
      <c r="J73" s="109"/>
      <c r="K73" s="109"/>
      <c r="L73" s="109"/>
      <c r="M73" s="109"/>
      <c r="N73" s="235"/>
      <c r="O73" s="1171"/>
      <c r="P73" s="1171"/>
      <c r="Q73" s="1171"/>
      <c r="R73" s="1171"/>
      <c r="S73" s="1171"/>
      <c r="T73" s="1171"/>
      <c r="U73" s="1171"/>
      <c r="V73" s="1171"/>
      <c r="W73" s="137"/>
      <c r="X73" s="137"/>
      <c r="Y73" s="137"/>
      <c r="Z73" s="109"/>
      <c r="AA73" s="137"/>
    </row>
    <row r="74" spans="1:27">
      <c r="A74" s="1203">
        <v>42404</v>
      </c>
      <c r="B74" s="1205">
        <v>15.8752</v>
      </c>
      <c r="F74" s="137"/>
      <c r="G74" s="137"/>
      <c r="H74" s="137"/>
      <c r="I74" s="137"/>
      <c r="J74" s="137"/>
      <c r="K74" s="137"/>
      <c r="L74" s="137"/>
      <c r="M74" s="137"/>
      <c r="N74" s="169"/>
      <c r="O74" s="1171"/>
      <c r="P74" s="1171"/>
      <c r="Q74" s="1171"/>
      <c r="R74" s="1171"/>
      <c r="S74" s="1171"/>
      <c r="T74" s="1171"/>
      <c r="U74" s="1171"/>
      <c r="V74" s="1171"/>
      <c r="W74" s="137"/>
      <c r="X74" s="137"/>
      <c r="Y74" s="137"/>
      <c r="Z74" s="137"/>
      <c r="AA74" s="137"/>
    </row>
    <row r="75" spans="1:27">
      <c r="A75" s="1203">
        <v>42403</v>
      </c>
      <c r="B75" s="1205">
        <v>16.1204</v>
      </c>
      <c r="F75" s="137"/>
      <c r="G75" s="137"/>
      <c r="H75" s="844"/>
      <c r="I75" s="844"/>
      <c r="J75" s="844"/>
      <c r="K75" s="844"/>
      <c r="L75" s="844"/>
      <c r="M75" s="844"/>
      <c r="N75" s="1172"/>
      <c r="O75" s="1173"/>
      <c r="P75" s="1173"/>
      <c r="Q75" s="1173"/>
      <c r="R75" s="1173"/>
      <c r="S75" s="1173"/>
      <c r="T75" s="1173"/>
      <c r="U75" s="1173"/>
      <c r="V75" s="1173"/>
      <c r="W75" s="844"/>
      <c r="X75" s="844"/>
      <c r="Y75" s="844"/>
      <c r="Z75" s="844"/>
      <c r="AA75" s="137"/>
    </row>
    <row r="76" spans="1:27" s="1065" customFormat="1" ht="11">
      <c r="A76" s="1208">
        <v>42402</v>
      </c>
      <c r="B76" s="1206">
        <v>16.174900000000001</v>
      </c>
      <c r="F76" s="1011"/>
      <c r="G76" s="1011"/>
      <c r="H76" s="1011"/>
      <c r="I76" s="1011"/>
      <c r="J76" s="1011"/>
      <c r="K76" s="1011"/>
      <c r="L76" s="1011"/>
      <c r="M76" s="1011"/>
      <c r="N76" s="1011"/>
      <c r="O76" s="1174"/>
      <c r="P76" s="1174"/>
      <c r="Q76" s="1174"/>
      <c r="R76" s="1174"/>
      <c r="S76" s="1174"/>
      <c r="T76" s="1174"/>
      <c r="U76" s="1174"/>
      <c r="V76" s="1174"/>
      <c r="W76" s="1011"/>
      <c r="X76" s="1011"/>
      <c r="Y76" s="1011"/>
      <c r="Z76" s="1011"/>
      <c r="AA76" s="1011"/>
    </row>
    <row r="77" spans="1:27" s="1065" customFormat="1" ht="11">
      <c r="A77" s="1208">
        <v>42401</v>
      </c>
      <c r="B77" s="1206">
        <v>15.962300000000001</v>
      </c>
      <c r="F77" s="1011"/>
      <c r="G77" s="1011"/>
      <c r="H77" s="1011"/>
      <c r="I77" s="1011"/>
      <c r="J77" s="1011"/>
      <c r="K77" s="1011"/>
      <c r="L77" s="1011"/>
      <c r="M77" s="1011"/>
      <c r="N77" s="1011"/>
      <c r="O77" s="1174"/>
      <c r="P77" s="1174"/>
      <c r="Q77" s="1174"/>
      <c r="R77" s="1174"/>
      <c r="S77" s="1174"/>
      <c r="T77" s="1174"/>
      <c r="U77" s="1174"/>
      <c r="V77" s="1174"/>
      <c r="W77" s="1011"/>
      <c r="X77" s="1011"/>
      <c r="Y77" s="1011"/>
      <c r="Z77" s="1011"/>
      <c r="AA77" s="1011"/>
    </row>
    <row r="78" spans="1:27">
      <c r="A78" s="1203">
        <v>42398</v>
      </c>
      <c r="B78" s="1205">
        <v>15.908300000000001</v>
      </c>
      <c r="F78" s="137"/>
      <c r="G78" s="137"/>
      <c r="H78" s="844"/>
      <c r="I78" s="844"/>
      <c r="J78" s="844"/>
      <c r="K78" s="844"/>
      <c r="L78" s="844"/>
      <c r="M78" s="844"/>
      <c r="N78" s="1172"/>
      <c r="O78" s="1173"/>
      <c r="P78" s="1173"/>
      <c r="Q78" s="1173"/>
      <c r="R78" s="1173"/>
      <c r="S78" s="1173"/>
      <c r="T78" s="1173"/>
      <c r="U78" s="1173"/>
      <c r="V78" s="1173"/>
      <c r="W78" s="844"/>
      <c r="X78" s="844"/>
      <c r="Y78" s="844"/>
      <c r="Z78" s="844"/>
      <c r="AA78" s="137"/>
    </row>
    <row r="79" spans="1:27" s="1065" customFormat="1" ht="11">
      <c r="A79" s="1208">
        <v>42397</v>
      </c>
      <c r="B79" s="1206">
        <v>16.167999999999999</v>
      </c>
      <c r="F79" s="1011"/>
      <c r="G79" s="1066"/>
      <c r="H79" s="1066"/>
      <c r="I79" s="1066"/>
      <c r="J79" s="1066"/>
      <c r="K79" s="1066"/>
      <c r="L79" s="1066"/>
      <c r="M79" s="1066"/>
      <c r="N79" s="1066"/>
      <c r="O79" s="1066"/>
      <c r="P79" s="1066"/>
      <c r="Q79" s="1011"/>
      <c r="R79" s="1011"/>
      <c r="S79" s="1011"/>
      <c r="T79" s="1011"/>
      <c r="U79" s="1011"/>
      <c r="V79" s="1011"/>
      <c r="W79" s="1011"/>
      <c r="X79" s="1011"/>
      <c r="Y79" s="1011"/>
      <c r="Z79" s="1066"/>
      <c r="AA79" s="1011"/>
    </row>
    <row r="80" spans="1:27">
      <c r="A80" s="1203">
        <v>42396</v>
      </c>
      <c r="B80" s="1205">
        <v>16.397100000000002</v>
      </c>
      <c r="F80" s="137"/>
      <c r="G80" s="1157"/>
      <c r="H80" s="1023"/>
      <c r="I80" s="1023"/>
      <c r="J80" s="1023"/>
      <c r="K80" s="1023"/>
      <c r="L80" s="1023"/>
      <c r="M80" s="1023"/>
      <c r="N80" s="1023"/>
      <c r="O80" s="1023"/>
      <c r="P80" s="1023"/>
      <c r="Q80" s="844"/>
      <c r="R80" s="844"/>
      <c r="S80" s="844"/>
      <c r="T80" s="844"/>
      <c r="U80" s="844"/>
      <c r="V80" s="844"/>
      <c r="W80" s="844"/>
      <c r="X80" s="844"/>
      <c r="Y80" s="844"/>
      <c r="Z80" s="1023"/>
      <c r="AA80" s="137"/>
    </row>
    <row r="81" spans="1:27" s="1065" customFormat="1" ht="11">
      <c r="A81" s="1208">
        <v>42395</v>
      </c>
      <c r="B81" s="1206">
        <v>16.372</v>
      </c>
      <c r="F81" s="1011"/>
      <c r="G81" s="241"/>
      <c r="H81" s="241"/>
      <c r="I81" s="241"/>
      <c r="J81" s="241"/>
      <c r="K81" s="241"/>
      <c r="L81" s="241"/>
      <c r="M81" s="241"/>
      <c r="N81" s="241"/>
      <c r="O81" s="241"/>
      <c r="P81" s="241"/>
      <c r="Q81" s="1011"/>
      <c r="R81" s="1011"/>
      <c r="S81" s="1011"/>
      <c r="T81" s="1011"/>
      <c r="U81" s="1011"/>
      <c r="V81" s="1011"/>
      <c r="W81" s="1011"/>
      <c r="X81" s="1011"/>
      <c r="Y81" s="1011"/>
      <c r="Z81" s="241"/>
      <c r="AA81" s="1011"/>
    </row>
    <row r="82" spans="1:27">
      <c r="A82" s="1203">
        <v>42394</v>
      </c>
      <c r="B82" s="1205">
        <v>16.515699999999999</v>
      </c>
      <c r="F82" s="137"/>
      <c r="G82" s="1157"/>
      <c r="H82" s="1157"/>
      <c r="I82" s="1157"/>
      <c r="J82" s="1157"/>
      <c r="K82" s="1157"/>
      <c r="L82" s="1157"/>
      <c r="M82" s="1157"/>
      <c r="N82" s="1157"/>
      <c r="O82" s="1157"/>
      <c r="P82" s="1157"/>
      <c r="Q82" s="137"/>
      <c r="R82" s="137"/>
      <c r="S82" s="137"/>
      <c r="T82" s="137"/>
      <c r="U82" s="137"/>
      <c r="V82" s="137"/>
      <c r="W82" s="137"/>
      <c r="X82" s="137"/>
      <c r="Y82" s="137"/>
      <c r="Z82" s="1157"/>
      <c r="AA82" s="137"/>
    </row>
    <row r="83" spans="1:27">
      <c r="A83" s="1203">
        <v>42391</v>
      </c>
      <c r="B83" s="1205">
        <v>16.483000000000001</v>
      </c>
      <c r="F83" s="137"/>
      <c r="G83" s="1157"/>
      <c r="H83" s="1157"/>
      <c r="I83" s="1157"/>
      <c r="J83" s="1157"/>
      <c r="K83" s="1157"/>
      <c r="L83" s="1157"/>
      <c r="M83" s="1157"/>
      <c r="N83" s="1157"/>
      <c r="O83" s="1157"/>
      <c r="P83" s="1157"/>
      <c r="Q83" s="137"/>
      <c r="R83" s="137"/>
      <c r="S83" s="137"/>
      <c r="T83" s="137"/>
      <c r="U83" s="137"/>
      <c r="V83" s="137"/>
      <c r="W83" s="137"/>
      <c r="X83" s="137"/>
      <c r="Y83" s="137"/>
      <c r="Z83" s="1157"/>
      <c r="AA83" s="137"/>
    </row>
    <row r="84" spans="1:27">
      <c r="A84" s="1203">
        <v>42390</v>
      </c>
      <c r="B84" s="1205">
        <v>16.511900000000001</v>
      </c>
      <c r="F84" s="137"/>
      <c r="G84" s="1157"/>
      <c r="H84" s="1157"/>
      <c r="I84" s="1157"/>
      <c r="J84" s="1157"/>
      <c r="K84" s="1157"/>
      <c r="L84" s="1157"/>
      <c r="M84" s="1157"/>
      <c r="N84" s="1157"/>
      <c r="O84" s="1157"/>
      <c r="P84" s="1157"/>
      <c r="Q84" s="137"/>
      <c r="R84" s="137"/>
      <c r="S84" s="137"/>
      <c r="T84" s="137"/>
      <c r="U84" s="137"/>
      <c r="V84" s="137"/>
      <c r="W84" s="137"/>
      <c r="X84" s="137"/>
      <c r="Y84" s="137"/>
      <c r="Z84" s="1157"/>
      <c r="AA84" s="137"/>
    </row>
    <row r="85" spans="1:27">
      <c r="A85" s="1203">
        <v>42389</v>
      </c>
      <c r="B85" s="1205">
        <v>16.878699999999998</v>
      </c>
      <c r="F85" s="137"/>
      <c r="G85" s="224"/>
      <c r="H85" s="224"/>
      <c r="I85" s="224"/>
      <c r="J85" s="224"/>
      <c r="K85" s="224"/>
      <c r="L85" s="224"/>
      <c r="M85" s="224"/>
      <c r="N85" s="224"/>
      <c r="O85" s="224"/>
      <c r="P85" s="224"/>
      <c r="Q85" s="137"/>
      <c r="R85" s="137"/>
      <c r="S85" s="137"/>
      <c r="T85" s="137"/>
      <c r="U85" s="137"/>
      <c r="V85" s="137"/>
      <c r="W85" s="137"/>
      <c r="X85" s="137"/>
      <c r="Y85" s="137"/>
      <c r="Z85" s="224"/>
      <c r="AA85" s="137"/>
    </row>
    <row r="86" spans="1:27">
      <c r="A86" s="1203">
        <v>42388</v>
      </c>
      <c r="B86" s="1205">
        <v>16.726400000000002</v>
      </c>
      <c r="F86" s="137"/>
      <c r="G86" s="224"/>
      <c r="H86" s="224"/>
      <c r="I86" s="224"/>
      <c r="J86" s="224"/>
      <c r="K86" s="224"/>
      <c r="L86" s="224"/>
      <c r="M86" s="224"/>
      <c r="N86" s="224"/>
      <c r="O86" s="224"/>
      <c r="P86" s="224"/>
      <c r="Q86" s="137"/>
      <c r="R86" s="137"/>
      <c r="S86" s="137"/>
      <c r="T86" s="137"/>
      <c r="U86" s="137"/>
      <c r="V86" s="137"/>
      <c r="W86" s="137"/>
      <c r="X86" s="137"/>
      <c r="Y86" s="137"/>
      <c r="Z86" s="224"/>
      <c r="AA86" s="137"/>
    </row>
    <row r="87" spans="1:27">
      <c r="A87" s="1203">
        <v>42387</v>
      </c>
      <c r="B87" s="1205">
        <v>16.8156</v>
      </c>
      <c r="F87" s="137"/>
      <c r="G87" s="224"/>
      <c r="H87" s="826"/>
      <c r="I87" s="826"/>
      <c r="J87" s="826"/>
      <c r="K87" s="826"/>
      <c r="L87" s="826"/>
      <c r="M87" s="826"/>
      <c r="N87" s="826"/>
      <c r="O87" s="826"/>
      <c r="P87" s="826"/>
      <c r="Q87" s="137"/>
      <c r="R87" s="137"/>
      <c r="S87" s="137"/>
      <c r="T87" s="137"/>
      <c r="U87" s="137"/>
      <c r="V87" s="137"/>
      <c r="W87" s="137"/>
      <c r="X87" s="137"/>
      <c r="Y87" s="137"/>
      <c r="Z87" s="224"/>
      <c r="AA87" s="137"/>
    </row>
    <row r="88" spans="1:27">
      <c r="A88" s="1203">
        <v>42384</v>
      </c>
      <c r="B88" s="1205">
        <v>16.797699999999999</v>
      </c>
      <c r="F88" s="137"/>
      <c r="G88" s="224"/>
      <c r="H88" s="826"/>
      <c r="I88" s="826"/>
      <c r="J88" s="826"/>
      <c r="K88" s="826"/>
      <c r="L88" s="826"/>
      <c r="M88" s="826"/>
      <c r="N88" s="826"/>
      <c r="O88" s="826"/>
      <c r="P88" s="826"/>
      <c r="Q88" s="137"/>
      <c r="R88" s="137"/>
      <c r="S88" s="137"/>
      <c r="T88" s="137"/>
      <c r="U88" s="137"/>
      <c r="V88" s="137"/>
      <c r="W88" s="137"/>
      <c r="X88" s="137"/>
      <c r="Y88" s="137"/>
      <c r="Z88" s="224"/>
      <c r="AA88" s="137"/>
    </row>
    <row r="89" spans="1:27">
      <c r="A89" s="1203">
        <v>42383</v>
      </c>
      <c r="B89" s="1205">
        <v>16.459299999999999</v>
      </c>
      <c r="F89" s="137"/>
      <c r="G89" s="224"/>
      <c r="H89" s="826"/>
      <c r="I89" s="826"/>
      <c r="J89" s="826"/>
      <c r="K89" s="826"/>
      <c r="L89" s="826"/>
      <c r="M89" s="826"/>
      <c r="N89" s="826"/>
      <c r="O89" s="826"/>
      <c r="P89" s="826"/>
      <c r="Q89" s="137"/>
      <c r="R89" s="137"/>
      <c r="S89" s="137"/>
      <c r="T89" s="137"/>
      <c r="U89" s="137"/>
      <c r="V89" s="137"/>
      <c r="W89" s="137"/>
      <c r="X89" s="137"/>
      <c r="Y89" s="137"/>
      <c r="Z89" s="224"/>
      <c r="AA89" s="137"/>
    </row>
    <row r="90" spans="1:27">
      <c r="A90" s="1203">
        <v>42382</v>
      </c>
      <c r="B90" s="1205">
        <v>16.463799999999999</v>
      </c>
      <c r="F90" s="137"/>
      <c r="G90" s="224"/>
      <c r="H90" s="826"/>
      <c r="I90" s="826"/>
      <c r="J90" s="826"/>
      <c r="K90" s="826"/>
      <c r="L90" s="826"/>
      <c r="M90" s="826"/>
      <c r="N90" s="826"/>
      <c r="O90" s="826"/>
      <c r="P90" s="826"/>
      <c r="Q90" s="137"/>
      <c r="R90" s="137"/>
      <c r="S90" s="137"/>
      <c r="T90" s="137"/>
      <c r="U90" s="137"/>
      <c r="V90" s="137"/>
      <c r="W90" s="137"/>
      <c r="X90" s="137"/>
      <c r="Y90" s="137"/>
      <c r="Z90" s="224"/>
      <c r="AA90" s="137"/>
    </row>
    <row r="91" spans="1:27">
      <c r="A91" s="1203">
        <v>42381</v>
      </c>
      <c r="B91" s="1205">
        <v>16.7682</v>
      </c>
      <c r="F91" s="137"/>
      <c r="G91" s="224"/>
      <c r="H91" s="826"/>
      <c r="I91" s="826"/>
      <c r="J91" s="826"/>
      <c r="K91" s="826"/>
      <c r="L91" s="826"/>
      <c r="M91" s="826"/>
      <c r="N91" s="826"/>
      <c r="O91" s="826"/>
      <c r="P91" s="826"/>
      <c r="Q91" s="137"/>
      <c r="R91" s="137"/>
      <c r="S91" s="137"/>
      <c r="T91" s="137"/>
      <c r="U91" s="137"/>
      <c r="V91" s="137"/>
      <c r="W91" s="137"/>
      <c r="X91" s="137"/>
      <c r="Y91" s="137"/>
      <c r="Z91" s="224"/>
      <c r="AA91" s="137"/>
    </row>
    <row r="92" spans="1:27">
      <c r="A92" s="1203">
        <v>42380</v>
      </c>
      <c r="B92" s="1205">
        <v>16.9238</v>
      </c>
      <c r="F92" s="137"/>
      <c r="G92" s="224"/>
      <c r="H92" s="826"/>
      <c r="I92" s="826"/>
      <c r="J92" s="826"/>
      <c r="K92" s="826"/>
      <c r="L92" s="826"/>
      <c r="M92" s="826"/>
      <c r="N92" s="826"/>
      <c r="O92" s="826"/>
      <c r="P92" s="826"/>
      <c r="Q92" s="137"/>
      <c r="R92" s="137"/>
      <c r="S92" s="137"/>
      <c r="T92" s="137"/>
      <c r="U92" s="137"/>
      <c r="V92" s="137"/>
      <c r="W92" s="137"/>
      <c r="X92" s="137"/>
      <c r="Y92" s="137"/>
      <c r="Z92" s="224"/>
      <c r="AA92" s="137"/>
    </row>
    <row r="93" spans="1:27">
      <c r="A93" s="1203">
        <v>42377</v>
      </c>
      <c r="B93" s="1205">
        <v>16.176100000000002</v>
      </c>
      <c r="F93" s="137"/>
      <c r="G93" s="224"/>
      <c r="H93" s="826"/>
      <c r="I93" s="826"/>
      <c r="J93" s="826"/>
      <c r="K93" s="826"/>
      <c r="L93" s="826"/>
      <c r="M93" s="826"/>
      <c r="N93" s="826"/>
      <c r="O93" s="826"/>
      <c r="P93" s="826"/>
      <c r="Q93" s="224"/>
      <c r="R93" s="224"/>
      <c r="S93" s="224"/>
      <c r="T93" s="224"/>
      <c r="U93" s="224"/>
      <c r="V93" s="224"/>
      <c r="W93" s="224"/>
      <c r="X93" s="224"/>
      <c r="Y93" s="224"/>
      <c r="Z93" s="224"/>
      <c r="AA93" s="137"/>
    </row>
    <row r="94" spans="1:27">
      <c r="A94" s="1203">
        <v>42376</v>
      </c>
      <c r="B94" s="1205">
        <v>15.949199999999999</v>
      </c>
      <c r="F94" s="137"/>
      <c r="G94" s="137"/>
      <c r="H94" s="844"/>
      <c r="I94" s="844"/>
      <c r="J94" s="844"/>
      <c r="K94" s="844"/>
      <c r="L94" s="844"/>
      <c r="M94" s="844"/>
      <c r="N94" s="844"/>
      <c r="O94" s="844"/>
      <c r="P94" s="844"/>
      <c r="Q94" s="137"/>
      <c r="R94" s="137"/>
      <c r="S94" s="137"/>
      <c r="T94" s="137"/>
      <c r="U94" s="137"/>
      <c r="V94" s="137"/>
      <c r="W94" s="137"/>
      <c r="X94" s="137"/>
      <c r="Y94" s="137"/>
      <c r="Z94" s="137"/>
      <c r="AA94" s="137"/>
    </row>
    <row r="95" spans="1:27">
      <c r="A95" s="1203">
        <v>42375</v>
      </c>
      <c r="B95" s="1205">
        <v>15.8279</v>
      </c>
      <c r="F95" s="137"/>
      <c r="G95" s="137"/>
      <c r="H95" s="844"/>
      <c r="I95" s="844"/>
      <c r="J95" s="844"/>
      <c r="K95" s="844"/>
      <c r="L95" s="844"/>
      <c r="M95" s="844"/>
      <c r="N95" s="844"/>
      <c r="O95" s="844"/>
      <c r="P95" s="844"/>
      <c r="Q95" s="137"/>
      <c r="R95" s="137"/>
      <c r="S95" s="137"/>
      <c r="T95" s="137"/>
      <c r="U95" s="137"/>
      <c r="V95" s="137"/>
      <c r="W95" s="137"/>
      <c r="X95" s="137"/>
      <c r="Y95" s="137"/>
      <c r="Z95" s="137"/>
      <c r="AA95" s="137"/>
    </row>
    <row r="96" spans="1:27">
      <c r="A96" s="1203">
        <v>42374</v>
      </c>
      <c r="B96" s="1205">
        <v>15.6188</v>
      </c>
      <c r="F96" s="137"/>
      <c r="G96" s="137"/>
      <c r="H96" s="844"/>
      <c r="I96" s="844"/>
      <c r="J96" s="844"/>
      <c r="K96" s="844"/>
      <c r="L96" s="844"/>
      <c r="M96" s="844"/>
      <c r="N96" s="844"/>
      <c r="O96" s="844"/>
      <c r="P96" s="844"/>
      <c r="Q96" s="137"/>
      <c r="R96" s="137"/>
      <c r="S96" s="137"/>
      <c r="T96" s="137"/>
      <c r="U96" s="137"/>
      <c r="V96" s="137"/>
      <c r="W96" s="137"/>
      <c r="X96" s="137"/>
      <c r="Y96" s="137"/>
      <c r="Z96" s="137"/>
      <c r="AA96" s="137"/>
    </row>
    <row r="97" spans="1:27">
      <c r="A97" s="1203">
        <v>42373</v>
      </c>
      <c r="B97" s="1205">
        <v>15.6028</v>
      </c>
      <c r="F97" s="137"/>
      <c r="G97" s="137"/>
      <c r="H97" s="844"/>
      <c r="I97" s="844"/>
      <c r="J97" s="844"/>
      <c r="K97" s="844"/>
      <c r="L97" s="844"/>
      <c r="M97" s="844"/>
      <c r="N97" s="844"/>
      <c r="O97" s="844"/>
      <c r="P97" s="844"/>
      <c r="Q97" s="137"/>
      <c r="R97" s="137"/>
      <c r="S97" s="137"/>
      <c r="T97" s="137"/>
      <c r="U97" s="137"/>
      <c r="V97" s="137"/>
      <c r="W97" s="137"/>
      <c r="X97" s="137"/>
      <c r="Y97" s="137"/>
      <c r="Z97" s="137"/>
      <c r="AA97" s="137"/>
    </row>
    <row r="98" spans="1:27">
      <c r="A98" s="1203">
        <v>42370</v>
      </c>
      <c r="B98" s="1205">
        <v>15.4754</v>
      </c>
      <c r="F98" s="137"/>
      <c r="G98" s="137"/>
      <c r="H98" s="844"/>
      <c r="I98" s="844"/>
      <c r="J98" s="844"/>
      <c r="K98" s="844"/>
      <c r="L98" s="844"/>
      <c r="M98" s="844"/>
      <c r="N98" s="844"/>
      <c r="O98" s="844"/>
      <c r="P98" s="844"/>
      <c r="Q98" s="137"/>
      <c r="R98" s="137"/>
      <c r="S98" s="137"/>
      <c r="T98" s="137"/>
      <c r="U98" s="137"/>
      <c r="V98" s="137"/>
      <c r="W98" s="137"/>
      <c r="X98" s="137"/>
      <c r="Y98" s="137"/>
      <c r="Z98" s="137"/>
      <c r="AA98" s="137"/>
    </row>
    <row r="99" spans="1:27">
      <c r="A99" s="1203">
        <v>42369</v>
      </c>
      <c r="B99" s="1205">
        <v>15.486800000000001</v>
      </c>
      <c r="C99">
        <f>AVERAGE(B99:B358)</f>
        <v>12.760864615384605</v>
      </c>
      <c r="F99" s="137"/>
      <c r="G99" s="137"/>
      <c r="H99" s="844"/>
      <c r="I99" s="844"/>
      <c r="J99" s="844"/>
      <c r="K99" s="844"/>
      <c r="L99" s="844"/>
      <c r="M99" s="844"/>
      <c r="N99" s="844"/>
      <c r="O99" s="844"/>
      <c r="P99" s="844"/>
      <c r="Q99" s="137"/>
      <c r="R99" s="137"/>
      <c r="S99" s="137"/>
      <c r="T99" s="137"/>
      <c r="U99" s="137"/>
      <c r="V99" s="137"/>
      <c r="W99" s="137"/>
      <c r="X99" s="137"/>
      <c r="Y99" s="137"/>
      <c r="Z99" s="137"/>
      <c r="AA99" s="137"/>
    </row>
    <row r="100" spans="1:27">
      <c r="A100" s="1203">
        <v>42368</v>
      </c>
      <c r="B100" s="1205">
        <v>15.561299999999999</v>
      </c>
      <c r="F100" s="137"/>
      <c r="G100" s="137"/>
      <c r="H100" s="844"/>
      <c r="I100" s="844"/>
      <c r="J100" s="844"/>
      <c r="K100" s="844"/>
      <c r="L100" s="844"/>
      <c r="M100" s="844"/>
      <c r="N100" s="844"/>
      <c r="O100" s="844"/>
      <c r="P100" s="844"/>
      <c r="Q100" s="137"/>
      <c r="R100" s="137"/>
      <c r="S100" s="137"/>
      <c r="T100" s="137"/>
      <c r="U100" s="137"/>
      <c r="V100" s="137"/>
      <c r="W100" s="137"/>
      <c r="X100" s="137"/>
      <c r="Y100" s="137"/>
      <c r="Z100" s="137"/>
      <c r="AA100" s="137"/>
    </row>
    <row r="101" spans="1:27">
      <c r="A101" s="1203">
        <v>42367</v>
      </c>
      <c r="B101" s="1205">
        <v>15.3056</v>
      </c>
      <c r="F101" s="137"/>
      <c r="G101" s="137"/>
      <c r="H101" s="844"/>
      <c r="I101" s="844"/>
      <c r="J101" s="844"/>
      <c r="K101" s="844"/>
      <c r="L101" s="844"/>
      <c r="M101" s="844"/>
      <c r="N101" s="844"/>
      <c r="O101" s="844"/>
      <c r="P101" s="844"/>
      <c r="Q101" s="137"/>
      <c r="R101" s="137"/>
      <c r="S101" s="137"/>
      <c r="T101" s="137"/>
      <c r="U101" s="137"/>
      <c r="V101" s="137"/>
      <c r="W101" s="137"/>
      <c r="X101" s="137"/>
      <c r="Y101" s="137"/>
      <c r="Z101" s="137"/>
      <c r="AA101" s="137"/>
    </row>
    <row r="102" spans="1:27">
      <c r="A102" s="1203">
        <v>42366</v>
      </c>
      <c r="B102" s="1205">
        <v>15.313800000000001</v>
      </c>
      <c r="F102" s="137"/>
      <c r="G102" s="137"/>
      <c r="H102" s="844"/>
      <c r="I102" s="844"/>
      <c r="J102" s="844"/>
      <c r="K102" s="844"/>
      <c r="L102" s="844"/>
      <c r="M102" s="844"/>
      <c r="N102" s="844"/>
      <c r="O102" s="844"/>
      <c r="P102" s="844"/>
      <c r="Q102" s="137"/>
      <c r="R102" s="137"/>
      <c r="S102" s="137"/>
      <c r="T102" s="137"/>
      <c r="U102" s="137"/>
      <c r="V102" s="137"/>
      <c r="W102" s="137"/>
      <c r="X102" s="137"/>
      <c r="Y102" s="137"/>
      <c r="Z102" s="137"/>
      <c r="AA102" s="137"/>
    </row>
    <row r="103" spans="1:27">
      <c r="A103" s="1203">
        <v>42363</v>
      </c>
      <c r="B103" s="1205">
        <v>15.229900000000001</v>
      </c>
      <c r="F103" s="137"/>
      <c r="G103" s="137"/>
      <c r="H103" s="844"/>
      <c r="I103" s="844"/>
      <c r="J103" s="844"/>
      <c r="K103" s="844"/>
      <c r="L103" s="844"/>
      <c r="M103" s="844"/>
      <c r="N103" s="844"/>
      <c r="O103" s="844"/>
      <c r="P103" s="844"/>
      <c r="Q103" s="137"/>
      <c r="R103" s="137"/>
      <c r="S103" s="137"/>
      <c r="T103" s="137"/>
      <c r="U103" s="137"/>
      <c r="V103" s="137"/>
      <c r="W103" s="137"/>
      <c r="X103" s="137"/>
      <c r="Y103" s="137"/>
      <c r="Z103" s="137"/>
      <c r="AA103" s="137"/>
    </row>
    <row r="104" spans="1:27">
      <c r="A104" s="1203">
        <v>42362</v>
      </c>
      <c r="B104" s="1205">
        <v>15.294</v>
      </c>
      <c r="F104" s="137"/>
      <c r="G104" s="137"/>
      <c r="H104" s="844"/>
      <c r="I104" s="844"/>
      <c r="J104" s="844"/>
      <c r="K104" s="844"/>
      <c r="L104" s="844"/>
      <c r="M104" s="844"/>
      <c r="N104" s="844"/>
      <c r="O104" s="844"/>
      <c r="P104" s="844"/>
      <c r="Q104" s="137"/>
      <c r="R104" s="137"/>
      <c r="S104" s="137"/>
      <c r="T104" s="137"/>
      <c r="U104" s="137"/>
      <c r="V104" s="137"/>
      <c r="W104" s="137"/>
      <c r="X104" s="137"/>
      <c r="Y104" s="137"/>
      <c r="Z104" s="137"/>
      <c r="AA104" s="137"/>
    </row>
    <row r="105" spans="1:27">
      <c r="A105" s="1203">
        <v>42361</v>
      </c>
      <c r="B105" s="1205">
        <v>15.2186</v>
      </c>
      <c r="F105" s="137"/>
      <c r="G105" s="137"/>
      <c r="H105" s="844"/>
      <c r="I105" s="844"/>
      <c r="J105" s="844"/>
      <c r="K105" s="844"/>
      <c r="L105" s="844"/>
      <c r="M105" s="844"/>
      <c r="N105" s="844"/>
      <c r="O105" s="844"/>
      <c r="P105" s="844"/>
      <c r="Q105" s="137"/>
      <c r="R105" s="137"/>
      <c r="S105" s="137"/>
      <c r="T105" s="137"/>
      <c r="U105" s="137"/>
      <c r="V105" s="137"/>
      <c r="W105" s="137"/>
      <c r="X105" s="137"/>
      <c r="Y105" s="137"/>
      <c r="Z105" s="137"/>
      <c r="AA105" s="137"/>
    </row>
    <row r="106" spans="1:27">
      <c r="A106" s="1203">
        <v>42360</v>
      </c>
      <c r="B106" s="1205">
        <v>15.1922</v>
      </c>
      <c r="F106" s="137"/>
      <c r="G106" s="137"/>
      <c r="H106" s="844"/>
      <c r="I106" s="844"/>
      <c r="J106" s="844"/>
      <c r="K106" s="844"/>
      <c r="L106" s="844"/>
      <c r="M106" s="844"/>
      <c r="N106" s="844"/>
      <c r="O106" s="844"/>
      <c r="P106" s="844"/>
      <c r="Q106" s="137"/>
      <c r="R106" s="137"/>
      <c r="S106" s="137"/>
      <c r="T106" s="137"/>
      <c r="U106" s="137"/>
      <c r="V106" s="137"/>
      <c r="W106" s="137"/>
      <c r="X106" s="137"/>
      <c r="Y106" s="137"/>
      <c r="Z106" s="137"/>
      <c r="AA106" s="137"/>
    </row>
    <row r="107" spans="1:27">
      <c r="A107" s="1203">
        <v>42359</v>
      </c>
      <c r="B107" s="1205">
        <v>15.1031</v>
      </c>
      <c r="F107" s="137"/>
      <c r="G107" s="137"/>
      <c r="H107" s="844"/>
      <c r="I107" s="844"/>
      <c r="J107" s="844"/>
      <c r="K107" s="844"/>
      <c r="L107" s="844"/>
      <c r="M107" s="844"/>
      <c r="N107" s="844"/>
      <c r="O107" s="844"/>
      <c r="P107" s="844"/>
      <c r="Q107" s="137"/>
      <c r="R107" s="137"/>
      <c r="S107" s="137"/>
      <c r="T107" s="137"/>
      <c r="U107" s="137"/>
      <c r="V107" s="137"/>
      <c r="W107" s="137"/>
      <c r="X107" s="137"/>
      <c r="Y107" s="137"/>
      <c r="Z107" s="137"/>
      <c r="AA107" s="137"/>
    </row>
    <row r="108" spans="1:27">
      <c r="A108" s="1203">
        <v>42356</v>
      </c>
      <c r="B108" s="1205">
        <v>15.096399999999999</v>
      </c>
      <c r="F108" s="137"/>
      <c r="G108" s="137"/>
      <c r="H108" s="844"/>
      <c r="I108" s="844"/>
      <c r="J108" s="844"/>
      <c r="K108" s="844"/>
      <c r="L108" s="844"/>
      <c r="M108" s="844"/>
      <c r="N108" s="844"/>
      <c r="O108" s="844"/>
      <c r="P108" s="844"/>
      <c r="Q108" s="137"/>
      <c r="R108" s="137"/>
      <c r="S108" s="137"/>
      <c r="T108" s="137"/>
      <c r="U108" s="137"/>
      <c r="V108" s="137"/>
      <c r="W108" s="137"/>
      <c r="X108" s="137"/>
      <c r="Y108" s="137"/>
      <c r="Z108" s="137"/>
      <c r="AA108" s="137"/>
    </row>
    <row r="109" spans="1:27">
      <c r="A109" s="1203">
        <v>42355</v>
      </c>
      <c r="B109" s="1205">
        <v>15.163</v>
      </c>
      <c r="F109" s="137"/>
      <c r="G109" s="137"/>
      <c r="H109" s="844"/>
      <c r="I109" s="844"/>
      <c r="J109" s="844"/>
      <c r="K109" s="844"/>
      <c r="L109" s="844"/>
      <c r="M109" s="844"/>
      <c r="N109" s="844"/>
      <c r="O109" s="844"/>
      <c r="P109" s="844"/>
      <c r="Q109" s="137"/>
      <c r="R109" s="137"/>
      <c r="S109" s="137"/>
      <c r="T109" s="137"/>
      <c r="U109" s="137"/>
      <c r="V109" s="137"/>
      <c r="W109" s="137"/>
      <c r="X109" s="137"/>
      <c r="Y109" s="137"/>
      <c r="Z109" s="137"/>
      <c r="AA109" s="137"/>
    </row>
    <row r="110" spans="1:27">
      <c r="A110" s="1203">
        <v>42354</v>
      </c>
      <c r="B110" s="1205">
        <v>15.0322</v>
      </c>
      <c r="F110" s="137"/>
      <c r="G110" s="137"/>
      <c r="H110" s="844"/>
      <c r="I110" s="844"/>
      <c r="J110" s="844"/>
      <c r="K110" s="844"/>
      <c r="L110" s="844"/>
      <c r="M110" s="844"/>
      <c r="N110" s="844"/>
      <c r="O110" s="844"/>
      <c r="P110" s="844"/>
      <c r="Q110" s="137"/>
      <c r="R110" s="137"/>
      <c r="S110" s="137"/>
      <c r="T110" s="137"/>
      <c r="U110" s="137"/>
      <c r="V110" s="137"/>
      <c r="W110" s="137"/>
      <c r="X110" s="137"/>
      <c r="Y110" s="137"/>
      <c r="Z110" s="137"/>
      <c r="AA110" s="137"/>
    </row>
    <row r="111" spans="1:27">
      <c r="A111" s="1203">
        <v>42353</v>
      </c>
      <c r="B111" s="1205">
        <v>14.9421</v>
      </c>
      <c r="F111" s="137"/>
      <c r="G111" s="137"/>
      <c r="H111" s="844"/>
      <c r="I111" s="844"/>
      <c r="J111" s="844"/>
      <c r="K111" s="844"/>
      <c r="L111" s="844"/>
      <c r="M111" s="844"/>
      <c r="N111" s="844"/>
      <c r="O111" s="844"/>
      <c r="P111" s="844"/>
      <c r="Q111" s="137"/>
      <c r="R111" s="137"/>
      <c r="S111" s="137"/>
      <c r="T111" s="137"/>
      <c r="U111" s="137"/>
      <c r="V111" s="137"/>
      <c r="W111" s="137"/>
      <c r="X111" s="137"/>
      <c r="Y111" s="137"/>
      <c r="Z111" s="137"/>
      <c r="AA111" s="137"/>
    </row>
    <row r="112" spans="1:27">
      <c r="A112" s="1203">
        <v>42352</v>
      </c>
      <c r="B112" s="1205">
        <v>15.1248</v>
      </c>
      <c r="F112" s="137"/>
      <c r="G112" s="137"/>
      <c r="H112" s="844"/>
      <c r="I112" s="844"/>
      <c r="J112" s="844"/>
      <c r="K112" s="844"/>
      <c r="L112" s="844"/>
      <c r="M112" s="844"/>
      <c r="N112" s="844"/>
      <c r="O112" s="844"/>
      <c r="P112" s="844"/>
      <c r="Q112" s="137"/>
      <c r="R112" s="137"/>
      <c r="S112" s="137"/>
      <c r="T112" s="137"/>
      <c r="U112" s="137"/>
      <c r="V112" s="137"/>
      <c r="W112" s="137"/>
      <c r="X112" s="137"/>
      <c r="Y112" s="137"/>
      <c r="Z112" s="137"/>
      <c r="AA112" s="137"/>
    </row>
    <row r="113" spans="1:27">
      <c r="A113" s="1203">
        <v>42349</v>
      </c>
      <c r="B113" s="1205">
        <v>15.755800000000001</v>
      </c>
      <c r="F113" s="137"/>
      <c r="G113" s="137"/>
      <c r="H113" s="844"/>
      <c r="I113" s="844"/>
      <c r="J113" s="844"/>
      <c r="K113" s="844"/>
      <c r="L113" s="844"/>
      <c r="M113" s="844"/>
      <c r="N113" s="844"/>
      <c r="O113" s="844"/>
      <c r="P113" s="844"/>
      <c r="Q113" s="137"/>
      <c r="R113" s="137"/>
      <c r="S113" s="137"/>
      <c r="T113" s="137"/>
      <c r="U113" s="137"/>
      <c r="V113" s="137"/>
      <c r="W113" s="137"/>
      <c r="X113" s="137"/>
      <c r="Y113" s="137"/>
      <c r="Z113" s="137"/>
      <c r="AA113" s="137"/>
    </row>
    <row r="114" spans="1:27">
      <c r="A114" s="1203">
        <v>42348</v>
      </c>
      <c r="B114" s="1205">
        <v>15.2698</v>
      </c>
      <c r="F114" s="137"/>
      <c r="G114" s="137"/>
      <c r="H114" s="844"/>
      <c r="I114" s="844"/>
      <c r="J114" s="844"/>
      <c r="K114" s="844"/>
      <c r="L114" s="844"/>
      <c r="M114" s="844"/>
      <c r="N114" s="844"/>
      <c r="O114" s="844"/>
      <c r="P114" s="844"/>
      <c r="Q114" s="137"/>
      <c r="R114" s="137"/>
      <c r="S114" s="137"/>
      <c r="T114" s="137"/>
      <c r="U114" s="137"/>
      <c r="V114" s="137"/>
      <c r="W114" s="137"/>
      <c r="X114" s="137"/>
      <c r="Y114" s="137"/>
      <c r="Z114" s="137"/>
      <c r="AA114" s="137"/>
    </row>
    <row r="115" spans="1:27">
      <c r="A115" s="1203">
        <v>42347</v>
      </c>
      <c r="B115" s="1205">
        <v>14.5936</v>
      </c>
      <c r="F115" s="137"/>
      <c r="G115" s="137"/>
      <c r="H115" s="844"/>
      <c r="I115" s="844"/>
      <c r="J115" s="844"/>
      <c r="K115" s="844"/>
      <c r="L115" s="844"/>
      <c r="M115" s="844"/>
      <c r="N115" s="844"/>
      <c r="O115" s="844"/>
      <c r="P115" s="844"/>
      <c r="Q115" s="137"/>
      <c r="R115" s="137"/>
      <c r="S115" s="137"/>
      <c r="T115" s="137"/>
      <c r="U115" s="137"/>
      <c r="V115" s="137"/>
      <c r="W115" s="137"/>
      <c r="X115" s="137"/>
      <c r="Y115" s="137"/>
      <c r="Z115" s="137"/>
      <c r="AA115" s="137"/>
    </row>
    <row r="116" spans="1:27">
      <c r="A116" s="1203">
        <v>42346</v>
      </c>
      <c r="B116" s="1205">
        <v>14.5663</v>
      </c>
      <c r="F116" s="137"/>
      <c r="G116" s="137"/>
      <c r="H116" s="844"/>
      <c r="I116" s="844"/>
      <c r="J116" s="844"/>
      <c r="K116" s="844"/>
      <c r="L116" s="844"/>
      <c r="M116" s="844"/>
      <c r="N116" s="844"/>
      <c r="O116" s="844"/>
      <c r="P116" s="844"/>
      <c r="Q116" s="137"/>
      <c r="R116" s="137"/>
      <c r="S116" s="137"/>
      <c r="T116" s="137"/>
      <c r="U116" s="137"/>
      <c r="V116" s="137"/>
      <c r="W116" s="137"/>
      <c r="X116" s="137"/>
      <c r="Y116" s="137"/>
      <c r="Z116" s="137"/>
      <c r="AA116" s="137"/>
    </row>
    <row r="117" spans="1:27">
      <c r="A117" s="1203">
        <v>42345</v>
      </c>
      <c r="B117" s="1205">
        <v>14.5236</v>
      </c>
      <c r="F117" s="137"/>
      <c r="G117" s="137"/>
      <c r="H117" s="844"/>
      <c r="I117" s="844"/>
      <c r="J117" s="844"/>
      <c r="K117" s="844"/>
      <c r="L117" s="844"/>
      <c r="M117" s="844"/>
      <c r="N117" s="844"/>
      <c r="O117" s="844"/>
      <c r="P117" s="844"/>
      <c r="Q117" s="137"/>
      <c r="R117" s="137"/>
      <c r="S117" s="137"/>
      <c r="T117" s="137"/>
      <c r="U117" s="137"/>
      <c r="V117" s="137"/>
      <c r="W117" s="137"/>
      <c r="X117" s="137"/>
      <c r="Y117" s="137"/>
      <c r="Z117" s="137"/>
      <c r="AA117" s="137"/>
    </row>
    <row r="118" spans="1:27">
      <c r="A118" s="1203">
        <v>42342</v>
      </c>
      <c r="B118" s="1205">
        <v>14.3451</v>
      </c>
      <c r="F118" s="137"/>
      <c r="G118" s="137"/>
      <c r="H118" s="844"/>
      <c r="I118" s="844"/>
      <c r="J118" s="844"/>
      <c r="K118" s="844"/>
      <c r="L118" s="844"/>
      <c r="M118" s="844"/>
      <c r="N118" s="844"/>
      <c r="O118" s="844"/>
      <c r="P118" s="844"/>
      <c r="Q118" s="137"/>
      <c r="R118" s="137"/>
      <c r="S118" s="137"/>
      <c r="T118" s="137"/>
      <c r="U118" s="137"/>
      <c r="V118" s="137"/>
      <c r="W118" s="137"/>
      <c r="X118" s="137"/>
      <c r="Y118" s="137"/>
      <c r="Z118" s="137"/>
      <c r="AA118" s="137"/>
    </row>
    <row r="119" spans="1:27">
      <c r="A119" s="1203">
        <v>42341</v>
      </c>
      <c r="B119" s="1205">
        <v>14.345000000000001</v>
      </c>
      <c r="F119" s="137"/>
      <c r="G119" s="137"/>
      <c r="H119" s="844"/>
      <c r="I119" s="844"/>
      <c r="J119" s="844"/>
      <c r="K119" s="844"/>
      <c r="L119" s="844"/>
      <c r="M119" s="844"/>
      <c r="N119" s="844"/>
      <c r="O119" s="844"/>
      <c r="P119" s="844"/>
      <c r="Q119" s="137"/>
      <c r="R119" s="137"/>
      <c r="S119" s="137"/>
      <c r="T119" s="137"/>
      <c r="U119" s="137"/>
      <c r="V119" s="137"/>
      <c r="W119" s="137"/>
      <c r="X119" s="137"/>
      <c r="Y119" s="137"/>
      <c r="Z119" s="137"/>
      <c r="AA119" s="137"/>
    </row>
    <row r="120" spans="1:27">
      <c r="A120" s="1203">
        <v>42340</v>
      </c>
      <c r="B120" s="1205">
        <v>14.3688</v>
      </c>
      <c r="F120" s="137"/>
      <c r="G120" s="137"/>
      <c r="H120" s="844"/>
      <c r="I120" s="844"/>
      <c r="J120" s="844"/>
      <c r="K120" s="844"/>
      <c r="L120" s="844"/>
      <c r="M120" s="844"/>
      <c r="N120" s="844"/>
      <c r="O120" s="844"/>
      <c r="P120" s="844"/>
      <c r="Q120" s="137"/>
      <c r="R120" s="137"/>
      <c r="S120" s="137"/>
      <c r="T120" s="137"/>
      <c r="U120" s="137"/>
      <c r="V120" s="137"/>
      <c r="W120" s="137"/>
      <c r="X120" s="137"/>
      <c r="Y120" s="137"/>
      <c r="Z120" s="137"/>
      <c r="AA120" s="137"/>
    </row>
    <row r="121" spans="1:27" s="452" customFormat="1" ht="11">
      <c r="A121" s="1204">
        <v>42339</v>
      </c>
      <c r="B121" s="1207">
        <v>14.4374</v>
      </c>
      <c r="F121" s="1175"/>
      <c r="G121" s="1175"/>
      <c r="H121" s="1176"/>
      <c r="I121" s="1176"/>
      <c r="J121" s="1176"/>
      <c r="K121" s="1176"/>
      <c r="L121" s="1176"/>
      <c r="M121" s="1176"/>
      <c r="N121" s="1176"/>
      <c r="O121" s="1176"/>
      <c r="P121" s="1176"/>
      <c r="Q121" s="1175"/>
      <c r="R121" s="1175"/>
      <c r="S121" s="1175"/>
      <c r="T121" s="1175"/>
      <c r="U121" s="1175"/>
      <c r="V121" s="1175"/>
      <c r="W121" s="1175"/>
      <c r="X121" s="1175"/>
      <c r="Y121" s="1175"/>
      <c r="Z121" s="1175"/>
      <c r="AA121" s="1175"/>
    </row>
    <row r="122" spans="1:27" s="452" customFormat="1" ht="11">
      <c r="A122" s="1204">
        <v>42338</v>
      </c>
      <c r="B122" s="1207">
        <v>14.4916</v>
      </c>
      <c r="F122" s="1175"/>
      <c r="G122" s="1175"/>
      <c r="H122" s="1176"/>
      <c r="I122" s="1176"/>
      <c r="J122" s="1176"/>
      <c r="K122" s="1176"/>
      <c r="L122" s="1176"/>
      <c r="M122" s="1176"/>
      <c r="N122" s="1176"/>
      <c r="O122" s="1176"/>
      <c r="P122" s="1176"/>
      <c r="Q122" s="1175"/>
      <c r="R122" s="1175"/>
      <c r="S122" s="1175"/>
      <c r="T122" s="1175"/>
      <c r="U122" s="1175"/>
      <c r="V122" s="1175"/>
      <c r="W122" s="1175"/>
      <c r="X122" s="1175"/>
      <c r="Y122" s="1175"/>
      <c r="Z122" s="1175"/>
      <c r="AA122" s="1175"/>
    </row>
    <row r="123" spans="1:27">
      <c r="A123" s="1203">
        <v>42335</v>
      </c>
      <c r="B123" s="1205">
        <v>14.4018</v>
      </c>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row>
    <row r="124" spans="1:27">
      <c r="A124" s="1203">
        <v>42333</v>
      </c>
      <c r="B124" s="1205">
        <v>14.1374</v>
      </c>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row>
    <row r="125" spans="1:27">
      <c r="A125" s="1203">
        <v>42332</v>
      </c>
      <c r="B125" s="1205">
        <v>14.014799999999999</v>
      </c>
      <c r="F125" s="137"/>
      <c r="G125" s="1177"/>
      <c r="H125" s="1177"/>
      <c r="I125" s="1177"/>
      <c r="J125" s="1177"/>
      <c r="K125" s="1177"/>
      <c r="L125" s="137"/>
      <c r="M125" s="137"/>
      <c r="N125" s="137"/>
      <c r="O125" s="137"/>
      <c r="P125" s="137"/>
      <c r="Q125" s="137"/>
      <c r="R125" s="137"/>
      <c r="S125" s="137"/>
      <c r="T125" s="137"/>
      <c r="U125" s="137"/>
      <c r="V125" s="137"/>
      <c r="W125" s="137"/>
      <c r="X125" s="137"/>
      <c r="Y125" s="137"/>
      <c r="Z125" s="137"/>
      <c r="AA125" s="137"/>
    </row>
    <row r="126" spans="1:27">
      <c r="A126" s="1203">
        <v>42331</v>
      </c>
      <c r="B126" s="1205">
        <v>14.0931</v>
      </c>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row>
    <row r="127" spans="1:27">
      <c r="A127" s="1203">
        <v>42328</v>
      </c>
      <c r="B127" s="1205">
        <v>13.962999999999999</v>
      </c>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row>
    <row r="128" spans="1:27">
      <c r="A128" s="1203">
        <v>42327</v>
      </c>
      <c r="B128" s="1205">
        <v>14.041600000000001</v>
      </c>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row>
    <row r="129" spans="1:27">
      <c r="A129" s="1203">
        <v>42326</v>
      </c>
      <c r="B129" s="1205">
        <v>14.1936</v>
      </c>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row>
    <row r="130" spans="1:27">
      <c r="A130" s="1203">
        <v>42325</v>
      </c>
      <c r="B130" s="1205">
        <v>14.276899999999999</v>
      </c>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row>
    <row r="131" spans="1:27">
      <c r="A131" s="1203">
        <v>42324</v>
      </c>
      <c r="B131" s="1205">
        <v>14.3766</v>
      </c>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row>
    <row r="132" spans="1:27">
      <c r="A132" s="1203">
        <v>42321</v>
      </c>
      <c r="B132" s="1205">
        <v>14.3949</v>
      </c>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row>
    <row r="133" spans="1:27">
      <c r="A133" s="1203">
        <v>42319</v>
      </c>
      <c r="B133" s="1205">
        <v>14.191700000000001</v>
      </c>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row>
    <row r="134" spans="1:27">
      <c r="A134" s="1203">
        <v>42318</v>
      </c>
      <c r="B134" s="1205">
        <v>14.2536</v>
      </c>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row>
    <row r="135" spans="1:27">
      <c r="A135" s="1203">
        <v>42317</v>
      </c>
      <c r="B135" s="1205">
        <v>14.312200000000001</v>
      </c>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row>
    <row r="136" spans="1:27">
      <c r="A136" s="1203">
        <v>42314</v>
      </c>
      <c r="B136" s="1205">
        <v>14.187900000000001</v>
      </c>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row>
    <row r="137" spans="1:27">
      <c r="A137" s="1203">
        <v>42313</v>
      </c>
      <c r="B137" s="1205">
        <v>13.9071</v>
      </c>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row>
    <row r="138" spans="1:27">
      <c r="A138" s="1203">
        <v>42312</v>
      </c>
      <c r="B138" s="1205">
        <v>13.9773</v>
      </c>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row>
    <row r="139" spans="1:27">
      <c r="A139" s="1203">
        <v>42311</v>
      </c>
      <c r="B139" s="1205">
        <v>13.773300000000001</v>
      </c>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row>
    <row r="140" spans="1:27">
      <c r="A140" s="1203">
        <v>42310</v>
      </c>
      <c r="B140" s="1205">
        <v>13.7805</v>
      </c>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row>
    <row r="141" spans="1:27">
      <c r="A141" s="1203">
        <v>42307</v>
      </c>
      <c r="B141" s="1205">
        <v>13.8246</v>
      </c>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row>
    <row r="142" spans="1:27">
      <c r="A142" s="1203">
        <v>42306</v>
      </c>
      <c r="B142" s="1205">
        <v>13.857699999999999</v>
      </c>
      <c r="F142" s="137"/>
      <c r="G142" s="137"/>
      <c r="H142" s="137"/>
      <c r="I142" s="137"/>
      <c r="J142" s="137"/>
      <c r="K142" s="137"/>
      <c r="L142" s="137"/>
      <c r="M142" s="137"/>
      <c r="N142" s="137"/>
      <c r="O142" s="137"/>
      <c r="P142" s="137"/>
      <c r="Q142" s="137"/>
      <c r="R142" s="137"/>
      <c r="S142" s="137"/>
      <c r="T142" s="137"/>
      <c r="U142" s="137"/>
      <c r="V142" s="137"/>
      <c r="W142" s="137"/>
      <c r="X142" s="137"/>
      <c r="Y142" s="137"/>
      <c r="Z142" s="137"/>
      <c r="AA142" s="137"/>
    </row>
    <row r="143" spans="1:27">
      <c r="A143" s="1203">
        <v>42305</v>
      </c>
      <c r="B143" s="1205">
        <v>13.588200000000001</v>
      </c>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row>
    <row r="144" spans="1:27">
      <c r="A144" s="1203">
        <v>42304</v>
      </c>
      <c r="B144" s="1205">
        <v>13.6729</v>
      </c>
      <c r="F144" s="137"/>
      <c r="G144" s="137"/>
      <c r="H144" s="137"/>
      <c r="I144" s="137"/>
      <c r="J144" s="137"/>
      <c r="K144" s="137"/>
      <c r="L144" s="137"/>
      <c r="M144" s="137"/>
      <c r="N144" s="137"/>
      <c r="O144" s="137"/>
      <c r="P144" s="137"/>
      <c r="Q144" s="137"/>
      <c r="R144" s="137"/>
      <c r="S144" s="137"/>
      <c r="T144" s="137"/>
      <c r="U144" s="137"/>
      <c r="V144" s="137"/>
      <c r="W144" s="137"/>
      <c r="X144" s="137"/>
      <c r="Y144" s="137"/>
      <c r="Z144" s="137"/>
      <c r="AA144" s="137"/>
    </row>
    <row r="145" spans="1:27">
      <c r="A145" s="1203">
        <v>42303</v>
      </c>
      <c r="B145" s="1205">
        <v>13.641</v>
      </c>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row>
    <row r="146" spans="1:27">
      <c r="A146" s="1203">
        <v>42300</v>
      </c>
      <c r="B146" s="1205">
        <v>13.651299999999999</v>
      </c>
      <c r="F146" s="137"/>
      <c r="G146" s="137"/>
      <c r="H146" s="137"/>
      <c r="I146" s="137"/>
      <c r="J146" s="137"/>
      <c r="K146" s="137"/>
      <c r="L146" s="137"/>
      <c r="M146" s="137"/>
      <c r="N146" s="137"/>
      <c r="O146" s="137"/>
      <c r="P146" s="137"/>
      <c r="Q146" s="137"/>
      <c r="R146" s="137"/>
      <c r="S146" s="137"/>
      <c r="T146" s="137"/>
      <c r="U146" s="137"/>
      <c r="V146" s="137"/>
      <c r="W146" s="137"/>
      <c r="X146" s="137"/>
      <c r="Y146" s="137"/>
      <c r="Z146" s="137"/>
      <c r="AA146" s="137"/>
    </row>
    <row r="147" spans="1:27">
      <c r="A147" s="1203">
        <v>42299</v>
      </c>
      <c r="B147" s="1205">
        <v>13.4123</v>
      </c>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row>
    <row r="148" spans="1:27">
      <c r="A148" s="1203">
        <v>42298</v>
      </c>
      <c r="B148" s="1205">
        <v>13.495799999999999</v>
      </c>
      <c r="F148" s="137"/>
      <c r="G148" s="137"/>
      <c r="H148" s="137"/>
      <c r="I148" s="137"/>
      <c r="J148" s="137"/>
      <c r="K148" s="137"/>
      <c r="L148" s="137"/>
      <c r="M148" s="137"/>
      <c r="N148" s="137"/>
      <c r="O148" s="137"/>
      <c r="P148" s="137"/>
      <c r="Q148" s="137"/>
      <c r="R148" s="137"/>
      <c r="S148" s="137"/>
      <c r="T148" s="137"/>
      <c r="U148" s="137"/>
      <c r="V148" s="137"/>
      <c r="W148" s="137"/>
      <c r="X148" s="137"/>
      <c r="Y148" s="137"/>
      <c r="Z148" s="137"/>
      <c r="AA148" s="137"/>
    </row>
    <row r="149" spans="1:27">
      <c r="A149" s="1203">
        <v>42297</v>
      </c>
      <c r="B149" s="1205">
        <v>13.28</v>
      </c>
      <c r="F149" s="137"/>
      <c r="G149" s="137"/>
      <c r="H149" s="137"/>
      <c r="I149" s="137"/>
      <c r="J149" s="137"/>
      <c r="K149" s="137"/>
      <c r="L149" s="137"/>
      <c r="M149" s="137"/>
      <c r="N149" s="137"/>
      <c r="O149" s="137"/>
      <c r="P149" s="137"/>
      <c r="Q149" s="137"/>
      <c r="R149" s="137"/>
      <c r="S149" s="137"/>
      <c r="T149" s="137"/>
      <c r="U149" s="137"/>
      <c r="V149" s="137"/>
      <c r="W149" s="137"/>
      <c r="X149" s="137"/>
      <c r="Y149" s="137"/>
      <c r="Z149" s="137"/>
      <c r="AA149" s="137"/>
    </row>
    <row r="150" spans="1:27">
      <c r="A150" s="1203">
        <v>42296</v>
      </c>
      <c r="B150" s="1205">
        <v>13.2623</v>
      </c>
      <c r="F150" s="137"/>
      <c r="G150" s="137"/>
      <c r="H150" s="137"/>
      <c r="I150" s="137"/>
      <c r="J150" s="137"/>
      <c r="K150" s="137"/>
      <c r="L150" s="137"/>
      <c r="M150" s="137"/>
      <c r="N150" s="137"/>
      <c r="O150" s="137"/>
      <c r="P150" s="137"/>
      <c r="Q150" s="137"/>
      <c r="R150" s="137"/>
      <c r="S150" s="137"/>
      <c r="T150" s="137"/>
      <c r="U150" s="137"/>
      <c r="V150" s="137"/>
      <c r="W150" s="137"/>
      <c r="X150" s="137"/>
      <c r="Y150" s="137"/>
      <c r="Z150" s="137"/>
      <c r="AA150" s="137"/>
    </row>
    <row r="151" spans="1:27">
      <c r="A151" s="1203">
        <v>42293</v>
      </c>
      <c r="B151" s="1205">
        <v>13.083299999999999</v>
      </c>
      <c r="F151" s="137"/>
      <c r="G151" s="137"/>
      <c r="H151" s="137"/>
      <c r="I151" s="137"/>
      <c r="J151" s="137"/>
      <c r="K151" s="137"/>
      <c r="L151" s="137"/>
      <c r="M151" s="137"/>
      <c r="N151" s="137"/>
      <c r="O151" s="137"/>
      <c r="P151" s="137"/>
      <c r="Q151" s="137"/>
      <c r="R151" s="137"/>
      <c r="S151" s="137"/>
      <c r="T151" s="137"/>
      <c r="U151" s="137"/>
      <c r="V151" s="137"/>
      <c r="W151" s="137"/>
      <c r="X151" s="137"/>
      <c r="Y151" s="137"/>
      <c r="Z151" s="137"/>
      <c r="AA151" s="137"/>
    </row>
    <row r="152" spans="1:27">
      <c r="A152" s="1203">
        <v>42292</v>
      </c>
      <c r="B152" s="1205">
        <v>13.0578</v>
      </c>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row>
    <row r="153" spans="1:27">
      <c r="A153" s="1203">
        <v>42291</v>
      </c>
      <c r="B153" s="1205">
        <v>13.3</v>
      </c>
      <c r="F153" s="137"/>
      <c r="G153" s="137"/>
      <c r="H153" s="137"/>
      <c r="I153" s="137"/>
      <c r="J153" s="137"/>
      <c r="K153" s="137"/>
      <c r="L153" s="137"/>
      <c r="M153" s="137"/>
      <c r="N153" s="137"/>
      <c r="O153" s="137"/>
      <c r="P153" s="137"/>
      <c r="Q153" s="137"/>
      <c r="R153" s="137"/>
      <c r="S153" s="137"/>
      <c r="T153" s="137"/>
      <c r="U153" s="137"/>
      <c r="V153" s="137"/>
      <c r="W153" s="137"/>
      <c r="X153" s="137"/>
      <c r="Y153" s="137"/>
      <c r="Z153" s="137"/>
      <c r="AA153" s="137"/>
    </row>
    <row r="154" spans="1:27">
      <c r="A154" s="1203">
        <v>42290</v>
      </c>
      <c r="B154" s="1205">
        <v>13.4594</v>
      </c>
      <c r="F154" s="137"/>
      <c r="G154" s="137"/>
      <c r="H154" s="137"/>
      <c r="I154" s="137"/>
      <c r="J154" s="137"/>
      <c r="K154" s="137"/>
      <c r="L154" s="137"/>
      <c r="M154" s="137"/>
      <c r="N154" s="137"/>
      <c r="O154" s="137"/>
      <c r="P154" s="137"/>
      <c r="Q154" s="137"/>
      <c r="R154" s="137"/>
      <c r="S154" s="137"/>
      <c r="T154" s="137"/>
      <c r="U154" s="137"/>
      <c r="V154" s="137"/>
      <c r="W154" s="137"/>
      <c r="X154" s="137"/>
      <c r="Y154" s="137"/>
      <c r="Z154" s="137"/>
      <c r="AA154" s="137"/>
    </row>
    <row r="155" spans="1:27">
      <c r="A155" s="1203">
        <v>42289</v>
      </c>
      <c r="B155" s="1205">
        <v>13.2682</v>
      </c>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row>
    <row r="156" spans="1:27">
      <c r="A156" s="1203">
        <v>42286</v>
      </c>
      <c r="B156" s="1205">
        <v>13.3446</v>
      </c>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row>
    <row r="157" spans="1:27">
      <c r="A157" s="1203">
        <v>42285</v>
      </c>
      <c r="B157" s="1205">
        <v>13.3901</v>
      </c>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row>
    <row r="158" spans="1:27">
      <c r="A158" s="1203">
        <v>42284</v>
      </c>
      <c r="B158" s="1205">
        <v>13.4093</v>
      </c>
      <c r="F158" s="137"/>
      <c r="G158" s="137"/>
      <c r="H158" s="137"/>
      <c r="I158" s="137"/>
      <c r="J158" s="137"/>
      <c r="K158" s="137"/>
      <c r="L158" s="137"/>
      <c r="M158" s="137"/>
      <c r="N158" s="137"/>
      <c r="O158" s="137"/>
      <c r="P158" s="137"/>
      <c r="Q158" s="137"/>
      <c r="R158" s="137"/>
      <c r="S158" s="137"/>
      <c r="T158" s="137"/>
      <c r="U158" s="137"/>
      <c r="V158" s="137"/>
      <c r="W158" s="137"/>
      <c r="X158" s="137"/>
      <c r="Y158" s="137"/>
      <c r="Z158" s="137"/>
      <c r="AA158" s="137"/>
    </row>
    <row r="159" spans="1:27">
      <c r="A159" s="1203">
        <v>42283</v>
      </c>
      <c r="B159" s="1205">
        <v>13.548299999999999</v>
      </c>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row>
    <row r="160" spans="1:27">
      <c r="A160" s="1203">
        <v>42282</v>
      </c>
      <c r="B160" s="1205">
        <v>13.612500000000001</v>
      </c>
      <c r="F160" s="137"/>
      <c r="G160" s="137"/>
      <c r="H160" s="137"/>
      <c r="I160" s="137"/>
      <c r="J160" s="137"/>
      <c r="K160" s="137"/>
      <c r="L160" s="137"/>
      <c r="M160" s="137"/>
      <c r="N160" s="137"/>
      <c r="O160" s="137"/>
      <c r="P160" s="137"/>
      <c r="Q160" s="137"/>
      <c r="R160" s="137"/>
      <c r="S160" s="137"/>
      <c r="T160" s="137"/>
      <c r="U160" s="137"/>
      <c r="V160" s="137"/>
      <c r="W160" s="137"/>
      <c r="X160" s="137"/>
      <c r="Y160" s="137"/>
      <c r="Z160" s="137"/>
      <c r="AA160" s="137"/>
    </row>
    <row r="161" spans="1:27">
      <c r="A161" s="1203">
        <v>42279</v>
      </c>
      <c r="B161" s="1205">
        <v>13.781700000000001</v>
      </c>
      <c r="F161" s="137"/>
      <c r="G161" s="137"/>
      <c r="H161" s="137"/>
      <c r="I161" s="137"/>
      <c r="J161" s="137"/>
      <c r="K161" s="137"/>
      <c r="L161" s="137"/>
      <c r="M161" s="137"/>
      <c r="N161" s="137"/>
      <c r="O161" s="137"/>
      <c r="P161" s="137"/>
      <c r="Q161" s="137"/>
      <c r="R161" s="137"/>
      <c r="S161" s="137"/>
      <c r="T161" s="137"/>
      <c r="U161" s="137"/>
      <c r="V161" s="137"/>
      <c r="W161" s="137"/>
      <c r="X161" s="137"/>
      <c r="Y161" s="137"/>
      <c r="Z161" s="137"/>
      <c r="AA161" s="137"/>
    </row>
    <row r="162" spans="1:27">
      <c r="A162" s="1203">
        <v>42278</v>
      </c>
      <c r="B162" s="1205">
        <v>13.911099999999999</v>
      </c>
      <c r="F162" s="137"/>
      <c r="G162" s="137"/>
      <c r="H162" s="137"/>
      <c r="I162" s="137"/>
      <c r="J162" s="137"/>
      <c r="K162" s="137"/>
      <c r="L162" s="137"/>
      <c r="M162" s="137"/>
      <c r="N162" s="137"/>
      <c r="O162" s="137"/>
      <c r="P162" s="137"/>
      <c r="Q162" s="137"/>
      <c r="R162" s="137"/>
      <c r="S162" s="137"/>
      <c r="T162" s="137"/>
      <c r="U162" s="137"/>
      <c r="V162" s="137"/>
      <c r="W162" s="137"/>
      <c r="X162" s="137"/>
      <c r="Y162" s="137"/>
      <c r="Z162" s="137"/>
      <c r="AA162" s="137"/>
    </row>
    <row r="163" spans="1:27">
      <c r="A163" s="1203">
        <v>42277</v>
      </c>
      <c r="B163" s="1205">
        <v>13.863300000000001</v>
      </c>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row>
    <row r="164" spans="1:27">
      <c r="A164" s="1203">
        <v>42276</v>
      </c>
      <c r="B164" s="1205">
        <v>13.9855</v>
      </c>
      <c r="F164" s="137"/>
      <c r="G164" s="137"/>
      <c r="H164" s="137"/>
      <c r="I164" s="137"/>
      <c r="J164" s="137"/>
      <c r="K164" s="137"/>
      <c r="L164" s="137"/>
      <c r="M164" s="137"/>
      <c r="N164" s="137"/>
      <c r="O164" s="137"/>
      <c r="P164" s="137"/>
      <c r="Q164" s="137"/>
      <c r="R164" s="137"/>
      <c r="S164" s="137"/>
      <c r="T164" s="137"/>
      <c r="U164" s="137"/>
      <c r="V164" s="137"/>
      <c r="W164" s="137"/>
      <c r="X164" s="137"/>
      <c r="Y164" s="137"/>
      <c r="Z164" s="137"/>
      <c r="AA164" s="137"/>
    </row>
    <row r="165" spans="1:27">
      <c r="A165" s="1203">
        <v>42275</v>
      </c>
      <c r="B165" s="1205">
        <v>14.0685</v>
      </c>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row>
    <row r="166" spans="1:27">
      <c r="A166" s="1203">
        <v>42272</v>
      </c>
      <c r="B166" s="1205">
        <v>13.8682</v>
      </c>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row>
    <row r="167" spans="1:27">
      <c r="A167" s="1203">
        <v>42271</v>
      </c>
      <c r="B167" s="1205">
        <v>13.889699999999999</v>
      </c>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row>
    <row r="168" spans="1:27">
      <c r="A168" s="1203">
        <v>42270</v>
      </c>
      <c r="B168" s="1205">
        <v>13.852600000000001</v>
      </c>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row>
    <row r="169" spans="1:27">
      <c r="A169" s="1203">
        <v>42269</v>
      </c>
      <c r="B169" s="1205">
        <v>13.6981</v>
      </c>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row>
    <row r="170" spans="1:27">
      <c r="A170" s="1203">
        <v>42268</v>
      </c>
      <c r="B170" s="1205">
        <v>13.4764</v>
      </c>
      <c r="F170" s="137"/>
      <c r="G170" s="137"/>
      <c r="H170" s="137"/>
      <c r="I170" s="137"/>
      <c r="J170" s="137"/>
      <c r="K170" s="137"/>
      <c r="L170" s="137"/>
      <c r="M170" s="137"/>
      <c r="N170" s="137"/>
      <c r="O170" s="137"/>
      <c r="P170" s="137"/>
      <c r="Q170" s="137"/>
      <c r="R170" s="137"/>
      <c r="S170" s="137"/>
      <c r="T170" s="137"/>
      <c r="U170" s="137"/>
      <c r="V170" s="137"/>
      <c r="W170" s="137"/>
      <c r="X170" s="137"/>
      <c r="Y170" s="137"/>
      <c r="Z170" s="137"/>
      <c r="AA170" s="137"/>
    </row>
    <row r="171" spans="1:27">
      <c r="A171" s="1203">
        <v>42265</v>
      </c>
      <c r="B171" s="1205">
        <v>13.2746</v>
      </c>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row>
    <row r="172" spans="1:27">
      <c r="A172" s="1203">
        <v>42264</v>
      </c>
      <c r="B172" s="1205">
        <v>13.3635</v>
      </c>
      <c r="F172" s="137"/>
      <c r="G172" s="137"/>
      <c r="H172" s="137"/>
      <c r="I172" s="137"/>
      <c r="J172" s="137"/>
      <c r="K172" s="137"/>
      <c r="L172" s="137"/>
      <c r="M172" s="137"/>
      <c r="N172" s="137"/>
      <c r="O172" s="137"/>
      <c r="P172" s="137"/>
      <c r="Q172" s="137"/>
      <c r="R172" s="137"/>
      <c r="S172" s="137"/>
      <c r="T172" s="137"/>
      <c r="U172" s="137"/>
      <c r="V172" s="137"/>
      <c r="W172" s="137"/>
      <c r="X172" s="137"/>
      <c r="Y172" s="137"/>
      <c r="Z172" s="137"/>
      <c r="AA172" s="137"/>
    </row>
    <row r="173" spans="1:27">
      <c r="A173" s="1203">
        <v>42263</v>
      </c>
      <c r="B173" s="1205">
        <v>13.286300000000001</v>
      </c>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row>
    <row r="174" spans="1:27">
      <c r="A174" s="1203">
        <v>42262</v>
      </c>
      <c r="B174" s="1205">
        <v>13.460699999999999</v>
      </c>
      <c r="F174" s="137"/>
      <c r="G174" s="137"/>
      <c r="H174" s="137"/>
      <c r="I174" s="137"/>
      <c r="J174" s="137"/>
      <c r="K174" s="137"/>
      <c r="L174" s="137"/>
      <c r="M174" s="137"/>
      <c r="N174" s="137"/>
      <c r="O174" s="137"/>
      <c r="P174" s="137"/>
      <c r="Q174" s="137"/>
      <c r="R174" s="137"/>
      <c r="S174" s="137"/>
      <c r="T174" s="137"/>
      <c r="U174" s="137"/>
      <c r="V174" s="137"/>
      <c r="W174" s="137"/>
      <c r="X174" s="137"/>
      <c r="Y174" s="137"/>
      <c r="Z174" s="137"/>
      <c r="AA174" s="137"/>
    </row>
    <row r="175" spans="1:27">
      <c r="A175" s="1203">
        <v>42261</v>
      </c>
      <c r="B175" s="1205">
        <v>13.519</v>
      </c>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row>
    <row r="176" spans="1:27">
      <c r="A176" s="1203">
        <v>42258</v>
      </c>
      <c r="B176" s="1205">
        <v>13.554</v>
      </c>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row>
    <row r="177" spans="1:27">
      <c r="A177" s="1203">
        <v>42257</v>
      </c>
      <c r="B177" s="1205">
        <v>13.630100000000001</v>
      </c>
      <c r="F177" s="137"/>
      <c r="G177" s="137"/>
      <c r="H177" s="137"/>
      <c r="I177" s="137"/>
      <c r="J177" s="137"/>
      <c r="K177" s="137"/>
      <c r="L177" s="137"/>
      <c r="M177" s="137"/>
      <c r="N177" s="137"/>
      <c r="O177" s="137"/>
      <c r="P177" s="137"/>
      <c r="Q177" s="137"/>
      <c r="R177" s="137"/>
      <c r="S177" s="137"/>
      <c r="T177" s="137"/>
      <c r="U177" s="137"/>
      <c r="V177" s="137"/>
      <c r="W177" s="137"/>
      <c r="X177" s="137"/>
      <c r="Y177" s="137"/>
      <c r="Z177" s="137"/>
      <c r="AA177" s="137"/>
    </row>
    <row r="178" spans="1:27">
      <c r="A178" s="1203">
        <v>42256</v>
      </c>
      <c r="B178" s="1205">
        <v>13.710900000000001</v>
      </c>
      <c r="F178" s="137"/>
      <c r="G178" s="137"/>
      <c r="H178" s="137"/>
      <c r="I178" s="137"/>
      <c r="J178" s="137"/>
      <c r="K178" s="137"/>
      <c r="L178" s="137"/>
      <c r="M178" s="137"/>
      <c r="N178" s="137"/>
      <c r="O178" s="137"/>
      <c r="P178" s="137"/>
      <c r="Q178" s="137"/>
      <c r="R178" s="137"/>
      <c r="S178" s="137"/>
      <c r="T178" s="137"/>
      <c r="U178" s="137"/>
      <c r="V178" s="137"/>
      <c r="W178" s="137"/>
      <c r="X178" s="137"/>
      <c r="Y178" s="137"/>
      <c r="Z178" s="137"/>
      <c r="AA178" s="137"/>
    </row>
    <row r="179" spans="1:27">
      <c r="A179" s="1203">
        <v>42255</v>
      </c>
      <c r="B179" s="1205">
        <v>13.7295</v>
      </c>
      <c r="F179" s="137"/>
      <c r="G179" s="137"/>
      <c r="H179" s="137"/>
      <c r="I179" s="137"/>
      <c r="J179" s="137"/>
      <c r="K179" s="137"/>
      <c r="L179" s="137"/>
      <c r="M179" s="137"/>
      <c r="N179" s="137"/>
      <c r="O179" s="137"/>
      <c r="P179" s="137"/>
      <c r="Q179" s="137"/>
      <c r="R179" s="137"/>
      <c r="S179" s="137"/>
      <c r="T179" s="137"/>
      <c r="U179" s="137"/>
      <c r="V179" s="137"/>
      <c r="W179" s="137"/>
      <c r="X179" s="137"/>
      <c r="Y179" s="137"/>
      <c r="Z179" s="137"/>
      <c r="AA179" s="137"/>
    </row>
    <row r="180" spans="1:27">
      <c r="A180" s="1203">
        <v>42254</v>
      </c>
      <c r="B180" s="1205">
        <v>13.9551</v>
      </c>
      <c r="F180" s="137"/>
      <c r="G180" s="137"/>
      <c r="H180" s="137"/>
      <c r="I180" s="137"/>
      <c r="J180" s="137"/>
      <c r="K180" s="137"/>
      <c r="L180" s="137"/>
      <c r="M180" s="137"/>
      <c r="N180" s="137"/>
      <c r="O180" s="137"/>
      <c r="P180" s="137"/>
      <c r="Q180" s="137"/>
      <c r="R180" s="137"/>
      <c r="S180" s="137"/>
      <c r="T180" s="137"/>
      <c r="U180" s="137"/>
      <c r="V180" s="137"/>
      <c r="W180" s="137"/>
      <c r="X180" s="137"/>
      <c r="Y180" s="137"/>
      <c r="Z180" s="137"/>
      <c r="AA180" s="137"/>
    </row>
    <row r="181" spans="1:27">
      <c r="A181" s="1203">
        <v>42251</v>
      </c>
      <c r="B181" s="1205">
        <v>13.862</v>
      </c>
      <c r="F181" s="137"/>
      <c r="G181" s="137"/>
      <c r="H181" s="137"/>
      <c r="I181" s="137"/>
      <c r="J181" s="137"/>
      <c r="K181" s="137"/>
      <c r="L181" s="137"/>
      <c r="M181" s="137"/>
      <c r="N181" s="137"/>
      <c r="O181" s="137"/>
      <c r="P181" s="137"/>
      <c r="Q181" s="137"/>
      <c r="R181" s="137"/>
      <c r="S181" s="137"/>
      <c r="T181" s="137"/>
      <c r="U181" s="137"/>
      <c r="V181" s="137"/>
      <c r="W181" s="137"/>
      <c r="X181" s="137"/>
      <c r="Y181" s="137"/>
      <c r="Z181" s="137"/>
      <c r="AA181" s="137"/>
    </row>
    <row r="182" spans="1:27">
      <c r="A182" s="1203">
        <v>42250</v>
      </c>
      <c r="B182" s="1205">
        <v>13.540100000000001</v>
      </c>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row>
    <row r="183" spans="1:27">
      <c r="A183" s="1203">
        <v>42249</v>
      </c>
      <c r="B183" s="1205">
        <v>13.4429</v>
      </c>
      <c r="F183" s="137"/>
      <c r="G183" s="137"/>
      <c r="H183" s="137"/>
      <c r="I183" s="137"/>
      <c r="J183" s="137"/>
      <c r="K183" s="137"/>
      <c r="L183" s="137"/>
      <c r="M183" s="137"/>
      <c r="N183" s="137"/>
      <c r="O183" s="137"/>
      <c r="P183" s="137"/>
      <c r="Q183" s="137"/>
      <c r="R183" s="137"/>
      <c r="S183" s="137"/>
      <c r="T183" s="137"/>
      <c r="U183" s="137"/>
      <c r="V183" s="137"/>
      <c r="W183" s="137"/>
      <c r="X183" s="137"/>
      <c r="Y183" s="137"/>
      <c r="Z183" s="137"/>
      <c r="AA183" s="137"/>
    </row>
    <row r="184" spans="1:27">
      <c r="A184" s="1203">
        <v>42248</v>
      </c>
      <c r="B184" s="1205">
        <v>13.413499999999999</v>
      </c>
      <c r="F184" s="137"/>
      <c r="G184" s="137"/>
      <c r="H184" s="137"/>
      <c r="I184" s="137"/>
      <c r="J184" s="137"/>
      <c r="K184" s="137"/>
      <c r="L184" s="137"/>
      <c r="M184" s="137"/>
      <c r="N184" s="137"/>
      <c r="O184" s="137"/>
      <c r="P184" s="137"/>
      <c r="Q184" s="137"/>
      <c r="R184" s="137"/>
      <c r="S184" s="137"/>
      <c r="T184" s="137"/>
      <c r="U184" s="137"/>
      <c r="V184" s="137"/>
      <c r="W184" s="137"/>
      <c r="X184" s="137"/>
      <c r="Y184" s="137"/>
      <c r="Z184" s="137"/>
      <c r="AA184" s="137"/>
    </row>
    <row r="185" spans="1:27">
      <c r="A185" s="1203">
        <v>42247</v>
      </c>
      <c r="B185" s="1205">
        <v>13.2624</v>
      </c>
      <c r="F185" s="137"/>
      <c r="G185" s="137"/>
      <c r="H185" s="137"/>
      <c r="I185" s="137"/>
      <c r="J185" s="137"/>
      <c r="K185" s="137"/>
      <c r="L185" s="137"/>
      <c r="M185" s="137"/>
      <c r="N185" s="137"/>
      <c r="O185" s="137"/>
      <c r="P185" s="137"/>
      <c r="Q185" s="137"/>
      <c r="R185" s="137"/>
      <c r="S185" s="137"/>
      <c r="T185" s="137"/>
      <c r="U185" s="137"/>
      <c r="V185" s="137"/>
      <c r="W185" s="137"/>
      <c r="X185" s="137"/>
      <c r="Y185" s="137"/>
      <c r="Z185" s="137"/>
      <c r="AA185" s="137"/>
    </row>
    <row r="186" spans="1:27">
      <c r="A186" s="1203">
        <v>42244</v>
      </c>
      <c r="B186" s="1205">
        <v>13.3088</v>
      </c>
      <c r="F186" s="137"/>
      <c r="G186" s="137"/>
      <c r="H186" s="137"/>
      <c r="I186" s="137"/>
      <c r="J186" s="137"/>
      <c r="K186" s="137"/>
      <c r="L186" s="137"/>
      <c r="M186" s="137"/>
      <c r="N186" s="137"/>
      <c r="O186" s="137"/>
      <c r="P186" s="137"/>
      <c r="Q186" s="137"/>
      <c r="R186" s="137"/>
      <c r="S186" s="137"/>
      <c r="T186" s="137"/>
      <c r="U186" s="137"/>
      <c r="V186" s="137"/>
      <c r="W186" s="137"/>
      <c r="X186" s="137"/>
      <c r="Y186" s="137"/>
      <c r="Z186" s="137"/>
      <c r="AA186" s="137"/>
    </row>
    <row r="187" spans="1:27">
      <c r="A187" s="1203">
        <v>42243</v>
      </c>
      <c r="B187" s="1205">
        <v>13.1312</v>
      </c>
      <c r="F187" s="137"/>
      <c r="G187" s="137"/>
      <c r="H187" s="137"/>
      <c r="I187" s="137"/>
      <c r="J187" s="137"/>
      <c r="K187" s="137"/>
      <c r="L187" s="137"/>
      <c r="M187" s="137"/>
      <c r="N187" s="137"/>
      <c r="O187" s="137"/>
      <c r="P187" s="137"/>
      <c r="Q187" s="137"/>
      <c r="R187" s="137"/>
      <c r="S187" s="137"/>
      <c r="T187" s="137"/>
      <c r="U187" s="137"/>
      <c r="V187" s="137"/>
      <c r="W187" s="137"/>
      <c r="X187" s="137"/>
      <c r="Y187" s="137"/>
      <c r="Z187" s="137"/>
      <c r="AA187" s="137"/>
    </row>
    <row r="188" spans="1:27">
      <c r="A188" s="1203">
        <v>42242</v>
      </c>
      <c r="B188" s="1205">
        <v>13.151899999999999</v>
      </c>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row>
    <row r="189" spans="1:27">
      <c r="A189" s="1203">
        <v>42241</v>
      </c>
      <c r="B189" s="1205">
        <v>13.0738</v>
      </c>
      <c r="F189" s="137"/>
      <c r="G189" s="137"/>
      <c r="H189" s="137"/>
      <c r="I189" s="137"/>
      <c r="J189" s="137"/>
      <c r="K189" s="137"/>
      <c r="L189" s="137"/>
      <c r="M189" s="137"/>
      <c r="N189" s="137"/>
      <c r="O189" s="137"/>
      <c r="P189" s="137"/>
      <c r="Q189" s="137"/>
      <c r="R189" s="137"/>
      <c r="S189" s="137"/>
      <c r="T189" s="137"/>
      <c r="U189" s="137"/>
      <c r="V189" s="137"/>
      <c r="W189" s="137"/>
      <c r="X189" s="137"/>
      <c r="Y189" s="137"/>
      <c r="Z189" s="137"/>
      <c r="AA189" s="137"/>
    </row>
    <row r="190" spans="1:27">
      <c r="A190" s="1203">
        <v>42240</v>
      </c>
      <c r="B190" s="1205">
        <v>13.145799999999999</v>
      </c>
      <c r="F190" s="137"/>
      <c r="G190" s="137"/>
      <c r="H190" s="137"/>
      <c r="I190" s="137"/>
      <c r="J190" s="137"/>
      <c r="K190" s="137"/>
      <c r="L190" s="137"/>
      <c r="M190" s="137"/>
      <c r="N190" s="137"/>
      <c r="O190" s="137"/>
      <c r="P190" s="137"/>
      <c r="Q190" s="137"/>
      <c r="R190" s="137"/>
      <c r="S190" s="137"/>
      <c r="T190" s="137"/>
      <c r="U190" s="137"/>
      <c r="V190" s="137"/>
      <c r="W190" s="137"/>
      <c r="X190" s="137"/>
      <c r="Y190" s="137"/>
      <c r="Z190" s="137"/>
      <c r="AA190" s="137"/>
    </row>
    <row r="191" spans="1:27">
      <c r="A191" s="1203">
        <v>42237</v>
      </c>
      <c r="B191" s="1205">
        <v>12.938700000000001</v>
      </c>
      <c r="F191" s="137"/>
      <c r="G191" s="137"/>
      <c r="H191" s="137"/>
      <c r="I191" s="137"/>
      <c r="J191" s="137"/>
      <c r="K191" s="137"/>
      <c r="L191" s="137"/>
      <c r="M191" s="137"/>
      <c r="N191" s="137"/>
      <c r="O191" s="137"/>
      <c r="P191" s="137"/>
      <c r="Q191" s="137"/>
      <c r="R191" s="137"/>
      <c r="S191" s="137"/>
      <c r="T191" s="137"/>
      <c r="U191" s="137"/>
      <c r="V191" s="137"/>
      <c r="W191" s="137"/>
      <c r="X191" s="137"/>
      <c r="Y191" s="137"/>
      <c r="Z191" s="137"/>
      <c r="AA191" s="137"/>
    </row>
    <row r="192" spans="1:27">
      <c r="A192" s="1203">
        <v>42236</v>
      </c>
      <c r="B192" s="1205">
        <v>12.8552</v>
      </c>
      <c r="F192" s="137"/>
      <c r="G192" s="137"/>
      <c r="H192" s="137"/>
      <c r="I192" s="137"/>
      <c r="J192" s="137"/>
      <c r="K192" s="137"/>
      <c r="L192" s="137"/>
      <c r="M192" s="137"/>
      <c r="N192" s="137"/>
      <c r="O192" s="137"/>
      <c r="P192" s="137"/>
      <c r="Q192" s="137"/>
      <c r="R192" s="137"/>
      <c r="S192" s="137"/>
      <c r="T192" s="137"/>
      <c r="U192" s="137"/>
      <c r="V192" s="137"/>
      <c r="W192" s="137"/>
      <c r="X192" s="137"/>
      <c r="Y192" s="137"/>
      <c r="Z192" s="137"/>
      <c r="AA192" s="137"/>
    </row>
    <row r="193" spans="1:27">
      <c r="A193" s="1203">
        <v>42235</v>
      </c>
      <c r="B193" s="1205">
        <v>12.9414</v>
      </c>
      <c r="F193" s="137"/>
      <c r="G193" s="137"/>
      <c r="H193" s="137"/>
      <c r="I193" s="137"/>
      <c r="J193" s="137"/>
      <c r="K193" s="137"/>
      <c r="L193" s="137"/>
      <c r="M193" s="137"/>
      <c r="N193" s="137"/>
      <c r="O193" s="137"/>
      <c r="P193" s="137"/>
      <c r="Q193" s="137"/>
      <c r="R193" s="137"/>
      <c r="S193" s="137"/>
      <c r="T193" s="137"/>
      <c r="U193" s="137"/>
      <c r="V193" s="137"/>
      <c r="W193" s="137"/>
      <c r="X193" s="137"/>
      <c r="Y193" s="137"/>
      <c r="Z193" s="137"/>
      <c r="AA193" s="137"/>
    </row>
    <row r="194" spans="1:27">
      <c r="A194" s="1203">
        <v>42234</v>
      </c>
      <c r="B194" s="1205">
        <v>12.916600000000001</v>
      </c>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row>
    <row r="195" spans="1:27">
      <c r="A195" s="1203">
        <v>42233</v>
      </c>
      <c r="B195" s="1205">
        <v>12.8939</v>
      </c>
      <c r="F195" s="137"/>
      <c r="G195" s="137"/>
      <c r="H195" s="137"/>
      <c r="I195" s="137"/>
      <c r="J195" s="137"/>
      <c r="K195" s="137"/>
      <c r="L195" s="137"/>
      <c r="M195" s="137"/>
      <c r="N195" s="137"/>
      <c r="O195" s="137"/>
      <c r="P195" s="137"/>
      <c r="Q195" s="137"/>
      <c r="R195" s="137"/>
      <c r="S195" s="137"/>
      <c r="T195" s="137"/>
      <c r="U195" s="137"/>
      <c r="V195" s="137"/>
      <c r="W195" s="137"/>
      <c r="X195" s="137"/>
      <c r="Y195" s="137"/>
      <c r="Z195" s="137"/>
      <c r="AA195" s="137"/>
    </row>
    <row r="196" spans="1:27">
      <c r="A196" s="1203">
        <v>42230</v>
      </c>
      <c r="B196" s="1205">
        <v>12.7935</v>
      </c>
      <c r="F196" s="137"/>
      <c r="G196" s="137"/>
      <c r="H196" s="137"/>
      <c r="I196" s="137"/>
      <c r="J196" s="137"/>
      <c r="K196" s="137"/>
      <c r="L196" s="137"/>
      <c r="M196" s="137"/>
      <c r="N196" s="137"/>
      <c r="O196" s="137"/>
      <c r="P196" s="137"/>
      <c r="Q196" s="137"/>
      <c r="R196" s="137"/>
      <c r="S196" s="137"/>
      <c r="T196" s="137"/>
      <c r="U196" s="137"/>
      <c r="V196" s="137"/>
      <c r="W196" s="137"/>
      <c r="X196" s="137"/>
      <c r="Y196" s="137"/>
      <c r="Z196" s="137"/>
      <c r="AA196" s="137"/>
    </row>
    <row r="197" spans="1:27">
      <c r="A197" s="1203">
        <v>42229</v>
      </c>
      <c r="B197" s="1205">
        <v>12.814</v>
      </c>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row>
    <row r="198" spans="1:27">
      <c r="A198" s="1203">
        <v>42228</v>
      </c>
      <c r="B198" s="1205">
        <v>12.764799999999999</v>
      </c>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row>
    <row r="199" spans="1:27">
      <c r="A199" s="1203">
        <v>42227</v>
      </c>
      <c r="B199" s="1205">
        <v>12.8042</v>
      </c>
      <c r="F199" s="137"/>
      <c r="G199" s="137"/>
      <c r="H199" s="137"/>
      <c r="I199" s="137"/>
      <c r="J199" s="137"/>
      <c r="K199" s="137"/>
      <c r="L199" s="137"/>
      <c r="M199" s="137"/>
      <c r="N199" s="137"/>
      <c r="O199" s="137"/>
      <c r="P199" s="137"/>
      <c r="Q199" s="137"/>
      <c r="R199" s="137"/>
      <c r="S199" s="137"/>
      <c r="T199" s="137"/>
      <c r="U199" s="137"/>
      <c r="V199" s="137"/>
      <c r="W199" s="137"/>
      <c r="X199" s="137"/>
      <c r="Y199" s="137"/>
      <c r="Z199" s="137"/>
      <c r="AA199" s="137"/>
    </row>
    <row r="200" spans="1:27">
      <c r="A200" s="1203">
        <v>42226</v>
      </c>
      <c r="B200" s="1205">
        <v>12.6523</v>
      </c>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row>
    <row r="201" spans="1:27">
      <c r="A201" s="1203">
        <v>42223</v>
      </c>
      <c r="B201" s="1205">
        <v>12.629</v>
      </c>
      <c r="F201" s="137"/>
      <c r="G201" s="137"/>
      <c r="H201" s="137"/>
      <c r="I201" s="137"/>
      <c r="J201" s="137"/>
      <c r="K201" s="137"/>
      <c r="L201" s="137"/>
      <c r="M201" s="137"/>
      <c r="N201" s="137"/>
      <c r="O201" s="137"/>
      <c r="P201" s="137"/>
      <c r="Q201" s="137"/>
      <c r="R201" s="137"/>
      <c r="S201" s="137"/>
      <c r="T201" s="137"/>
      <c r="U201" s="137"/>
      <c r="V201" s="137"/>
      <c r="W201" s="137"/>
      <c r="X201" s="137"/>
      <c r="Y201" s="137"/>
      <c r="Z201" s="137"/>
      <c r="AA201" s="137"/>
    </row>
    <row r="202" spans="1:27">
      <c r="A202" s="1203">
        <v>42222</v>
      </c>
      <c r="B202" s="1205">
        <v>12.741099999999999</v>
      </c>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row>
    <row r="203" spans="1:27">
      <c r="A203" s="1203">
        <v>42221</v>
      </c>
      <c r="B203" s="1205">
        <v>12.806000000000001</v>
      </c>
      <c r="F203" s="137"/>
      <c r="G203" s="137"/>
      <c r="H203" s="137"/>
      <c r="I203" s="137"/>
      <c r="J203" s="137"/>
      <c r="K203" s="137"/>
      <c r="L203" s="137"/>
      <c r="M203" s="137"/>
      <c r="N203" s="137"/>
      <c r="O203" s="137"/>
      <c r="P203" s="137"/>
      <c r="Q203" s="137"/>
      <c r="R203" s="137"/>
      <c r="S203" s="137"/>
      <c r="T203" s="137"/>
      <c r="U203" s="137"/>
      <c r="V203" s="137"/>
      <c r="W203" s="137"/>
      <c r="X203" s="137"/>
      <c r="Y203" s="137"/>
      <c r="Z203" s="137"/>
      <c r="AA203" s="137"/>
    </row>
    <row r="204" spans="1:27">
      <c r="A204" s="1203">
        <v>42220</v>
      </c>
      <c r="B204" s="1205">
        <v>12.653600000000001</v>
      </c>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row>
    <row r="205" spans="1:27">
      <c r="A205" s="1203">
        <v>42219</v>
      </c>
      <c r="B205" s="1205">
        <v>12.698700000000001</v>
      </c>
      <c r="F205" s="137"/>
      <c r="G205" s="137"/>
      <c r="H205" s="137"/>
      <c r="I205" s="137"/>
      <c r="J205" s="137"/>
      <c r="K205" s="137"/>
      <c r="L205" s="137"/>
      <c r="M205" s="137"/>
      <c r="N205" s="137"/>
      <c r="O205" s="137"/>
      <c r="P205" s="137"/>
      <c r="Q205" s="137"/>
      <c r="R205" s="137"/>
      <c r="S205" s="137"/>
      <c r="T205" s="137"/>
      <c r="U205" s="137"/>
      <c r="V205" s="137"/>
      <c r="W205" s="137"/>
      <c r="X205" s="137"/>
      <c r="Y205" s="137"/>
      <c r="Z205" s="137"/>
      <c r="AA205" s="137"/>
    </row>
    <row r="206" spans="1:27">
      <c r="A206" s="1203">
        <v>42216</v>
      </c>
      <c r="B206" s="1205">
        <v>12.672000000000001</v>
      </c>
      <c r="F206" s="137"/>
      <c r="G206" s="137"/>
      <c r="H206" s="137"/>
      <c r="I206" s="137"/>
      <c r="J206" s="137"/>
      <c r="K206" s="137"/>
      <c r="L206" s="137"/>
      <c r="M206" s="137"/>
      <c r="N206" s="137"/>
      <c r="O206" s="137"/>
      <c r="P206" s="137"/>
      <c r="Q206" s="137"/>
      <c r="R206" s="137"/>
      <c r="S206" s="137"/>
      <c r="T206" s="137"/>
      <c r="U206" s="137"/>
      <c r="V206" s="137"/>
      <c r="W206" s="137"/>
      <c r="X206" s="137"/>
      <c r="Y206" s="137"/>
      <c r="Z206" s="137"/>
      <c r="AA206" s="137"/>
    </row>
    <row r="207" spans="1:27">
      <c r="A207" s="1203">
        <v>42215</v>
      </c>
      <c r="B207" s="1205">
        <v>12.729800000000001</v>
      </c>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row>
    <row r="208" spans="1:27">
      <c r="A208" s="1203">
        <v>42214</v>
      </c>
      <c r="B208" s="1205">
        <v>12.503</v>
      </c>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row>
    <row r="209" spans="1:27">
      <c r="A209" s="1203">
        <v>42213</v>
      </c>
      <c r="B209" s="1205">
        <v>12.5654</v>
      </c>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row>
    <row r="210" spans="1:27">
      <c r="A210" s="1203">
        <v>42212</v>
      </c>
      <c r="B210" s="1205">
        <v>12.6241</v>
      </c>
      <c r="F210" s="137"/>
      <c r="G210" s="137"/>
      <c r="H210" s="137"/>
      <c r="I210" s="137"/>
      <c r="J210" s="137"/>
      <c r="K210" s="137"/>
      <c r="L210" s="137"/>
      <c r="M210" s="137"/>
      <c r="N210" s="137"/>
      <c r="O210" s="137"/>
      <c r="P210" s="137"/>
      <c r="Q210" s="137"/>
      <c r="R210" s="137"/>
      <c r="S210" s="137"/>
      <c r="T210" s="137"/>
      <c r="U210" s="137"/>
      <c r="V210" s="137"/>
      <c r="W210" s="137"/>
      <c r="X210" s="137"/>
      <c r="Y210" s="137"/>
      <c r="Z210" s="137"/>
      <c r="AA210" s="137"/>
    </row>
    <row r="211" spans="1:27">
      <c r="A211" s="1203">
        <v>42209</v>
      </c>
      <c r="B211" s="1205">
        <v>12.648099999999999</v>
      </c>
      <c r="F211" s="137"/>
      <c r="G211" s="137"/>
      <c r="H211" s="137"/>
      <c r="I211" s="137"/>
      <c r="J211" s="137"/>
      <c r="K211" s="137"/>
      <c r="L211" s="137"/>
      <c r="M211" s="137"/>
      <c r="N211" s="137"/>
      <c r="O211" s="137"/>
      <c r="P211" s="137"/>
      <c r="Q211" s="137"/>
      <c r="R211" s="137"/>
      <c r="S211" s="137"/>
      <c r="T211" s="137"/>
      <c r="U211" s="137"/>
      <c r="V211" s="137"/>
      <c r="W211" s="137"/>
      <c r="X211" s="137"/>
      <c r="Y211" s="137"/>
      <c r="Z211" s="137"/>
      <c r="AA211" s="137"/>
    </row>
    <row r="212" spans="1:27">
      <c r="A212" s="1203">
        <v>42208</v>
      </c>
      <c r="B212" s="1205">
        <v>12.445600000000001</v>
      </c>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row>
    <row r="213" spans="1:27">
      <c r="A213" s="1203">
        <v>42207</v>
      </c>
      <c r="B213" s="1205">
        <v>12.424899999999999</v>
      </c>
      <c r="F213" s="137"/>
      <c r="G213" s="137"/>
      <c r="H213" s="137"/>
      <c r="I213" s="137"/>
      <c r="J213" s="137"/>
      <c r="K213" s="137"/>
      <c r="L213" s="137"/>
      <c r="M213" s="137"/>
      <c r="N213" s="137"/>
      <c r="O213" s="137"/>
      <c r="P213" s="137"/>
      <c r="Q213" s="137"/>
      <c r="R213" s="137"/>
      <c r="S213" s="137"/>
      <c r="T213" s="137"/>
      <c r="U213" s="137"/>
      <c r="V213" s="137"/>
      <c r="W213" s="137"/>
      <c r="X213" s="137"/>
      <c r="Y213" s="137"/>
      <c r="Z213" s="137"/>
      <c r="AA213" s="137"/>
    </row>
    <row r="214" spans="1:27">
      <c r="A214" s="1203">
        <v>42206</v>
      </c>
      <c r="B214" s="1205">
        <v>12.3317</v>
      </c>
      <c r="F214" s="137"/>
      <c r="G214" s="137"/>
      <c r="H214" s="137"/>
      <c r="I214" s="137"/>
      <c r="J214" s="137"/>
      <c r="K214" s="137"/>
      <c r="L214" s="137"/>
      <c r="M214" s="137"/>
      <c r="N214" s="137"/>
      <c r="O214" s="137"/>
      <c r="P214" s="137"/>
      <c r="Q214" s="137"/>
      <c r="R214" s="137"/>
      <c r="S214" s="137"/>
      <c r="T214" s="137"/>
      <c r="U214" s="137"/>
      <c r="V214" s="137"/>
      <c r="W214" s="137"/>
      <c r="X214" s="137"/>
      <c r="Y214" s="137"/>
      <c r="Z214" s="137"/>
      <c r="AA214" s="137"/>
    </row>
    <row r="215" spans="1:27">
      <c r="A215" s="1203">
        <v>42205</v>
      </c>
      <c r="B215" s="1205">
        <v>12.4368</v>
      </c>
      <c r="F215" s="137"/>
      <c r="G215" s="137"/>
      <c r="H215" s="137"/>
      <c r="I215" s="137"/>
      <c r="J215" s="137"/>
      <c r="K215" s="137"/>
      <c r="L215" s="137"/>
      <c r="M215" s="137"/>
      <c r="N215" s="137"/>
      <c r="O215" s="137"/>
      <c r="P215" s="137"/>
      <c r="Q215" s="137"/>
      <c r="R215" s="137"/>
      <c r="S215" s="137"/>
      <c r="T215" s="137"/>
      <c r="U215" s="137"/>
      <c r="V215" s="137"/>
      <c r="W215" s="137"/>
      <c r="X215" s="137"/>
      <c r="Y215" s="137"/>
      <c r="Z215" s="137"/>
      <c r="AA215" s="137"/>
    </row>
    <row r="216" spans="1:27">
      <c r="A216" s="1203">
        <v>42202</v>
      </c>
      <c r="B216" s="1205">
        <v>12.3405</v>
      </c>
      <c r="F216" s="137"/>
      <c r="G216" s="137"/>
      <c r="H216" s="137"/>
      <c r="I216" s="137"/>
      <c r="J216" s="137"/>
      <c r="K216" s="137"/>
      <c r="L216" s="137"/>
      <c r="M216" s="137"/>
      <c r="N216" s="137"/>
      <c r="O216" s="137"/>
      <c r="P216" s="137"/>
      <c r="Q216" s="137"/>
      <c r="R216" s="137"/>
      <c r="S216" s="137"/>
      <c r="T216" s="137"/>
      <c r="U216" s="137"/>
      <c r="V216" s="137"/>
      <c r="W216" s="137"/>
      <c r="X216" s="137"/>
      <c r="Y216" s="137"/>
      <c r="Z216" s="137"/>
      <c r="AA216" s="137"/>
    </row>
    <row r="217" spans="1:27">
      <c r="A217" s="1203">
        <v>42201</v>
      </c>
      <c r="B217" s="1205">
        <v>12.3873</v>
      </c>
      <c r="F217" s="137"/>
      <c r="G217" s="137"/>
      <c r="H217" s="137"/>
      <c r="I217" s="137"/>
      <c r="J217" s="137"/>
      <c r="K217" s="137"/>
      <c r="L217" s="137"/>
      <c r="M217" s="137"/>
      <c r="N217" s="137"/>
      <c r="O217" s="137"/>
      <c r="P217" s="137"/>
      <c r="Q217" s="137"/>
      <c r="R217" s="137"/>
      <c r="S217" s="137"/>
      <c r="T217" s="137"/>
      <c r="U217" s="137"/>
      <c r="V217" s="137"/>
      <c r="W217" s="137"/>
      <c r="X217" s="137"/>
      <c r="Y217" s="137"/>
      <c r="Z217" s="137"/>
      <c r="AA217" s="137"/>
    </row>
    <row r="218" spans="1:27">
      <c r="A218" s="1203">
        <v>42200</v>
      </c>
      <c r="B218" s="1205">
        <v>12.4231</v>
      </c>
      <c r="F218" s="137"/>
      <c r="G218" s="137"/>
      <c r="H218" s="137"/>
      <c r="I218" s="137"/>
      <c r="J218" s="137"/>
      <c r="K218" s="137"/>
      <c r="L218" s="137"/>
      <c r="M218" s="137"/>
      <c r="N218" s="137"/>
      <c r="O218" s="137"/>
      <c r="P218" s="137"/>
      <c r="Q218" s="137"/>
      <c r="R218" s="137"/>
      <c r="S218" s="137"/>
      <c r="T218" s="137"/>
      <c r="U218" s="137"/>
      <c r="V218" s="137"/>
      <c r="W218" s="137"/>
      <c r="X218" s="137"/>
      <c r="Y218" s="137"/>
      <c r="Z218" s="137"/>
      <c r="AA218" s="137"/>
    </row>
    <row r="219" spans="1:27">
      <c r="A219" s="1203">
        <v>42199</v>
      </c>
      <c r="B219" s="1205">
        <v>12.336399999999999</v>
      </c>
      <c r="F219" s="137"/>
      <c r="G219" s="137"/>
      <c r="H219" s="137"/>
      <c r="I219" s="137"/>
      <c r="J219" s="137"/>
      <c r="K219" s="137"/>
      <c r="L219" s="137"/>
      <c r="M219" s="137"/>
      <c r="N219" s="137"/>
      <c r="O219" s="137"/>
      <c r="P219" s="137"/>
      <c r="Q219" s="137"/>
      <c r="R219" s="137"/>
      <c r="S219" s="137"/>
      <c r="T219" s="137"/>
      <c r="U219" s="137"/>
      <c r="V219" s="137"/>
      <c r="W219" s="137"/>
      <c r="X219" s="137"/>
      <c r="Y219" s="137"/>
      <c r="Z219" s="137"/>
      <c r="AA219" s="137"/>
    </row>
    <row r="220" spans="1:27">
      <c r="A220" s="1203">
        <v>42198</v>
      </c>
      <c r="B220" s="1205">
        <v>12.440899999999999</v>
      </c>
      <c r="F220" s="137"/>
      <c r="G220" s="137"/>
      <c r="H220" s="137"/>
      <c r="I220" s="137"/>
      <c r="J220" s="137"/>
      <c r="K220" s="137"/>
      <c r="L220" s="137"/>
      <c r="M220" s="137"/>
      <c r="N220" s="137"/>
      <c r="O220" s="137"/>
      <c r="P220" s="137"/>
      <c r="Q220" s="137"/>
      <c r="R220" s="137"/>
      <c r="S220" s="137"/>
      <c r="T220" s="137"/>
      <c r="U220" s="137"/>
      <c r="V220" s="137"/>
      <c r="W220" s="137"/>
      <c r="X220" s="137"/>
      <c r="Y220" s="137"/>
      <c r="Z220" s="137"/>
      <c r="AA220" s="137"/>
    </row>
    <row r="221" spans="1:27">
      <c r="A221" s="1203">
        <v>42195</v>
      </c>
      <c r="B221" s="1205">
        <v>12.4909</v>
      </c>
      <c r="F221" s="137"/>
      <c r="G221" s="137"/>
      <c r="H221" s="137"/>
      <c r="I221" s="137"/>
      <c r="J221" s="137"/>
      <c r="K221" s="137"/>
      <c r="L221" s="137"/>
      <c r="M221" s="137"/>
      <c r="N221" s="137"/>
      <c r="O221" s="137"/>
      <c r="P221" s="137"/>
      <c r="Q221" s="137"/>
      <c r="R221" s="137"/>
      <c r="S221" s="137"/>
      <c r="T221" s="137"/>
      <c r="U221" s="137"/>
      <c r="V221" s="137"/>
      <c r="W221" s="137"/>
      <c r="X221" s="137"/>
      <c r="Y221" s="137"/>
      <c r="Z221" s="137"/>
      <c r="AA221" s="137"/>
    </row>
    <row r="222" spans="1:27">
      <c r="A222" s="1203">
        <v>42194</v>
      </c>
      <c r="B222" s="1205">
        <v>12.5237</v>
      </c>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row>
    <row r="223" spans="1:27">
      <c r="A223" s="1203">
        <v>42193</v>
      </c>
      <c r="B223" s="1205">
        <v>12.527799999999999</v>
      </c>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row>
    <row r="224" spans="1:27">
      <c r="A224" s="1203">
        <v>42192</v>
      </c>
      <c r="B224" s="1205">
        <v>12.523199999999999</v>
      </c>
      <c r="F224" s="137"/>
      <c r="G224" s="137"/>
      <c r="H224" s="137"/>
      <c r="I224" s="137"/>
      <c r="J224" s="137"/>
      <c r="K224" s="137"/>
      <c r="L224" s="137"/>
      <c r="M224" s="137"/>
      <c r="N224" s="137"/>
      <c r="O224" s="137"/>
      <c r="P224" s="137"/>
      <c r="Q224" s="137"/>
      <c r="R224" s="137"/>
      <c r="S224" s="137"/>
      <c r="T224" s="137"/>
      <c r="U224" s="137"/>
      <c r="V224" s="137"/>
      <c r="W224" s="137"/>
      <c r="X224" s="137"/>
      <c r="Y224" s="137"/>
      <c r="Z224" s="137"/>
      <c r="AA224" s="137"/>
    </row>
    <row r="225" spans="1:27">
      <c r="A225" s="1203">
        <v>42191</v>
      </c>
      <c r="B225" s="1205">
        <v>12.373699999999999</v>
      </c>
      <c r="F225" s="137"/>
      <c r="G225" s="137"/>
      <c r="H225" s="137"/>
      <c r="I225" s="137"/>
      <c r="J225" s="137"/>
      <c r="K225" s="137"/>
      <c r="L225" s="137"/>
      <c r="M225" s="137"/>
      <c r="N225" s="137"/>
      <c r="O225" s="137"/>
      <c r="P225" s="137"/>
      <c r="Q225" s="137"/>
      <c r="R225" s="137"/>
      <c r="S225" s="137"/>
      <c r="T225" s="137"/>
      <c r="U225" s="137"/>
      <c r="V225" s="137"/>
      <c r="W225" s="137"/>
      <c r="X225" s="137"/>
      <c r="Y225" s="137"/>
      <c r="Z225" s="137"/>
      <c r="AA225" s="137"/>
    </row>
    <row r="226" spans="1:27">
      <c r="A226" s="1203">
        <v>42188</v>
      </c>
      <c r="B226" s="1205">
        <v>12.312799999999999</v>
      </c>
      <c r="F226" s="137"/>
      <c r="G226" s="137"/>
      <c r="H226" s="137"/>
      <c r="I226" s="137"/>
      <c r="J226" s="137"/>
      <c r="K226" s="137"/>
      <c r="L226" s="137"/>
      <c r="M226" s="137"/>
      <c r="N226" s="137"/>
      <c r="O226" s="137"/>
      <c r="P226" s="137"/>
      <c r="Q226" s="137"/>
      <c r="R226" s="137"/>
      <c r="S226" s="137"/>
      <c r="T226" s="137"/>
      <c r="U226" s="137"/>
      <c r="V226" s="137"/>
      <c r="W226" s="137"/>
      <c r="X226" s="137"/>
      <c r="Y226" s="137"/>
      <c r="Z226" s="137"/>
      <c r="AA226" s="137"/>
    </row>
    <row r="227" spans="1:27">
      <c r="A227" s="1203">
        <v>42187</v>
      </c>
      <c r="B227" s="1205">
        <v>12.2661</v>
      </c>
      <c r="F227" s="137"/>
      <c r="G227" s="137"/>
      <c r="H227" s="137"/>
      <c r="I227" s="137"/>
      <c r="J227" s="137"/>
      <c r="K227" s="137"/>
      <c r="L227" s="137"/>
      <c r="M227" s="137"/>
      <c r="N227" s="137"/>
      <c r="O227" s="137"/>
      <c r="P227" s="137"/>
      <c r="Q227" s="137"/>
      <c r="R227" s="137"/>
      <c r="S227" s="137"/>
      <c r="T227" s="137"/>
      <c r="U227" s="137"/>
      <c r="V227" s="137"/>
      <c r="W227" s="137"/>
      <c r="X227" s="137"/>
      <c r="Y227" s="137"/>
      <c r="Z227" s="137"/>
      <c r="AA227" s="137"/>
    </row>
    <row r="228" spans="1:27">
      <c r="A228" s="1203">
        <v>42186</v>
      </c>
      <c r="B228" s="1205">
        <v>12.2471</v>
      </c>
      <c r="F228" s="137"/>
      <c r="G228" s="137"/>
      <c r="H228" s="137"/>
      <c r="I228" s="137"/>
      <c r="J228" s="137"/>
      <c r="K228" s="137"/>
      <c r="L228" s="137"/>
      <c r="M228" s="137"/>
      <c r="N228" s="137"/>
      <c r="O228" s="137"/>
      <c r="P228" s="137"/>
      <c r="Q228" s="137"/>
      <c r="R228" s="137"/>
      <c r="S228" s="137"/>
      <c r="T228" s="137"/>
      <c r="U228" s="137"/>
      <c r="V228" s="137"/>
      <c r="W228" s="137"/>
      <c r="X228" s="137"/>
      <c r="Y228" s="137"/>
      <c r="Z228" s="137"/>
      <c r="AA228" s="137"/>
    </row>
    <row r="229" spans="1:27">
      <c r="A229" s="1203">
        <v>42185</v>
      </c>
      <c r="B229" s="1205">
        <v>12.151400000000001</v>
      </c>
      <c r="F229" s="137"/>
      <c r="G229" s="137"/>
      <c r="H229" s="137"/>
      <c r="I229" s="137"/>
      <c r="J229" s="137"/>
      <c r="K229" s="137"/>
      <c r="L229" s="137"/>
      <c r="M229" s="137"/>
      <c r="N229" s="137"/>
      <c r="O229" s="137"/>
      <c r="P229" s="137"/>
      <c r="Q229" s="137"/>
      <c r="R229" s="137"/>
      <c r="S229" s="137"/>
      <c r="T229" s="137"/>
      <c r="U229" s="137"/>
      <c r="V229" s="137"/>
      <c r="W229" s="137"/>
      <c r="X229" s="137"/>
      <c r="Y229" s="137"/>
      <c r="Z229" s="137"/>
      <c r="AA229" s="137"/>
    </row>
    <row r="230" spans="1:27">
      <c r="A230" s="1203">
        <v>42184</v>
      </c>
      <c r="B230" s="1205">
        <v>12.274800000000001</v>
      </c>
      <c r="F230" s="137"/>
      <c r="G230" s="137"/>
      <c r="H230" s="137"/>
      <c r="I230" s="137"/>
      <c r="J230" s="137"/>
      <c r="K230" s="137"/>
      <c r="L230" s="137"/>
      <c r="M230" s="137"/>
      <c r="N230" s="137"/>
      <c r="O230" s="137"/>
      <c r="P230" s="137"/>
      <c r="Q230" s="137"/>
      <c r="R230" s="137"/>
      <c r="S230" s="137"/>
      <c r="T230" s="137"/>
      <c r="U230" s="137"/>
      <c r="V230" s="137"/>
      <c r="W230" s="137"/>
      <c r="X230" s="137"/>
      <c r="Y230" s="137"/>
      <c r="Z230" s="137"/>
      <c r="AA230" s="137"/>
    </row>
    <row r="231" spans="1:27">
      <c r="A231" s="1203">
        <v>42181</v>
      </c>
      <c r="B231" s="1205">
        <v>12.196999999999999</v>
      </c>
      <c r="F231" s="137"/>
      <c r="G231" s="137"/>
      <c r="H231" s="137"/>
      <c r="I231" s="137"/>
      <c r="J231" s="137"/>
      <c r="K231" s="137"/>
      <c r="L231" s="137"/>
      <c r="M231" s="137"/>
      <c r="N231" s="137"/>
      <c r="O231" s="137"/>
      <c r="P231" s="137"/>
      <c r="Q231" s="137"/>
      <c r="R231" s="137"/>
      <c r="S231" s="137"/>
      <c r="T231" s="137"/>
      <c r="U231" s="137"/>
      <c r="V231" s="137"/>
      <c r="W231" s="137"/>
      <c r="X231" s="137"/>
      <c r="Y231" s="137"/>
      <c r="Z231" s="137"/>
      <c r="AA231" s="137"/>
    </row>
    <row r="232" spans="1:27">
      <c r="A232" s="1203">
        <v>42180</v>
      </c>
      <c r="B232" s="1205">
        <v>12.0997</v>
      </c>
      <c r="F232" s="137"/>
      <c r="G232" s="137"/>
      <c r="H232" s="137"/>
      <c r="I232" s="137"/>
      <c r="J232" s="137"/>
      <c r="K232" s="137"/>
      <c r="L232" s="137"/>
      <c r="M232" s="137"/>
      <c r="N232" s="137"/>
      <c r="O232" s="137"/>
      <c r="P232" s="137"/>
      <c r="Q232" s="137"/>
      <c r="R232" s="137"/>
      <c r="S232" s="137"/>
      <c r="T232" s="137"/>
      <c r="U232" s="137"/>
      <c r="V232" s="137"/>
      <c r="W232" s="137"/>
      <c r="X232" s="137"/>
      <c r="Y232" s="137"/>
      <c r="Z232" s="137"/>
      <c r="AA232" s="137"/>
    </row>
    <row r="233" spans="1:27">
      <c r="A233" s="1203">
        <v>42179</v>
      </c>
      <c r="B233" s="1205">
        <v>12.125500000000001</v>
      </c>
      <c r="F233" s="137"/>
      <c r="G233" s="137"/>
      <c r="H233" s="137"/>
      <c r="I233" s="137"/>
      <c r="J233" s="137"/>
      <c r="K233" s="137"/>
      <c r="L233" s="137"/>
      <c r="M233" s="137"/>
      <c r="N233" s="137"/>
      <c r="O233" s="137"/>
      <c r="P233" s="137"/>
      <c r="Q233" s="137"/>
      <c r="R233" s="137"/>
      <c r="S233" s="137"/>
      <c r="T233" s="137"/>
      <c r="U233" s="137"/>
      <c r="V233" s="137"/>
      <c r="W233" s="137"/>
      <c r="X233" s="137"/>
      <c r="Y233" s="137"/>
      <c r="Z233" s="137"/>
      <c r="AA233" s="137"/>
    </row>
    <row r="234" spans="1:27">
      <c r="A234" s="1203">
        <v>42178</v>
      </c>
      <c r="B234" s="1205">
        <v>12.208399999999999</v>
      </c>
      <c r="F234" s="137"/>
      <c r="G234" s="137"/>
      <c r="H234" s="137"/>
      <c r="I234" s="137"/>
      <c r="J234" s="137"/>
      <c r="K234" s="137"/>
      <c r="L234" s="137"/>
      <c r="M234" s="137"/>
      <c r="N234" s="137"/>
      <c r="O234" s="137"/>
      <c r="P234" s="137"/>
      <c r="Q234" s="137"/>
      <c r="R234" s="137"/>
      <c r="S234" s="137"/>
      <c r="T234" s="137"/>
      <c r="U234" s="137"/>
      <c r="V234" s="137"/>
      <c r="W234" s="137"/>
      <c r="X234" s="137"/>
      <c r="Y234" s="137"/>
      <c r="Z234" s="137"/>
      <c r="AA234" s="137"/>
    </row>
    <row r="235" spans="1:27">
      <c r="A235" s="1203">
        <v>42177</v>
      </c>
      <c r="B235" s="1205">
        <v>12.113099999999999</v>
      </c>
      <c r="F235" s="137"/>
      <c r="G235" s="137"/>
      <c r="H235" s="137"/>
      <c r="I235" s="137"/>
      <c r="J235" s="137"/>
      <c r="K235" s="137"/>
      <c r="L235" s="137"/>
      <c r="M235" s="137"/>
      <c r="N235" s="137"/>
      <c r="O235" s="137"/>
      <c r="P235" s="137"/>
      <c r="Q235" s="137"/>
      <c r="R235" s="137"/>
      <c r="S235" s="137"/>
      <c r="T235" s="137"/>
      <c r="U235" s="137"/>
      <c r="V235" s="137"/>
      <c r="W235" s="137"/>
      <c r="X235" s="137"/>
      <c r="Y235" s="137"/>
      <c r="Z235" s="137"/>
      <c r="AA235" s="137"/>
    </row>
    <row r="236" spans="1:27">
      <c r="A236" s="1203">
        <v>42174</v>
      </c>
      <c r="B236" s="1205">
        <v>12.1526</v>
      </c>
      <c r="F236" s="137"/>
      <c r="G236" s="137"/>
      <c r="H236" s="137"/>
      <c r="I236" s="137"/>
      <c r="J236" s="137"/>
      <c r="K236" s="137"/>
      <c r="L236" s="137"/>
      <c r="M236" s="137"/>
      <c r="N236" s="137"/>
      <c r="O236" s="137"/>
      <c r="P236" s="137"/>
      <c r="Q236" s="137"/>
      <c r="R236" s="137"/>
      <c r="S236" s="137"/>
      <c r="T236" s="137"/>
      <c r="U236" s="137"/>
      <c r="V236" s="137"/>
      <c r="W236" s="137"/>
      <c r="X236" s="137"/>
      <c r="Y236" s="137"/>
      <c r="Z236" s="137"/>
      <c r="AA236" s="137"/>
    </row>
    <row r="237" spans="1:27">
      <c r="A237" s="1203">
        <v>42173</v>
      </c>
      <c r="B237" s="1205">
        <v>12.206799999999999</v>
      </c>
      <c r="F237" s="137"/>
      <c r="G237" s="137"/>
      <c r="H237" s="137"/>
      <c r="I237" s="137"/>
      <c r="J237" s="137"/>
      <c r="K237" s="137"/>
      <c r="L237" s="137"/>
      <c r="M237" s="137"/>
      <c r="N237" s="137"/>
      <c r="O237" s="137"/>
      <c r="P237" s="137"/>
      <c r="Q237" s="137"/>
      <c r="R237" s="137"/>
      <c r="S237" s="137"/>
      <c r="T237" s="137"/>
      <c r="U237" s="137"/>
      <c r="V237" s="137"/>
      <c r="W237" s="137"/>
      <c r="X237" s="137"/>
      <c r="Y237" s="137"/>
      <c r="Z237" s="137"/>
      <c r="AA237" s="137"/>
    </row>
    <row r="238" spans="1:27">
      <c r="A238" s="1203">
        <v>42172</v>
      </c>
      <c r="B238" s="1205">
        <v>12.395899999999999</v>
      </c>
      <c r="F238" s="137"/>
      <c r="G238" s="137"/>
      <c r="H238" s="137"/>
      <c r="I238" s="137"/>
      <c r="J238" s="137"/>
      <c r="K238" s="137"/>
      <c r="L238" s="137"/>
      <c r="M238" s="137"/>
      <c r="N238" s="137"/>
      <c r="O238" s="137"/>
      <c r="P238" s="137"/>
      <c r="Q238" s="137"/>
      <c r="R238" s="137"/>
      <c r="S238" s="137"/>
      <c r="T238" s="137"/>
      <c r="U238" s="137"/>
      <c r="V238" s="137"/>
      <c r="W238" s="137"/>
      <c r="X238" s="137"/>
      <c r="Y238" s="137"/>
      <c r="Z238" s="137"/>
      <c r="AA238" s="137"/>
    </row>
    <row r="239" spans="1:27">
      <c r="A239" s="1203">
        <v>42171</v>
      </c>
      <c r="B239" s="1205">
        <v>12.3843</v>
      </c>
      <c r="F239" s="137"/>
      <c r="G239" s="137"/>
      <c r="H239" s="137"/>
      <c r="I239" s="137"/>
      <c r="J239" s="137"/>
      <c r="K239" s="137"/>
      <c r="L239" s="137"/>
      <c r="M239" s="137"/>
      <c r="N239" s="137"/>
      <c r="O239" s="137"/>
      <c r="P239" s="137"/>
      <c r="Q239" s="137"/>
      <c r="R239" s="137"/>
      <c r="S239" s="137"/>
      <c r="T239" s="137"/>
      <c r="U239" s="137"/>
      <c r="V239" s="137"/>
      <c r="W239" s="137"/>
      <c r="X239" s="137"/>
      <c r="Y239" s="137"/>
      <c r="Z239" s="137"/>
      <c r="AA239" s="137"/>
    </row>
    <row r="240" spans="1:27">
      <c r="A240" s="1203">
        <v>42170</v>
      </c>
      <c r="B240" s="1205">
        <v>12.3963</v>
      </c>
      <c r="F240" s="137"/>
      <c r="G240" s="137"/>
      <c r="H240" s="137"/>
      <c r="I240" s="137"/>
      <c r="J240" s="137"/>
      <c r="K240" s="137"/>
      <c r="L240" s="137"/>
      <c r="M240" s="137"/>
      <c r="N240" s="137"/>
      <c r="O240" s="137"/>
      <c r="P240" s="137"/>
      <c r="Q240" s="137"/>
      <c r="R240" s="137"/>
      <c r="S240" s="137"/>
      <c r="T240" s="137"/>
      <c r="U240" s="137"/>
      <c r="V240" s="137"/>
      <c r="W240" s="137"/>
      <c r="X240" s="137"/>
      <c r="Y240" s="137"/>
      <c r="Z240" s="137"/>
      <c r="AA240" s="137"/>
    </row>
    <row r="241" spans="1:27">
      <c r="A241" s="1203">
        <v>42167</v>
      </c>
      <c r="B241" s="1205">
        <v>12.3843</v>
      </c>
      <c r="F241" s="137"/>
      <c r="G241" s="137"/>
      <c r="H241" s="137"/>
      <c r="I241" s="137"/>
      <c r="J241" s="137"/>
      <c r="K241" s="137"/>
      <c r="L241" s="137"/>
      <c r="M241" s="137"/>
      <c r="N241" s="137"/>
      <c r="O241" s="137"/>
      <c r="P241" s="137"/>
      <c r="Q241" s="137"/>
      <c r="R241" s="137"/>
      <c r="S241" s="137"/>
      <c r="T241" s="137"/>
      <c r="U241" s="137"/>
      <c r="V241" s="137"/>
      <c r="W241" s="137"/>
      <c r="X241" s="137"/>
      <c r="Y241" s="137"/>
      <c r="Z241" s="137"/>
      <c r="AA241" s="137"/>
    </row>
    <row r="242" spans="1:27">
      <c r="A242" s="1203">
        <v>42166</v>
      </c>
      <c r="B242" s="1205">
        <v>12.360799999999999</v>
      </c>
      <c r="F242" s="137"/>
      <c r="G242" s="137"/>
      <c r="H242" s="137"/>
      <c r="I242" s="137"/>
      <c r="J242" s="137"/>
      <c r="K242" s="137"/>
      <c r="L242" s="137"/>
      <c r="M242" s="137"/>
      <c r="N242" s="137"/>
      <c r="O242" s="137"/>
      <c r="P242" s="137"/>
      <c r="Q242" s="137"/>
      <c r="R242" s="137"/>
      <c r="S242" s="137"/>
      <c r="T242" s="137"/>
      <c r="U242" s="137"/>
      <c r="V242" s="137"/>
      <c r="W242" s="137"/>
      <c r="X242" s="137"/>
      <c r="Y242" s="137"/>
      <c r="Z242" s="137"/>
      <c r="AA242" s="137"/>
    </row>
    <row r="243" spans="1:27">
      <c r="A243" s="1203">
        <v>42165</v>
      </c>
      <c r="B243" s="1205">
        <v>12.301</v>
      </c>
      <c r="F243" s="137"/>
      <c r="G243" s="137"/>
      <c r="H243" s="137"/>
      <c r="I243" s="137"/>
      <c r="J243" s="137"/>
      <c r="K243" s="137"/>
      <c r="L243" s="137"/>
      <c r="M243" s="137"/>
      <c r="N243" s="137"/>
      <c r="O243" s="137"/>
      <c r="P243" s="137"/>
      <c r="Q243" s="137"/>
      <c r="R243" s="137"/>
      <c r="S243" s="137"/>
      <c r="T243" s="137"/>
      <c r="U243" s="137"/>
      <c r="V243" s="137"/>
      <c r="W243" s="137"/>
      <c r="X243" s="137"/>
      <c r="Y243" s="137"/>
      <c r="Z243" s="137"/>
      <c r="AA243" s="137"/>
    </row>
    <row r="244" spans="1:27">
      <c r="A244" s="1203">
        <v>42164</v>
      </c>
      <c r="B244" s="1205">
        <v>12.440099999999999</v>
      </c>
      <c r="F244" s="137"/>
      <c r="G244" s="137"/>
      <c r="H244" s="137"/>
      <c r="I244" s="137"/>
      <c r="J244" s="137"/>
      <c r="K244" s="137"/>
      <c r="L244" s="137"/>
      <c r="M244" s="137"/>
      <c r="N244" s="137"/>
      <c r="O244" s="137"/>
      <c r="P244" s="137"/>
      <c r="Q244" s="137"/>
      <c r="R244" s="137"/>
      <c r="S244" s="137"/>
      <c r="T244" s="137"/>
      <c r="U244" s="137"/>
      <c r="V244" s="137"/>
      <c r="W244" s="137"/>
      <c r="X244" s="137"/>
      <c r="Y244" s="137"/>
      <c r="Z244" s="137"/>
      <c r="AA244" s="137"/>
    </row>
    <row r="245" spans="1:27">
      <c r="A245" s="1203">
        <v>42163</v>
      </c>
      <c r="B245" s="1205">
        <v>12.545500000000001</v>
      </c>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row>
    <row r="246" spans="1:27">
      <c r="A246" s="1203">
        <v>42160</v>
      </c>
      <c r="B246" s="1205">
        <v>12.5794</v>
      </c>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row>
    <row r="247" spans="1:27">
      <c r="A247" s="1203">
        <v>42159</v>
      </c>
      <c r="B247" s="1205">
        <v>12.354900000000001</v>
      </c>
      <c r="F247" s="137"/>
      <c r="G247" s="137"/>
      <c r="H247" s="137"/>
      <c r="I247" s="137"/>
      <c r="J247" s="137"/>
      <c r="K247" s="137"/>
      <c r="L247" s="137"/>
      <c r="M247" s="137"/>
      <c r="N247" s="137"/>
      <c r="O247" s="137"/>
      <c r="P247" s="137"/>
      <c r="Q247" s="137"/>
      <c r="R247" s="137"/>
      <c r="S247" s="137"/>
      <c r="T247" s="137"/>
      <c r="U247" s="137"/>
      <c r="V247" s="137"/>
      <c r="W247" s="137"/>
      <c r="X247" s="137"/>
      <c r="Y247" s="137"/>
      <c r="Z247" s="137"/>
      <c r="AA247" s="137"/>
    </row>
    <row r="248" spans="1:27">
      <c r="A248" s="1203">
        <v>42158</v>
      </c>
      <c r="B248" s="1205">
        <v>12.294</v>
      </c>
      <c r="F248" s="137"/>
      <c r="G248" s="137"/>
      <c r="H248" s="137"/>
      <c r="I248" s="137"/>
      <c r="J248" s="137"/>
      <c r="K248" s="137"/>
      <c r="L248" s="137"/>
      <c r="M248" s="137"/>
      <c r="N248" s="137"/>
      <c r="O248" s="137"/>
      <c r="P248" s="137"/>
      <c r="Q248" s="137"/>
      <c r="R248" s="137"/>
      <c r="S248" s="137"/>
      <c r="T248" s="137"/>
      <c r="U248" s="137"/>
      <c r="V248" s="137"/>
      <c r="W248" s="137"/>
      <c r="X248" s="137"/>
      <c r="Y248" s="137"/>
      <c r="Z248" s="137"/>
      <c r="AA248" s="137"/>
    </row>
    <row r="249" spans="1:27">
      <c r="A249" s="1203">
        <v>42157</v>
      </c>
      <c r="B249" s="1205">
        <v>12.194599999999999</v>
      </c>
      <c r="F249" s="137"/>
      <c r="G249" s="137"/>
      <c r="H249" s="137"/>
      <c r="I249" s="137"/>
      <c r="J249" s="137"/>
      <c r="K249" s="137"/>
      <c r="L249" s="137"/>
      <c r="M249" s="137"/>
      <c r="N249" s="137"/>
      <c r="O249" s="137"/>
      <c r="P249" s="137"/>
      <c r="Q249" s="137"/>
      <c r="R249" s="137"/>
      <c r="S249" s="137"/>
      <c r="T249" s="137"/>
      <c r="U249" s="137"/>
      <c r="V249" s="137"/>
      <c r="W249" s="137"/>
      <c r="X249" s="137"/>
      <c r="Y249" s="137"/>
      <c r="Z249" s="137"/>
      <c r="AA249" s="137"/>
    </row>
    <row r="250" spans="1:27">
      <c r="A250" s="1203">
        <v>42156</v>
      </c>
      <c r="B250" s="1205">
        <v>12.263500000000001</v>
      </c>
      <c r="F250" s="137"/>
      <c r="G250" s="137"/>
      <c r="H250" s="137"/>
      <c r="I250" s="137"/>
      <c r="J250" s="137"/>
      <c r="K250" s="137"/>
      <c r="L250" s="137"/>
      <c r="M250" s="137"/>
      <c r="N250" s="137"/>
      <c r="O250" s="137"/>
      <c r="P250" s="137"/>
      <c r="Q250" s="137"/>
      <c r="R250" s="137"/>
      <c r="S250" s="137"/>
      <c r="T250" s="137"/>
      <c r="U250" s="137"/>
      <c r="V250" s="137"/>
      <c r="W250" s="137"/>
      <c r="X250" s="137"/>
      <c r="Y250" s="137"/>
      <c r="Z250" s="137"/>
      <c r="AA250" s="137"/>
    </row>
    <row r="251" spans="1:27">
      <c r="A251" s="1203">
        <v>42153</v>
      </c>
      <c r="B251" s="1205">
        <v>12.1556</v>
      </c>
      <c r="F251" s="137"/>
      <c r="G251" s="137"/>
      <c r="H251" s="137"/>
      <c r="I251" s="137"/>
      <c r="J251" s="137"/>
      <c r="K251" s="137"/>
      <c r="L251" s="137"/>
      <c r="M251" s="137"/>
      <c r="N251" s="137"/>
      <c r="O251" s="137"/>
      <c r="P251" s="137"/>
      <c r="Q251" s="137"/>
      <c r="R251" s="137"/>
      <c r="S251" s="137"/>
      <c r="T251" s="137"/>
      <c r="U251" s="137"/>
      <c r="V251" s="137"/>
      <c r="W251" s="137"/>
      <c r="X251" s="137"/>
      <c r="Y251" s="137"/>
      <c r="Z251" s="137"/>
      <c r="AA251" s="137"/>
    </row>
    <row r="252" spans="1:27">
      <c r="A252" s="1203">
        <v>42152</v>
      </c>
      <c r="B252" s="1205">
        <v>12.153499999999999</v>
      </c>
      <c r="F252" s="137"/>
      <c r="G252" s="137"/>
      <c r="H252" s="137"/>
      <c r="I252" s="137"/>
      <c r="J252" s="137"/>
      <c r="K252" s="137"/>
      <c r="L252" s="137"/>
      <c r="M252" s="137"/>
      <c r="N252" s="137"/>
      <c r="O252" s="137"/>
      <c r="P252" s="137"/>
      <c r="Q252" s="137"/>
      <c r="R252" s="137"/>
      <c r="S252" s="137"/>
      <c r="T252" s="137"/>
      <c r="U252" s="137"/>
      <c r="V252" s="137"/>
      <c r="W252" s="137"/>
      <c r="X252" s="137"/>
      <c r="Y252" s="137"/>
      <c r="Z252" s="137"/>
      <c r="AA252" s="137"/>
    </row>
    <row r="253" spans="1:27">
      <c r="A253" s="1203">
        <v>42151</v>
      </c>
      <c r="B253" s="1205">
        <v>12.066700000000001</v>
      </c>
      <c r="F253" s="137"/>
      <c r="G253" s="137"/>
      <c r="H253" s="137"/>
      <c r="I253" s="137"/>
      <c r="J253" s="137"/>
      <c r="K253" s="137"/>
      <c r="L253" s="137"/>
      <c r="M253" s="137"/>
      <c r="N253" s="137"/>
      <c r="O253" s="137"/>
      <c r="P253" s="137"/>
      <c r="Q253" s="137"/>
      <c r="R253" s="137"/>
      <c r="S253" s="137"/>
      <c r="T253" s="137"/>
      <c r="U253" s="137"/>
      <c r="V253" s="137"/>
      <c r="W253" s="137"/>
      <c r="X253" s="137"/>
      <c r="Y253" s="137"/>
      <c r="Z253" s="137"/>
      <c r="AA253" s="137"/>
    </row>
    <row r="254" spans="1:27">
      <c r="A254" s="1203">
        <v>42150</v>
      </c>
      <c r="B254" s="1205">
        <v>12.0793</v>
      </c>
      <c r="F254" s="137"/>
      <c r="G254" s="137"/>
      <c r="H254" s="137"/>
      <c r="I254" s="137"/>
      <c r="J254" s="137"/>
      <c r="K254" s="137"/>
      <c r="L254" s="137"/>
      <c r="M254" s="137"/>
      <c r="N254" s="137"/>
      <c r="O254" s="137"/>
      <c r="P254" s="137"/>
      <c r="Q254" s="137"/>
      <c r="R254" s="137"/>
      <c r="S254" s="137"/>
      <c r="T254" s="137"/>
      <c r="U254" s="137"/>
      <c r="V254" s="137"/>
      <c r="W254" s="137"/>
      <c r="X254" s="137"/>
      <c r="Y254" s="137"/>
      <c r="Z254" s="137"/>
      <c r="AA254" s="137"/>
    </row>
    <row r="255" spans="1:27">
      <c r="A255" s="1203">
        <v>42149</v>
      </c>
      <c r="B255" s="1205">
        <v>11.9438</v>
      </c>
      <c r="F255" s="137"/>
      <c r="G255" s="137"/>
      <c r="H255" s="137"/>
      <c r="I255" s="137"/>
      <c r="J255" s="137"/>
      <c r="K255" s="137"/>
      <c r="L255" s="137"/>
      <c r="M255" s="137"/>
      <c r="N255" s="137"/>
      <c r="O255" s="137"/>
      <c r="P255" s="137"/>
      <c r="Q255" s="137"/>
      <c r="R255" s="137"/>
      <c r="S255" s="137"/>
      <c r="T255" s="137"/>
      <c r="U255" s="137"/>
      <c r="V255" s="137"/>
      <c r="W255" s="137"/>
      <c r="X255" s="137"/>
      <c r="Y255" s="137"/>
      <c r="Z255" s="137"/>
      <c r="AA255" s="137"/>
    </row>
    <row r="256" spans="1:27">
      <c r="A256" s="1203">
        <v>42146</v>
      </c>
      <c r="B256" s="1205">
        <v>11.8774</v>
      </c>
      <c r="F256" s="137"/>
      <c r="G256" s="137"/>
      <c r="H256" s="137"/>
      <c r="I256" s="137"/>
      <c r="J256" s="137"/>
      <c r="K256" s="137"/>
      <c r="L256" s="137"/>
      <c r="M256" s="137"/>
      <c r="N256" s="137"/>
      <c r="O256" s="137"/>
      <c r="P256" s="137"/>
      <c r="Q256" s="137"/>
      <c r="R256" s="137"/>
      <c r="S256" s="137"/>
      <c r="T256" s="137"/>
      <c r="U256" s="137"/>
      <c r="V256" s="137"/>
      <c r="W256" s="137"/>
      <c r="X256" s="137"/>
      <c r="Y256" s="137"/>
      <c r="Z256" s="137"/>
      <c r="AA256" s="137"/>
    </row>
    <row r="257" spans="1:27">
      <c r="A257" s="1203">
        <v>42145</v>
      </c>
      <c r="B257" s="1205">
        <v>11.832100000000001</v>
      </c>
      <c r="F257" s="137"/>
      <c r="G257" s="137"/>
      <c r="H257" s="137"/>
      <c r="I257" s="137"/>
      <c r="J257" s="137"/>
      <c r="K257" s="137"/>
      <c r="L257" s="137"/>
      <c r="M257" s="137"/>
      <c r="N257" s="137"/>
      <c r="O257" s="137"/>
      <c r="P257" s="137"/>
      <c r="Q257" s="137"/>
      <c r="R257" s="137"/>
      <c r="S257" s="137"/>
      <c r="T257" s="137"/>
      <c r="U257" s="137"/>
      <c r="V257" s="137"/>
      <c r="W257" s="137"/>
      <c r="X257" s="137"/>
      <c r="Y257" s="137"/>
      <c r="Z257" s="137"/>
      <c r="AA257" s="137"/>
    </row>
    <row r="258" spans="1:27">
      <c r="A258" s="1203">
        <v>42144</v>
      </c>
      <c r="B258" s="1205">
        <v>11.8858</v>
      </c>
      <c r="F258" s="137"/>
      <c r="G258" s="137"/>
      <c r="H258" s="137"/>
      <c r="I258" s="137"/>
      <c r="J258" s="137"/>
      <c r="K258" s="137"/>
      <c r="L258" s="137"/>
      <c r="M258" s="137"/>
      <c r="N258" s="137"/>
      <c r="O258" s="137"/>
      <c r="P258" s="137"/>
      <c r="Q258" s="137"/>
      <c r="R258" s="137"/>
      <c r="S258" s="137"/>
      <c r="T258" s="137"/>
      <c r="U258" s="137"/>
      <c r="V258" s="137"/>
      <c r="W258" s="137"/>
      <c r="X258" s="137"/>
      <c r="Y258" s="137"/>
      <c r="Z258" s="137"/>
      <c r="AA258" s="137"/>
    </row>
    <row r="259" spans="1:27">
      <c r="A259" s="1203">
        <v>42143</v>
      </c>
      <c r="B259" s="1205">
        <v>11.9201</v>
      </c>
      <c r="F259" s="137"/>
      <c r="G259" s="137"/>
      <c r="H259" s="137"/>
      <c r="I259" s="137"/>
      <c r="J259" s="137"/>
      <c r="K259" s="137"/>
      <c r="L259" s="137"/>
      <c r="M259" s="137"/>
      <c r="N259" s="137"/>
      <c r="O259" s="137"/>
      <c r="P259" s="137"/>
      <c r="Q259" s="137"/>
      <c r="R259" s="137"/>
      <c r="S259" s="137"/>
      <c r="T259" s="137"/>
      <c r="U259" s="137"/>
      <c r="V259" s="137"/>
      <c r="W259" s="137"/>
      <c r="X259" s="137"/>
      <c r="Y259" s="137"/>
      <c r="Z259" s="137"/>
      <c r="AA259" s="137"/>
    </row>
    <row r="260" spans="1:27">
      <c r="A260" s="1203">
        <v>42142</v>
      </c>
      <c r="B260" s="1205">
        <v>11.8497</v>
      </c>
      <c r="F260" s="137"/>
      <c r="G260" s="137"/>
      <c r="H260" s="137"/>
      <c r="I260" s="137"/>
      <c r="J260" s="137"/>
      <c r="K260" s="137"/>
      <c r="L260" s="137"/>
      <c r="M260" s="137"/>
      <c r="N260" s="137"/>
      <c r="O260" s="137"/>
      <c r="P260" s="137"/>
      <c r="Q260" s="137"/>
      <c r="R260" s="137"/>
      <c r="S260" s="137"/>
      <c r="T260" s="137"/>
      <c r="U260" s="137"/>
      <c r="V260" s="137"/>
      <c r="W260" s="137"/>
      <c r="X260" s="137"/>
      <c r="Y260" s="137"/>
      <c r="Z260" s="137"/>
      <c r="AA260" s="137"/>
    </row>
    <row r="261" spans="1:27">
      <c r="A261" s="1203">
        <v>42139</v>
      </c>
      <c r="B261" s="1205">
        <v>11.7669</v>
      </c>
      <c r="F261" s="137"/>
      <c r="G261" s="137"/>
      <c r="H261" s="137"/>
      <c r="I261" s="137"/>
      <c r="J261" s="137"/>
      <c r="K261" s="137"/>
      <c r="L261" s="137"/>
      <c r="M261" s="137"/>
      <c r="N261" s="137"/>
      <c r="O261" s="137"/>
      <c r="P261" s="137"/>
      <c r="Q261" s="137"/>
      <c r="R261" s="137"/>
      <c r="S261" s="137"/>
      <c r="T261" s="137"/>
      <c r="U261" s="137"/>
      <c r="V261" s="137"/>
      <c r="W261" s="137"/>
      <c r="X261" s="137"/>
      <c r="Y261" s="137"/>
      <c r="Z261" s="137"/>
      <c r="AA261" s="137"/>
    </row>
    <row r="262" spans="1:27">
      <c r="A262" s="1203">
        <v>42138</v>
      </c>
      <c r="B262" s="1205">
        <v>11.8065</v>
      </c>
      <c r="F262" s="137"/>
      <c r="G262" s="137"/>
      <c r="H262" s="137"/>
      <c r="I262" s="137"/>
      <c r="J262" s="137"/>
      <c r="K262" s="137"/>
      <c r="L262" s="137"/>
      <c r="M262" s="137"/>
      <c r="N262" s="137"/>
      <c r="O262" s="137"/>
      <c r="P262" s="137"/>
      <c r="Q262" s="137"/>
      <c r="R262" s="137"/>
      <c r="S262" s="137"/>
      <c r="T262" s="137"/>
      <c r="U262" s="137"/>
      <c r="V262" s="137"/>
      <c r="W262" s="137"/>
      <c r="X262" s="137"/>
      <c r="Y262" s="137"/>
      <c r="Z262" s="137"/>
      <c r="AA262" s="137"/>
    </row>
    <row r="263" spans="1:27">
      <c r="A263" s="1203">
        <v>42137</v>
      </c>
      <c r="B263" s="1205">
        <v>11.8794</v>
      </c>
      <c r="F263" s="137"/>
      <c r="G263" s="137"/>
      <c r="H263" s="137"/>
      <c r="I263" s="137"/>
      <c r="J263" s="137"/>
      <c r="K263" s="137"/>
      <c r="L263" s="137"/>
      <c r="M263" s="137"/>
      <c r="N263" s="137"/>
      <c r="O263" s="137"/>
      <c r="P263" s="137"/>
      <c r="Q263" s="137"/>
      <c r="R263" s="137"/>
      <c r="S263" s="137"/>
      <c r="T263" s="137"/>
      <c r="U263" s="137"/>
      <c r="V263" s="137"/>
      <c r="W263" s="137"/>
      <c r="X263" s="137"/>
      <c r="Y263" s="137"/>
      <c r="Z263" s="137"/>
      <c r="AA263" s="137"/>
    </row>
    <row r="264" spans="1:27">
      <c r="A264" s="1203">
        <v>42136</v>
      </c>
      <c r="B264" s="1205">
        <v>12.0412</v>
      </c>
      <c r="F264" s="137"/>
      <c r="G264" s="137"/>
      <c r="H264" s="137"/>
      <c r="I264" s="137"/>
      <c r="J264" s="137"/>
      <c r="K264" s="137"/>
      <c r="L264" s="137"/>
      <c r="M264" s="137"/>
      <c r="N264" s="137"/>
      <c r="O264" s="137"/>
      <c r="P264" s="137"/>
      <c r="Q264" s="137"/>
      <c r="R264" s="137"/>
      <c r="S264" s="137"/>
      <c r="T264" s="137"/>
      <c r="U264" s="137"/>
      <c r="V264" s="137"/>
      <c r="W264" s="137"/>
      <c r="X264" s="137"/>
      <c r="Y264" s="137"/>
      <c r="Z264" s="137"/>
      <c r="AA264" s="137"/>
    </row>
    <row r="265" spans="1:27">
      <c r="A265" s="1203">
        <v>42135</v>
      </c>
      <c r="B265" s="1205">
        <v>12.0657</v>
      </c>
      <c r="F265" s="137"/>
      <c r="G265" s="137"/>
      <c r="H265" s="137"/>
      <c r="I265" s="137"/>
      <c r="J265" s="137"/>
      <c r="K265" s="137"/>
      <c r="L265" s="137"/>
      <c r="M265" s="137"/>
      <c r="N265" s="137"/>
      <c r="O265" s="137"/>
      <c r="P265" s="137"/>
      <c r="Q265" s="137"/>
      <c r="R265" s="137"/>
      <c r="S265" s="137"/>
      <c r="T265" s="137"/>
      <c r="U265" s="137"/>
      <c r="V265" s="137"/>
      <c r="W265" s="137"/>
      <c r="X265" s="137"/>
      <c r="Y265" s="137"/>
      <c r="Z265" s="137"/>
      <c r="AA265" s="137"/>
    </row>
    <row r="266" spans="1:27">
      <c r="A266" s="1203">
        <v>42132</v>
      </c>
      <c r="B266" s="1205">
        <v>11.9199</v>
      </c>
      <c r="F266" s="137"/>
      <c r="G266" s="137"/>
      <c r="H266" s="137"/>
      <c r="I266" s="137"/>
      <c r="J266" s="137"/>
      <c r="K266" s="137"/>
      <c r="L266" s="137"/>
      <c r="M266" s="137"/>
      <c r="N266" s="137"/>
      <c r="O266" s="137"/>
      <c r="P266" s="137"/>
      <c r="Q266" s="137"/>
      <c r="R266" s="137"/>
      <c r="S266" s="137"/>
      <c r="T266" s="137"/>
      <c r="U266" s="137"/>
      <c r="V266" s="137"/>
      <c r="W266" s="137"/>
      <c r="X266" s="137"/>
      <c r="Y266" s="137"/>
      <c r="Z266" s="137"/>
      <c r="AA266" s="137"/>
    </row>
    <row r="267" spans="1:27">
      <c r="A267" s="1203">
        <v>42131</v>
      </c>
      <c r="B267" s="1205">
        <v>12.0204</v>
      </c>
      <c r="F267" s="137"/>
      <c r="G267" s="137"/>
      <c r="H267" s="137"/>
      <c r="I267" s="137"/>
      <c r="J267" s="137"/>
      <c r="K267" s="137"/>
      <c r="L267" s="137"/>
      <c r="M267" s="137"/>
      <c r="N267" s="137"/>
      <c r="O267" s="137"/>
      <c r="P267" s="137"/>
      <c r="Q267" s="137"/>
      <c r="R267" s="137"/>
      <c r="S267" s="137"/>
      <c r="T267" s="137"/>
      <c r="U267" s="137"/>
      <c r="V267" s="137"/>
      <c r="W267" s="137"/>
      <c r="X267" s="137"/>
      <c r="Y267" s="137"/>
      <c r="Z267" s="137"/>
      <c r="AA267" s="137"/>
    </row>
    <row r="268" spans="1:27">
      <c r="A268" s="1203">
        <v>42130</v>
      </c>
      <c r="B268" s="1205">
        <v>12.0181</v>
      </c>
      <c r="F268" s="137"/>
      <c r="G268" s="137"/>
      <c r="H268" s="137"/>
      <c r="I268" s="137"/>
      <c r="J268" s="137"/>
      <c r="K268" s="137"/>
      <c r="L268" s="137"/>
      <c r="M268" s="137"/>
      <c r="N268" s="137"/>
      <c r="O268" s="137"/>
      <c r="P268" s="137"/>
      <c r="Q268" s="137"/>
      <c r="R268" s="137"/>
      <c r="S268" s="137"/>
      <c r="T268" s="137"/>
      <c r="U268" s="137"/>
      <c r="V268" s="137"/>
      <c r="W268" s="137"/>
      <c r="X268" s="137"/>
      <c r="Y268" s="137"/>
      <c r="Z268" s="137"/>
      <c r="AA268" s="137"/>
    </row>
    <row r="269" spans="1:27">
      <c r="A269" s="1203">
        <v>42129</v>
      </c>
      <c r="B269" s="1205">
        <v>11.987400000000001</v>
      </c>
      <c r="F269" s="137"/>
      <c r="G269" s="137"/>
      <c r="H269" s="137"/>
      <c r="I269" s="137"/>
      <c r="J269" s="137"/>
      <c r="K269" s="137"/>
      <c r="L269" s="137"/>
      <c r="M269" s="137"/>
      <c r="N269" s="137"/>
      <c r="O269" s="137"/>
      <c r="P269" s="137"/>
      <c r="Q269" s="137"/>
      <c r="R269" s="137"/>
      <c r="S269" s="137"/>
      <c r="T269" s="137"/>
      <c r="U269" s="137"/>
      <c r="V269" s="137"/>
      <c r="W269" s="137"/>
      <c r="X269" s="137"/>
      <c r="Y269" s="137"/>
      <c r="Z269" s="137"/>
      <c r="AA269" s="137"/>
    </row>
    <row r="270" spans="1:27">
      <c r="A270" s="1203">
        <v>42128</v>
      </c>
      <c r="B270" s="1205">
        <v>12.059900000000001</v>
      </c>
      <c r="F270" s="137"/>
      <c r="G270" s="137"/>
      <c r="H270" s="137"/>
      <c r="I270" s="137"/>
      <c r="J270" s="137"/>
      <c r="K270" s="137"/>
      <c r="L270" s="137"/>
      <c r="M270" s="137"/>
      <c r="N270" s="137"/>
      <c r="O270" s="137"/>
      <c r="P270" s="137"/>
      <c r="Q270" s="137"/>
      <c r="R270" s="137"/>
      <c r="S270" s="137"/>
      <c r="T270" s="137"/>
      <c r="U270" s="137"/>
      <c r="V270" s="137"/>
      <c r="W270" s="137"/>
      <c r="X270" s="137"/>
      <c r="Y270" s="137"/>
      <c r="Z270" s="137"/>
      <c r="AA270" s="137"/>
    </row>
    <row r="271" spans="1:27">
      <c r="A271" s="1203">
        <v>42125</v>
      </c>
      <c r="B271" s="1205">
        <v>12.0724</v>
      </c>
      <c r="F271" s="137"/>
      <c r="G271" s="137"/>
      <c r="H271" s="137"/>
      <c r="I271" s="137"/>
      <c r="J271" s="137"/>
      <c r="K271" s="137"/>
      <c r="L271" s="137"/>
      <c r="M271" s="137"/>
      <c r="N271" s="137"/>
      <c r="O271" s="137"/>
      <c r="P271" s="137"/>
      <c r="Q271" s="137"/>
      <c r="R271" s="137"/>
      <c r="S271" s="137"/>
      <c r="T271" s="137"/>
      <c r="U271" s="137"/>
      <c r="V271" s="137"/>
      <c r="W271" s="137"/>
      <c r="X271" s="137"/>
      <c r="Y271" s="137"/>
      <c r="Z271" s="137"/>
      <c r="AA271" s="137"/>
    </row>
    <row r="272" spans="1:27">
      <c r="A272" s="1203">
        <v>42124</v>
      </c>
      <c r="B272" s="1205">
        <v>11.9146</v>
      </c>
      <c r="F272" s="137"/>
      <c r="G272" s="137"/>
      <c r="H272" s="137"/>
      <c r="I272" s="137"/>
      <c r="J272" s="137"/>
      <c r="K272" s="137"/>
      <c r="L272" s="137"/>
      <c r="M272" s="137"/>
      <c r="N272" s="137"/>
      <c r="O272" s="137"/>
      <c r="P272" s="137"/>
      <c r="Q272" s="137"/>
      <c r="R272" s="137"/>
      <c r="S272" s="137"/>
      <c r="T272" s="137"/>
      <c r="U272" s="137"/>
      <c r="V272" s="137"/>
      <c r="W272" s="137"/>
      <c r="X272" s="137"/>
      <c r="Y272" s="137"/>
      <c r="Z272" s="137"/>
      <c r="AA272" s="137"/>
    </row>
    <row r="273" spans="1:27">
      <c r="A273" s="1203">
        <v>42123</v>
      </c>
      <c r="B273" s="1205">
        <v>11.745100000000001</v>
      </c>
      <c r="F273" s="137"/>
      <c r="G273" s="137"/>
      <c r="H273" s="137"/>
      <c r="I273" s="137"/>
      <c r="J273" s="137"/>
      <c r="K273" s="137"/>
      <c r="L273" s="137"/>
      <c r="M273" s="137"/>
      <c r="N273" s="137"/>
      <c r="O273" s="137"/>
      <c r="P273" s="137"/>
      <c r="Q273" s="137"/>
      <c r="R273" s="137"/>
      <c r="S273" s="137"/>
      <c r="T273" s="137"/>
      <c r="U273" s="137"/>
      <c r="V273" s="137"/>
      <c r="W273" s="137"/>
      <c r="X273" s="137"/>
      <c r="Y273" s="137"/>
      <c r="Z273" s="137"/>
      <c r="AA273" s="137"/>
    </row>
    <row r="274" spans="1:27">
      <c r="A274" s="1203">
        <v>42122</v>
      </c>
      <c r="B274" s="1205">
        <v>11.8401</v>
      </c>
      <c r="F274" s="137"/>
      <c r="G274" s="137"/>
      <c r="H274" s="137"/>
      <c r="I274" s="137"/>
      <c r="J274" s="137"/>
      <c r="K274" s="137"/>
      <c r="L274" s="137"/>
      <c r="M274" s="137"/>
      <c r="N274" s="137"/>
      <c r="O274" s="137"/>
      <c r="P274" s="137"/>
      <c r="Q274" s="137"/>
      <c r="R274" s="137"/>
      <c r="S274" s="137"/>
      <c r="T274" s="137"/>
      <c r="U274" s="137"/>
      <c r="V274" s="137"/>
      <c r="W274" s="137"/>
      <c r="X274" s="137"/>
      <c r="Y274" s="137"/>
      <c r="Z274" s="137"/>
      <c r="AA274" s="137"/>
    </row>
    <row r="275" spans="1:27">
      <c r="A275" s="1203">
        <v>42121</v>
      </c>
      <c r="B275" s="1205">
        <v>11.9732</v>
      </c>
      <c r="F275" s="137"/>
      <c r="G275" s="137"/>
      <c r="H275" s="137"/>
      <c r="I275" s="137"/>
      <c r="J275" s="137"/>
      <c r="K275" s="137"/>
      <c r="L275" s="137"/>
      <c r="M275" s="137"/>
      <c r="N275" s="137"/>
      <c r="O275" s="137"/>
      <c r="P275" s="137"/>
      <c r="Q275" s="137"/>
      <c r="R275" s="137"/>
      <c r="S275" s="137"/>
      <c r="T275" s="137"/>
      <c r="U275" s="137"/>
      <c r="V275" s="137"/>
      <c r="W275" s="137"/>
      <c r="X275" s="137"/>
      <c r="Y275" s="137"/>
      <c r="Z275" s="137"/>
      <c r="AA275" s="137"/>
    </row>
    <row r="276" spans="1:27">
      <c r="A276" s="1203">
        <v>42118</v>
      </c>
      <c r="B276" s="1205">
        <v>12.1442</v>
      </c>
      <c r="F276" s="137"/>
      <c r="G276" s="137"/>
      <c r="H276" s="137"/>
      <c r="I276" s="137"/>
      <c r="J276" s="137"/>
      <c r="K276" s="137"/>
      <c r="L276" s="137"/>
      <c r="M276" s="137"/>
      <c r="N276" s="137"/>
      <c r="O276" s="137"/>
      <c r="P276" s="137"/>
      <c r="Q276" s="137"/>
      <c r="R276" s="137"/>
      <c r="S276" s="137"/>
      <c r="T276" s="137"/>
      <c r="U276" s="137"/>
      <c r="V276" s="137"/>
      <c r="W276" s="137"/>
      <c r="X276" s="137"/>
      <c r="Y276" s="137"/>
      <c r="Z276" s="137"/>
      <c r="AA276" s="137"/>
    </row>
    <row r="277" spans="1:27">
      <c r="A277" s="1203">
        <v>42117</v>
      </c>
      <c r="B277" s="1205">
        <v>12.1554</v>
      </c>
      <c r="F277" s="137"/>
      <c r="G277" s="137"/>
      <c r="H277" s="137"/>
      <c r="I277" s="137"/>
      <c r="J277" s="137"/>
      <c r="K277" s="137"/>
      <c r="L277" s="137"/>
      <c r="M277" s="137"/>
      <c r="N277" s="137"/>
      <c r="O277" s="137"/>
      <c r="P277" s="137"/>
      <c r="Q277" s="137"/>
      <c r="R277" s="137"/>
      <c r="S277" s="137"/>
      <c r="T277" s="137"/>
      <c r="U277" s="137"/>
      <c r="V277" s="137"/>
      <c r="W277" s="137"/>
      <c r="X277" s="137"/>
      <c r="Y277" s="137"/>
      <c r="Z277" s="137"/>
      <c r="AA277" s="137"/>
    </row>
    <row r="278" spans="1:27">
      <c r="A278" s="1203">
        <v>42116</v>
      </c>
      <c r="B278" s="1205">
        <v>12.209</v>
      </c>
      <c r="F278" s="137"/>
      <c r="G278" s="137"/>
      <c r="H278" s="137"/>
      <c r="I278" s="137"/>
      <c r="J278" s="137"/>
      <c r="K278" s="137"/>
      <c r="L278" s="137"/>
      <c r="M278" s="137"/>
      <c r="N278" s="137"/>
      <c r="O278" s="137"/>
      <c r="P278" s="137"/>
      <c r="Q278" s="137"/>
      <c r="R278" s="137"/>
      <c r="S278" s="137"/>
      <c r="T278" s="137"/>
      <c r="U278" s="137"/>
      <c r="V278" s="137"/>
      <c r="W278" s="137"/>
      <c r="X278" s="137"/>
      <c r="Y278" s="137"/>
      <c r="Z278" s="137"/>
      <c r="AA278" s="137"/>
    </row>
    <row r="279" spans="1:27">
      <c r="A279" s="1203">
        <v>42115</v>
      </c>
      <c r="B279" s="1205">
        <v>12.1211</v>
      </c>
      <c r="F279" s="137"/>
      <c r="G279" s="137"/>
      <c r="H279" s="137"/>
      <c r="I279" s="137"/>
      <c r="J279" s="137"/>
      <c r="K279" s="137"/>
      <c r="L279" s="137"/>
      <c r="M279" s="137"/>
      <c r="N279" s="137"/>
      <c r="O279" s="137"/>
      <c r="P279" s="137"/>
      <c r="Q279" s="137"/>
      <c r="R279" s="137"/>
      <c r="S279" s="137"/>
      <c r="T279" s="137"/>
      <c r="U279" s="137"/>
      <c r="V279" s="137"/>
      <c r="W279" s="137"/>
      <c r="X279" s="137"/>
      <c r="Y279" s="137"/>
      <c r="Z279" s="137"/>
      <c r="AA279" s="137"/>
    </row>
    <row r="280" spans="1:27">
      <c r="A280" s="1203">
        <v>42114</v>
      </c>
      <c r="B280" s="1205">
        <v>12.100099999999999</v>
      </c>
      <c r="F280" s="137"/>
      <c r="G280" s="137"/>
      <c r="H280" s="137"/>
      <c r="I280" s="137"/>
      <c r="J280" s="137"/>
      <c r="K280" s="137"/>
      <c r="L280" s="137"/>
      <c r="M280" s="137"/>
      <c r="N280" s="137"/>
      <c r="O280" s="137"/>
      <c r="P280" s="137"/>
      <c r="Q280" s="137"/>
      <c r="R280" s="137"/>
      <c r="S280" s="137"/>
      <c r="T280" s="137"/>
      <c r="U280" s="137"/>
      <c r="V280" s="137"/>
      <c r="W280" s="137"/>
      <c r="X280" s="137"/>
      <c r="Y280" s="137"/>
      <c r="Z280" s="137"/>
      <c r="AA280" s="137"/>
    </row>
    <row r="281" spans="1:27">
      <c r="A281" s="1203">
        <v>42111</v>
      </c>
      <c r="B281" s="1205">
        <v>12.066700000000001</v>
      </c>
      <c r="F281" s="137"/>
      <c r="G281" s="137"/>
      <c r="H281" s="137"/>
      <c r="I281" s="137"/>
      <c r="J281" s="137"/>
      <c r="K281" s="137"/>
      <c r="L281" s="137"/>
      <c r="M281" s="137"/>
      <c r="N281" s="137"/>
      <c r="O281" s="137"/>
      <c r="P281" s="137"/>
      <c r="Q281" s="137"/>
      <c r="R281" s="137"/>
      <c r="S281" s="137"/>
      <c r="T281" s="137"/>
      <c r="U281" s="137"/>
      <c r="V281" s="137"/>
      <c r="W281" s="137"/>
      <c r="X281" s="137"/>
      <c r="Y281" s="137"/>
      <c r="Z281" s="137"/>
      <c r="AA281" s="137"/>
    </row>
    <row r="282" spans="1:27">
      <c r="A282" s="1203">
        <v>42110</v>
      </c>
      <c r="B282" s="1205">
        <v>11.9848</v>
      </c>
      <c r="F282" s="137"/>
      <c r="G282" s="137"/>
      <c r="H282" s="137"/>
      <c r="I282" s="137"/>
      <c r="J282" s="137"/>
      <c r="K282" s="137"/>
      <c r="L282" s="137"/>
      <c r="M282" s="137"/>
      <c r="N282" s="137"/>
      <c r="O282" s="137"/>
      <c r="P282" s="137"/>
      <c r="Q282" s="137"/>
      <c r="R282" s="137"/>
      <c r="S282" s="137"/>
      <c r="T282" s="137"/>
      <c r="U282" s="137"/>
      <c r="V282" s="137"/>
      <c r="W282" s="137"/>
      <c r="X282" s="137"/>
      <c r="Y282" s="137"/>
      <c r="Z282" s="137"/>
      <c r="AA282" s="137"/>
    </row>
    <row r="283" spans="1:27">
      <c r="A283" s="1203">
        <v>42109</v>
      </c>
      <c r="B283" s="1205">
        <v>12.1479</v>
      </c>
      <c r="F283" s="137"/>
      <c r="G283" s="137"/>
      <c r="H283" s="137"/>
      <c r="I283" s="137"/>
      <c r="J283" s="137"/>
      <c r="K283" s="137"/>
      <c r="L283" s="137"/>
      <c r="M283" s="137"/>
      <c r="N283" s="137"/>
      <c r="O283" s="137"/>
      <c r="P283" s="137"/>
      <c r="Q283" s="137"/>
      <c r="R283" s="137"/>
      <c r="S283" s="137"/>
      <c r="T283" s="137"/>
      <c r="U283" s="137"/>
      <c r="V283" s="137"/>
      <c r="W283" s="137"/>
      <c r="X283" s="137"/>
      <c r="Y283" s="137"/>
      <c r="Z283" s="137"/>
      <c r="AA283" s="137"/>
    </row>
    <row r="284" spans="1:27">
      <c r="A284" s="1203">
        <v>42108</v>
      </c>
      <c r="B284" s="1205">
        <v>12.0091</v>
      </c>
      <c r="F284" s="137"/>
      <c r="G284" s="137"/>
      <c r="H284" s="137"/>
      <c r="I284" s="137"/>
      <c r="J284" s="137"/>
      <c r="K284" s="137"/>
      <c r="L284" s="137"/>
      <c r="M284" s="137"/>
      <c r="N284" s="137"/>
      <c r="O284" s="137"/>
      <c r="P284" s="137"/>
      <c r="Q284" s="137"/>
      <c r="R284" s="137"/>
      <c r="S284" s="137"/>
      <c r="T284" s="137"/>
      <c r="U284" s="137"/>
      <c r="V284" s="137"/>
      <c r="W284" s="137"/>
      <c r="X284" s="137"/>
      <c r="Y284" s="137"/>
      <c r="Z284" s="137"/>
      <c r="AA284" s="137"/>
    </row>
    <row r="285" spans="1:27">
      <c r="A285" s="1203">
        <v>42107</v>
      </c>
      <c r="B285" s="1205">
        <v>12.112500000000001</v>
      </c>
      <c r="F285" s="137"/>
      <c r="G285" s="137"/>
      <c r="H285" s="137"/>
      <c r="I285" s="137"/>
      <c r="J285" s="137"/>
      <c r="K285" s="137"/>
      <c r="L285" s="137"/>
      <c r="M285" s="137"/>
      <c r="N285" s="137"/>
      <c r="O285" s="137"/>
      <c r="P285" s="137"/>
      <c r="Q285" s="137"/>
      <c r="R285" s="137"/>
      <c r="S285" s="137"/>
      <c r="T285" s="137"/>
      <c r="U285" s="137"/>
      <c r="V285" s="137"/>
      <c r="W285" s="137"/>
      <c r="X285" s="137"/>
      <c r="Y285" s="137"/>
      <c r="Z285" s="137"/>
      <c r="AA285" s="137"/>
    </row>
    <row r="286" spans="1:27">
      <c r="A286" s="1203">
        <v>42104</v>
      </c>
      <c r="B286" s="1205">
        <v>11.9922</v>
      </c>
      <c r="F286" s="137"/>
      <c r="G286" s="137"/>
      <c r="H286" s="137"/>
      <c r="I286" s="137"/>
      <c r="J286" s="137"/>
      <c r="K286" s="137"/>
      <c r="L286" s="137"/>
      <c r="M286" s="137"/>
      <c r="N286" s="137"/>
      <c r="O286" s="137"/>
      <c r="P286" s="137"/>
      <c r="Q286" s="137"/>
      <c r="R286" s="137"/>
      <c r="S286" s="137"/>
      <c r="T286" s="137"/>
      <c r="U286" s="137"/>
      <c r="V286" s="137"/>
      <c r="W286" s="137"/>
      <c r="X286" s="137"/>
      <c r="Y286" s="137"/>
      <c r="Z286" s="137"/>
      <c r="AA286" s="137"/>
    </row>
    <row r="287" spans="1:27">
      <c r="A287" s="1203">
        <v>42103</v>
      </c>
      <c r="B287" s="1205">
        <v>11.919700000000001</v>
      </c>
      <c r="F287" s="137"/>
      <c r="G287" s="137"/>
      <c r="H287" s="137"/>
      <c r="I287" s="137"/>
      <c r="J287" s="137"/>
      <c r="K287" s="137"/>
      <c r="L287" s="137"/>
      <c r="M287" s="137"/>
      <c r="N287" s="137"/>
      <c r="O287" s="137"/>
      <c r="P287" s="137"/>
      <c r="Q287" s="137"/>
      <c r="R287" s="137"/>
      <c r="S287" s="137"/>
      <c r="T287" s="137"/>
      <c r="U287" s="137"/>
      <c r="V287" s="137"/>
      <c r="W287" s="137"/>
      <c r="X287" s="137"/>
      <c r="Y287" s="137"/>
      <c r="Z287" s="137"/>
      <c r="AA287" s="137"/>
    </row>
    <row r="288" spans="1:27">
      <c r="A288" s="1203">
        <v>42102</v>
      </c>
      <c r="B288" s="1205">
        <v>11.8042</v>
      </c>
    </row>
    <row r="289" spans="1:2">
      <c r="A289" s="1203">
        <v>42101</v>
      </c>
      <c r="B289" s="1205">
        <v>11.848700000000001</v>
      </c>
    </row>
    <row r="290" spans="1:2">
      <c r="A290" s="1203">
        <v>42100</v>
      </c>
      <c r="B290" s="1205">
        <v>11.756600000000001</v>
      </c>
    </row>
    <row r="291" spans="1:2">
      <c r="A291" s="1203">
        <v>42097</v>
      </c>
      <c r="B291" s="1205">
        <v>11.7857</v>
      </c>
    </row>
    <row r="292" spans="1:2">
      <c r="A292" s="1203">
        <v>42096</v>
      </c>
      <c r="B292" s="1205">
        <v>11.9581</v>
      </c>
    </row>
    <row r="293" spans="1:2">
      <c r="A293" s="1203">
        <v>42095</v>
      </c>
      <c r="B293" s="1205">
        <v>11.9725</v>
      </c>
    </row>
    <row r="294" spans="1:2">
      <c r="A294" s="1203">
        <v>42094</v>
      </c>
      <c r="B294" s="1205">
        <v>12.142200000000001</v>
      </c>
    </row>
    <row r="295" spans="1:2">
      <c r="A295" s="1203">
        <v>42093</v>
      </c>
      <c r="B295" s="1205">
        <v>12.138999999999999</v>
      </c>
    </row>
    <row r="296" spans="1:2">
      <c r="A296" s="1203">
        <v>42090</v>
      </c>
      <c r="B296" s="1205">
        <v>12.025</v>
      </c>
    </row>
    <row r="297" spans="1:2">
      <c r="A297" s="1203">
        <v>42089</v>
      </c>
      <c r="B297" s="1205">
        <v>11.982900000000001</v>
      </c>
    </row>
    <row r="298" spans="1:2">
      <c r="A298" s="1203">
        <v>42088</v>
      </c>
      <c r="B298" s="1205">
        <v>11.853300000000001</v>
      </c>
    </row>
    <row r="299" spans="1:2">
      <c r="A299" s="1203">
        <v>42087</v>
      </c>
      <c r="B299" s="1205">
        <v>11.799200000000001</v>
      </c>
    </row>
    <row r="300" spans="1:2">
      <c r="A300" s="1203">
        <v>42086</v>
      </c>
      <c r="B300" s="1205">
        <v>11.914099999999999</v>
      </c>
    </row>
    <row r="301" spans="1:2">
      <c r="A301" s="1203">
        <v>42083</v>
      </c>
      <c r="B301" s="1205">
        <v>12.017300000000001</v>
      </c>
    </row>
    <row r="302" spans="1:2">
      <c r="A302" s="1203">
        <v>42082</v>
      </c>
      <c r="B302" s="1205">
        <v>12.3306</v>
      </c>
    </row>
    <row r="303" spans="1:2">
      <c r="A303" s="1203">
        <v>42081</v>
      </c>
      <c r="B303" s="1205">
        <v>12.3568</v>
      </c>
    </row>
    <row r="304" spans="1:2">
      <c r="A304" s="1203">
        <v>42080</v>
      </c>
      <c r="B304" s="1205">
        <v>12.3727</v>
      </c>
    </row>
    <row r="305" spans="1:2">
      <c r="A305" s="1203">
        <v>42079</v>
      </c>
      <c r="B305" s="1205">
        <v>12.384399999999999</v>
      </c>
    </row>
    <row r="306" spans="1:2">
      <c r="A306" s="1203">
        <v>42076</v>
      </c>
      <c r="B306" s="1205">
        <v>12.460900000000001</v>
      </c>
    </row>
    <row r="307" spans="1:2">
      <c r="A307" s="1203">
        <v>42075</v>
      </c>
      <c r="B307" s="1205">
        <v>12.2743</v>
      </c>
    </row>
    <row r="308" spans="1:2">
      <c r="A308" s="1203">
        <v>42074</v>
      </c>
      <c r="B308" s="1205">
        <v>12.2661</v>
      </c>
    </row>
    <row r="309" spans="1:2">
      <c r="A309" s="1203">
        <v>42073</v>
      </c>
      <c r="B309" s="1205">
        <v>12.312900000000001</v>
      </c>
    </row>
    <row r="310" spans="1:2">
      <c r="A310" s="1203">
        <v>42072</v>
      </c>
      <c r="B310" s="1205">
        <v>12.083500000000001</v>
      </c>
    </row>
    <row r="311" spans="1:2">
      <c r="A311" s="1203">
        <v>42069</v>
      </c>
      <c r="B311" s="1205">
        <v>12.053000000000001</v>
      </c>
    </row>
    <row r="312" spans="1:2">
      <c r="A312" s="1203">
        <v>42068</v>
      </c>
      <c r="B312" s="1205">
        <v>11.8606</v>
      </c>
    </row>
    <row r="313" spans="1:2">
      <c r="A313" s="1203">
        <v>42067</v>
      </c>
      <c r="B313" s="1205">
        <v>11.8109</v>
      </c>
    </row>
    <row r="314" spans="1:2">
      <c r="A314" s="1203">
        <v>42066</v>
      </c>
      <c r="B314" s="1205">
        <v>11.747199999999999</v>
      </c>
    </row>
    <row r="315" spans="1:2">
      <c r="A315" s="1203">
        <v>42065</v>
      </c>
      <c r="B315" s="1205">
        <v>11.770799999999999</v>
      </c>
    </row>
    <row r="316" spans="1:2">
      <c r="A316" s="1203">
        <v>42062</v>
      </c>
      <c r="B316" s="1205">
        <v>11.686500000000001</v>
      </c>
    </row>
    <row r="317" spans="1:2">
      <c r="A317" s="1203">
        <v>42061</v>
      </c>
      <c r="B317" s="1205">
        <v>11.5024</v>
      </c>
    </row>
    <row r="318" spans="1:2">
      <c r="A318" s="1203">
        <v>42060</v>
      </c>
      <c r="B318" s="1205">
        <v>11.4445</v>
      </c>
    </row>
    <row r="319" spans="1:2">
      <c r="A319" s="1203">
        <v>42059</v>
      </c>
      <c r="B319" s="1205">
        <v>11.4878</v>
      </c>
    </row>
    <row r="320" spans="1:2">
      <c r="A320" s="1203">
        <v>42058</v>
      </c>
      <c r="B320" s="1205">
        <v>11.6394</v>
      </c>
    </row>
    <row r="321" spans="1:2">
      <c r="A321" s="1203">
        <v>42055</v>
      </c>
      <c r="B321" s="1205">
        <v>11.6233</v>
      </c>
    </row>
    <row r="322" spans="1:2">
      <c r="A322" s="1203">
        <v>42054</v>
      </c>
      <c r="B322" s="1205">
        <v>11.6747</v>
      </c>
    </row>
    <row r="323" spans="1:2">
      <c r="A323" s="1203">
        <v>42053</v>
      </c>
      <c r="B323" s="1205">
        <v>11.709199999999999</v>
      </c>
    </row>
    <row r="324" spans="1:2">
      <c r="A324" s="1203">
        <v>42052</v>
      </c>
      <c r="B324" s="1205">
        <v>11.618399999999999</v>
      </c>
    </row>
    <row r="325" spans="1:2">
      <c r="A325" s="1203">
        <v>42051</v>
      </c>
      <c r="B325" s="1205">
        <v>11.6632</v>
      </c>
    </row>
    <row r="326" spans="1:2">
      <c r="A326" s="1203">
        <v>42048</v>
      </c>
      <c r="B326" s="1205">
        <v>11.630800000000001</v>
      </c>
    </row>
    <row r="327" spans="1:2">
      <c r="A327" s="1203">
        <v>42047</v>
      </c>
      <c r="B327" s="1205">
        <v>11.7197</v>
      </c>
    </row>
    <row r="328" spans="1:2">
      <c r="A328" s="1203">
        <v>42046</v>
      </c>
      <c r="B328" s="1205">
        <v>11.8743</v>
      </c>
    </row>
    <row r="329" spans="1:2">
      <c r="A329" s="1203">
        <v>42045</v>
      </c>
      <c r="B329" s="1205">
        <v>11.697900000000001</v>
      </c>
    </row>
    <row r="330" spans="1:2">
      <c r="A330" s="1203">
        <v>42044</v>
      </c>
      <c r="B330" s="1205">
        <v>11.5923</v>
      </c>
    </row>
    <row r="331" spans="1:2">
      <c r="A331" s="1203">
        <v>42041</v>
      </c>
      <c r="B331" s="1205">
        <v>11.5265</v>
      </c>
    </row>
    <row r="332" spans="1:2">
      <c r="A332" s="1203">
        <v>42040</v>
      </c>
      <c r="B332" s="1205">
        <v>11.281499999999999</v>
      </c>
    </row>
    <row r="333" spans="1:2">
      <c r="A333" s="1203">
        <v>42039</v>
      </c>
      <c r="B333" s="1205">
        <v>11.463100000000001</v>
      </c>
    </row>
    <row r="334" spans="1:2">
      <c r="A334" s="1203">
        <v>42038</v>
      </c>
      <c r="B334" s="1205">
        <v>11.3881</v>
      </c>
    </row>
    <row r="335" spans="1:2">
      <c r="A335" s="1203">
        <v>42037</v>
      </c>
      <c r="B335" s="1205">
        <v>11.5229</v>
      </c>
    </row>
    <row r="336" spans="1:2">
      <c r="A336" s="1203">
        <v>42034</v>
      </c>
      <c r="B336" s="1205">
        <v>11.6562</v>
      </c>
    </row>
    <row r="337" spans="1:2">
      <c r="A337" s="1203">
        <v>42033</v>
      </c>
      <c r="B337" s="1205">
        <v>11.571</v>
      </c>
    </row>
    <row r="338" spans="1:2">
      <c r="A338" s="1203">
        <v>42032</v>
      </c>
      <c r="B338" s="1205">
        <v>11.535500000000001</v>
      </c>
    </row>
    <row r="339" spans="1:2">
      <c r="A339" s="1203">
        <v>42031</v>
      </c>
      <c r="B339" s="1205">
        <v>11.5655</v>
      </c>
    </row>
    <row r="340" spans="1:2">
      <c r="A340" s="1203">
        <v>42030</v>
      </c>
      <c r="B340" s="1205">
        <v>11.438599999999999</v>
      </c>
    </row>
    <row r="341" spans="1:2">
      <c r="A341" s="1203">
        <v>42027</v>
      </c>
      <c r="B341" s="1205">
        <v>11.409599999999999</v>
      </c>
    </row>
    <row r="342" spans="1:2">
      <c r="A342" s="1203">
        <v>42026</v>
      </c>
      <c r="B342" s="1205">
        <v>11.3826</v>
      </c>
    </row>
    <row r="343" spans="1:2">
      <c r="A343" s="1203">
        <v>42025</v>
      </c>
      <c r="B343" s="1205">
        <v>11.543200000000001</v>
      </c>
    </row>
    <row r="344" spans="1:2">
      <c r="A344" s="1203">
        <v>42024</v>
      </c>
      <c r="B344" s="1205">
        <v>11.6035</v>
      </c>
    </row>
    <row r="345" spans="1:2">
      <c r="A345" s="1203">
        <v>42023</v>
      </c>
      <c r="B345" s="1205">
        <v>11.6271</v>
      </c>
    </row>
    <row r="346" spans="1:2">
      <c r="A346" s="1203">
        <v>42020</v>
      </c>
      <c r="B346" s="1205">
        <v>11.5694</v>
      </c>
    </row>
    <row r="347" spans="1:2">
      <c r="A347" s="1203">
        <v>42019</v>
      </c>
      <c r="B347" s="1205">
        <v>11.5428</v>
      </c>
    </row>
    <row r="348" spans="1:2">
      <c r="A348" s="1203">
        <v>42018</v>
      </c>
      <c r="B348" s="1205">
        <v>11.4359</v>
      </c>
    </row>
    <row r="349" spans="1:2">
      <c r="A349" s="1203">
        <v>42017</v>
      </c>
      <c r="B349" s="1205">
        <v>11.504899999999999</v>
      </c>
    </row>
    <row r="350" spans="1:2">
      <c r="A350" s="1203">
        <v>42016</v>
      </c>
      <c r="B350" s="1205">
        <v>11.5124</v>
      </c>
    </row>
    <row r="351" spans="1:2">
      <c r="A351" s="1203">
        <v>42013</v>
      </c>
      <c r="B351" s="1205">
        <v>11.4741</v>
      </c>
    </row>
    <row r="352" spans="1:2">
      <c r="A352" s="1203">
        <v>42012</v>
      </c>
      <c r="B352" s="1205">
        <v>11.559699999999999</v>
      </c>
    </row>
    <row r="353" spans="1:2">
      <c r="A353" s="1203">
        <v>42011</v>
      </c>
      <c r="B353" s="1205">
        <v>11.715999999999999</v>
      </c>
    </row>
    <row r="354" spans="1:2">
      <c r="A354" s="1203">
        <v>42010</v>
      </c>
      <c r="B354" s="1205">
        <v>11.702</v>
      </c>
    </row>
    <row r="355" spans="1:2">
      <c r="A355" s="1203">
        <v>42009</v>
      </c>
      <c r="B355" s="1205">
        <v>11.718999999999999</v>
      </c>
    </row>
    <row r="356" spans="1:2">
      <c r="A356" s="1203">
        <v>42006</v>
      </c>
      <c r="B356" s="1205">
        <v>11.698600000000001</v>
      </c>
    </row>
    <row r="357" spans="1:2">
      <c r="A357" s="1203">
        <v>42005</v>
      </c>
      <c r="B357" s="1205">
        <v>11.528</v>
      </c>
    </row>
    <row r="358" spans="1:2">
      <c r="A358" s="1203">
        <v>42004</v>
      </c>
      <c r="B358" s="1205">
        <v>11.551</v>
      </c>
    </row>
    <row r="359" spans="1:2">
      <c r="A359" s="1203">
        <v>42003</v>
      </c>
      <c r="B359" s="1205">
        <v>11.5724</v>
      </c>
    </row>
    <row r="360" spans="1:2">
      <c r="A360" s="1203">
        <v>42002</v>
      </c>
      <c r="B360" s="1205">
        <v>11.664899999999999</v>
      </c>
    </row>
    <row r="361" spans="1:2">
      <c r="A361" s="1203">
        <v>41999</v>
      </c>
      <c r="B361" s="1205">
        <v>11.598800000000001</v>
      </c>
    </row>
    <row r="362" spans="1:2">
      <c r="A362" s="1203">
        <v>41998</v>
      </c>
      <c r="B362" s="1205">
        <v>11.6419</v>
      </c>
    </row>
    <row r="363" spans="1:2">
      <c r="A363" s="1203">
        <v>41997</v>
      </c>
      <c r="B363" s="1205">
        <v>11.650499999999999</v>
      </c>
    </row>
    <row r="364" spans="1:2">
      <c r="A364" s="1203">
        <v>41996</v>
      </c>
      <c r="B364" s="1205">
        <v>11.6496</v>
      </c>
    </row>
    <row r="365" spans="1:2">
      <c r="A365" s="1203">
        <v>41995</v>
      </c>
      <c r="B365" s="1205">
        <v>11.553100000000001</v>
      </c>
    </row>
    <row r="366" spans="1:2">
      <c r="A366" s="1203">
        <v>41992</v>
      </c>
      <c r="B366" s="1205">
        <v>11.6121</v>
      </c>
    </row>
    <row r="367" spans="1:2">
      <c r="A367" s="1203">
        <v>41991</v>
      </c>
      <c r="B367" s="1205">
        <v>11.584899999999999</v>
      </c>
    </row>
    <row r="368" spans="1:2">
      <c r="A368" s="1203">
        <v>41990</v>
      </c>
      <c r="B368" s="1205">
        <v>11.6015</v>
      </c>
    </row>
    <row r="369" spans="1:2">
      <c r="A369" s="1203">
        <v>41989</v>
      </c>
      <c r="B369" s="1205">
        <v>11.664300000000001</v>
      </c>
    </row>
    <row r="370" spans="1:2">
      <c r="A370" s="1203">
        <v>41988</v>
      </c>
      <c r="B370" s="1205">
        <v>11.76</v>
      </c>
    </row>
    <row r="371" spans="1:2">
      <c r="A371" s="1203">
        <v>41985</v>
      </c>
      <c r="B371" s="1205">
        <v>11.6015</v>
      </c>
    </row>
    <row r="372" spans="1:2">
      <c r="A372" s="1203">
        <v>41984</v>
      </c>
      <c r="B372" s="1205">
        <v>11.6309</v>
      </c>
    </row>
    <row r="373" spans="1:2">
      <c r="A373" s="1203">
        <v>41983</v>
      </c>
      <c r="B373" s="1205">
        <v>11.552899999999999</v>
      </c>
    </row>
    <row r="374" spans="1:2">
      <c r="A374" s="1203">
        <v>41982</v>
      </c>
      <c r="B374" s="1205">
        <v>11.4511</v>
      </c>
    </row>
    <row r="375" spans="1:2">
      <c r="A375" s="1203">
        <v>41981</v>
      </c>
      <c r="B375" s="1205">
        <v>11.555400000000001</v>
      </c>
    </row>
    <row r="376" spans="1:2">
      <c r="A376" s="1203">
        <v>41978</v>
      </c>
      <c r="B376" s="1205">
        <v>11.3409</v>
      </c>
    </row>
    <row r="377" spans="1:2">
      <c r="A377" s="1203">
        <v>41977</v>
      </c>
      <c r="B377" s="1205">
        <v>11.183</v>
      </c>
    </row>
    <row r="378" spans="1:2">
      <c r="A378" s="1203">
        <v>41976</v>
      </c>
      <c r="B378" s="1205">
        <v>11.2219</v>
      </c>
    </row>
    <row r="379" spans="1:2">
      <c r="A379" s="1203">
        <v>41975</v>
      </c>
      <c r="B379" s="1205">
        <v>11.1378</v>
      </c>
    </row>
    <row r="380" spans="1:2">
      <c r="A380" s="1203">
        <v>41974</v>
      </c>
      <c r="B380" s="1205">
        <v>10.9764</v>
      </c>
    </row>
    <row r="381" spans="1:2">
      <c r="A381" s="1203">
        <v>41971</v>
      </c>
      <c r="B381" s="1205">
        <v>11.075100000000001</v>
      </c>
    </row>
    <row r="382" spans="1:2">
      <c r="A382" s="1203">
        <v>41970</v>
      </c>
      <c r="B382" s="1205">
        <v>10.982799999999999</v>
      </c>
    </row>
    <row r="383" spans="1:2">
      <c r="A383" s="1203">
        <v>41969</v>
      </c>
      <c r="B383" s="1205">
        <v>10.9627</v>
      </c>
    </row>
    <row r="384" spans="1:2">
      <c r="A384" s="1203">
        <v>41968</v>
      </c>
      <c r="B384" s="1205">
        <v>10.9472</v>
      </c>
    </row>
    <row r="385" spans="1:2">
      <c r="A385" s="1203">
        <v>41967</v>
      </c>
      <c r="B385" s="1205">
        <v>11.040100000000001</v>
      </c>
    </row>
    <row r="386" spans="1:2">
      <c r="A386" s="1203">
        <v>41964</v>
      </c>
      <c r="B386" s="1205">
        <v>10.960900000000001</v>
      </c>
    </row>
    <row r="387" spans="1:2">
      <c r="A387" s="1203">
        <v>41963</v>
      </c>
      <c r="B387" s="1205">
        <v>10.9573</v>
      </c>
    </row>
    <row r="388" spans="1:2">
      <c r="A388" s="1203">
        <v>41962</v>
      </c>
      <c r="B388" s="1205">
        <v>11.0543</v>
      </c>
    </row>
    <row r="389" spans="1:2">
      <c r="A389" s="1203">
        <v>41961</v>
      </c>
      <c r="B389" s="1205">
        <v>11.035</v>
      </c>
    </row>
    <row r="390" spans="1:2">
      <c r="A390" s="1203">
        <v>41960</v>
      </c>
      <c r="B390" s="1205">
        <v>11.1258</v>
      </c>
    </row>
    <row r="391" spans="1:2">
      <c r="A391" s="1203">
        <v>41957</v>
      </c>
      <c r="B391" s="1205">
        <v>11.1113</v>
      </c>
    </row>
    <row r="392" spans="1:2">
      <c r="A392" s="1203">
        <v>41956</v>
      </c>
      <c r="B392" s="1205">
        <v>11.2179</v>
      </c>
    </row>
    <row r="393" spans="1:2">
      <c r="A393" s="1203">
        <v>41955</v>
      </c>
      <c r="B393" s="1205">
        <v>11.1881</v>
      </c>
    </row>
    <row r="394" spans="1:2">
      <c r="A394" s="1203">
        <v>41954</v>
      </c>
      <c r="B394" s="1205">
        <v>11.2285</v>
      </c>
    </row>
    <row r="395" spans="1:2">
      <c r="A395" s="1203">
        <v>41953</v>
      </c>
      <c r="B395" s="1205">
        <v>11.265499999999999</v>
      </c>
    </row>
    <row r="396" spans="1:2">
      <c r="A396" s="1203">
        <v>41950</v>
      </c>
      <c r="B396" s="1205">
        <v>11.2705</v>
      </c>
    </row>
    <row r="397" spans="1:2">
      <c r="A397" s="1203">
        <v>41949</v>
      </c>
      <c r="B397" s="1205">
        <v>11.268000000000001</v>
      </c>
    </row>
    <row r="398" spans="1:2">
      <c r="A398" s="1203">
        <v>41948</v>
      </c>
      <c r="B398" s="1205">
        <v>11.1477</v>
      </c>
    </row>
    <row r="399" spans="1:2">
      <c r="A399" s="1203">
        <v>41947</v>
      </c>
      <c r="B399" s="1205">
        <v>11.045299999999999</v>
      </c>
    </row>
    <row r="400" spans="1:2">
      <c r="A400" s="1203">
        <v>41946</v>
      </c>
      <c r="B400" s="1205">
        <v>11.076700000000001</v>
      </c>
    </row>
    <row r="401" spans="1:2">
      <c r="A401" s="1203">
        <v>41943</v>
      </c>
      <c r="B401" s="1205">
        <v>11.0319</v>
      </c>
    </row>
    <row r="402" spans="1:2">
      <c r="A402" s="1203">
        <v>41942</v>
      </c>
      <c r="B402" s="1205">
        <v>10.8649</v>
      </c>
    </row>
    <row r="403" spans="1:2">
      <c r="A403" s="1203">
        <v>41941</v>
      </c>
      <c r="B403" s="1205">
        <v>10.8507</v>
      </c>
    </row>
    <row r="404" spans="1:2">
      <c r="A404" s="1203">
        <v>41940</v>
      </c>
      <c r="B404" s="1205">
        <v>10.8628</v>
      </c>
    </row>
    <row r="405" spans="1:2">
      <c r="A405" s="1203">
        <v>41939</v>
      </c>
      <c r="B405" s="1205">
        <v>10.9428</v>
      </c>
    </row>
    <row r="406" spans="1:2">
      <c r="A406" s="1203">
        <v>41936</v>
      </c>
      <c r="B406" s="1205">
        <v>10.9369</v>
      </c>
    </row>
    <row r="407" spans="1:2">
      <c r="A407" s="1203">
        <v>41935</v>
      </c>
      <c r="B407" s="1205">
        <v>10.9664</v>
      </c>
    </row>
    <row r="408" spans="1:2">
      <c r="A408" s="1203">
        <v>41934</v>
      </c>
      <c r="B408" s="1205">
        <v>10.9983</v>
      </c>
    </row>
    <row r="409" spans="1:2">
      <c r="A409" s="1203">
        <v>41933</v>
      </c>
      <c r="B409" s="1205">
        <v>11.0252</v>
      </c>
    </row>
    <row r="410" spans="1:2">
      <c r="A410" s="1203">
        <v>41932</v>
      </c>
      <c r="B410" s="1205">
        <v>11.0204</v>
      </c>
    </row>
    <row r="411" spans="1:2">
      <c r="A411" s="1203">
        <v>41929</v>
      </c>
      <c r="B411" s="1205">
        <v>11.088200000000001</v>
      </c>
    </row>
    <row r="412" spans="1:2">
      <c r="A412" s="1203">
        <v>41928</v>
      </c>
      <c r="B412" s="1205">
        <v>11.0815</v>
      </c>
    </row>
    <row r="413" spans="1:2">
      <c r="A413" s="1203">
        <v>41927</v>
      </c>
      <c r="B413" s="1205">
        <v>11.1005</v>
      </c>
    </row>
    <row r="414" spans="1:2">
      <c r="A414" s="1203">
        <v>41926</v>
      </c>
      <c r="B414" s="1205">
        <v>11.0535</v>
      </c>
    </row>
    <row r="415" spans="1:2">
      <c r="A415" s="1203">
        <v>41925</v>
      </c>
      <c r="B415" s="1205">
        <v>11.036300000000001</v>
      </c>
    </row>
    <row r="416" spans="1:2">
      <c r="A416" s="1203">
        <v>41922</v>
      </c>
      <c r="B416" s="1205">
        <v>11.066800000000001</v>
      </c>
    </row>
    <row r="417" spans="1:2">
      <c r="A417" s="1203">
        <v>41921</v>
      </c>
      <c r="B417" s="1205">
        <v>11.07</v>
      </c>
    </row>
    <row r="418" spans="1:2">
      <c r="A418" s="1203">
        <v>41920</v>
      </c>
      <c r="B418" s="1205">
        <v>11.174300000000001</v>
      </c>
    </row>
    <row r="419" spans="1:2">
      <c r="A419" s="1203">
        <v>41919</v>
      </c>
      <c r="B419" s="1205">
        <v>11.1793</v>
      </c>
    </row>
    <row r="420" spans="1:2">
      <c r="A420" s="1203">
        <v>41918</v>
      </c>
      <c r="B420" s="1205">
        <v>11.24</v>
      </c>
    </row>
    <row r="421" spans="1:2">
      <c r="A421" s="1203">
        <v>41915</v>
      </c>
      <c r="B421" s="1205">
        <v>11.346500000000001</v>
      </c>
    </row>
    <row r="422" spans="1:2">
      <c r="A422" s="1203">
        <v>41914</v>
      </c>
      <c r="B422" s="1205">
        <v>11.196199999999999</v>
      </c>
    </row>
    <row r="423" spans="1:2">
      <c r="A423" s="1203">
        <v>41913</v>
      </c>
      <c r="B423" s="1205">
        <v>11.268599999999999</v>
      </c>
    </row>
    <row r="424" spans="1:2">
      <c r="A424" s="1203">
        <v>41912</v>
      </c>
      <c r="B424" s="1205">
        <v>11.297000000000001</v>
      </c>
    </row>
    <row r="425" spans="1:2">
      <c r="A425" s="1203">
        <v>41911</v>
      </c>
      <c r="B425" s="1205">
        <v>11.273</v>
      </c>
    </row>
    <row r="426" spans="1:2">
      <c r="A426" s="1203">
        <v>41908</v>
      </c>
      <c r="B426" s="1205">
        <v>11.2342</v>
      </c>
    </row>
    <row r="427" spans="1:2">
      <c r="A427" s="1203">
        <v>41907</v>
      </c>
      <c r="B427" s="1205">
        <v>11.198600000000001</v>
      </c>
    </row>
    <row r="428" spans="1:2">
      <c r="A428" s="1203">
        <v>41906</v>
      </c>
      <c r="B428" s="1205">
        <v>11.1477</v>
      </c>
    </row>
    <row r="429" spans="1:2">
      <c r="A429" s="1203">
        <v>41905</v>
      </c>
      <c r="B429" s="1205">
        <v>11.139200000000001</v>
      </c>
    </row>
    <row r="430" spans="1:2">
      <c r="A430" s="1203">
        <v>41904</v>
      </c>
      <c r="B430" s="1205">
        <v>11.170199999999999</v>
      </c>
    </row>
    <row r="431" spans="1:2">
      <c r="A431" s="1203">
        <v>41901</v>
      </c>
      <c r="B431" s="1205">
        <v>11.082599999999999</v>
      </c>
    </row>
    <row r="432" spans="1:2">
      <c r="A432" s="1203">
        <v>41900</v>
      </c>
      <c r="B432" s="1205">
        <v>11.053100000000001</v>
      </c>
    </row>
    <row r="433" spans="1:2">
      <c r="A433" s="1203">
        <v>41899</v>
      </c>
      <c r="B433" s="1205">
        <v>10.9556</v>
      </c>
    </row>
    <row r="434" spans="1:2">
      <c r="A434" s="1203">
        <v>41898</v>
      </c>
      <c r="B434" s="1205">
        <v>10.898</v>
      </c>
    </row>
    <row r="435" spans="1:2">
      <c r="A435" s="1203">
        <v>41897</v>
      </c>
      <c r="B435" s="1205">
        <v>10.995699999999999</v>
      </c>
    </row>
    <row r="436" spans="1:2">
      <c r="A436" s="1203">
        <v>41894</v>
      </c>
      <c r="B436" s="1205">
        <v>10.991</v>
      </c>
    </row>
    <row r="437" spans="1:2">
      <c r="A437" s="1203">
        <v>41893</v>
      </c>
      <c r="B437" s="1205">
        <v>10.972300000000001</v>
      </c>
    </row>
    <row r="438" spans="1:2">
      <c r="A438" s="1203">
        <v>41892</v>
      </c>
      <c r="B438" s="1205">
        <v>10.9396</v>
      </c>
    </row>
    <row r="439" spans="1:2">
      <c r="A439" s="1203">
        <v>41891</v>
      </c>
      <c r="B439" s="1205">
        <v>10.9269</v>
      </c>
    </row>
    <row r="440" spans="1:2">
      <c r="A440" s="1203">
        <v>41890</v>
      </c>
      <c r="B440" s="1205">
        <v>10.795400000000001</v>
      </c>
    </row>
    <row r="441" spans="1:2">
      <c r="A441" s="1203">
        <v>41887</v>
      </c>
      <c r="B441" s="1205">
        <v>10.697900000000001</v>
      </c>
    </row>
    <row r="442" spans="1:2">
      <c r="A442" s="1203">
        <v>41886</v>
      </c>
      <c r="B442" s="1205">
        <v>10.719099999999999</v>
      </c>
    </row>
    <row r="443" spans="1:2">
      <c r="A443" s="1203">
        <v>41885</v>
      </c>
      <c r="B443" s="1205">
        <v>10.673</v>
      </c>
    </row>
    <row r="444" spans="1:2">
      <c r="A444" s="1203">
        <v>41884</v>
      </c>
      <c r="B444" s="1205">
        <v>10.7431</v>
      </c>
    </row>
    <row r="445" spans="1:2">
      <c r="A445" s="1203">
        <v>41883</v>
      </c>
      <c r="B445" s="1205">
        <v>10.6799</v>
      </c>
    </row>
    <row r="446" spans="1:2">
      <c r="A446" s="1203">
        <v>41880</v>
      </c>
      <c r="B446" s="1205">
        <v>10.6493</v>
      </c>
    </row>
    <row r="447" spans="1:2">
      <c r="A447" s="1203">
        <v>41879</v>
      </c>
      <c r="B447" s="1205">
        <v>10.639099999999999</v>
      </c>
    </row>
    <row r="448" spans="1:2">
      <c r="A448" s="1203">
        <v>41878</v>
      </c>
      <c r="B448" s="1205">
        <v>10.6122</v>
      </c>
    </row>
    <row r="449" spans="1:2">
      <c r="A449" s="1203">
        <v>41877</v>
      </c>
      <c r="B449" s="1205">
        <v>10.6829</v>
      </c>
    </row>
    <row r="450" spans="1:2">
      <c r="A450" s="1203">
        <v>41876</v>
      </c>
      <c r="B450" s="1205">
        <v>10.7157</v>
      </c>
    </row>
    <row r="451" spans="1:2">
      <c r="A451" s="1203">
        <v>41873</v>
      </c>
      <c r="B451" s="1205">
        <v>10.688499999999999</v>
      </c>
    </row>
    <row r="452" spans="1:2">
      <c r="A452" s="1203">
        <v>41872</v>
      </c>
      <c r="B452" s="1205">
        <v>10.701599999999999</v>
      </c>
    </row>
    <row r="453" spans="1:2">
      <c r="A453" s="1203">
        <v>41871</v>
      </c>
      <c r="B453" s="1205">
        <v>10.698</v>
      </c>
    </row>
    <row r="454" spans="1:2">
      <c r="A454" s="1203">
        <v>41870</v>
      </c>
      <c r="B454" s="1205">
        <v>10.6488</v>
      </c>
    </row>
    <row r="455" spans="1:2">
      <c r="A455" s="1203">
        <v>41869</v>
      </c>
      <c r="B455" s="1205">
        <v>10.6098</v>
      </c>
    </row>
    <row r="456" spans="1:2">
      <c r="A456" s="1203">
        <v>41866</v>
      </c>
      <c r="B456" s="1205">
        <v>10.6037</v>
      </c>
    </row>
    <row r="457" spans="1:2">
      <c r="A457" s="1203">
        <v>41865</v>
      </c>
      <c r="B457" s="1205">
        <v>10.5479</v>
      </c>
    </row>
    <row r="458" spans="1:2">
      <c r="A458" s="1203">
        <v>41864</v>
      </c>
      <c r="B458" s="1205">
        <v>10.5779</v>
      </c>
    </row>
    <row r="459" spans="1:2">
      <c r="A459" s="1203">
        <v>41863</v>
      </c>
      <c r="B459" s="1205">
        <v>10.6449</v>
      </c>
    </row>
    <row r="460" spans="1:2">
      <c r="A460" s="1203">
        <v>41862</v>
      </c>
      <c r="B460" s="1205">
        <v>10.629799999999999</v>
      </c>
    </row>
    <row r="461" spans="1:2">
      <c r="A461" s="1203">
        <v>41859</v>
      </c>
      <c r="B461" s="1205">
        <v>10.683299999999999</v>
      </c>
    </row>
    <row r="462" spans="1:2">
      <c r="A462" s="1203">
        <v>41858</v>
      </c>
      <c r="B462" s="1205">
        <v>10.759399999999999</v>
      </c>
    </row>
    <row r="463" spans="1:2">
      <c r="A463" s="1203">
        <v>41857</v>
      </c>
      <c r="B463" s="1205">
        <v>10.718400000000001</v>
      </c>
    </row>
    <row r="464" spans="1:2">
      <c r="A464" s="1203">
        <v>41856</v>
      </c>
      <c r="B464" s="1205">
        <v>10.7476</v>
      </c>
    </row>
    <row r="465" spans="1:2">
      <c r="A465" s="1203">
        <v>41855</v>
      </c>
      <c r="B465" s="1205">
        <v>10.688800000000001</v>
      </c>
    </row>
    <row r="466" spans="1:2">
      <c r="A466" s="1203">
        <v>41852</v>
      </c>
      <c r="B466" s="1205">
        <v>10.7151</v>
      </c>
    </row>
    <row r="467" spans="1:2">
      <c r="A467" s="1203">
        <v>41851</v>
      </c>
      <c r="B467" s="1205">
        <v>10.7029</v>
      </c>
    </row>
    <row r="468" spans="1:2">
      <c r="A468" s="1203">
        <v>41850</v>
      </c>
      <c r="B468" s="1205">
        <v>10.7065</v>
      </c>
    </row>
    <row r="469" spans="1:2">
      <c r="A469" s="1203">
        <v>41849</v>
      </c>
      <c r="B469" s="1205">
        <v>10.5913</v>
      </c>
    </row>
    <row r="470" spans="1:2">
      <c r="A470" s="1203">
        <v>41848</v>
      </c>
      <c r="B470" s="1205">
        <v>10.5787</v>
      </c>
    </row>
    <row r="471" spans="1:2">
      <c r="A471" s="1203">
        <v>41845</v>
      </c>
      <c r="B471" s="1205">
        <v>10.5136</v>
      </c>
    </row>
    <row r="472" spans="1:2">
      <c r="A472" s="1203">
        <v>41844</v>
      </c>
      <c r="B472" s="1205">
        <v>10.525700000000001</v>
      </c>
    </row>
    <row r="473" spans="1:2">
      <c r="A473" s="1203">
        <v>41843</v>
      </c>
      <c r="B473" s="1205">
        <v>10.4955</v>
      </c>
    </row>
    <row r="474" spans="1:2">
      <c r="A474" s="1203">
        <v>41842</v>
      </c>
      <c r="B474" s="1205">
        <v>10.5761</v>
      </c>
    </row>
    <row r="475" spans="1:2">
      <c r="A475" s="1203">
        <v>41841</v>
      </c>
      <c r="B475" s="1205">
        <v>10.603300000000001</v>
      </c>
    </row>
    <row r="476" spans="1:2">
      <c r="A476" s="1203">
        <v>41838</v>
      </c>
      <c r="B476" s="1205">
        <v>10.651199999999999</v>
      </c>
    </row>
    <row r="477" spans="1:2">
      <c r="A477" s="1203">
        <v>41837</v>
      </c>
      <c r="B477" s="1205">
        <v>10.69</v>
      </c>
    </row>
    <row r="478" spans="1:2">
      <c r="A478" s="1203">
        <v>41836</v>
      </c>
      <c r="B478" s="1205">
        <v>10.668900000000001</v>
      </c>
    </row>
    <row r="479" spans="1:2">
      <c r="A479" s="1203">
        <v>41835</v>
      </c>
      <c r="B479" s="1205">
        <v>10.6999</v>
      </c>
    </row>
    <row r="480" spans="1:2">
      <c r="A480" s="1203">
        <v>41834</v>
      </c>
      <c r="B480" s="1205">
        <v>10.6821</v>
      </c>
    </row>
    <row r="481" spans="1:2">
      <c r="A481" s="1203">
        <v>41831</v>
      </c>
      <c r="B481" s="1205">
        <v>10.7188</v>
      </c>
    </row>
    <row r="482" spans="1:2">
      <c r="A482" s="1203">
        <v>41830</v>
      </c>
      <c r="B482" s="1205">
        <v>10.701000000000001</v>
      </c>
    </row>
    <row r="483" spans="1:2">
      <c r="A483" s="1203">
        <v>41829</v>
      </c>
      <c r="B483" s="1205">
        <v>10.697800000000001</v>
      </c>
    </row>
    <row r="484" spans="1:2">
      <c r="A484" s="1203">
        <v>41828</v>
      </c>
      <c r="B484" s="1205">
        <v>10.692</v>
      </c>
    </row>
    <row r="485" spans="1:2">
      <c r="A485" s="1203">
        <v>41827</v>
      </c>
      <c r="B485" s="1205">
        <v>10.7654</v>
      </c>
    </row>
    <row r="486" spans="1:2">
      <c r="A486" s="1203">
        <v>41824</v>
      </c>
      <c r="B486" s="1205">
        <v>10.7508</v>
      </c>
    </row>
    <row r="487" spans="1:2">
      <c r="A487" s="1203">
        <v>41823</v>
      </c>
      <c r="B487" s="1205">
        <v>10.741099999999999</v>
      </c>
    </row>
    <row r="488" spans="1:2">
      <c r="A488" s="1203">
        <v>41822</v>
      </c>
      <c r="B488" s="1205">
        <v>10.7669</v>
      </c>
    </row>
    <row r="489" spans="1:2">
      <c r="A489" s="1203">
        <v>41821</v>
      </c>
      <c r="B489" s="1205">
        <v>10.668100000000001</v>
      </c>
    </row>
    <row r="490" spans="1:2">
      <c r="A490" s="1203">
        <v>41820</v>
      </c>
      <c r="B490" s="1205">
        <v>10.627700000000001</v>
      </c>
    </row>
    <row r="491" spans="1:2">
      <c r="A491" s="1203">
        <v>41817</v>
      </c>
      <c r="B491" s="1205">
        <v>10.617000000000001</v>
      </c>
    </row>
    <row r="492" spans="1:2">
      <c r="A492" s="1203">
        <v>41816</v>
      </c>
      <c r="B492" s="1205">
        <v>10.6449</v>
      </c>
    </row>
    <row r="493" spans="1:2">
      <c r="A493" s="1203">
        <v>41815</v>
      </c>
      <c r="B493" s="1205">
        <v>10.616400000000001</v>
      </c>
    </row>
    <row r="494" spans="1:2">
      <c r="A494" s="1203">
        <v>41814</v>
      </c>
      <c r="B494" s="1205">
        <v>10.612400000000001</v>
      </c>
    </row>
    <row r="495" spans="1:2">
      <c r="A495" s="1203">
        <v>41813</v>
      </c>
      <c r="B495" s="1205">
        <v>10.577199999999999</v>
      </c>
    </row>
    <row r="496" spans="1:2">
      <c r="A496" s="1203">
        <v>41810</v>
      </c>
      <c r="B496" s="1205">
        <v>10.694100000000001</v>
      </c>
    </row>
    <row r="497" spans="1:2">
      <c r="A497" s="1203">
        <v>41809</v>
      </c>
      <c r="B497" s="1205">
        <v>10.7204</v>
      </c>
    </row>
    <row r="498" spans="1:2">
      <c r="A498" s="1203">
        <v>41808</v>
      </c>
      <c r="B498" s="1205">
        <v>10.737299999999999</v>
      </c>
    </row>
    <row r="499" spans="1:2">
      <c r="A499" s="1203">
        <v>41807</v>
      </c>
      <c r="B499" s="1205">
        <v>10.8407</v>
      </c>
    </row>
    <row r="500" spans="1:2">
      <c r="A500" s="1203">
        <v>41806</v>
      </c>
      <c r="B500" s="1205">
        <v>10.7424</v>
      </c>
    </row>
    <row r="501" spans="1:2">
      <c r="A501" s="1203">
        <v>41803</v>
      </c>
      <c r="B501" s="1205">
        <v>10.677199999999999</v>
      </c>
    </row>
    <row r="502" spans="1:2">
      <c r="A502" s="1203">
        <v>41802</v>
      </c>
      <c r="B502" s="1205">
        <v>10.6883</v>
      </c>
    </row>
    <row r="503" spans="1:2">
      <c r="A503" s="1203">
        <v>41801</v>
      </c>
      <c r="B503" s="1205">
        <v>10.733499999999999</v>
      </c>
    </row>
    <row r="504" spans="1:2">
      <c r="A504" s="1203">
        <v>41800</v>
      </c>
      <c r="B504" s="1205">
        <v>10.7136</v>
      </c>
    </row>
    <row r="505" spans="1:2">
      <c r="A505" s="1203">
        <v>41799</v>
      </c>
      <c r="B505" s="1205">
        <v>10.6465</v>
      </c>
    </row>
    <row r="506" spans="1:2">
      <c r="A506" s="1203">
        <v>41796</v>
      </c>
      <c r="B506" s="1205">
        <v>10.576499999999999</v>
      </c>
    </row>
    <row r="507" spans="1:2">
      <c r="A507" s="1203">
        <v>41795</v>
      </c>
      <c r="B507" s="1205">
        <v>10.6996</v>
      </c>
    </row>
    <row r="508" spans="1:2">
      <c r="A508" s="1203">
        <v>41794</v>
      </c>
      <c r="B508" s="1205">
        <v>10.753299999999999</v>
      </c>
    </row>
    <row r="509" spans="1:2">
      <c r="A509" s="1203">
        <v>41793</v>
      </c>
      <c r="B509" s="1205">
        <v>10.7394</v>
      </c>
    </row>
    <row r="510" spans="1:2">
      <c r="A510" s="1203">
        <v>41792</v>
      </c>
      <c r="B510" s="1205">
        <v>10.6701</v>
      </c>
    </row>
    <row r="511" spans="1:2">
      <c r="A511" s="1203">
        <v>41789</v>
      </c>
      <c r="B511" s="1205">
        <v>10.5731</v>
      </c>
    </row>
    <row r="512" spans="1:2">
      <c r="A512" s="1203">
        <v>41788</v>
      </c>
      <c r="B512" s="1205">
        <v>10.4092</v>
      </c>
    </row>
    <row r="513" spans="1:2">
      <c r="A513" s="1203">
        <v>41787</v>
      </c>
      <c r="B513" s="1205">
        <v>10.4697</v>
      </c>
    </row>
    <row r="514" spans="1:2">
      <c r="A514" s="1203">
        <v>41786</v>
      </c>
      <c r="B514" s="1205">
        <v>10.462300000000001</v>
      </c>
    </row>
    <row r="515" spans="1:2">
      <c r="A515" s="1203">
        <v>41785</v>
      </c>
      <c r="B515" s="1205">
        <v>10.359400000000001</v>
      </c>
    </row>
    <row r="516" spans="1:2">
      <c r="A516" s="1203">
        <v>41782</v>
      </c>
      <c r="B516" s="1205">
        <v>10.315799999999999</v>
      </c>
    </row>
    <row r="517" spans="1:2">
      <c r="A517" s="1203">
        <v>41781</v>
      </c>
      <c r="B517" s="1205">
        <v>10.3292</v>
      </c>
    </row>
    <row r="518" spans="1:2">
      <c r="A518" s="1203">
        <v>41780</v>
      </c>
      <c r="B518" s="1205">
        <v>10.413399999999999</v>
      </c>
    </row>
    <row r="519" spans="1:2">
      <c r="A519" s="1203">
        <v>41779</v>
      </c>
      <c r="B519" s="1205">
        <v>10.452299999999999</v>
      </c>
    </row>
    <row r="520" spans="1:2">
      <c r="A520" s="1203">
        <v>41778</v>
      </c>
      <c r="B520" s="1205">
        <v>10.347799999999999</v>
      </c>
    </row>
    <row r="521" spans="1:2">
      <c r="A521" s="1203">
        <v>41775</v>
      </c>
      <c r="B521" s="1205">
        <v>10.346299999999999</v>
      </c>
    </row>
    <row r="522" spans="1:2">
      <c r="A522" s="1203">
        <v>41774</v>
      </c>
      <c r="B522" s="1205">
        <v>10.4129</v>
      </c>
    </row>
    <row r="523" spans="1:2">
      <c r="A523" s="1203">
        <v>41773</v>
      </c>
      <c r="B523" s="1205">
        <v>10.300800000000001</v>
      </c>
    </row>
    <row r="524" spans="1:2">
      <c r="A524" s="1203">
        <v>41772</v>
      </c>
      <c r="B524" s="1205">
        <v>10.314399999999999</v>
      </c>
    </row>
    <row r="525" spans="1:2">
      <c r="A525" s="1203">
        <v>41771</v>
      </c>
      <c r="B525" s="1205">
        <v>10.3628</v>
      </c>
    </row>
    <row r="526" spans="1:2">
      <c r="A526" s="1203">
        <v>41768</v>
      </c>
      <c r="B526" s="1205">
        <v>10.377599999999999</v>
      </c>
    </row>
    <row r="527" spans="1:2">
      <c r="A527" s="1203">
        <v>41767</v>
      </c>
      <c r="B527" s="1205">
        <v>10.3309</v>
      </c>
    </row>
    <row r="528" spans="1:2">
      <c r="A528" s="1203">
        <v>41766</v>
      </c>
      <c r="B528" s="1205">
        <v>10.4701</v>
      </c>
    </row>
    <row r="529" spans="1:2">
      <c r="A529" s="1203">
        <v>41765</v>
      </c>
      <c r="B529" s="1205">
        <v>10.478300000000001</v>
      </c>
    </row>
    <row r="530" spans="1:2">
      <c r="A530" s="1203">
        <v>41764</v>
      </c>
      <c r="B530" s="1205">
        <v>10.5336</v>
      </c>
    </row>
    <row r="531" spans="1:2">
      <c r="A531" s="1203">
        <v>41761</v>
      </c>
      <c r="B531" s="1205">
        <v>10.4612</v>
      </c>
    </row>
    <row r="532" spans="1:2">
      <c r="A532" s="1203">
        <v>41760</v>
      </c>
      <c r="B532" s="1205">
        <v>10.484500000000001</v>
      </c>
    </row>
    <row r="533" spans="1:2">
      <c r="A533" s="1203">
        <v>41759</v>
      </c>
      <c r="B533" s="1205">
        <v>10.527699999999999</v>
      </c>
    </row>
    <row r="534" spans="1:2">
      <c r="A534" s="1203">
        <v>41758</v>
      </c>
      <c r="B534" s="1205">
        <v>10.557499999999999</v>
      </c>
    </row>
    <row r="535" spans="1:2">
      <c r="A535" s="1203">
        <v>41757</v>
      </c>
      <c r="B535" s="1205">
        <v>10.6211</v>
      </c>
    </row>
    <row r="536" spans="1:2">
      <c r="A536" s="1203">
        <v>41754</v>
      </c>
      <c r="B536" s="1205">
        <v>10.6416</v>
      </c>
    </row>
    <row r="537" spans="1:2">
      <c r="A537" s="1203">
        <v>41753</v>
      </c>
      <c r="B537" s="1205">
        <v>10.625999999999999</v>
      </c>
    </row>
    <row r="538" spans="1:2">
      <c r="A538" s="1203">
        <v>41752</v>
      </c>
      <c r="B538" s="1205">
        <v>10.595700000000001</v>
      </c>
    </row>
    <row r="539" spans="1:2">
      <c r="A539" s="1203">
        <v>41751</v>
      </c>
      <c r="B539" s="1205">
        <v>10.5465</v>
      </c>
    </row>
    <row r="540" spans="1:2">
      <c r="A540" s="1203">
        <v>41750</v>
      </c>
      <c r="B540" s="1205">
        <v>10.503500000000001</v>
      </c>
    </row>
    <row r="541" spans="1:2">
      <c r="A541" s="1203">
        <v>41747</v>
      </c>
      <c r="B541" s="1205">
        <v>10.4885</v>
      </c>
    </row>
    <row r="542" spans="1:2">
      <c r="A542" s="1203">
        <v>41746</v>
      </c>
      <c r="B542" s="1205">
        <v>10.4948</v>
      </c>
    </row>
    <row r="543" spans="1:2">
      <c r="A543" s="1203">
        <v>41745</v>
      </c>
      <c r="B543" s="1205">
        <v>10.555</v>
      </c>
    </row>
    <row r="544" spans="1:2">
      <c r="A544" s="1203">
        <v>41744</v>
      </c>
      <c r="B544" s="1205">
        <v>10.587</v>
      </c>
    </row>
    <row r="545" spans="1:2">
      <c r="A545" s="1203">
        <v>41743</v>
      </c>
      <c r="B545" s="1205">
        <v>10.5002</v>
      </c>
    </row>
    <row r="546" spans="1:2">
      <c r="A546" s="1203">
        <v>41740</v>
      </c>
      <c r="B546" s="1205">
        <v>10.479200000000001</v>
      </c>
    </row>
    <row r="547" spans="1:2">
      <c r="A547" s="1203">
        <v>41739</v>
      </c>
      <c r="B547" s="1205">
        <v>10.4152</v>
      </c>
    </row>
    <row r="548" spans="1:2">
      <c r="A548" s="1203">
        <v>41738</v>
      </c>
      <c r="B548" s="1205">
        <v>10.461399999999999</v>
      </c>
    </row>
    <row r="549" spans="1:2">
      <c r="A549" s="1203">
        <v>41737</v>
      </c>
      <c r="B549" s="1205">
        <v>10.4344</v>
      </c>
    </row>
    <row r="550" spans="1:2">
      <c r="A550" s="1203">
        <v>41736</v>
      </c>
      <c r="B550" s="1205">
        <v>10.522399999999999</v>
      </c>
    </row>
    <row r="551" spans="1:2">
      <c r="A551" s="1203">
        <v>41733</v>
      </c>
      <c r="B551" s="1205">
        <v>10.538</v>
      </c>
    </row>
    <row r="552" spans="1:2">
      <c r="A552" s="1203">
        <v>41732</v>
      </c>
      <c r="B552" s="1205">
        <v>10.6403</v>
      </c>
    </row>
    <row r="553" spans="1:2">
      <c r="A553" s="1203">
        <v>41731</v>
      </c>
      <c r="B553" s="1205">
        <v>10.605</v>
      </c>
    </row>
    <row r="554" spans="1:2">
      <c r="A554" s="1203">
        <v>41730</v>
      </c>
      <c r="B554" s="1205">
        <v>10.5669</v>
      </c>
    </row>
    <row r="555" spans="1:2">
      <c r="A555" s="1203">
        <v>41729</v>
      </c>
      <c r="B555" s="1205">
        <v>10.5192</v>
      </c>
    </row>
    <row r="556" spans="1:2">
      <c r="A556" s="1203">
        <v>41726</v>
      </c>
      <c r="B556" s="1205">
        <v>10.586600000000001</v>
      </c>
    </row>
    <row r="557" spans="1:2">
      <c r="A557" s="1203">
        <v>41725</v>
      </c>
      <c r="B557" s="1205">
        <v>10.5977</v>
      </c>
    </row>
    <row r="558" spans="1:2">
      <c r="A558" s="1203">
        <v>41724</v>
      </c>
      <c r="B558" s="1205">
        <v>10.6777</v>
      </c>
    </row>
    <row r="559" spans="1:2">
      <c r="A559" s="1203">
        <v>41723</v>
      </c>
      <c r="B559" s="1205">
        <v>10.7432</v>
      </c>
    </row>
    <row r="560" spans="1:2">
      <c r="A560" s="1203">
        <v>41722</v>
      </c>
      <c r="B560" s="1205">
        <v>10.818999999999999</v>
      </c>
    </row>
    <row r="561" spans="1:2">
      <c r="A561" s="1203">
        <v>41719</v>
      </c>
      <c r="B561" s="1205">
        <v>10.886800000000001</v>
      </c>
    </row>
    <row r="562" spans="1:2">
      <c r="A562" s="1203">
        <v>41718</v>
      </c>
      <c r="B562" s="1205">
        <v>10.8835</v>
      </c>
    </row>
    <row r="563" spans="1:2">
      <c r="A563" s="1203">
        <v>41717</v>
      </c>
      <c r="B563" s="1205">
        <v>10.7666</v>
      </c>
    </row>
    <row r="564" spans="1:2">
      <c r="A564" s="1203">
        <v>41716</v>
      </c>
      <c r="B564" s="1205">
        <v>10.744299999999999</v>
      </c>
    </row>
    <row r="565" spans="1:2">
      <c r="A565" s="1203">
        <v>41715</v>
      </c>
      <c r="B565" s="1205">
        <v>10.724500000000001</v>
      </c>
    </row>
    <row r="566" spans="1:2">
      <c r="A566" s="1203">
        <v>41712</v>
      </c>
      <c r="B566" s="1205">
        <v>10.6943</v>
      </c>
    </row>
    <row r="567" spans="1:2">
      <c r="A567" s="1203">
        <v>41711</v>
      </c>
      <c r="B567" s="1205">
        <v>10.791</v>
      </c>
    </row>
    <row r="568" spans="1:2">
      <c r="A568" s="1203">
        <v>41710</v>
      </c>
      <c r="B568" s="1205">
        <v>10.8271</v>
      </c>
    </row>
    <row r="569" spans="1:2">
      <c r="A569" s="1203">
        <v>41709</v>
      </c>
      <c r="B569" s="1205">
        <v>10.850300000000001</v>
      </c>
    </row>
    <row r="570" spans="1:2">
      <c r="A570" s="1203">
        <v>41708</v>
      </c>
      <c r="B570" s="1205">
        <v>10.7592</v>
      </c>
    </row>
    <row r="571" spans="1:2">
      <c r="A571" s="1203">
        <v>41705</v>
      </c>
      <c r="B571" s="1205">
        <v>10.717000000000001</v>
      </c>
    </row>
    <row r="572" spans="1:2">
      <c r="A572" s="1203">
        <v>41704</v>
      </c>
      <c r="B572" s="1205">
        <v>10.6067</v>
      </c>
    </row>
    <row r="573" spans="1:2">
      <c r="A573" s="1203">
        <v>41703</v>
      </c>
      <c r="B573" s="1205">
        <v>10.6747</v>
      </c>
    </row>
    <row r="574" spans="1:2">
      <c r="A574" s="1203">
        <v>41702</v>
      </c>
      <c r="B574" s="1205">
        <v>10.788</v>
      </c>
    </row>
    <row r="575" spans="1:2">
      <c r="A575" s="1203">
        <v>41701</v>
      </c>
      <c r="B575" s="1205">
        <v>10.8819</v>
      </c>
    </row>
    <row r="576" spans="1:2">
      <c r="A576" s="1203">
        <v>41698</v>
      </c>
      <c r="B576" s="1205">
        <v>10.7188</v>
      </c>
    </row>
    <row r="577" spans="1:2">
      <c r="A577" s="1203">
        <v>41697</v>
      </c>
      <c r="B577" s="1205">
        <v>10.7323</v>
      </c>
    </row>
    <row r="578" spans="1:2">
      <c r="A578" s="1203">
        <v>41696</v>
      </c>
      <c r="B578" s="1205">
        <v>10.839399999999999</v>
      </c>
    </row>
    <row r="579" spans="1:2">
      <c r="A579" s="1203">
        <v>41695</v>
      </c>
      <c r="B579" s="1205">
        <v>10.718400000000001</v>
      </c>
    </row>
    <row r="580" spans="1:2">
      <c r="A580" s="1203">
        <v>41694</v>
      </c>
      <c r="B580" s="1205">
        <v>10.7979</v>
      </c>
    </row>
    <row r="581" spans="1:2">
      <c r="A581" s="1203">
        <v>41691</v>
      </c>
      <c r="B581" s="1205">
        <v>10.9316</v>
      </c>
    </row>
    <row r="582" spans="1:2">
      <c r="A582" s="1203">
        <v>41690</v>
      </c>
      <c r="B582" s="1205">
        <v>11.01</v>
      </c>
    </row>
    <row r="583" spans="1:2">
      <c r="A583" s="1203">
        <v>41689</v>
      </c>
      <c r="B583" s="1205">
        <v>11.012</v>
      </c>
    </row>
    <row r="584" spans="1:2">
      <c r="A584" s="1203">
        <v>41688</v>
      </c>
      <c r="B584" s="1205">
        <v>10.862</v>
      </c>
    </row>
    <row r="585" spans="1:2">
      <c r="A585" s="1203">
        <v>41687</v>
      </c>
      <c r="B585" s="1205">
        <v>10.8287</v>
      </c>
    </row>
    <row r="586" spans="1:2">
      <c r="A586" s="1203">
        <v>41684</v>
      </c>
      <c r="B586" s="1205">
        <v>10.863300000000001</v>
      </c>
    </row>
    <row r="587" spans="1:2">
      <c r="A587" s="1203">
        <v>41683</v>
      </c>
      <c r="B587" s="1205">
        <v>10.9969</v>
      </c>
    </row>
    <row r="588" spans="1:2">
      <c r="A588" s="1203">
        <v>41682</v>
      </c>
      <c r="B588" s="1205">
        <v>11.029</v>
      </c>
    </row>
    <row r="589" spans="1:2">
      <c r="A589" s="1203">
        <v>41681</v>
      </c>
      <c r="B589" s="1205">
        <v>10.9884</v>
      </c>
    </row>
    <row r="590" spans="1:2">
      <c r="A590" s="1203">
        <v>41680</v>
      </c>
      <c r="B590" s="1205">
        <v>11.138299999999999</v>
      </c>
    </row>
    <row r="591" spans="1:2">
      <c r="A591" s="1203">
        <v>41677</v>
      </c>
      <c r="B591" s="1205">
        <v>11.0535</v>
      </c>
    </row>
    <row r="592" spans="1:2">
      <c r="A592" s="1203">
        <v>41676</v>
      </c>
      <c r="B592" s="1205">
        <v>11.024100000000001</v>
      </c>
    </row>
    <row r="593" spans="1:2">
      <c r="A593" s="1203">
        <v>41675</v>
      </c>
      <c r="B593" s="1205">
        <v>11.1556</v>
      </c>
    </row>
    <row r="594" spans="1:2">
      <c r="A594" s="1203">
        <v>41674</v>
      </c>
      <c r="B594" s="1205">
        <v>11.0776</v>
      </c>
    </row>
    <row r="595" spans="1:2">
      <c r="A595" s="1203">
        <v>41673</v>
      </c>
      <c r="B595" s="1205">
        <v>11.224500000000001</v>
      </c>
    </row>
    <row r="596" spans="1:2">
      <c r="A596" s="1203">
        <v>41670</v>
      </c>
      <c r="B596" s="1205">
        <v>11.124000000000001</v>
      </c>
    </row>
    <row r="597" spans="1:2">
      <c r="A597" s="1203">
        <v>41669</v>
      </c>
      <c r="B597" s="1205">
        <v>11.2035</v>
      </c>
    </row>
    <row r="598" spans="1:2">
      <c r="A598" s="1203">
        <v>41668</v>
      </c>
      <c r="B598" s="1205">
        <v>11.2311</v>
      </c>
    </row>
    <row r="599" spans="1:2">
      <c r="A599" s="1203">
        <v>41667</v>
      </c>
      <c r="B599" s="1205">
        <v>11.073499999999999</v>
      </c>
    </row>
    <row r="600" spans="1:2">
      <c r="A600" s="1203">
        <v>41666</v>
      </c>
      <c r="B600" s="1205">
        <v>11.160600000000001</v>
      </c>
    </row>
    <row r="601" spans="1:2">
      <c r="A601" s="1203">
        <v>41663</v>
      </c>
      <c r="B601" s="1205">
        <v>11.093</v>
      </c>
    </row>
    <row r="602" spans="1:2">
      <c r="A602" s="1203">
        <v>41662</v>
      </c>
      <c r="B602" s="1205">
        <v>11.034599999999999</v>
      </c>
    </row>
    <row r="603" spans="1:2">
      <c r="A603" s="1203">
        <v>41661</v>
      </c>
      <c r="B603" s="1205">
        <v>10.8736</v>
      </c>
    </row>
    <row r="604" spans="1:2">
      <c r="A604" s="1203">
        <v>41660</v>
      </c>
      <c r="B604" s="1205">
        <v>10.8566</v>
      </c>
    </row>
    <row r="605" spans="1:2">
      <c r="A605" s="1203">
        <v>41659</v>
      </c>
      <c r="B605" s="1205">
        <v>10.858499999999999</v>
      </c>
    </row>
    <row r="606" spans="1:2">
      <c r="A606" s="1203">
        <v>41656</v>
      </c>
      <c r="B606" s="1205">
        <v>10.837</v>
      </c>
    </row>
    <row r="607" spans="1:2">
      <c r="A607" s="1203">
        <v>41655</v>
      </c>
      <c r="B607" s="1205">
        <v>10.92</v>
      </c>
    </row>
    <row r="608" spans="1:2">
      <c r="A608" s="1203">
        <v>41654</v>
      </c>
      <c r="B608" s="1205">
        <v>10.8588</v>
      </c>
    </row>
    <row r="609" spans="1:2">
      <c r="A609" s="1203">
        <v>41653</v>
      </c>
      <c r="B609" s="1205">
        <v>10.8058</v>
      </c>
    </row>
    <row r="610" spans="1:2">
      <c r="A610" s="1203">
        <v>41652</v>
      </c>
      <c r="B610" s="1205">
        <v>10.816800000000001</v>
      </c>
    </row>
    <row r="611" spans="1:2">
      <c r="A611" s="1203">
        <v>41649</v>
      </c>
      <c r="B611" s="1205">
        <v>10.668699999999999</v>
      </c>
    </row>
    <row r="612" spans="1:2">
      <c r="A612" s="1203">
        <v>41648</v>
      </c>
      <c r="B612" s="1205">
        <v>10.7948</v>
      </c>
    </row>
    <row r="613" spans="1:2">
      <c r="A613" s="1203">
        <v>41647</v>
      </c>
      <c r="B613" s="1205">
        <v>10.764099999999999</v>
      </c>
    </row>
    <row r="614" spans="1:2">
      <c r="A614" s="1203">
        <v>41646</v>
      </c>
      <c r="B614" s="1205">
        <v>10.6348</v>
      </c>
    </row>
    <row r="615" spans="1:2">
      <c r="A615" s="1203">
        <v>41645</v>
      </c>
      <c r="B615" s="1205">
        <v>10.6402</v>
      </c>
    </row>
    <row r="616" spans="1:2">
      <c r="A616" s="1203">
        <v>41642</v>
      </c>
      <c r="B616" s="1205">
        <v>10.6501</v>
      </c>
    </row>
    <row r="617" spans="1:2">
      <c r="A617" s="1203">
        <v>41641</v>
      </c>
      <c r="B617" s="1205">
        <v>10.6884</v>
      </c>
    </row>
    <row r="618" spans="1:2">
      <c r="A618" s="1203">
        <v>41640</v>
      </c>
      <c r="B618" s="1205">
        <v>10.44</v>
      </c>
    </row>
    <row r="619" spans="1:2">
      <c r="A619" s="1203">
        <v>41639</v>
      </c>
      <c r="B619" s="1205">
        <v>10.5206</v>
      </c>
    </row>
    <row r="620" spans="1:2">
      <c r="A620" s="1203">
        <v>41638</v>
      </c>
      <c r="B620" s="1205">
        <v>10.4323</v>
      </c>
    </row>
    <row r="621" spans="1:2">
      <c r="A621" s="1203">
        <v>41635</v>
      </c>
      <c r="B621" s="1205">
        <v>10.5404</v>
      </c>
    </row>
    <row r="622" spans="1:2">
      <c r="A622" s="1203">
        <v>41634</v>
      </c>
      <c r="B622" s="1205">
        <v>10.353400000000001</v>
      </c>
    </row>
    <row r="623" spans="1:2">
      <c r="A623" s="1203">
        <v>41633</v>
      </c>
      <c r="B623" s="1205">
        <v>10.3325</v>
      </c>
    </row>
    <row r="624" spans="1:2">
      <c r="A624" s="1203">
        <v>41632</v>
      </c>
      <c r="B624" s="1205">
        <v>10.344099999999999</v>
      </c>
    </row>
    <row r="625" spans="1:2">
      <c r="A625" s="1203">
        <v>41631</v>
      </c>
      <c r="B625" s="1205">
        <v>10.3256</v>
      </c>
    </row>
    <row r="626" spans="1:2">
      <c r="A626" s="1203">
        <v>41628</v>
      </c>
      <c r="B626" s="1205">
        <v>10.3375</v>
      </c>
    </row>
    <row r="627" spans="1:2">
      <c r="A627" s="1203">
        <v>41627</v>
      </c>
      <c r="B627" s="1205">
        <v>10.377599999999999</v>
      </c>
    </row>
    <row r="628" spans="1:2">
      <c r="A628" s="1203">
        <v>41626</v>
      </c>
      <c r="B628" s="1205">
        <v>10.3529</v>
      </c>
    </row>
    <row r="629" spans="1:2">
      <c r="A629" s="1203">
        <v>41625</v>
      </c>
      <c r="B629" s="1205">
        <v>10.3459</v>
      </c>
    </row>
    <row r="630" spans="1:2">
      <c r="A630" s="1203">
        <v>41624</v>
      </c>
      <c r="B630" s="1205">
        <v>10.2812</v>
      </c>
    </row>
    <row r="631" spans="1:2">
      <c r="A631" s="1203">
        <v>41621</v>
      </c>
      <c r="B631" s="1205">
        <v>10.3329</v>
      </c>
    </row>
    <row r="632" spans="1:2">
      <c r="A632" s="1203">
        <v>41620</v>
      </c>
      <c r="B632" s="1205">
        <v>10.429</v>
      </c>
    </row>
    <row r="633" spans="1:2">
      <c r="A633" s="1203">
        <v>41619</v>
      </c>
      <c r="B633" s="1205">
        <v>10.381</v>
      </c>
    </row>
    <row r="634" spans="1:2">
      <c r="A634" s="1203">
        <v>41618</v>
      </c>
      <c r="B634" s="1205">
        <v>10.345700000000001</v>
      </c>
    </row>
    <row r="635" spans="1:2">
      <c r="A635" s="1203">
        <v>41617</v>
      </c>
      <c r="B635" s="1205">
        <v>10.387600000000001</v>
      </c>
    </row>
    <row r="636" spans="1:2">
      <c r="A636" s="1203">
        <v>41614</v>
      </c>
      <c r="B636" s="1205">
        <v>10.3309</v>
      </c>
    </row>
    <row r="637" spans="1:2">
      <c r="A637" s="1203">
        <v>41613</v>
      </c>
      <c r="B637" s="1205">
        <v>10.4519</v>
      </c>
    </row>
    <row r="638" spans="1:2">
      <c r="A638" s="1203">
        <v>41612</v>
      </c>
      <c r="B638" s="1205">
        <v>10.455400000000001</v>
      </c>
    </row>
    <row r="639" spans="1:2">
      <c r="A639" s="1203">
        <v>41611</v>
      </c>
      <c r="B639" s="1205">
        <v>10.363200000000001</v>
      </c>
    </row>
    <row r="640" spans="1:2">
      <c r="A640" s="1203">
        <v>41610</v>
      </c>
      <c r="B640" s="1205">
        <v>10.2644</v>
      </c>
    </row>
    <row r="641" spans="1:2">
      <c r="A641" s="1203">
        <v>41607</v>
      </c>
      <c r="B641" s="1205">
        <v>10.1891</v>
      </c>
    </row>
    <row r="642" spans="1:2">
      <c r="A642" s="1203">
        <v>41606</v>
      </c>
      <c r="B642" s="1205">
        <v>10.198399999999999</v>
      </c>
    </row>
    <row r="643" spans="1:2">
      <c r="A643" s="1203">
        <v>41605</v>
      </c>
      <c r="B643" s="1205">
        <v>10.2265</v>
      </c>
    </row>
    <row r="644" spans="1:2">
      <c r="A644" s="1203">
        <v>41604</v>
      </c>
      <c r="B644" s="1205">
        <v>10.133699999999999</v>
      </c>
    </row>
    <row r="645" spans="1:2">
      <c r="A645" s="1203">
        <v>41603</v>
      </c>
      <c r="B645" s="1205">
        <v>10.0808</v>
      </c>
    </row>
    <row r="646" spans="1:2">
      <c r="A646" s="1203">
        <v>41600</v>
      </c>
      <c r="B646" s="1205">
        <v>10.081200000000001</v>
      </c>
    </row>
    <row r="647" spans="1:2">
      <c r="A647" s="1203">
        <v>41599</v>
      </c>
      <c r="B647" s="1205">
        <v>10.1546</v>
      </c>
    </row>
    <row r="648" spans="1:2">
      <c r="A648" s="1203">
        <v>41598</v>
      </c>
      <c r="B648" s="1205">
        <v>10.120699999999999</v>
      </c>
    </row>
    <row r="649" spans="1:2">
      <c r="A649" s="1203">
        <v>41597</v>
      </c>
      <c r="B649" s="1205">
        <v>10.187099999999999</v>
      </c>
    </row>
    <row r="650" spans="1:2">
      <c r="A650" s="1203">
        <v>41596</v>
      </c>
      <c r="B650" s="1205">
        <v>10.127000000000001</v>
      </c>
    </row>
    <row r="651" spans="1:2">
      <c r="A651" s="1203">
        <v>41593</v>
      </c>
      <c r="B651" s="1205">
        <v>10.1744</v>
      </c>
    </row>
    <row r="652" spans="1:2">
      <c r="A652" s="1203">
        <v>41592</v>
      </c>
      <c r="B652" s="1205">
        <v>10.2127</v>
      </c>
    </row>
    <row r="653" spans="1:2">
      <c r="A653" s="1203">
        <v>41591</v>
      </c>
      <c r="B653" s="1205">
        <v>10.325799999999999</v>
      </c>
    </row>
    <row r="654" spans="1:2">
      <c r="A654" s="1203">
        <v>41590</v>
      </c>
      <c r="B654" s="1205">
        <v>10.3887</v>
      </c>
    </row>
    <row r="655" spans="1:2">
      <c r="A655" s="1203">
        <v>41589</v>
      </c>
      <c r="B655" s="1205">
        <v>10.3773</v>
      </c>
    </row>
    <row r="656" spans="1:2">
      <c r="A656" s="1203">
        <v>41586</v>
      </c>
      <c r="B656" s="1205">
        <v>10.333</v>
      </c>
    </row>
    <row r="657" spans="1:2">
      <c r="A657" s="1203">
        <v>41585</v>
      </c>
      <c r="B657" s="1205">
        <v>10.291600000000001</v>
      </c>
    </row>
    <row r="658" spans="1:2">
      <c r="A658" s="1203">
        <v>41584</v>
      </c>
      <c r="B658" s="1205">
        <v>10.2536</v>
      </c>
    </row>
    <row r="659" spans="1:2">
      <c r="A659" s="1203">
        <v>41583</v>
      </c>
      <c r="B659" s="1205">
        <v>10.215</v>
      </c>
    </row>
    <row r="660" spans="1:2">
      <c r="A660" s="1203">
        <v>41582</v>
      </c>
      <c r="B660" s="1205">
        <v>10.127700000000001</v>
      </c>
    </row>
    <row r="661" spans="1:2">
      <c r="A661" s="1203">
        <v>41579</v>
      </c>
      <c r="B661" s="1205">
        <v>10.194599999999999</v>
      </c>
    </row>
    <row r="662" spans="1:2">
      <c r="A662" s="1203">
        <v>41578</v>
      </c>
      <c r="B662" s="1205">
        <v>10.0313</v>
      </c>
    </row>
    <row r="663" spans="1:2">
      <c r="A663" s="1203">
        <v>41577</v>
      </c>
      <c r="B663" s="1205">
        <v>9.8688000000000002</v>
      </c>
    </row>
    <row r="664" spans="1:2">
      <c r="A664" s="1203">
        <v>41576</v>
      </c>
      <c r="B664" s="1205">
        <v>9.8881999999999994</v>
      </c>
    </row>
    <row r="665" spans="1:2">
      <c r="A665" s="1203">
        <v>41575</v>
      </c>
      <c r="B665" s="1205">
        <v>9.84</v>
      </c>
    </row>
    <row r="666" spans="1:2">
      <c r="A666" s="1203">
        <v>41572</v>
      </c>
      <c r="B666" s="1205">
        <v>9.8013999999999992</v>
      </c>
    </row>
    <row r="667" spans="1:2">
      <c r="A667" s="1203">
        <v>41571</v>
      </c>
      <c r="B667" s="1205">
        <v>9.7578999999999994</v>
      </c>
    </row>
    <row r="668" spans="1:2">
      <c r="A668" s="1203">
        <v>41570</v>
      </c>
      <c r="B668" s="1205">
        <v>9.7698</v>
      </c>
    </row>
    <row r="669" spans="1:2">
      <c r="A669" s="1203">
        <v>41569</v>
      </c>
      <c r="B669" s="1205">
        <v>9.7216000000000005</v>
      </c>
    </row>
    <row r="670" spans="1:2">
      <c r="A670" s="1203">
        <v>41568</v>
      </c>
      <c r="B670" s="1205">
        <v>9.8473000000000006</v>
      </c>
    </row>
    <row r="671" spans="1:2">
      <c r="A671" s="1203">
        <v>41565</v>
      </c>
      <c r="B671" s="1205">
        <v>9.7629999999999999</v>
      </c>
    </row>
    <row r="672" spans="1:2">
      <c r="A672" s="1203">
        <v>41564</v>
      </c>
      <c r="B672" s="1205">
        <v>9.8010999999999999</v>
      </c>
    </row>
    <row r="673" spans="1:2">
      <c r="A673" s="1203">
        <v>41563</v>
      </c>
      <c r="B673" s="1205">
        <v>9.8907000000000007</v>
      </c>
    </row>
    <row r="674" spans="1:2">
      <c r="A674" s="1203">
        <v>41562</v>
      </c>
      <c r="B674" s="1205">
        <v>9.9266000000000005</v>
      </c>
    </row>
    <row r="675" spans="1:2">
      <c r="A675" s="1203">
        <v>41561</v>
      </c>
      <c r="B675" s="1205">
        <v>9.9398999999999997</v>
      </c>
    </row>
    <row r="676" spans="1:2">
      <c r="A676" s="1203">
        <v>41558</v>
      </c>
      <c r="B676" s="1205">
        <v>9.9033999999999995</v>
      </c>
    </row>
    <row r="677" spans="1:2">
      <c r="A677" s="1203">
        <v>41557</v>
      </c>
      <c r="B677" s="1205">
        <v>9.9118999999999993</v>
      </c>
    </row>
    <row r="678" spans="1:2">
      <c r="A678" s="1203">
        <v>41556</v>
      </c>
      <c r="B678" s="1205">
        <v>10.016999999999999</v>
      </c>
    </row>
    <row r="679" spans="1:2">
      <c r="A679" s="1203">
        <v>41555</v>
      </c>
      <c r="B679" s="1205">
        <v>9.9981000000000009</v>
      </c>
    </row>
    <row r="680" spans="1:2">
      <c r="A680" s="1203">
        <v>41554</v>
      </c>
      <c r="B680" s="1205">
        <v>9.9824999999999999</v>
      </c>
    </row>
    <row r="681" spans="1:2">
      <c r="A681" s="1203">
        <v>41551</v>
      </c>
      <c r="B681" s="1205">
        <v>9.9827999999999992</v>
      </c>
    </row>
    <row r="682" spans="1:2">
      <c r="A682" s="1203">
        <v>41550</v>
      </c>
      <c r="B682" s="1205">
        <v>10.042899999999999</v>
      </c>
    </row>
    <row r="683" spans="1:2">
      <c r="A683" s="1203">
        <v>41549</v>
      </c>
      <c r="B683" s="1205">
        <v>10.051399999999999</v>
      </c>
    </row>
    <row r="684" spans="1:2">
      <c r="A684" s="1203">
        <v>41548</v>
      </c>
      <c r="B684" s="1205">
        <v>10.113300000000001</v>
      </c>
    </row>
    <row r="685" spans="1:2">
      <c r="A685" s="1203">
        <v>41547</v>
      </c>
      <c r="B685" s="1205">
        <v>10.0458</v>
      </c>
    </row>
    <row r="686" spans="1:2">
      <c r="A686" s="1203">
        <v>41544</v>
      </c>
      <c r="B686" s="1205">
        <v>10.075200000000001</v>
      </c>
    </row>
    <row r="687" spans="1:2">
      <c r="A687" s="1203">
        <v>41543</v>
      </c>
      <c r="B687" s="1205">
        <v>10.001799999999999</v>
      </c>
    </row>
    <row r="688" spans="1:2">
      <c r="A688" s="1203">
        <v>41542</v>
      </c>
      <c r="B688" s="1205">
        <v>9.9633000000000003</v>
      </c>
    </row>
    <row r="689" spans="1:2">
      <c r="A689" s="1203">
        <v>41541</v>
      </c>
      <c r="B689" s="1205">
        <v>9.8415999999999997</v>
      </c>
    </row>
    <row r="690" spans="1:2">
      <c r="A690" s="1203">
        <v>41540</v>
      </c>
      <c r="B690" s="1205">
        <v>9.8331</v>
      </c>
    </row>
    <row r="691" spans="1:2">
      <c r="A691" s="1203">
        <v>41537</v>
      </c>
      <c r="B691" s="1205">
        <v>9.8734000000000002</v>
      </c>
    </row>
    <row r="692" spans="1:2">
      <c r="A692" s="1203">
        <v>41536</v>
      </c>
      <c r="B692" s="1205">
        <v>9.6943000000000001</v>
      </c>
    </row>
    <row r="693" spans="1:2">
      <c r="A693" s="1203">
        <v>41535</v>
      </c>
      <c r="B693" s="1205">
        <v>9.8095999999999997</v>
      </c>
    </row>
    <row r="694" spans="1:2">
      <c r="A694" s="1203">
        <v>41534</v>
      </c>
      <c r="B694" s="1205">
        <v>9.8049999999999997</v>
      </c>
    </row>
    <row r="695" spans="1:2">
      <c r="A695" s="1203">
        <v>41533</v>
      </c>
      <c r="B695" s="1205">
        <v>9.8121000000000009</v>
      </c>
    </row>
    <row r="696" spans="1:2">
      <c r="A696" s="1203">
        <v>41530</v>
      </c>
      <c r="B696" s="1205">
        <v>9.9434000000000005</v>
      </c>
    </row>
    <row r="697" spans="1:2">
      <c r="A697" s="1203">
        <v>41529</v>
      </c>
      <c r="B697" s="1205">
        <v>9.9504999999999999</v>
      </c>
    </row>
    <row r="698" spans="1:2">
      <c r="A698" s="1203">
        <v>41528</v>
      </c>
      <c r="B698" s="1205">
        <v>9.8897999999999993</v>
      </c>
    </row>
    <row r="699" spans="1:2">
      <c r="A699" s="1203">
        <v>41527</v>
      </c>
      <c r="B699" s="1205">
        <v>10.0097</v>
      </c>
    </row>
    <row r="700" spans="1:2">
      <c r="A700" s="1203">
        <v>41526</v>
      </c>
      <c r="B700" s="1205">
        <v>9.9739000000000004</v>
      </c>
    </row>
    <row r="701" spans="1:2">
      <c r="A701" s="1203">
        <v>41523</v>
      </c>
      <c r="B701" s="1205">
        <v>10.0105</v>
      </c>
    </row>
    <row r="702" spans="1:2">
      <c r="A702" s="1203">
        <v>41522</v>
      </c>
      <c r="B702" s="1205">
        <v>10.251899999999999</v>
      </c>
    </row>
    <row r="703" spans="1:2">
      <c r="A703" s="1203">
        <v>41521</v>
      </c>
      <c r="B703" s="1205">
        <v>10.220599999999999</v>
      </c>
    </row>
    <row r="704" spans="1:2">
      <c r="A704" s="1203">
        <v>41520</v>
      </c>
      <c r="B704" s="1205">
        <v>10.334199999999999</v>
      </c>
    </row>
    <row r="705" spans="1:2">
      <c r="A705" s="1203">
        <v>41519</v>
      </c>
      <c r="B705" s="1205">
        <v>10.246</v>
      </c>
    </row>
    <row r="706" spans="1:2">
      <c r="A706" s="1203">
        <v>41516</v>
      </c>
      <c r="B706" s="1205">
        <v>10.2631</v>
      </c>
    </row>
    <row r="707" spans="1:2">
      <c r="A707" s="1203">
        <v>41515</v>
      </c>
      <c r="B707" s="1205">
        <v>10.3393</v>
      </c>
    </row>
    <row r="708" spans="1:2">
      <c r="A708" s="1203">
        <v>41514</v>
      </c>
      <c r="B708" s="1205">
        <v>10.3285</v>
      </c>
    </row>
    <row r="709" spans="1:2">
      <c r="A709" s="1203">
        <v>41513</v>
      </c>
      <c r="B709" s="1205">
        <v>10.412100000000001</v>
      </c>
    </row>
    <row r="710" spans="1:2">
      <c r="A710" s="1203">
        <v>41512</v>
      </c>
      <c r="B710" s="1205">
        <v>10.3255</v>
      </c>
    </row>
    <row r="711" spans="1:2">
      <c r="A711" s="1203">
        <v>41509</v>
      </c>
      <c r="B711" s="1205">
        <v>10.2195</v>
      </c>
    </row>
    <row r="712" spans="1:2">
      <c r="A712" s="1203">
        <v>41508</v>
      </c>
      <c r="B712" s="1205">
        <v>10.2615</v>
      </c>
    </row>
    <row r="713" spans="1:2">
      <c r="A713" s="1203">
        <v>41507</v>
      </c>
      <c r="B713" s="1205">
        <v>10.235799999999999</v>
      </c>
    </row>
    <row r="714" spans="1:2">
      <c r="A714" s="1203">
        <v>41506</v>
      </c>
      <c r="B714" s="1205">
        <v>10.1509</v>
      </c>
    </row>
    <row r="715" spans="1:2">
      <c r="A715" s="1203">
        <v>41505</v>
      </c>
      <c r="B715" s="1205">
        <v>10.2059</v>
      </c>
    </row>
    <row r="716" spans="1:2">
      <c r="A716" s="1203">
        <v>41502</v>
      </c>
      <c r="B716" s="1205">
        <v>10.0633</v>
      </c>
    </row>
    <row r="717" spans="1:2">
      <c r="A717" s="1203">
        <v>41501</v>
      </c>
      <c r="B717" s="1205">
        <v>9.9971999999999994</v>
      </c>
    </row>
    <row r="718" spans="1:2">
      <c r="A718" s="1203">
        <v>41500</v>
      </c>
      <c r="B718" s="1205">
        <v>9.9290000000000003</v>
      </c>
    </row>
    <row r="719" spans="1:2">
      <c r="A719" s="1203">
        <v>41499</v>
      </c>
      <c r="B719" s="1205">
        <v>9.9652999999999992</v>
      </c>
    </row>
    <row r="720" spans="1:2">
      <c r="A720" s="1203">
        <v>41498</v>
      </c>
      <c r="B720" s="1205">
        <v>9.8484999999999996</v>
      </c>
    </row>
    <row r="721" spans="1:2">
      <c r="A721" s="1203">
        <v>41495</v>
      </c>
      <c r="B721" s="1205">
        <v>9.7805</v>
      </c>
    </row>
    <row r="722" spans="1:2">
      <c r="A722" s="1203">
        <v>41494</v>
      </c>
      <c r="B722" s="1205">
        <v>9.8111999999999995</v>
      </c>
    </row>
    <row r="723" spans="1:2">
      <c r="A723" s="1203">
        <v>41493</v>
      </c>
      <c r="B723" s="1205">
        <v>9.9064999999999994</v>
      </c>
    </row>
    <row r="724" spans="1:2">
      <c r="A724" s="1203">
        <v>41492</v>
      </c>
      <c r="B724" s="1205">
        <v>9.9260999999999999</v>
      </c>
    </row>
    <row r="725" spans="1:2">
      <c r="A725" s="1203">
        <v>41491</v>
      </c>
      <c r="B725" s="1205">
        <v>9.8539999999999992</v>
      </c>
    </row>
    <row r="726" spans="1:2">
      <c r="A726" s="1203">
        <v>41488</v>
      </c>
      <c r="B726" s="1205">
        <v>9.8452000000000002</v>
      </c>
    </row>
    <row r="727" spans="1:2">
      <c r="A727" s="1203">
        <v>41487</v>
      </c>
      <c r="B727" s="1205">
        <v>9.9676000000000009</v>
      </c>
    </row>
    <row r="728" spans="1:2">
      <c r="A728" s="1203">
        <v>41486</v>
      </c>
      <c r="B728" s="1205">
        <v>9.9126999999999992</v>
      </c>
    </row>
    <row r="729" spans="1:2">
      <c r="A729" s="1203">
        <v>41485</v>
      </c>
      <c r="B729" s="1205">
        <v>9.8040000000000003</v>
      </c>
    </row>
    <row r="730" spans="1:2">
      <c r="A730" s="1203">
        <v>41484</v>
      </c>
      <c r="B730" s="1205">
        <v>9.7773000000000003</v>
      </c>
    </row>
    <row r="731" spans="1:2">
      <c r="A731" s="1203">
        <v>41481</v>
      </c>
      <c r="B731" s="1205">
        <v>9.7895000000000003</v>
      </c>
    </row>
    <row r="732" spans="1:2">
      <c r="A732" s="1203">
        <v>41480</v>
      </c>
      <c r="B732" s="1205">
        <v>9.8225999999999996</v>
      </c>
    </row>
    <row r="733" spans="1:2">
      <c r="A733" s="1203">
        <v>41479</v>
      </c>
      <c r="B733" s="1205">
        <v>9.7734000000000005</v>
      </c>
    </row>
    <row r="734" spans="1:2">
      <c r="A734" s="1203">
        <v>41478</v>
      </c>
      <c r="B734" s="1205">
        <v>9.7022999999999993</v>
      </c>
    </row>
    <row r="735" spans="1:2">
      <c r="A735" s="1203">
        <v>41477</v>
      </c>
      <c r="B735" s="1205">
        <v>9.8048000000000002</v>
      </c>
    </row>
    <row r="736" spans="1:2">
      <c r="A736" s="1203">
        <v>41474</v>
      </c>
      <c r="B736" s="1205">
        <v>9.8574000000000002</v>
      </c>
    </row>
    <row r="737" spans="1:2">
      <c r="A737" s="1203">
        <v>41473</v>
      </c>
      <c r="B737" s="1205">
        <v>9.9428000000000001</v>
      </c>
    </row>
    <row r="738" spans="1:2">
      <c r="A738" s="1203">
        <v>41472</v>
      </c>
      <c r="B738" s="1205">
        <v>9.8161000000000005</v>
      </c>
    </row>
    <row r="739" spans="1:2">
      <c r="A739" s="1203">
        <v>41471</v>
      </c>
      <c r="B739" s="1205">
        <v>9.8718000000000004</v>
      </c>
    </row>
    <row r="740" spans="1:2">
      <c r="A740" s="1203">
        <v>41470</v>
      </c>
      <c r="B740" s="1205">
        <v>9.8933999999999997</v>
      </c>
    </row>
    <row r="741" spans="1:2">
      <c r="A741" s="1203">
        <v>41467</v>
      </c>
      <c r="B741" s="1205">
        <v>9.9887999999999995</v>
      </c>
    </row>
    <row r="742" spans="1:2">
      <c r="A742" s="1203">
        <v>41466</v>
      </c>
      <c r="B742" s="1205">
        <v>10.058199999999999</v>
      </c>
    </row>
    <row r="743" spans="1:2">
      <c r="A743" s="1203">
        <v>41465</v>
      </c>
      <c r="B743" s="1205">
        <v>10.0336</v>
      </c>
    </row>
    <row r="744" spans="1:2">
      <c r="A744" s="1203">
        <v>41464</v>
      </c>
      <c r="B744" s="1205">
        <v>10.0382</v>
      </c>
    </row>
    <row r="745" spans="1:2">
      <c r="A745" s="1203">
        <v>41463</v>
      </c>
      <c r="B745" s="1205">
        <v>10.188499999999999</v>
      </c>
    </row>
    <row r="746" spans="1:2">
      <c r="A746" s="1203">
        <v>41460</v>
      </c>
      <c r="B746" s="1205">
        <v>10.178900000000001</v>
      </c>
    </row>
    <row r="747" spans="1:2">
      <c r="A747" s="1203">
        <v>41459</v>
      </c>
      <c r="B747" s="1205">
        <v>10.036199999999999</v>
      </c>
    </row>
    <row r="748" spans="1:2">
      <c r="A748" s="1203">
        <v>41458</v>
      </c>
      <c r="B748" s="1205">
        <v>10.117800000000001</v>
      </c>
    </row>
    <row r="749" spans="1:2">
      <c r="A749" s="1203">
        <v>41457</v>
      </c>
      <c r="B749" s="1205">
        <v>9.9274000000000004</v>
      </c>
    </row>
    <row r="750" spans="1:2">
      <c r="A750" s="1203">
        <v>41456</v>
      </c>
      <c r="B750" s="1205">
        <v>9.9049999999999994</v>
      </c>
    </row>
    <row r="751" spans="1:2">
      <c r="A751" s="1203">
        <v>41453</v>
      </c>
      <c r="B751" s="1205">
        <v>9.9326000000000008</v>
      </c>
    </row>
    <row r="752" spans="1:2">
      <c r="A752" s="1203">
        <v>41452</v>
      </c>
      <c r="B752" s="1205">
        <v>9.9647000000000006</v>
      </c>
    </row>
    <row r="753" spans="1:2">
      <c r="A753" s="1203">
        <v>41451</v>
      </c>
      <c r="B753" s="1205">
        <v>10.1189</v>
      </c>
    </row>
    <row r="754" spans="1:2">
      <c r="A754" s="1203">
        <v>41450</v>
      </c>
      <c r="B754" s="1205">
        <v>10.0731</v>
      </c>
    </row>
    <row r="755" spans="1:2">
      <c r="A755" s="1203">
        <v>41449</v>
      </c>
      <c r="B755" s="1205">
        <v>10.096299999999999</v>
      </c>
    </row>
    <row r="756" spans="1:2">
      <c r="A756" s="1203">
        <v>41446</v>
      </c>
      <c r="B756" s="1205">
        <v>10.175000000000001</v>
      </c>
    </row>
    <row r="757" spans="1:2">
      <c r="A757" s="1203">
        <v>41445</v>
      </c>
      <c r="B757" s="1205">
        <v>10.2034</v>
      </c>
    </row>
    <row r="758" spans="1:2">
      <c r="A758" s="1203">
        <v>41444</v>
      </c>
      <c r="B758" s="1205">
        <v>9.9602000000000004</v>
      </c>
    </row>
    <row r="759" spans="1:2">
      <c r="A759" s="1203">
        <v>41443</v>
      </c>
      <c r="B759" s="1205">
        <v>9.9850999999999992</v>
      </c>
    </row>
    <row r="760" spans="1:2">
      <c r="A760" s="1203">
        <v>41442</v>
      </c>
      <c r="B760" s="1205">
        <v>9.9174000000000007</v>
      </c>
    </row>
    <row r="761" spans="1:2">
      <c r="A761" s="1203">
        <v>41439</v>
      </c>
      <c r="B761" s="1205">
        <v>9.9803999999999995</v>
      </c>
    </row>
    <row r="762" spans="1:2">
      <c r="A762" s="1203">
        <v>41438</v>
      </c>
      <c r="B762" s="1205">
        <v>9.8728999999999996</v>
      </c>
    </row>
    <row r="763" spans="1:2">
      <c r="A763" s="1203">
        <v>41437</v>
      </c>
      <c r="B763" s="1205">
        <v>10.017799999999999</v>
      </c>
    </row>
    <row r="764" spans="1:2">
      <c r="A764" s="1203">
        <v>41436</v>
      </c>
      <c r="B764" s="1205">
        <v>10.0618</v>
      </c>
    </row>
    <row r="765" spans="1:2">
      <c r="A765" s="1203">
        <v>41435</v>
      </c>
      <c r="B765" s="1205">
        <v>10.151199999999999</v>
      </c>
    </row>
    <row r="766" spans="1:2">
      <c r="A766" s="1203">
        <v>41432</v>
      </c>
      <c r="B766" s="1205">
        <v>10.0063</v>
      </c>
    </row>
    <row r="767" spans="1:2">
      <c r="A767" s="1203">
        <v>41431</v>
      </c>
      <c r="B767" s="1205">
        <v>9.8978000000000002</v>
      </c>
    </row>
    <row r="768" spans="1:2">
      <c r="A768" s="1203">
        <v>41430</v>
      </c>
      <c r="B768" s="1205">
        <v>10.027100000000001</v>
      </c>
    </row>
    <row r="769" spans="1:2">
      <c r="A769" s="1203">
        <v>41429</v>
      </c>
      <c r="B769" s="1205">
        <v>9.8346</v>
      </c>
    </row>
    <row r="770" spans="1:2">
      <c r="A770" s="1203">
        <v>41428</v>
      </c>
      <c r="B770" s="1205">
        <v>9.8332999999999995</v>
      </c>
    </row>
    <row r="771" spans="1:2">
      <c r="A771" s="1203">
        <v>41425</v>
      </c>
      <c r="B771" s="1205">
        <v>10.087</v>
      </c>
    </row>
    <row r="772" spans="1:2">
      <c r="A772" s="1203">
        <v>41424</v>
      </c>
      <c r="B772" s="1205">
        <v>10.0298</v>
      </c>
    </row>
    <row r="773" spans="1:2">
      <c r="A773" s="1203">
        <v>41423</v>
      </c>
      <c r="B773" s="1205">
        <v>9.8331</v>
      </c>
    </row>
    <row r="774" spans="1:2">
      <c r="A774" s="1203">
        <v>41422</v>
      </c>
      <c r="B774" s="1205">
        <v>9.7737999999999996</v>
      </c>
    </row>
    <row r="775" spans="1:2">
      <c r="A775" s="1203">
        <v>41421</v>
      </c>
      <c r="B775" s="1205">
        <v>9.6111000000000004</v>
      </c>
    </row>
    <row r="776" spans="1:2">
      <c r="A776" s="1203">
        <v>41418</v>
      </c>
      <c r="B776" s="1205">
        <v>9.5939999999999994</v>
      </c>
    </row>
    <row r="777" spans="1:2">
      <c r="A777" s="1203">
        <v>41417</v>
      </c>
      <c r="B777" s="1205">
        <v>9.5442</v>
      </c>
    </row>
    <row r="778" spans="1:2">
      <c r="A778" s="1203">
        <v>41416</v>
      </c>
      <c r="B778" s="1205">
        <v>9.5526999999999997</v>
      </c>
    </row>
    <row r="779" spans="1:2">
      <c r="A779" s="1203">
        <v>41415</v>
      </c>
      <c r="B779" s="1205">
        <v>9.5182000000000002</v>
      </c>
    </row>
    <row r="780" spans="1:2">
      <c r="A780" s="1203">
        <v>41414</v>
      </c>
      <c r="B780" s="1205">
        <v>9.4419000000000004</v>
      </c>
    </row>
    <row r="781" spans="1:2">
      <c r="A781" s="1203">
        <v>41411</v>
      </c>
      <c r="B781" s="1205">
        <v>9.4085999999999999</v>
      </c>
    </row>
    <row r="782" spans="1:2">
      <c r="A782" s="1203">
        <v>41410</v>
      </c>
      <c r="B782" s="1205">
        <v>9.3127999999999993</v>
      </c>
    </row>
    <row r="783" spans="1:2">
      <c r="A783" s="1203">
        <v>41409</v>
      </c>
      <c r="B783" s="1205">
        <v>9.2843</v>
      </c>
    </row>
    <row r="784" spans="1:2">
      <c r="A784" s="1203">
        <v>41408</v>
      </c>
      <c r="B784" s="1205">
        <v>9.2248999999999999</v>
      </c>
    </row>
    <row r="785" spans="1:2">
      <c r="A785" s="1203">
        <v>41407</v>
      </c>
      <c r="B785" s="1205">
        <v>9.1554000000000002</v>
      </c>
    </row>
    <row r="786" spans="1:2">
      <c r="A786" s="1203">
        <v>41404</v>
      </c>
      <c r="B786" s="1205">
        <v>9.1042000000000005</v>
      </c>
    </row>
    <row r="787" spans="1:2">
      <c r="A787" s="1203">
        <v>41403</v>
      </c>
      <c r="B787" s="1205">
        <v>8.9802</v>
      </c>
    </row>
    <row r="788" spans="1:2">
      <c r="A788" s="1203">
        <v>41402</v>
      </c>
      <c r="B788" s="1205">
        <v>9.0032999999999994</v>
      </c>
    </row>
    <row r="789" spans="1:2">
      <c r="A789" s="1203">
        <v>41401</v>
      </c>
      <c r="B789" s="1205">
        <v>9.0121000000000002</v>
      </c>
    </row>
    <row r="790" spans="1:2">
      <c r="A790" s="1203">
        <v>41400</v>
      </c>
      <c r="B790" s="1205">
        <v>8.9923999999999999</v>
      </c>
    </row>
    <row r="791" spans="1:2">
      <c r="A791" s="1203">
        <v>41397</v>
      </c>
      <c r="B791" s="1205">
        <v>8.9159000000000006</v>
      </c>
    </row>
    <row r="792" spans="1:2">
      <c r="A792" s="1203">
        <v>41396</v>
      </c>
      <c r="B792" s="1205">
        <v>8.9766999999999992</v>
      </c>
    </row>
    <row r="793" spans="1:2">
      <c r="A793" s="1203">
        <v>41395</v>
      </c>
      <c r="B793" s="1205">
        <v>9.0307999999999993</v>
      </c>
    </row>
    <row r="794" spans="1:2">
      <c r="A794" s="1203">
        <v>41394</v>
      </c>
      <c r="B794" s="1205">
        <v>8.9962999999999997</v>
      </c>
    </row>
    <row r="795" spans="1:2">
      <c r="A795" s="1203">
        <v>41393</v>
      </c>
      <c r="B795" s="1205">
        <v>8.9982000000000006</v>
      </c>
    </row>
    <row r="796" spans="1:2">
      <c r="A796" s="1203">
        <v>41390</v>
      </c>
      <c r="B796" s="1205">
        <v>9.1135000000000002</v>
      </c>
    </row>
    <row r="797" spans="1:2">
      <c r="A797" s="1203">
        <v>41389</v>
      </c>
      <c r="B797" s="1205">
        <v>9.0597999999999992</v>
      </c>
    </row>
    <row r="798" spans="1:2">
      <c r="A798" s="1203">
        <v>41388</v>
      </c>
      <c r="B798" s="1205">
        <v>9.1781000000000006</v>
      </c>
    </row>
    <row r="799" spans="1:2">
      <c r="A799" s="1203">
        <v>41387</v>
      </c>
      <c r="B799" s="1205">
        <v>9.2256</v>
      </c>
    </row>
    <row r="800" spans="1:2">
      <c r="A800" s="1203">
        <v>41386</v>
      </c>
      <c r="B800" s="1205">
        <v>9.2461000000000002</v>
      </c>
    </row>
    <row r="801" spans="1:2">
      <c r="A801" s="1203">
        <v>41383</v>
      </c>
      <c r="B801" s="1205">
        <v>9.2502999999999993</v>
      </c>
    </row>
    <row r="802" spans="1:2">
      <c r="A802" s="1203">
        <v>41382</v>
      </c>
      <c r="B802" s="1205">
        <v>9.1850000000000005</v>
      </c>
    </row>
    <row r="803" spans="1:2">
      <c r="A803" s="1203">
        <v>41381</v>
      </c>
      <c r="B803" s="1205">
        <v>9.1935000000000002</v>
      </c>
    </row>
    <row r="804" spans="1:2">
      <c r="A804" s="1203">
        <v>41380</v>
      </c>
      <c r="B804" s="1205">
        <v>9.1285000000000007</v>
      </c>
    </row>
    <row r="805" spans="1:2">
      <c r="A805" s="1203">
        <v>41379</v>
      </c>
      <c r="B805" s="1205">
        <v>9.1616</v>
      </c>
    </row>
    <row r="806" spans="1:2">
      <c r="A806" s="1203">
        <v>41376</v>
      </c>
      <c r="B806" s="1205">
        <v>8.9463000000000008</v>
      </c>
    </row>
    <row r="807" spans="1:2">
      <c r="A807" s="1203">
        <v>41375</v>
      </c>
      <c r="B807" s="1205">
        <v>8.8971999999999998</v>
      </c>
    </row>
    <row r="808" spans="1:2">
      <c r="A808" s="1203">
        <v>41374</v>
      </c>
      <c r="B808" s="1205">
        <v>8.8850999999999996</v>
      </c>
    </row>
    <row r="809" spans="1:2">
      <c r="A809" s="1203">
        <v>41373</v>
      </c>
      <c r="B809" s="1205">
        <v>8.9190000000000005</v>
      </c>
    </row>
    <row r="810" spans="1:2">
      <c r="A810" s="1203">
        <v>41372</v>
      </c>
      <c r="B810" s="1205">
        <v>9.0097000000000005</v>
      </c>
    </row>
    <row r="811" spans="1:2">
      <c r="A811" s="1203">
        <v>41369</v>
      </c>
      <c r="B811" s="1205">
        <v>9.0958000000000006</v>
      </c>
    </row>
    <row r="812" spans="1:2">
      <c r="A812" s="1203">
        <v>41368</v>
      </c>
      <c r="B812" s="1205">
        <v>9.1633999999999993</v>
      </c>
    </row>
    <row r="813" spans="1:2">
      <c r="A813" s="1203">
        <v>41367</v>
      </c>
      <c r="B813" s="1205">
        <v>9.2179000000000002</v>
      </c>
    </row>
    <row r="814" spans="1:2">
      <c r="A814" s="1203">
        <v>41366</v>
      </c>
      <c r="B814" s="1205">
        <v>9.2146000000000008</v>
      </c>
    </row>
    <row r="815" spans="1:2">
      <c r="A815" s="1203">
        <v>41365</v>
      </c>
      <c r="B815" s="1205">
        <v>9.1835000000000004</v>
      </c>
    </row>
    <row r="816" spans="1:2">
      <c r="A816" s="1203">
        <v>41362</v>
      </c>
      <c r="B816" s="1205">
        <v>9.2415000000000003</v>
      </c>
    </row>
    <row r="817" spans="1:2">
      <c r="A817" s="1203">
        <v>41361</v>
      </c>
      <c r="B817" s="1205">
        <v>9.2251999999999992</v>
      </c>
    </row>
    <row r="818" spans="1:2">
      <c r="A818" s="1203">
        <v>41360</v>
      </c>
      <c r="B818" s="1205">
        <v>9.2667999999999999</v>
      </c>
    </row>
    <row r="819" spans="1:2">
      <c r="A819" s="1203">
        <v>41359</v>
      </c>
      <c r="B819" s="1205">
        <v>9.2553000000000001</v>
      </c>
    </row>
    <row r="820" spans="1:2">
      <c r="A820" s="1203">
        <v>41358</v>
      </c>
      <c r="B820" s="1205">
        <v>9.2867999999999995</v>
      </c>
    </row>
    <row r="821" spans="1:2">
      <c r="A821" s="1203">
        <v>41355</v>
      </c>
      <c r="B821" s="1205">
        <v>9.3101000000000003</v>
      </c>
    </row>
    <row r="822" spans="1:2">
      <c r="A822" s="1203">
        <v>41354</v>
      </c>
      <c r="B822" s="1205">
        <v>9.3155000000000001</v>
      </c>
    </row>
    <row r="823" spans="1:2">
      <c r="A823" s="1203">
        <v>41353</v>
      </c>
      <c r="B823" s="1205">
        <v>9.2988</v>
      </c>
    </row>
    <row r="824" spans="1:2">
      <c r="A824" s="1203">
        <v>41352</v>
      </c>
      <c r="B824" s="1205">
        <v>9.2690000000000001</v>
      </c>
    </row>
    <row r="825" spans="1:2">
      <c r="A825" s="1203">
        <v>41351</v>
      </c>
      <c r="B825" s="1205">
        <v>9.1801999999999992</v>
      </c>
    </row>
    <row r="826" spans="1:2">
      <c r="A826" s="1203">
        <v>41348</v>
      </c>
      <c r="B826" s="1205">
        <v>9.1920999999999999</v>
      </c>
    </row>
    <row r="827" spans="1:2">
      <c r="A827" s="1203">
        <v>41347</v>
      </c>
      <c r="B827" s="1205">
        <v>9.1758000000000006</v>
      </c>
    </row>
    <row r="828" spans="1:2">
      <c r="A828" s="1203">
        <v>41346</v>
      </c>
      <c r="B828" s="1205">
        <v>9.2489000000000008</v>
      </c>
    </row>
    <row r="829" spans="1:2">
      <c r="A829" s="1203">
        <v>41345</v>
      </c>
      <c r="B829" s="1205">
        <v>9.1805000000000003</v>
      </c>
    </row>
    <row r="830" spans="1:2">
      <c r="A830" s="1203">
        <v>41344</v>
      </c>
      <c r="B830" s="1205">
        <v>9.1219000000000001</v>
      </c>
    </row>
    <row r="831" spans="1:2">
      <c r="A831" s="1203">
        <v>41341</v>
      </c>
      <c r="B831" s="1205">
        <v>9.1166</v>
      </c>
    </row>
    <row r="832" spans="1:2">
      <c r="A832" s="1203">
        <v>41340</v>
      </c>
      <c r="B832" s="1205">
        <v>9.1491000000000007</v>
      </c>
    </row>
    <row r="833" spans="1:2">
      <c r="A833" s="1203">
        <v>41339</v>
      </c>
      <c r="B833" s="1205">
        <v>9.1380999999999997</v>
      </c>
    </row>
    <row r="834" spans="1:2">
      <c r="A834" s="1203">
        <v>41338</v>
      </c>
      <c r="B834" s="1205">
        <v>9.0451999999999995</v>
      </c>
    </row>
    <row r="835" spans="1:2">
      <c r="A835" s="1203">
        <v>41337</v>
      </c>
      <c r="B835" s="1205">
        <v>9.1242000000000001</v>
      </c>
    </row>
    <row r="836" spans="1:2">
      <c r="A836" s="1203">
        <v>41334</v>
      </c>
      <c r="B836" s="1205">
        <v>9.0703999999999994</v>
      </c>
    </row>
    <row r="837" spans="1:2">
      <c r="A837" s="1203">
        <v>41333</v>
      </c>
      <c r="B837" s="1205">
        <v>9.0068000000000001</v>
      </c>
    </row>
    <row r="838" spans="1:2">
      <c r="A838" s="1203">
        <v>41332</v>
      </c>
      <c r="B838" s="1205">
        <v>8.8628999999999998</v>
      </c>
    </row>
    <row r="839" spans="1:2">
      <c r="A839" s="1203">
        <v>41331</v>
      </c>
      <c r="B839" s="1205">
        <v>8.8455999999999992</v>
      </c>
    </row>
    <row r="840" spans="1:2">
      <c r="A840" s="1203">
        <v>41330</v>
      </c>
      <c r="B840" s="1205">
        <v>8.8268000000000004</v>
      </c>
    </row>
    <row r="841" spans="1:2">
      <c r="A841" s="1203">
        <v>41327</v>
      </c>
      <c r="B841" s="1205">
        <v>8.8646999999999991</v>
      </c>
    </row>
    <row r="842" spans="1:2">
      <c r="A842" s="1203">
        <v>41326</v>
      </c>
      <c r="B842" s="1205">
        <v>8.8986000000000001</v>
      </c>
    </row>
    <row r="843" spans="1:2">
      <c r="A843" s="1203">
        <v>41325</v>
      </c>
      <c r="B843" s="1205">
        <v>8.8899000000000008</v>
      </c>
    </row>
    <row r="844" spans="1:2">
      <c r="A844" s="1203">
        <v>41324</v>
      </c>
      <c r="B844" s="1205">
        <v>8.8561999999999994</v>
      </c>
    </row>
    <row r="845" spans="1:2">
      <c r="A845" s="1203">
        <v>41323</v>
      </c>
      <c r="B845" s="1205">
        <v>8.9011999999999993</v>
      </c>
    </row>
    <row r="846" spans="1:2">
      <c r="A846" s="1203">
        <v>41320</v>
      </c>
      <c r="B846" s="1205">
        <v>8.8365000000000009</v>
      </c>
    </row>
    <row r="847" spans="1:2">
      <c r="A847" s="1203">
        <v>41319</v>
      </c>
      <c r="B847" s="1205">
        <v>8.8104999999999993</v>
      </c>
    </row>
    <row r="848" spans="1:2">
      <c r="A848" s="1203">
        <v>41318</v>
      </c>
      <c r="B848" s="1205">
        <v>8.8727</v>
      </c>
    </row>
    <row r="849" spans="1:2">
      <c r="A849" s="1203">
        <v>41317</v>
      </c>
      <c r="B849" s="1205">
        <v>8.8884000000000007</v>
      </c>
    </row>
    <row r="850" spans="1:2">
      <c r="A850" s="1203">
        <v>41316</v>
      </c>
      <c r="B850" s="1205">
        <v>8.9112000000000009</v>
      </c>
    </row>
    <row r="851" spans="1:2">
      <c r="A851" s="1203">
        <v>41313</v>
      </c>
      <c r="B851" s="1205">
        <v>8.8971</v>
      </c>
    </row>
    <row r="852" spans="1:2">
      <c r="A852" s="1203">
        <v>41312</v>
      </c>
      <c r="B852" s="1205">
        <v>8.9215</v>
      </c>
    </row>
    <row r="853" spans="1:2">
      <c r="A853" s="1203">
        <v>41311</v>
      </c>
      <c r="B853" s="1205">
        <v>8.9190000000000005</v>
      </c>
    </row>
    <row r="854" spans="1:2">
      <c r="A854" s="1203">
        <v>41310</v>
      </c>
      <c r="B854" s="1205">
        <v>8.8508999999999993</v>
      </c>
    </row>
    <row r="855" spans="1:2">
      <c r="A855" s="1203">
        <v>41309</v>
      </c>
      <c r="B855" s="1205">
        <v>8.9151000000000007</v>
      </c>
    </row>
    <row r="856" spans="1:2">
      <c r="A856" s="1203">
        <v>41306</v>
      </c>
      <c r="B856" s="1205">
        <v>8.8399000000000001</v>
      </c>
    </row>
    <row r="857" spans="1:2">
      <c r="A857" s="1203">
        <v>41305</v>
      </c>
      <c r="B857" s="1205">
        <v>8.9368999999999996</v>
      </c>
    </row>
    <row r="858" spans="1:2">
      <c r="A858" s="1203">
        <v>41304</v>
      </c>
      <c r="B858" s="1205">
        <v>9.0431000000000008</v>
      </c>
    </row>
    <row r="859" spans="1:2">
      <c r="A859" s="1203">
        <v>41303</v>
      </c>
      <c r="B859" s="1205">
        <v>9.0367999999999995</v>
      </c>
    </row>
    <row r="860" spans="1:2">
      <c r="A860" s="1203">
        <v>41302</v>
      </c>
      <c r="B860" s="1205">
        <v>9.1126000000000005</v>
      </c>
    </row>
    <row r="861" spans="1:2">
      <c r="A861" s="1203">
        <v>41299</v>
      </c>
      <c r="B861" s="1205">
        <v>8.9642999999999997</v>
      </c>
    </row>
    <row r="862" spans="1:2">
      <c r="A862" s="1203">
        <v>41298</v>
      </c>
      <c r="B862" s="1205">
        <v>9.0574999999999992</v>
      </c>
    </row>
    <row r="863" spans="1:2">
      <c r="A863" s="1203">
        <v>41297</v>
      </c>
      <c r="B863" s="1205">
        <v>9.0284999999999993</v>
      </c>
    </row>
    <row r="864" spans="1:2">
      <c r="A864" s="1203">
        <v>41296</v>
      </c>
      <c r="B864" s="1205">
        <v>8.8631999999999991</v>
      </c>
    </row>
    <row r="865" spans="1:2">
      <c r="A865" s="1203">
        <v>41295</v>
      </c>
      <c r="B865" s="1205">
        <v>8.8704999999999998</v>
      </c>
    </row>
    <row r="866" spans="1:2">
      <c r="A866" s="1203">
        <v>41292</v>
      </c>
      <c r="B866" s="1205">
        <v>8.8874999999999993</v>
      </c>
    </row>
    <row r="867" spans="1:2">
      <c r="A867" s="1203">
        <v>41291</v>
      </c>
      <c r="B867" s="1205">
        <v>8.8041</v>
      </c>
    </row>
    <row r="868" spans="1:2">
      <c r="A868" s="1203">
        <v>41290</v>
      </c>
      <c r="B868" s="1205">
        <v>8.8023000000000007</v>
      </c>
    </row>
    <row r="869" spans="1:2">
      <c r="A869" s="1203">
        <v>41289</v>
      </c>
      <c r="B869" s="1205">
        <v>8.8234999999999992</v>
      </c>
    </row>
    <row r="870" spans="1:2">
      <c r="A870" s="1203">
        <v>41288</v>
      </c>
      <c r="B870" s="1205">
        <v>8.7128999999999994</v>
      </c>
    </row>
    <row r="871" spans="1:2">
      <c r="A871" s="1203">
        <v>41285</v>
      </c>
      <c r="B871" s="1205">
        <v>8.7147000000000006</v>
      </c>
    </row>
    <row r="872" spans="1:2">
      <c r="A872" s="1203">
        <v>41284</v>
      </c>
      <c r="B872" s="1205">
        <v>8.6479999999999997</v>
      </c>
    </row>
    <row r="873" spans="1:2">
      <c r="A873" s="1203">
        <v>41283</v>
      </c>
      <c r="B873" s="1205">
        <v>8.5870999999999995</v>
      </c>
    </row>
    <row r="874" spans="1:2">
      <c r="A874" s="1203">
        <v>41282</v>
      </c>
      <c r="B874" s="1205">
        <v>8.5917999999999992</v>
      </c>
    </row>
    <row r="875" spans="1:2">
      <c r="A875" s="1203">
        <v>41281</v>
      </c>
      <c r="B875" s="1205">
        <v>8.5740999999999996</v>
      </c>
    </row>
    <row r="876" spans="1:2">
      <c r="A876" s="1203">
        <v>41278</v>
      </c>
      <c r="B876" s="1205">
        <v>8.5693999999999999</v>
      </c>
    </row>
    <row r="877" spans="1:2">
      <c r="A877" s="1203">
        <v>41277</v>
      </c>
      <c r="B877" s="1205">
        <v>8.5423000000000009</v>
      </c>
    </row>
    <row r="878" spans="1:2">
      <c r="A878" s="1203">
        <v>41276</v>
      </c>
      <c r="B878" s="1205">
        <v>8.5277999999999992</v>
      </c>
    </row>
    <row r="879" spans="1:2">
      <c r="A879" s="1203">
        <v>41275</v>
      </c>
      <c r="B879" s="1205">
        <v>8.4574999999999996</v>
      </c>
    </row>
    <row r="880" spans="1:2">
      <c r="A880" s="1203">
        <v>41274</v>
      </c>
      <c r="B880" s="1205">
        <v>8.4778000000000002</v>
      </c>
    </row>
    <row r="881" spans="1:2">
      <c r="A881" s="1203">
        <v>41271</v>
      </c>
      <c r="B881" s="1205">
        <v>8.4713999999999992</v>
      </c>
    </row>
    <row r="882" spans="1:2">
      <c r="A882" s="1203">
        <v>41270</v>
      </c>
      <c r="B882" s="1205">
        <v>8.5109999999999992</v>
      </c>
    </row>
    <row r="883" spans="1:2">
      <c r="A883" s="1203">
        <v>41269</v>
      </c>
      <c r="B883" s="1205">
        <v>8.5663</v>
      </c>
    </row>
    <row r="884" spans="1:2">
      <c r="A884" s="1203">
        <v>41268</v>
      </c>
      <c r="B884" s="1205">
        <v>8.5948999999999991</v>
      </c>
    </row>
    <row r="885" spans="1:2">
      <c r="A885" s="1203">
        <v>41267</v>
      </c>
      <c r="B885" s="1205">
        <v>8.5865000000000009</v>
      </c>
    </row>
    <row r="886" spans="1:2">
      <c r="A886" s="1203">
        <v>41264</v>
      </c>
      <c r="B886" s="1205">
        <v>8.5772999999999993</v>
      </c>
    </row>
    <row r="887" spans="1:2">
      <c r="A887" s="1203">
        <v>41263</v>
      </c>
      <c r="B887" s="1205">
        <v>8.5009999999999994</v>
      </c>
    </row>
    <row r="888" spans="1:2">
      <c r="A888" s="1203">
        <v>41262</v>
      </c>
      <c r="B888" s="1205">
        <v>8.4746000000000006</v>
      </c>
    </row>
    <row r="889" spans="1:2">
      <c r="A889" s="1203">
        <v>41261</v>
      </c>
      <c r="B889" s="1205">
        <v>8.4594000000000005</v>
      </c>
    </row>
    <row r="890" spans="1:2">
      <c r="A890" s="1203">
        <v>41260</v>
      </c>
      <c r="B890" s="1205">
        <v>8.5503999999999998</v>
      </c>
    </row>
    <row r="891" spans="1:2">
      <c r="A891" s="1203">
        <v>41257</v>
      </c>
      <c r="B891" s="1205">
        <v>8.6219999999999999</v>
      </c>
    </row>
    <row r="892" spans="1:2">
      <c r="A892" s="1203">
        <v>41256</v>
      </c>
      <c r="B892" s="1205">
        <v>8.6675000000000004</v>
      </c>
    </row>
    <row r="893" spans="1:2">
      <c r="A893" s="1203">
        <v>41255</v>
      </c>
      <c r="B893" s="1205">
        <v>8.6265999999999998</v>
      </c>
    </row>
    <row r="894" spans="1:2">
      <c r="A894" s="1203">
        <v>41254</v>
      </c>
      <c r="B894" s="1205">
        <v>8.6463999999999999</v>
      </c>
    </row>
    <row r="895" spans="1:2">
      <c r="A895" s="1203">
        <v>41253</v>
      </c>
      <c r="B895" s="1205">
        <v>8.6715</v>
      </c>
    </row>
    <row r="896" spans="1:2">
      <c r="A896" s="1203">
        <v>41250</v>
      </c>
      <c r="B896" s="1205">
        <v>8.6630000000000003</v>
      </c>
    </row>
    <row r="897" spans="1:2">
      <c r="A897" s="1203">
        <v>41249</v>
      </c>
      <c r="B897" s="1205">
        <v>8.6887000000000008</v>
      </c>
    </row>
    <row r="898" spans="1:2">
      <c r="A898" s="1203">
        <v>41248</v>
      </c>
      <c r="B898" s="1205">
        <v>8.7612000000000005</v>
      </c>
    </row>
    <row r="899" spans="1:2">
      <c r="A899" s="1203">
        <v>41247</v>
      </c>
      <c r="B899" s="1205">
        <v>8.8030000000000008</v>
      </c>
    </row>
    <row r="900" spans="1:2">
      <c r="A900" s="1203">
        <v>41246</v>
      </c>
      <c r="B900" s="1205">
        <v>8.8595000000000006</v>
      </c>
    </row>
    <row r="901" spans="1:2">
      <c r="A901" s="1203">
        <v>41243</v>
      </c>
      <c r="B901" s="1205">
        <v>8.8907000000000007</v>
      </c>
    </row>
    <row r="902" spans="1:2">
      <c r="A902" s="1203">
        <v>41242</v>
      </c>
      <c r="B902" s="1205">
        <v>8.7889999999999997</v>
      </c>
    </row>
    <row r="903" spans="1:2">
      <c r="A903" s="1203">
        <v>41241</v>
      </c>
      <c r="B903" s="1205">
        <v>8.8156999999999996</v>
      </c>
    </row>
    <row r="904" spans="1:2">
      <c r="A904" s="1203">
        <v>41240</v>
      </c>
      <c r="B904" s="1205">
        <v>8.8257999999999992</v>
      </c>
    </row>
    <row r="905" spans="1:2">
      <c r="A905" s="1203">
        <v>41239</v>
      </c>
      <c r="B905" s="1205">
        <v>8.8760999999999992</v>
      </c>
    </row>
    <row r="906" spans="1:2">
      <c r="A906" s="1203">
        <v>41236</v>
      </c>
      <c r="B906" s="1205">
        <v>8.8850999999999996</v>
      </c>
    </row>
    <row r="907" spans="1:2">
      <c r="A907" s="1203">
        <v>41235</v>
      </c>
      <c r="B907" s="1205">
        <v>8.9405000000000001</v>
      </c>
    </row>
    <row r="908" spans="1:2">
      <c r="A908" s="1203">
        <v>41234</v>
      </c>
      <c r="B908" s="1205">
        <v>8.9608000000000008</v>
      </c>
    </row>
    <row r="909" spans="1:2">
      <c r="A909" s="1203">
        <v>41233</v>
      </c>
      <c r="B909" s="1205">
        <v>8.8607999999999993</v>
      </c>
    </row>
    <row r="910" spans="1:2">
      <c r="A910" s="1203">
        <v>41232</v>
      </c>
      <c r="B910" s="1205">
        <v>8.8382000000000005</v>
      </c>
    </row>
    <row r="911" spans="1:2">
      <c r="A911" s="1203">
        <v>41229</v>
      </c>
      <c r="B911" s="1205">
        <v>8.8716000000000008</v>
      </c>
    </row>
    <row r="912" spans="1:2">
      <c r="A912" s="1203">
        <v>41228</v>
      </c>
      <c r="B912" s="1205">
        <v>8.94</v>
      </c>
    </row>
    <row r="913" spans="1:2">
      <c r="A913" s="1203">
        <v>41227</v>
      </c>
      <c r="B913" s="1205">
        <v>8.9086999999999996</v>
      </c>
    </row>
    <row r="914" spans="1:2">
      <c r="A914" s="1203">
        <v>41226</v>
      </c>
      <c r="B914" s="1205">
        <v>8.7748000000000008</v>
      </c>
    </row>
    <row r="915" spans="1:2">
      <c r="A915" s="1203">
        <v>41225</v>
      </c>
      <c r="B915" s="1205">
        <v>8.7485999999999997</v>
      </c>
    </row>
    <row r="916" spans="1:2">
      <c r="A916" s="1203">
        <v>41222</v>
      </c>
      <c r="B916" s="1205">
        <v>8.7102000000000004</v>
      </c>
    </row>
    <row r="917" spans="1:2">
      <c r="A917" s="1203">
        <v>41221</v>
      </c>
      <c r="B917" s="1205">
        <v>8.7103999999999999</v>
      </c>
    </row>
    <row r="918" spans="1:2">
      <c r="A918" s="1203">
        <v>41220</v>
      </c>
      <c r="B918" s="1205">
        <v>8.6503999999999994</v>
      </c>
    </row>
    <row r="919" spans="1:2">
      <c r="A919" s="1203">
        <v>41219</v>
      </c>
      <c r="B919" s="1205">
        <v>8.6257000000000001</v>
      </c>
    </row>
    <row r="920" spans="1:2">
      <c r="A920" s="1203">
        <v>41218</v>
      </c>
      <c r="B920" s="1205">
        <v>8.7452000000000005</v>
      </c>
    </row>
    <row r="921" spans="1:2">
      <c r="A921" s="1203">
        <v>41215</v>
      </c>
      <c r="B921" s="1205">
        <v>8.7713999999999999</v>
      </c>
    </row>
    <row r="922" spans="1:2">
      <c r="A922" s="1203">
        <v>41214</v>
      </c>
      <c r="B922" s="1205">
        <v>8.6491000000000007</v>
      </c>
    </row>
    <row r="923" spans="1:2">
      <c r="A923" s="1203">
        <v>41213</v>
      </c>
      <c r="B923" s="1205">
        <v>8.6572999999999993</v>
      </c>
    </row>
    <row r="924" spans="1:2">
      <c r="A924" s="1203">
        <v>41212</v>
      </c>
      <c r="B924" s="1205">
        <v>8.6434999999999995</v>
      </c>
    </row>
    <row r="925" spans="1:2">
      <c r="A925" s="1203">
        <v>41211</v>
      </c>
      <c r="B925" s="1205">
        <v>8.6865000000000006</v>
      </c>
    </row>
    <row r="926" spans="1:2">
      <c r="A926" s="1203">
        <v>41208</v>
      </c>
      <c r="B926" s="1205">
        <v>8.6466999999999992</v>
      </c>
    </row>
    <row r="927" spans="1:2">
      <c r="A927" s="1203">
        <v>41207</v>
      </c>
      <c r="B927" s="1205">
        <v>8.7192000000000007</v>
      </c>
    </row>
    <row r="928" spans="1:2">
      <c r="A928" s="1203">
        <v>41206</v>
      </c>
      <c r="B928" s="1205">
        <v>8.7731999999999992</v>
      </c>
    </row>
    <row r="929" spans="1:2">
      <c r="A929" s="1203">
        <v>41205</v>
      </c>
      <c r="B929" s="1205">
        <v>8.7688000000000006</v>
      </c>
    </row>
    <row r="930" spans="1:2">
      <c r="A930" s="1203">
        <v>41204</v>
      </c>
      <c r="B930" s="1205">
        <v>8.6392000000000007</v>
      </c>
    </row>
    <row r="931" spans="1:2">
      <c r="A931" s="1203">
        <v>41201</v>
      </c>
      <c r="B931" s="1205">
        <v>8.6338000000000008</v>
      </c>
    </row>
    <row r="932" spans="1:2">
      <c r="A932" s="1203">
        <v>41200</v>
      </c>
      <c r="B932" s="1205">
        <v>8.6294000000000004</v>
      </c>
    </row>
    <row r="933" spans="1:2">
      <c r="A933" s="1203">
        <v>41199</v>
      </c>
      <c r="B933" s="1205">
        <v>8.5886999999999993</v>
      </c>
    </row>
    <row r="934" spans="1:2">
      <c r="A934" s="1203">
        <v>41198</v>
      </c>
      <c r="B934" s="1205">
        <v>8.7441999999999993</v>
      </c>
    </row>
    <row r="935" spans="1:2">
      <c r="A935" s="1203">
        <v>41197</v>
      </c>
      <c r="B935" s="1205">
        <v>8.8114000000000008</v>
      </c>
    </row>
    <row r="936" spans="1:2">
      <c r="A936" s="1203">
        <v>41194</v>
      </c>
      <c r="B936" s="1205">
        <v>8.7446999999999999</v>
      </c>
    </row>
    <row r="937" spans="1:2">
      <c r="A937" s="1203">
        <v>41193</v>
      </c>
      <c r="B937" s="1205">
        <v>8.6759000000000004</v>
      </c>
    </row>
    <row r="938" spans="1:2">
      <c r="A938" s="1203">
        <v>41192</v>
      </c>
      <c r="B938" s="1205">
        <v>8.7067999999999994</v>
      </c>
    </row>
    <row r="939" spans="1:2">
      <c r="A939" s="1203">
        <v>41191</v>
      </c>
      <c r="B939" s="1205">
        <v>8.7646999999999995</v>
      </c>
    </row>
    <row r="940" spans="1:2">
      <c r="A940" s="1203">
        <v>41190</v>
      </c>
      <c r="B940" s="1205">
        <v>8.8524999999999991</v>
      </c>
    </row>
    <row r="941" spans="1:2">
      <c r="A941" s="1203">
        <v>41187</v>
      </c>
      <c r="B941" s="1205">
        <v>8.7317999999999998</v>
      </c>
    </row>
    <row r="942" spans="1:2">
      <c r="A942" s="1203">
        <v>41186</v>
      </c>
      <c r="B942" s="1205">
        <v>8.5246999999999993</v>
      </c>
    </row>
    <row r="943" spans="1:2">
      <c r="A943" s="1203">
        <v>41185</v>
      </c>
      <c r="B943" s="1205">
        <v>8.43</v>
      </c>
    </row>
    <row r="944" spans="1:2">
      <c r="A944" s="1203">
        <v>41184</v>
      </c>
      <c r="B944" s="1205">
        <v>8.3713999999999995</v>
      </c>
    </row>
    <row r="945" spans="1:2">
      <c r="A945" s="1203">
        <v>41183</v>
      </c>
      <c r="B945" s="1205">
        <v>8.3674999999999997</v>
      </c>
    </row>
    <row r="946" spans="1:2">
      <c r="A946" s="1203">
        <v>41180</v>
      </c>
      <c r="B946" s="1205">
        <v>8.2903000000000002</v>
      </c>
    </row>
    <row r="947" spans="1:2">
      <c r="A947" s="1203">
        <v>41179</v>
      </c>
      <c r="B947" s="1205">
        <v>8.2256999999999998</v>
      </c>
    </row>
    <row r="948" spans="1:2">
      <c r="A948" s="1203">
        <v>41178</v>
      </c>
      <c r="B948" s="1205">
        <v>8.2263999999999999</v>
      </c>
    </row>
    <row r="949" spans="1:2">
      <c r="A949" s="1203">
        <v>41177</v>
      </c>
      <c r="B949" s="1205">
        <v>8.1807999999999996</v>
      </c>
    </row>
    <row r="950" spans="1:2">
      <c r="A950" s="1203">
        <v>41176</v>
      </c>
      <c r="B950" s="1205">
        <v>8.2561</v>
      </c>
    </row>
    <row r="951" spans="1:2">
      <c r="A951" s="1203">
        <v>41173</v>
      </c>
      <c r="B951" s="1205">
        <v>8.2337000000000007</v>
      </c>
    </row>
    <row r="952" spans="1:2">
      <c r="A952" s="1203">
        <v>41172</v>
      </c>
      <c r="B952" s="1205">
        <v>8.3307000000000002</v>
      </c>
    </row>
    <row r="953" spans="1:2">
      <c r="A953" s="1203">
        <v>41171</v>
      </c>
      <c r="B953" s="1205">
        <v>8.2501999999999995</v>
      </c>
    </row>
    <row r="954" spans="1:2">
      <c r="A954" s="1203">
        <v>41170</v>
      </c>
      <c r="B954" s="1205">
        <v>8.2020999999999997</v>
      </c>
    </row>
    <row r="955" spans="1:2">
      <c r="A955" s="1203">
        <v>41169</v>
      </c>
      <c r="B955" s="1205">
        <v>8.2402999999999995</v>
      </c>
    </row>
    <row r="956" spans="1:2">
      <c r="A956" s="1203">
        <v>41166</v>
      </c>
      <c r="B956" s="1205">
        <v>8.2140000000000004</v>
      </c>
    </row>
    <row r="957" spans="1:2">
      <c r="A957" s="1203">
        <v>41165</v>
      </c>
      <c r="B957" s="1205">
        <v>8.3234999999999992</v>
      </c>
    </row>
    <row r="958" spans="1:2">
      <c r="A958" s="1203">
        <v>41164</v>
      </c>
      <c r="B958" s="1205">
        <v>8.3377999999999997</v>
      </c>
    </row>
    <row r="959" spans="1:2">
      <c r="A959" s="1203">
        <v>41163</v>
      </c>
      <c r="B959" s="1205">
        <v>8.1539000000000001</v>
      </c>
    </row>
    <row r="960" spans="1:2">
      <c r="A960" s="1203">
        <v>41162</v>
      </c>
      <c r="B960" s="1205">
        <v>8.1463000000000001</v>
      </c>
    </row>
    <row r="961" spans="1:2">
      <c r="A961" s="1203">
        <v>41159</v>
      </c>
      <c r="B961" s="1205">
        <v>8.1714000000000002</v>
      </c>
    </row>
    <row r="962" spans="1:2">
      <c r="A962" s="1203">
        <v>41158</v>
      </c>
      <c r="B962" s="1205">
        <v>8.2858000000000001</v>
      </c>
    </row>
    <row r="963" spans="1:2">
      <c r="A963" s="1203">
        <v>41157</v>
      </c>
      <c r="B963" s="1205">
        <v>8.3942999999999994</v>
      </c>
    </row>
    <row r="964" spans="1:2">
      <c r="A964" s="1203">
        <v>41156</v>
      </c>
      <c r="B964" s="1205">
        <v>8.4113000000000007</v>
      </c>
    </row>
    <row r="965" spans="1:2">
      <c r="A965" s="1203">
        <v>41155</v>
      </c>
      <c r="B965" s="1205">
        <v>8.4010999999999996</v>
      </c>
    </row>
    <row r="966" spans="1:2">
      <c r="A966" s="1203">
        <v>41152</v>
      </c>
      <c r="B966" s="1205">
        <v>8.3947000000000003</v>
      </c>
    </row>
    <row r="967" spans="1:2">
      <c r="A967" s="1203">
        <v>41151</v>
      </c>
      <c r="B967" s="1205">
        <v>8.4816000000000003</v>
      </c>
    </row>
    <row r="968" spans="1:2">
      <c r="A968" s="1203">
        <v>41150</v>
      </c>
      <c r="B968" s="1205">
        <v>8.41</v>
      </c>
    </row>
    <row r="969" spans="1:2">
      <c r="A969" s="1203">
        <v>41149</v>
      </c>
      <c r="B969" s="1205">
        <v>8.3854000000000006</v>
      </c>
    </row>
    <row r="970" spans="1:2">
      <c r="A970" s="1203">
        <v>41148</v>
      </c>
      <c r="B970" s="1205">
        <v>8.4146000000000001</v>
      </c>
    </row>
    <row r="971" spans="1:2">
      <c r="A971" s="1203">
        <v>41145</v>
      </c>
      <c r="B971" s="1205">
        <v>8.3840000000000003</v>
      </c>
    </row>
    <row r="972" spans="1:2">
      <c r="A972" s="1203">
        <v>41144</v>
      </c>
      <c r="B972" s="1205">
        <v>8.2940000000000005</v>
      </c>
    </row>
    <row r="973" spans="1:2">
      <c r="A973" s="1203">
        <v>41143</v>
      </c>
      <c r="B973" s="1205">
        <v>8.3070000000000004</v>
      </c>
    </row>
    <row r="974" spans="1:2">
      <c r="A974" s="1203">
        <v>41142</v>
      </c>
      <c r="B974" s="1205">
        <v>8.2360000000000007</v>
      </c>
    </row>
    <row r="975" spans="1:2">
      <c r="A975" s="1203">
        <v>41141</v>
      </c>
      <c r="B975" s="1205">
        <v>8.3056999999999999</v>
      </c>
    </row>
    <row r="976" spans="1:2">
      <c r="A976" s="1203">
        <v>41138</v>
      </c>
      <c r="B976" s="1205">
        <v>8.3147000000000002</v>
      </c>
    </row>
    <row r="977" spans="1:2">
      <c r="A977" s="1203">
        <v>41137</v>
      </c>
      <c r="B977" s="1205">
        <v>8.2202000000000002</v>
      </c>
    </row>
    <row r="978" spans="1:2">
      <c r="A978" s="1203">
        <v>41136</v>
      </c>
      <c r="B978" s="1205">
        <v>8.2219999999999995</v>
      </c>
    </row>
    <row r="979" spans="1:2">
      <c r="A979" s="1203">
        <v>41135</v>
      </c>
      <c r="B979" s="1205">
        <v>8.1684999999999999</v>
      </c>
    </row>
    <row r="980" spans="1:2">
      <c r="A980" s="1203">
        <v>41134</v>
      </c>
      <c r="B980" s="1205">
        <v>8.1556999999999995</v>
      </c>
    </row>
    <row r="981" spans="1:2">
      <c r="A981" s="1203">
        <v>41131</v>
      </c>
      <c r="B981" s="1205">
        <v>8.0859000000000005</v>
      </c>
    </row>
    <row r="982" spans="1:2">
      <c r="A982" s="1203">
        <v>41130</v>
      </c>
      <c r="B982" s="1205">
        <v>8.1061999999999994</v>
      </c>
    </row>
    <row r="983" spans="1:2">
      <c r="A983" s="1203">
        <v>41129</v>
      </c>
      <c r="B983" s="1205">
        <v>8.1029999999999998</v>
      </c>
    </row>
    <row r="984" spans="1:2">
      <c r="A984" s="1203">
        <v>41128</v>
      </c>
      <c r="B984" s="1205">
        <v>8.1321999999999992</v>
      </c>
    </row>
    <row r="985" spans="1:2">
      <c r="A985" s="1203">
        <v>41127</v>
      </c>
      <c r="B985" s="1205">
        <v>8.1448</v>
      </c>
    </row>
    <row r="986" spans="1:2">
      <c r="A986" s="1203">
        <v>41124</v>
      </c>
      <c r="B986" s="1205">
        <v>8.1333000000000002</v>
      </c>
    </row>
    <row r="987" spans="1:2">
      <c r="A987" s="1203">
        <v>41123</v>
      </c>
      <c r="B987" s="1205">
        <v>8.3740000000000006</v>
      </c>
    </row>
    <row r="988" spans="1:2">
      <c r="A988" s="1203">
        <v>41122</v>
      </c>
      <c r="B988" s="1205">
        <v>8.26</v>
      </c>
    </row>
    <row r="989" spans="1:2">
      <c r="A989" s="1203">
        <v>41121</v>
      </c>
      <c r="B989" s="1205">
        <v>8.2622999999999998</v>
      </c>
    </row>
    <row r="990" spans="1:2">
      <c r="A990" s="1203">
        <v>41120</v>
      </c>
      <c r="B990" s="1205">
        <v>8.2101000000000006</v>
      </c>
    </row>
    <row r="991" spans="1:2">
      <c r="A991" s="1203">
        <v>41117</v>
      </c>
      <c r="B991" s="1205">
        <v>8.1937999999999995</v>
      </c>
    </row>
    <row r="992" spans="1:2">
      <c r="A992" s="1203">
        <v>41116</v>
      </c>
      <c r="B992" s="1205">
        <v>8.2657000000000007</v>
      </c>
    </row>
    <row r="993" spans="1:2">
      <c r="A993" s="1203">
        <v>41115</v>
      </c>
      <c r="B993" s="1205">
        <v>8.4499999999999993</v>
      </c>
    </row>
    <row r="994" spans="1:2">
      <c r="A994" s="1203">
        <v>41114</v>
      </c>
      <c r="B994" s="1205">
        <v>8.5389999999999997</v>
      </c>
    </row>
    <row r="995" spans="1:2">
      <c r="A995" s="1203">
        <v>41113</v>
      </c>
      <c r="B995" s="1205">
        <v>8.4457000000000004</v>
      </c>
    </row>
    <row r="996" spans="1:2">
      <c r="A996" s="1203">
        <v>41110</v>
      </c>
      <c r="B996" s="1205">
        <v>8.2850999999999999</v>
      </c>
    </row>
    <row r="997" spans="1:2">
      <c r="A997" s="1203">
        <v>41109</v>
      </c>
      <c r="B997" s="1205">
        <v>8.1683000000000003</v>
      </c>
    </row>
    <row r="998" spans="1:2">
      <c r="A998" s="1203">
        <v>41108</v>
      </c>
      <c r="B998" s="1205">
        <v>8.1546000000000003</v>
      </c>
    </row>
    <row r="999" spans="1:2">
      <c r="A999" s="1203">
        <v>41107</v>
      </c>
      <c r="B999" s="1205">
        <v>8.2001000000000008</v>
      </c>
    </row>
    <row r="1000" spans="1:2">
      <c r="A1000" s="1203">
        <v>41106</v>
      </c>
      <c r="B1000" s="1205">
        <v>8.2227999999999994</v>
      </c>
    </row>
    <row r="1001" spans="1:2">
      <c r="A1001" s="1203">
        <v>41103</v>
      </c>
      <c r="B1001" s="1205">
        <v>8.2680000000000007</v>
      </c>
    </row>
    <row r="1002" spans="1:2">
      <c r="A1002" s="1203">
        <v>41102</v>
      </c>
      <c r="B1002" s="1205">
        <v>8.3414000000000001</v>
      </c>
    </row>
    <row r="1003" spans="1:2">
      <c r="A1003" s="1203">
        <v>41101</v>
      </c>
      <c r="B1003" s="1205">
        <v>8.2457999999999991</v>
      </c>
    </row>
    <row r="1004" spans="1:2">
      <c r="A1004" s="1203">
        <v>41100</v>
      </c>
      <c r="B1004" s="1205">
        <v>8.1896000000000004</v>
      </c>
    </row>
    <row r="1005" spans="1:2">
      <c r="A1005" s="1203">
        <v>41099</v>
      </c>
      <c r="B1005" s="1205">
        <v>8.2536000000000005</v>
      </c>
    </row>
    <row r="1006" spans="1:2">
      <c r="A1006" s="1203">
        <v>41096</v>
      </c>
      <c r="B1006" s="1205">
        <v>8.2574000000000005</v>
      </c>
    </row>
    <row r="1007" spans="1:2">
      <c r="A1007" s="1203">
        <v>41095</v>
      </c>
      <c r="B1007" s="1205">
        <v>8.1264000000000003</v>
      </c>
    </row>
    <row r="1008" spans="1:2">
      <c r="A1008" s="1203">
        <v>41094</v>
      </c>
      <c r="B1008" s="1205">
        <v>8.1379999999999999</v>
      </c>
    </row>
    <row r="1009" spans="1:2">
      <c r="A1009" s="1203">
        <v>41093</v>
      </c>
      <c r="B1009" s="1205">
        <v>8.0864999999999991</v>
      </c>
    </row>
    <row r="1010" spans="1:2">
      <c r="A1010" s="1203">
        <v>41092</v>
      </c>
      <c r="B1010" s="1205">
        <v>8.1714000000000002</v>
      </c>
    </row>
    <row r="1011" spans="1:2">
      <c r="A1011" s="1203">
        <v>41089</v>
      </c>
      <c r="B1011" s="1205">
        <v>8.1877999999999993</v>
      </c>
    </row>
    <row r="1012" spans="1:2">
      <c r="A1012" s="1203">
        <v>41088</v>
      </c>
      <c r="B1012" s="1205">
        <v>8.4359000000000002</v>
      </c>
    </row>
    <row r="1013" spans="1:2">
      <c r="A1013" s="1203">
        <v>41087</v>
      </c>
      <c r="B1013" s="1205">
        <v>8.4073999999999991</v>
      </c>
    </row>
    <row r="1014" spans="1:2">
      <c r="A1014" s="1203">
        <v>41086</v>
      </c>
      <c r="B1014" s="1205">
        <v>8.4497999999999998</v>
      </c>
    </row>
    <row r="1015" spans="1:2">
      <c r="A1015" s="1203">
        <v>41085</v>
      </c>
      <c r="B1015" s="1205">
        <v>8.4971999999999994</v>
      </c>
    </row>
    <row r="1016" spans="1:2">
      <c r="A1016" s="1203">
        <v>41082</v>
      </c>
      <c r="B1016" s="1205">
        <v>8.4086999999999996</v>
      </c>
    </row>
    <row r="1017" spans="1:2">
      <c r="A1017" s="1203">
        <v>41081</v>
      </c>
      <c r="B1017" s="1205">
        <v>8.3413000000000004</v>
      </c>
    </row>
    <row r="1018" spans="1:2">
      <c r="A1018" s="1203">
        <v>41080</v>
      </c>
      <c r="B1018" s="1205">
        <v>8.202</v>
      </c>
    </row>
    <row r="1019" spans="1:2">
      <c r="A1019" s="1203">
        <v>41079</v>
      </c>
      <c r="B1019" s="1205">
        <v>8.1999999999999993</v>
      </c>
    </row>
    <row r="1020" spans="1:2">
      <c r="A1020" s="1203">
        <v>41078</v>
      </c>
      <c r="B1020" s="1205">
        <v>8.3291000000000004</v>
      </c>
    </row>
    <row r="1021" spans="1:2">
      <c r="A1021" s="1203">
        <v>41075</v>
      </c>
      <c r="B1021" s="1205">
        <v>8.3548000000000009</v>
      </c>
    </row>
    <row r="1022" spans="1:2">
      <c r="A1022" s="1203">
        <v>41074</v>
      </c>
      <c r="B1022" s="1205">
        <v>8.4079999999999995</v>
      </c>
    </row>
    <row r="1023" spans="1:2">
      <c r="A1023" s="1203">
        <v>41073</v>
      </c>
      <c r="B1023" s="1205">
        <v>8.3605</v>
      </c>
    </row>
    <row r="1024" spans="1:2">
      <c r="A1024" s="1203">
        <v>41072</v>
      </c>
      <c r="B1024" s="1205">
        <v>8.4370999999999992</v>
      </c>
    </row>
    <row r="1025" spans="1:2">
      <c r="A1025" s="1203">
        <v>41071</v>
      </c>
      <c r="B1025" s="1205">
        <v>8.4486000000000008</v>
      </c>
    </row>
    <row r="1026" spans="1:2">
      <c r="A1026" s="1203">
        <v>41068</v>
      </c>
      <c r="B1026" s="1205">
        <v>8.4215</v>
      </c>
    </row>
    <row r="1027" spans="1:2">
      <c r="A1027" s="1203">
        <v>41067</v>
      </c>
      <c r="B1027" s="1205">
        <v>8.3305000000000007</v>
      </c>
    </row>
    <row r="1028" spans="1:2">
      <c r="A1028" s="1203">
        <v>41066</v>
      </c>
      <c r="B1028" s="1205">
        <v>8.3139000000000003</v>
      </c>
    </row>
    <row r="1029" spans="1:2">
      <c r="A1029" s="1203">
        <v>41065</v>
      </c>
      <c r="B1029" s="1205">
        <v>8.4552999999999994</v>
      </c>
    </row>
    <row r="1030" spans="1:2">
      <c r="A1030" s="1203">
        <v>41064</v>
      </c>
      <c r="B1030" s="1205">
        <v>8.5084999999999997</v>
      </c>
    </row>
    <row r="1031" spans="1:2">
      <c r="A1031" s="1203">
        <v>41061</v>
      </c>
      <c r="B1031" s="1205">
        <v>8.6057000000000006</v>
      </c>
    </row>
    <row r="1032" spans="1:2">
      <c r="A1032" s="1203">
        <v>41060</v>
      </c>
      <c r="B1032" s="1205">
        <v>8.5032999999999994</v>
      </c>
    </row>
    <row r="1033" spans="1:2">
      <c r="A1033" s="1203">
        <v>41059</v>
      </c>
      <c r="B1033" s="1205">
        <v>8.5</v>
      </c>
    </row>
    <row r="1034" spans="1:2">
      <c r="A1034" s="1203">
        <v>41058</v>
      </c>
      <c r="B1034" s="1205">
        <v>8.3490000000000002</v>
      </c>
    </row>
    <row r="1035" spans="1:2">
      <c r="A1035" s="1203">
        <v>41057</v>
      </c>
      <c r="B1035" s="1205">
        <v>8.3492999999999995</v>
      </c>
    </row>
    <row r="1036" spans="1:2">
      <c r="A1036" s="1203">
        <v>41054</v>
      </c>
      <c r="B1036" s="1205">
        <v>8.3798999999999992</v>
      </c>
    </row>
    <row r="1037" spans="1:2">
      <c r="A1037" s="1203">
        <v>41053</v>
      </c>
      <c r="B1037" s="1205">
        <v>8.3741000000000003</v>
      </c>
    </row>
    <row r="1038" spans="1:2">
      <c r="A1038" s="1203">
        <v>41052</v>
      </c>
      <c r="B1038" s="1205">
        <v>8.4358000000000004</v>
      </c>
    </row>
    <row r="1039" spans="1:2">
      <c r="A1039" s="1203">
        <v>41051</v>
      </c>
      <c r="B1039" s="1205">
        <v>8.2740000000000009</v>
      </c>
    </row>
    <row r="1040" spans="1:2">
      <c r="A1040" s="1203">
        <v>41050</v>
      </c>
      <c r="B1040" s="1205">
        <v>8.2700999999999993</v>
      </c>
    </row>
    <row r="1041" spans="1:2">
      <c r="A1041" s="1203">
        <v>41047</v>
      </c>
      <c r="B1041" s="1205">
        <v>8.3343000000000007</v>
      </c>
    </row>
    <row r="1042" spans="1:2">
      <c r="A1042" s="1203">
        <v>41046</v>
      </c>
      <c r="B1042" s="1205">
        <v>8.3215000000000003</v>
      </c>
    </row>
    <row r="1043" spans="1:2">
      <c r="A1043" s="1203">
        <v>41045</v>
      </c>
      <c r="B1043" s="1205">
        <v>8.2815999999999992</v>
      </c>
    </row>
    <row r="1044" spans="1:2">
      <c r="A1044" s="1203">
        <v>41044</v>
      </c>
      <c r="B1044" s="1205">
        <v>8.2775999999999996</v>
      </c>
    </row>
    <row r="1045" spans="1:2">
      <c r="A1045" s="1203">
        <v>41043</v>
      </c>
      <c r="B1045" s="1205">
        <v>8.1661000000000001</v>
      </c>
    </row>
    <row r="1046" spans="1:2">
      <c r="A1046" s="1203">
        <v>41040</v>
      </c>
      <c r="B1046" s="1205">
        <v>8.0885999999999996</v>
      </c>
    </row>
    <row r="1047" spans="1:2">
      <c r="A1047" s="1203">
        <v>41039</v>
      </c>
      <c r="B1047" s="1205">
        <v>8.0042000000000009</v>
      </c>
    </row>
    <row r="1048" spans="1:2">
      <c r="A1048" s="1203">
        <v>41038</v>
      </c>
      <c r="B1048" s="1205">
        <v>8.0025999999999993</v>
      </c>
    </row>
    <row r="1049" spans="1:2">
      <c r="A1049" s="1203">
        <v>41037</v>
      </c>
      <c r="B1049" s="1205">
        <v>7.9150999999999998</v>
      </c>
    </row>
    <row r="1050" spans="1:2">
      <c r="A1050" s="1203">
        <v>41036</v>
      </c>
      <c r="B1050" s="1205">
        <v>7.8131000000000004</v>
      </c>
    </row>
    <row r="1051" spans="1:2">
      <c r="A1051" s="1203">
        <v>41033</v>
      </c>
      <c r="B1051" s="1205">
        <v>7.8198999999999996</v>
      </c>
    </row>
    <row r="1052" spans="1:2">
      <c r="A1052" s="1203">
        <v>41032</v>
      </c>
      <c r="B1052" s="1205">
        <v>7.7218999999999998</v>
      </c>
    </row>
    <row r="1053" spans="1:2">
      <c r="A1053" s="1203">
        <v>41031</v>
      </c>
      <c r="B1053" s="1205">
        <v>7.7442000000000002</v>
      </c>
    </row>
    <row r="1054" spans="1:2">
      <c r="A1054" s="1203">
        <v>41030</v>
      </c>
      <c r="B1054" s="1205">
        <v>7.7251000000000003</v>
      </c>
    </row>
    <row r="1055" spans="1:2">
      <c r="A1055" s="1203">
        <v>41029</v>
      </c>
      <c r="B1055" s="1205">
        <v>7.7861000000000002</v>
      </c>
    </row>
    <row r="1056" spans="1:2">
      <c r="A1056" s="1203">
        <v>41026</v>
      </c>
      <c r="B1056" s="1205">
        <v>7.7565</v>
      </c>
    </row>
    <row r="1057" spans="1:2">
      <c r="A1057" s="1203">
        <v>41025</v>
      </c>
      <c r="B1057" s="1205">
        <v>7.7841000000000005</v>
      </c>
    </row>
    <row r="1058" spans="1:2">
      <c r="A1058" s="1203">
        <v>41024</v>
      </c>
      <c r="B1058" s="1205">
        <v>7.7610999999999999</v>
      </c>
    </row>
    <row r="1059" spans="1:2">
      <c r="A1059" s="1203">
        <v>41023</v>
      </c>
      <c r="B1059" s="1205">
        <v>7.8118999999999996</v>
      </c>
    </row>
    <row r="1060" spans="1:2">
      <c r="A1060" s="1203">
        <v>41022</v>
      </c>
      <c r="B1060" s="1205">
        <v>7.8647</v>
      </c>
    </row>
    <row r="1061" spans="1:2">
      <c r="A1061" s="1203">
        <v>41019</v>
      </c>
      <c r="B1061" s="1205">
        <v>7.8027999999999995</v>
      </c>
    </row>
    <row r="1062" spans="1:2">
      <c r="A1062" s="1203">
        <v>41018</v>
      </c>
      <c r="B1062" s="1205">
        <v>7.8601999999999999</v>
      </c>
    </row>
    <row r="1063" spans="1:2">
      <c r="A1063" s="1203">
        <v>41017</v>
      </c>
      <c r="B1063" s="1205">
        <v>7.8189000000000002</v>
      </c>
    </row>
    <row r="1064" spans="1:2">
      <c r="A1064" s="1203">
        <v>41016</v>
      </c>
      <c r="B1064" s="1205">
        <v>7.7946</v>
      </c>
    </row>
    <row r="1065" spans="1:2">
      <c r="A1065" s="1203">
        <v>41015</v>
      </c>
      <c r="B1065" s="1205">
        <v>7.9518000000000004</v>
      </c>
    </row>
    <row r="1066" spans="1:2">
      <c r="A1066" s="1203">
        <v>41012</v>
      </c>
      <c r="B1066" s="1205">
        <v>7.9391999999999996</v>
      </c>
    </row>
    <row r="1067" spans="1:2">
      <c r="A1067" s="1203">
        <v>41011</v>
      </c>
      <c r="B1067" s="1205">
        <v>7.8967999999999998</v>
      </c>
    </row>
    <row r="1068" spans="1:2">
      <c r="A1068" s="1203">
        <v>41010</v>
      </c>
      <c r="B1068" s="1205">
        <v>7.9793000000000003</v>
      </c>
    </row>
    <row r="1069" spans="1:2">
      <c r="A1069" s="1203">
        <v>41009</v>
      </c>
      <c r="B1069" s="1205">
        <v>8.0084999999999997</v>
      </c>
    </row>
    <row r="1070" spans="1:2">
      <c r="A1070" s="1203">
        <v>41008</v>
      </c>
      <c r="B1070" s="1205">
        <v>7.8745000000000003</v>
      </c>
    </row>
    <row r="1071" spans="1:2">
      <c r="A1071" s="1203">
        <v>41005</v>
      </c>
      <c r="B1071" s="1205">
        <v>7.8849999999999998</v>
      </c>
    </row>
    <row r="1072" spans="1:2">
      <c r="A1072" s="1203">
        <v>41004</v>
      </c>
      <c r="B1072" s="1205">
        <v>7.8383000000000003</v>
      </c>
    </row>
    <row r="1073" spans="1:2">
      <c r="A1073" s="1203">
        <v>41003</v>
      </c>
      <c r="B1073" s="1205">
        <v>7.8220999999999998</v>
      </c>
    </row>
    <row r="1074" spans="1:2">
      <c r="A1074" s="1203">
        <v>41002</v>
      </c>
      <c r="B1074" s="1205">
        <v>7.7024999999999997</v>
      </c>
    </row>
    <row r="1075" spans="1:2">
      <c r="A1075" s="1203">
        <v>41001</v>
      </c>
      <c r="B1075" s="1205">
        <v>7.6338999999999997</v>
      </c>
    </row>
    <row r="1076" spans="1:2">
      <c r="A1076" s="1203">
        <v>40998</v>
      </c>
      <c r="B1076" s="1205">
        <v>7.6456</v>
      </c>
    </row>
    <row r="1077" spans="1:2">
      <c r="A1077" s="1203">
        <v>40997</v>
      </c>
      <c r="B1077" s="1205">
        <v>7.7458</v>
      </c>
    </row>
    <row r="1078" spans="1:2">
      <c r="A1078" s="1203">
        <v>40996</v>
      </c>
      <c r="B1078" s="1205">
        <v>7.6879999999999997</v>
      </c>
    </row>
    <row r="1079" spans="1:2">
      <c r="A1079" s="1203">
        <v>40995</v>
      </c>
      <c r="B1079" s="1205">
        <v>7.5940000000000003</v>
      </c>
    </row>
    <row r="1080" spans="1:2">
      <c r="A1080" s="1203">
        <v>40994</v>
      </c>
      <c r="B1080" s="1205">
        <v>7.5898000000000003</v>
      </c>
    </row>
    <row r="1081" spans="1:2">
      <c r="A1081" s="1203">
        <v>40991</v>
      </c>
      <c r="B1081" s="1205">
        <v>7.6826999999999996</v>
      </c>
    </row>
    <row r="1082" spans="1:2">
      <c r="A1082" s="1203">
        <v>40990</v>
      </c>
      <c r="B1082" s="1205">
        <v>7.7127999999999997</v>
      </c>
    </row>
    <row r="1083" spans="1:2">
      <c r="A1083" s="1203">
        <v>40989</v>
      </c>
      <c r="B1083" s="1205">
        <v>7.6570999999999998</v>
      </c>
    </row>
    <row r="1084" spans="1:2">
      <c r="A1084" s="1203">
        <v>40988</v>
      </c>
      <c r="B1084" s="1205">
        <v>7.6101000000000001</v>
      </c>
    </row>
    <row r="1085" spans="1:2">
      <c r="A1085" s="1203">
        <v>40987</v>
      </c>
      <c r="B1085" s="1205">
        <v>7.5239000000000003</v>
      </c>
    </row>
    <row r="1086" spans="1:2">
      <c r="A1086" s="1203">
        <v>40984</v>
      </c>
      <c r="B1086" s="1205">
        <v>7.5753000000000004</v>
      </c>
    </row>
    <row r="1087" spans="1:2">
      <c r="A1087" s="1203">
        <v>40983</v>
      </c>
      <c r="B1087" s="1205">
        <v>7.6170999999999998</v>
      </c>
    </row>
    <row r="1088" spans="1:2">
      <c r="A1088" s="1203">
        <v>40982</v>
      </c>
      <c r="B1088" s="1205">
        <v>7.7297000000000002</v>
      </c>
    </row>
    <row r="1089" spans="1:2">
      <c r="A1089" s="1203">
        <v>40981</v>
      </c>
      <c r="B1089" s="1205">
        <v>7.5399000000000003</v>
      </c>
    </row>
    <row r="1090" spans="1:2">
      <c r="A1090" s="1203">
        <v>40980</v>
      </c>
      <c r="B1090" s="1205">
        <v>7.5544000000000002</v>
      </c>
    </row>
    <row r="1091" spans="1:2">
      <c r="A1091" s="1203">
        <v>40977</v>
      </c>
      <c r="B1091" s="1205">
        <v>7.5343999999999998</v>
      </c>
    </row>
    <row r="1092" spans="1:2">
      <c r="A1092" s="1203">
        <v>40976</v>
      </c>
      <c r="B1092" s="1205">
        <v>7.5190999999999999</v>
      </c>
    </row>
    <row r="1093" spans="1:2">
      <c r="A1093" s="1203">
        <v>40975</v>
      </c>
      <c r="B1093" s="1205">
        <v>7.6181000000000001</v>
      </c>
    </row>
    <row r="1094" spans="1:2">
      <c r="A1094" s="1203">
        <v>40974</v>
      </c>
      <c r="B1094" s="1205">
        <v>7.6603000000000003</v>
      </c>
    </row>
    <row r="1095" spans="1:2">
      <c r="A1095" s="1203">
        <v>40973</v>
      </c>
      <c r="B1095" s="1205">
        <v>7.5549999999999997</v>
      </c>
    </row>
    <row r="1096" spans="1:2">
      <c r="A1096" s="1203">
        <v>40970</v>
      </c>
      <c r="B1096" s="1205">
        <v>7.5168999999999997</v>
      </c>
    </row>
    <row r="1097" spans="1:2">
      <c r="A1097" s="1203">
        <v>40969</v>
      </c>
      <c r="B1097" s="1205">
        <v>7.4577999999999998</v>
      </c>
    </row>
    <row r="1098" spans="1:2">
      <c r="A1098" s="1203">
        <v>40968</v>
      </c>
      <c r="B1098" s="1205">
        <v>7.4531000000000001</v>
      </c>
    </row>
    <row r="1099" spans="1:2">
      <c r="A1099" s="1203">
        <v>40967</v>
      </c>
      <c r="B1099" s="1205">
        <v>7.5339999999999998</v>
      </c>
    </row>
    <row r="1100" spans="1:2">
      <c r="A1100" s="1203">
        <v>40966</v>
      </c>
      <c r="B1100" s="1205">
        <v>7.5380000000000003</v>
      </c>
    </row>
    <row r="1101" spans="1:2">
      <c r="A1101" s="1203">
        <v>40963</v>
      </c>
      <c r="B1101" s="1205">
        <v>7.5910000000000002</v>
      </c>
    </row>
    <row r="1102" spans="1:2">
      <c r="A1102" s="1203">
        <v>40962</v>
      </c>
      <c r="B1102" s="1205">
        <v>7.6809000000000003</v>
      </c>
    </row>
    <row r="1103" spans="1:2">
      <c r="A1103" s="1203">
        <v>40961</v>
      </c>
      <c r="B1103" s="1205">
        <v>7.7355999999999998</v>
      </c>
    </row>
    <row r="1104" spans="1:2">
      <c r="A1104" s="1203">
        <v>40960</v>
      </c>
      <c r="B1104" s="1205">
        <v>7.7225999999999999</v>
      </c>
    </row>
    <row r="1105" spans="1:2">
      <c r="A1105" s="1203">
        <v>40959</v>
      </c>
      <c r="B1105" s="1205">
        <v>7.6652000000000005</v>
      </c>
    </row>
    <row r="1106" spans="1:2">
      <c r="A1106" s="1203">
        <v>40956</v>
      </c>
      <c r="B1106" s="1205">
        <v>7.7487000000000004</v>
      </c>
    </row>
    <row r="1107" spans="1:2">
      <c r="A1107" s="1203">
        <v>40955</v>
      </c>
      <c r="B1107" s="1205">
        <v>7.7824</v>
      </c>
    </row>
    <row r="1108" spans="1:2">
      <c r="A1108" s="1203">
        <v>40954</v>
      </c>
      <c r="B1108" s="1205">
        <v>7.7325999999999997</v>
      </c>
    </row>
    <row r="1109" spans="1:2">
      <c r="A1109" s="1203">
        <v>40953</v>
      </c>
      <c r="B1109" s="1205">
        <v>7.7454999999999998</v>
      </c>
    </row>
    <row r="1110" spans="1:2">
      <c r="A1110" s="1203">
        <v>40952</v>
      </c>
      <c r="B1110" s="1205">
        <v>7.6966999999999999</v>
      </c>
    </row>
    <row r="1111" spans="1:2">
      <c r="A1111" s="1203">
        <v>40949</v>
      </c>
      <c r="B1111" s="1205">
        <v>7.7465000000000002</v>
      </c>
    </row>
    <row r="1112" spans="1:2">
      <c r="A1112" s="1203">
        <v>40948</v>
      </c>
      <c r="B1112" s="1205">
        <v>7.6036000000000001</v>
      </c>
    </row>
    <row r="1113" spans="1:2">
      <c r="A1113" s="1203">
        <v>40947</v>
      </c>
      <c r="B1113" s="1205">
        <v>7.5803000000000003</v>
      </c>
    </row>
    <row r="1114" spans="1:2">
      <c r="A1114" s="1203">
        <v>40946</v>
      </c>
      <c r="B1114" s="1205">
        <v>7.5606999999999998</v>
      </c>
    </row>
    <row r="1115" spans="1:2">
      <c r="A1115" s="1203">
        <v>40945</v>
      </c>
      <c r="B1115" s="1205">
        <v>7.5574000000000003</v>
      </c>
    </row>
    <row r="1116" spans="1:2">
      <c r="A1116" s="1203">
        <v>40942</v>
      </c>
      <c r="B1116" s="1205">
        <v>7.5563000000000002</v>
      </c>
    </row>
    <row r="1117" spans="1:2">
      <c r="A1117" s="1203">
        <v>40941</v>
      </c>
      <c r="B1117" s="1205">
        <v>7.64</v>
      </c>
    </row>
    <row r="1118" spans="1:2">
      <c r="A1118" s="1203">
        <v>40940</v>
      </c>
      <c r="B1118" s="1205">
        <v>7.6734999999999998</v>
      </c>
    </row>
    <row r="1119" spans="1:2">
      <c r="A1119" s="1203">
        <v>40939</v>
      </c>
      <c r="B1119" s="1205">
        <v>7.8120000000000003</v>
      </c>
    </row>
    <row r="1120" spans="1:2">
      <c r="A1120" s="1203">
        <v>40938</v>
      </c>
      <c r="B1120" s="1205">
        <v>7.8543000000000003</v>
      </c>
    </row>
    <row r="1121" spans="1:2">
      <c r="A1121" s="1203">
        <v>40935</v>
      </c>
      <c r="B1121" s="1205">
        <v>7.7722999999999995</v>
      </c>
    </row>
    <row r="1122" spans="1:2">
      <c r="A1122" s="1203">
        <v>40934</v>
      </c>
      <c r="B1122" s="1205">
        <v>7.7895000000000003</v>
      </c>
    </row>
    <row r="1123" spans="1:2">
      <c r="A1123" s="1203">
        <v>40933</v>
      </c>
      <c r="B1123" s="1205">
        <v>7.9730999999999996</v>
      </c>
    </row>
    <row r="1124" spans="1:2">
      <c r="A1124" s="1203">
        <v>40932</v>
      </c>
      <c r="B1124" s="1205">
        <v>7.9367000000000001</v>
      </c>
    </row>
    <row r="1125" spans="1:2">
      <c r="A1125" s="1203">
        <v>40931</v>
      </c>
      <c r="B1125" s="1205">
        <v>7.9330999999999996</v>
      </c>
    </row>
    <row r="1126" spans="1:2">
      <c r="A1126" s="1203">
        <v>40928</v>
      </c>
      <c r="B1126" s="1205">
        <v>7.9434000000000005</v>
      </c>
    </row>
    <row r="1127" spans="1:2">
      <c r="A1127" s="1203">
        <v>40927</v>
      </c>
      <c r="B1127" s="1205">
        <v>7.9043999999999999</v>
      </c>
    </row>
    <row r="1128" spans="1:2">
      <c r="A1128" s="1203">
        <v>40926</v>
      </c>
      <c r="B1128" s="1205">
        <v>7.9926000000000004</v>
      </c>
    </row>
    <row r="1129" spans="1:2">
      <c r="A1129" s="1203">
        <v>40925</v>
      </c>
      <c r="B1129" s="1205">
        <v>8.0494000000000003</v>
      </c>
    </row>
    <row r="1130" spans="1:2">
      <c r="A1130" s="1203">
        <v>40924</v>
      </c>
      <c r="B1130" s="1205">
        <v>8.1082000000000001</v>
      </c>
    </row>
    <row r="1131" spans="1:2">
      <c r="A1131" s="1203">
        <v>40921</v>
      </c>
      <c r="B1131" s="1205">
        <v>8.1450999999999993</v>
      </c>
    </row>
    <row r="1132" spans="1:2">
      <c r="A1132" s="1203">
        <v>40920</v>
      </c>
      <c r="B1132" s="1205">
        <v>8.0467999999999993</v>
      </c>
    </row>
    <row r="1133" spans="1:2">
      <c r="A1133" s="1203">
        <v>40919</v>
      </c>
      <c r="B1133" s="1205">
        <v>8.1158000000000001</v>
      </c>
    </row>
    <row r="1134" spans="1:2">
      <c r="A1134" s="1203">
        <v>40918</v>
      </c>
      <c r="B1134" s="1205">
        <v>8.1075999999999997</v>
      </c>
    </row>
    <row r="1135" spans="1:2">
      <c r="A1135" s="1203">
        <v>40917</v>
      </c>
      <c r="B1135" s="1205">
        <v>8.1828000000000003</v>
      </c>
    </row>
    <row r="1136" spans="1:2">
      <c r="A1136" s="1203">
        <v>40914</v>
      </c>
      <c r="B1136" s="1205">
        <v>8.1608999999999998</v>
      </c>
    </row>
    <row r="1137" spans="1:2">
      <c r="A1137" s="1203">
        <v>40913</v>
      </c>
      <c r="B1137" s="1205">
        <v>8.1723999999999997</v>
      </c>
    </row>
    <row r="1138" spans="1:2">
      <c r="A1138" s="1203">
        <v>40912</v>
      </c>
      <c r="B1138" s="1205">
        <v>8.1311999999999998</v>
      </c>
    </row>
    <row r="1139" spans="1:2">
      <c r="A1139" s="1203">
        <v>40911</v>
      </c>
      <c r="B1139" s="1205">
        <v>8.0306999999999995</v>
      </c>
    </row>
    <row r="1140" spans="1:2">
      <c r="A1140" s="1203">
        <v>40910</v>
      </c>
      <c r="B1140" s="1205">
        <v>8.0765999999999991</v>
      </c>
    </row>
    <row r="1141" spans="1:2">
      <c r="A1141" s="1203">
        <v>40907</v>
      </c>
      <c r="B1141" s="1205">
        <v>8.0751000000000008</v>
      </c>
    </row>
    <row r="1142" spans="1:2">
      <c r="A1142" s="1203">
        <v>40906</v>
      </c>
      <c r="B1142" s="1205">
        <v>8.1850000000000005</v>
      </c>
    </row>
    <row r="1143" spans="1:2">
      <c r="A1143" s="1203">
        <v>40905</v>
      </c>
      <c r="B1143" s="1205">
        <v>8.1931999999999992</v>
      </c>
    </row>
    <row r="1144" spans="1:2">
      <c r="A1144" s="1203">
        <v>40904</v>
      </c>
      <c r="B1144" s="1205">
        <v>8.1409000000000002</v>
      </c>
    </row>
    <row r="1145" spans="1:2">
      <c r="A1145" s="1203">
        <v>40903</v>
      </c>
      <c r="B1145" s="1205">
        <v>8.1609999999999996</v>
      </c>
    </row>
    <row r="1146" spans="1:2">
      <c r="A1146" s="1203">
        <v>40900</v>
      </c>
      <c r="B1146" s="1205">
        <v>8.1367999999999991</v>
      </c>
    </row>
    <row r="1147" spans="1:2">
      <c r="A1147" s="1203">
        <v>40899</v>
      </c>
      <c r="B1147" s="1205">
        <v>8.1694999999999993</v>
      </c>
    </row>
    <row r="1148" spans="1:2">
      <c r="A1148" s="1203">
        <v>40898</v>
      </c>
      <c r="B1148" s="1205">
        <v>8.2629999999999999</v>
      </c>
    </row>
    <row r="1149" spans="1:2">
      <c r="A1149" s="1203">
        <v>40897</v>
      </c>
      <c r="B1149" s="1205">
        <v>8.2100000000000009</v>
      </c>
    </row>
    <row r="1150" spans="1:2">
      <c r="A1150" s="1203">
        <v>40896</v>
      </c>
      <c r="B1150" s="1205">
        <v>8.3923000000000005</v>
      </c>
    </row>
    <row r="1151" spans="1:2">
      <c r="A1151" s="1203">
        <v>40893</v>
      </c>
      <c r="B1151" s="1205">
        <v>8.3826999999999998</v>
      </c>
    </row>
    <row r="1152" spans="1:2">
      <c r="A1152" s="1203">
        <v>40892</v>
      </c>
      <c r="B1152" s="1205">
        <v>8.4046000000000003</v>
      </c>
    </row>
    <row r="1153" spans="1:2">
      <c r="A1153" s="1203">
        <v>40891</v>
      </c>
      <c r="B1153" s="1205">
        <v>8.4349000000000007</v>
      </c>
    </row>
    <row r="1154" spans="1:2">
      <c r="A1154" s="1203">
        <v>40890</v>
      </c>
      <c r="B1154" s="1205">
        <v>8.2919999999999998</v>
      </c>
    </row>
    <row r="1155" spans="1:2">
      <c r="A1155" s="1203">
        <v>40889</v>
      </c>
      <c r="B1155" s="1205">
        <v>8.2646999999999995</v>
      </c>
    </row>
    <row r="1156" spans="1:2">
      <c r="A1156" s="1203">
        <v>40886</v>
      </c>
      <c r="B1156" s="1205">
        <v>8.1159999999999997</v>
      </c>
    </row>
    <row r="1157" spans="1:2">
      <c r="A1157" s="1203">
        <v>40885</v>
      </c>
      <c r="B1157" s="1205">
        <v>8.2675000000000001</v>
      </c>
    </row>
    <row r="1158" spans="1:2">
      <c r="A1158" s="1203">
        <v>40884</v>
      </c>
      <c r="B1158" s="1205">
        <v>8.0225000000000009</v>
      </c>
    </row>
    <row r="1159" spans="1:2">
      <c r="A1159" s="1203">
        <v>40883</v>
      </c>
      <c r="B1159" s="1205">
        <v>8.0289999999999999</v>
      </c>
    </row>
    <row r="1160" spans="1:2">
      <c r="A1160" s="1203">
        <v>40882</v>
      </c>
      <c r="B1160" s="1205">
        <v>8.0060000000000002</v>
      </c>
    </row>
    <row r="1161" spans="1:2">
      <c r="A1161" s="1203">
        <v>40879</v>
      </c>
      <c r="B1161" s="1205">
        <v>8.0569000000000006</v>
      </c>
    </row>
    <row r="1162" spans="1:2">
      <c r="A1162" s="1203">
        <v>40878</v>
      </c>
      <c r="B1162" s="1205">
        <v>8.0928000000000004</v>
      </c>
    </row>
    <row r="1163" spans="1:2">
      <c r="A1163" s="1203">
        <v>40877</v>
      </c>
      <c r="B1163" s="1205">
        <v>8.1319999999999997</v>
      </c>
    </row>
    <row r="1164" spans="1:2">
      <c r="A1164" s="1203">
        <v>40876</v>
      </c>
      <c r="B1164" s="1205">
        <v>8.3535000000000004</v>
      </c>
    </row>
    <row r="1165" spans="1:2">
      <c r="A1165" s="1203">
        <v>40875</v>
      </c>
      <c r="B1165" s="1205">
        <v>8.3929000000000009</v>
      </c>
    </row>
    <row r="1166" spans="1:2">
      <c r="A1166" s="1203">
        <v>40872</v>
      </c>
      <c r="B1166" s="1205">
        <v>8.5411999999999999</v>
      </c>
    </row>
    <row r="1167" spans="1:2">
      <c r="A1167" s="1203">
        <v>40871</v>
      </c>
      <c r="B1167" s="1205">
        <v>8.4824999999999999</v>
      </c>
    </row>
    <row r="1168" spans="1:2">
      <c r="A1168" s="1203">
        <v>40870</v>
      </c>
      <c r="B1168" s="1205">
        <v>8.5295000000000005</v>
      </c>
    </row>
    <row r="1169" spans="1:2">
      <c r="A1169" s="1203">
        <v>40869</v>
      </c>
      <c r="B1169" s="1205">
        <v>8.3774999999999995</v>
      </c>
    </row>
    <row r="1170" spans="1:2">
      <c r="A1170" s="1203">
        <v>40868</v>
      </c>
      <c r="B1170" s="1205">
        <v>8.3279999999999994</v>
      </c>
    </row>
    <row r="1171" spans="1:2">
      <c r="A1171" s="1203">
        <v>40865</v>
      </c>
      <c r="B1171" s="1205">
        <v>8.2189999999999994</v>
      </c>
    </row>
    <row r="1172" spans="1:2">
      <c r="A1172" s="1203">
        <v>40864</v>
      </c>
      <c r="B1172" s="1205">
        <v>8.2278000000000002</v>
      </c>
    </row>
    <row r="1173" spans="1:2">
      <c r="A1173" s="1203">
        <v>40863</v>
      </c>
      <c r="B1173" s="1205">
        <v>8.1518999999999995</v>
      </c>
    </row>
    <row r="1174" spans="1:2">
      <c r="A1174" s="1203">
        <v>40862</v>
      </c>
      <c r="B1174" s="1205">
        <v>8.1748999999999992</v>
      </c>
    </row>
    <row r="1175" spans="1:2">
      <c r="A1175" s="1203">
        <v>40861</v>
      </c>
      <c r="B1175" s="1205">
        <v>8.0213999999999999</v>
      </c>
    </row>
    <row r="1176" spans="1:2">
      <c r="A1176" s="1203">
        <v>40858</v>
      </c>
      <c r="B1176" s="1205">
        <v>7.9015000000000004</v>
      </c>
    </row>
    <row r="1177" spans="1:2">
      <c r="A1177" s="1203">
        <v>40857</v>
      </c>
      <c r="B1177" s="1205">
        <v>7.9726999999999997</v>
      </c>
    </row>
    <row r="1178" spans="1:2">
      <c r="A1178" s="1203">
        <v>40856</v>
      </c>
      <c r="B1178" s="1205">
        <v>7.9923000000000002</v>
      </c>
    </row>
    <row r="1179" spans="1:2">
      <c r="A1179" s="1203">
        <v>40855</v>
      </c>
      <c r="B1179" s="1205">
        <v>7.8638000000000003</v>
      </c>
    </row>
    <row r="1180" spans="1:2">
      <c r="A1180" s="1203">
        <v>40854</v>
      </c>
      <c r="B1180" s="1205">
        <v>7.9669999999999996</v>
      </c>
    </row>
    <row r="1181" spans="1:2">
      <c r="A1181" s="1203">
        <v>40851</v>
      </c>
      <c r="B1181" s="1205">
        <v>7.8944999999999999</v>
      </c>
    </row>
    <row r="1182" spans="1:2">
      <c r="A1182" s="1203">
        <v>40850</v>
      </c>
      <c r="B1182" s="1205">
        <v>7.85</v>
      </c>
    </row>
    <row r="1183" spans="1:2">
      <c r="A1183" s="1203">
        <v>40849</v>
      </c>
      <c r="B1183" s="1205">
        <v>7.9965000000000002</v>
      </c>
    </row>
    <row r="1184" spans="1:2">
      <c r="A1184" s="1203">
        <v>40848</v>
      </c>
      <c r="B1184" s="1205">
        <v>8.0548000000000002</v>
      </c>
    </row>
    <row r="1185" spans="1:2">
      <c r="A1185" s="1203">
        <v>40847</v>
      </c>
      <c r="B1185" s="1205">
        <v>7.8791000000000002</v>
      </c>
    </row>
    <row r="1186" spans="1:2">
      <c r="A1186" s="1203">
        <v>40844</v>
      </c>
      <c r="B1186" s="1205">
        <v>7.7355</v>
      </c>
    </row>
    <row r="1187" spans="1:2">
      <c r="A1187" s="1203">
        <v>40843</v>
      </c>
      <c r="B1187" s="1205">
        <v>7.7146999999999997</v>
      </c>
    </row>
    <row r="1188" spans="1:2">
      <c r="A1188" s="1203">
        <v>40842</v>
      </c>
      <c r="B1188" s="1205">
        <v>8.0023999999999997</v>
      </c>
    </row>
    <row r="1189" spans="1:2">
      <c r="A1189" s="1203">
        <v>40841</v>
      </c>
      <c r="B1189" s="1205">
        <v>7.9061000000000003</v>
      </c>
    </row>
    <row r="1190" spans="1:2">
      <c r="A1190" s="1203">
        <v>40840</v>
      </c>
      <c r="B1190" s="1205">
        <v>7.8715999999999999</v>
      </c>
    </row>
    <row r="1191" spans="1:2">
      <c r="A1191" s="1203">
        <v>40837</v>
      </c>
      <c r="B1191" s="1205">
        <v>8.0404</v>
      </c>
    </row>
    <row r="1192" spans="1:2">
      <c r="A1192" s="1203">
        <v>40836</v>
      </c>
      <c r="B1192" s="1205">
        <v>8.2106999999999992</v>
      </c>
    </row>
    <row r="1193" spans="1:2">
      <c r="A1193" s="1203">
        <v>40835</v>
      </c>
      <c r="B1193" s="1205">
        <v>8.016</v>
      </c>
    </row>
    <row r="1194" spans="1:2">
      <c r="A1194" s="1203">
        <v>40834</v>
      </c>
      <c r="B1194" s="1205">
        <v>7.9965000000000002</v>
      </c>
    </row>
    <row r="1195" spans="1:2">
      <c r="A1195" s="1203">
        <v>40833</v>
      </c>
      <c r="B1195" s="1205">
        <v>7.9615999999999998</v>
      </c>
    </row>
    <row r="1196" spans="1:2">
      <c r="A1196" s="1203">
        <v>40830</v>
      </c>
      <c r="B1196" s="1205">
        <v>7.8544999999999998</v>
      </c>
    </row>
    <row r="1197" spans="1:2">
      <c r="A1197" s="1203">
        <v>40829</v>
      </c>
      <c r="B1197" s="1205">
        <v>7.8964999999999996</v>
      </c>
    </row>
    <row r="1198" spans="1:2">
      <c r="A1198" s="1203">
        <v>40828</v>
      </c>
      <c r="B1198" s="1205">
        <v>7.7942999999999998</v>
      </c>
    </row>
    <row r="1199" spans="1:2">
      <c r="A1199" s="1203">
        <v>40827</v>
      </c>
      <c r="B1199" s="1205">
        <v>7.9157000000000002</v>
      </c>
    </row>
    <row r="1200" spans="1:2">
      <c r="A1200" s="1203">
        <v>40826</v>
      </c>
      <c r="B1200" s="1205">
        <v>7.8399000000000001</v>
      </c>
    </row>
    <row r="1201" spans="1:2">
      <c r="A1201" s="1203">
        <v>40823</v>
      </c>
      <c r="B1201" s="1205">
        <v>7.9722</v>
      </c>
    </row>
    <row r="1202" spans="1:2">
      <c r="A1202" s="1203">
        <v>40822</v>
      </c>
      <c r="B1202" s="1205">
        <v>7.9763000000000002</v>
      </c>
    </row>
    <row r="1203" spans="1:2">
      <c r="A1203" s="1203">
        <v>40821</v>
      </c>
      <c r="B1203" s="1205">
        <v>8.0205000000000002</v>
      </c>
    </row>
    <row r="1204" spans="1:2">
      <c r="A1204" s="1203">
        <v>40820</v>
      </c>
      <c r="B1204" s="1205">
        <v>8.2317999999999998</v>
      </c>
    </row>
    <row r="1205" spans="1:2">
      <c r="A1205" s="1203">
        <v>40819</v>
      </c>
      <c r="B1205" s="1205">
        <v>8.2299000000000007</v>
      </c>
    </row>
    <row r="1206" spans="1:2">
      <c r="A1206" s="1203">
        <v>40816</v>
      </c>
      <c r="B1206" s="1205">
        <v>8.0395000000000003</v>
      </c>
    </row>
    <row r="1207" spans="1:2">
      <c r="A1207" s="1203">
        <v>40815</v>
      </c>
      <c r="B1207" s="1205">
        <v>7.9574999999999996</v>
      </c>
    </row>
    <row r="1208" spans="1:2">
      <c r="A1208" s="1203">
        <v>40814</v>
      </c>
      <c r="B1208" s="1205">
        <v>7.8100000000000005</v>
      </c>
    </row>
    <row r="1209" spans="1:2">
      <c r="A1209" s="1203">
        <v>40813</v>
      </c>
      <c r="B1209" s="1205">
        <v>7.8571</v>
      </c>
    </row>
    <row r="1210" spans="1:2">
      <c r="A1210" s="1203">
        <v>40812</v>
      </c>
      <c r="B1210" s="1205">
        <v>8.0996000000000006</v>
      </c>
    </row>
    <row r="1211" spans="1:2">
      <c r="A1211" s="1203">
        <v>40809</v>
      </c>
      <c r="B1211" s="1205">
        <v>8.2548999999999992</v>
      </c>
    </row>
    <row r="1212" spans="1:2">
      <c r="A1212" s="1203">
        <v>40808</v>
      </c>
      <c r="B1212" s="1205">
        <v>8.2515000000000001</v>
      </c>
    </row>
    <row r="1213" spans="1:2">
      <c r="A1213" s="1203">
        <v>40807</v>
      </c>
      <c r="B1213" s="1205">
        <v>7.9116999999999997</v>
      </c>
    </row>
    <row r="1214" spans="1:2">
      <c r="A1214" s="1203">
        <v>40806</v>
      </c>
      <c r="B1214" s="1205">
        <v>7.7089999999999996</v>
      </c>
    </row>
    <row r="1215" spans="1:2">
      <c r="A1215" s="1203">
        <v>40805</v>
      </c>
      <c r="B1215" s="1205">
        <v>7.7176999999999998</v>
      </c>
    </row>
    <row r="1216" spans="1:2">
      <c r="A1216" s="1203">
        <v>40802</v>
      </c>
      <c r="B1216" s="1205">
        <v>7.44</v>
      </c>
    </row>
    <row r="1217" spans="1:2">
      <c r="A1217" s="1203">
        <v>40801</v>
      </c>
      <c r="B1217" s="1205">
        <v>7.3768000000000002</v>
      </c>
    </row>
    <row r="1218" spans="1:2">
      <c r="A1218" s="1203">
        <v>40800</v>
      </c>
      <c r="B1218" s="1205">
        <v>7.4104999999999999</v>
      </c>
    </row>
    <row r="1219" spans="1:2">
      <c r="A1219" s="1203">
        <v>40799</v>
      </c>
      <c r="B1219" s="1205">
        <v>7.3037999999999998</v>
      </c>
    </row>
    <row r="1220" spans="1:2">
      <c r="A1220" s="1203">
        <v>40798</v>
      </c>
      <c r="B1220" s="1205">
        <v>7.4576000000000002</v>
      </c>
    </row>
    <row r="1221" spans="1:2">
      <c r="A1221" s="1203">
        <v>40795</v>
      </c>
      <c r="B1221" s="1205">
        <v>7.2736999999999998</v>
      </c>
    </row>
    <row r="1222" spans="1:2">
      <c r="A1222" s="1203">
        <v>40794</v>
      </c>
      <c r="B1222" s="1205">
        <v>7.1669999999999998</v>
      </c>
    </row>
    <row r="1223" spans="1:2">
      <c r="A1223" s="1203">
        <v>40793</v>
      </c>
      <c r="B1223" s="1205">
        <v>7.1394000000000002</v>
      </c>
    </row>
    <row r="1224" spans="1:2">
      <c r="A1224" s="1203">
        <v>40792</v>
      </c>
      <c r="B1224" s="1205">
        <v>7.1898999999999997</v>
      </c>
    </row>
    <row r="1225" spans="1:2">
      <c r="A1225" s="1203">
        <v>40791</v>
      </c>
      <c r="B1225" s="1205">
        <v>7.1326000000000001</v>
      </c>
    </row>
    <row r="1226" spans="1:2">
      <c r="A1226" s="1203">
        <v>40788</v>
      </c>
      <c r="B1226" s="1205">
        <v>7.0674000000000001</v>
      </c>
    </row>
    <row r="1227" spans="1:2">
      <c r="A1227" s="1203">
        <v>40787</v>
      </c>
      <c r="B1227" s="1205">
        <v>6.9931999999999999</v>
      </c>
    </row>
    <row r="1228" spans="1:2">
      <c r="A1228" s="1203">
        <v>40786</v>
      </c>
      <c r="B1228" s="1205">
        <v>6.9782000000000002</v>
      </c>
    </row>
    <row r="1229" spans="1:2">
      <c r="A1229" s="1203">
        <v>40785</v>
      </c>
      <c r="B1229" s="1205">
        <v>7.0871000000000004</v>
      </c>
    </row>
    <row r="1230" spans="1:2">
      <c r="A1230" s="1203">
        <v>40784</v>
      </c>
      <c r="B1230" s="1205">
        <v>7.0525000000000002</v>
      </c>
    </row>
    <row r="1231" spans="1:2">
      <c r="A1231" s="1203">
        <v>40781</v>
      </c>
      <c r="B1231" s="1205">
        <v>7.1303999999999998</v>
      </c>
    </row>
    <row r="1232" spans="1:2">
      <c r="A1232" s="1203">
        <v>40780</v>
      </c>
      <c r="B1232" s="1205">
        <v>7.226</v>
      </c>
    </row>
    <row r="1233" spans="1:2">
      <c r="A1233" s="1203">
        <v>40779</v>
      </c>
      <c r="B1233" s="1205">
        <v>7.2443999999999997</v>
      </c>
    </row>
    <row r="1234" spans="1:2">
      <c r="A1234" s="1203">
        <v>40778</v>
      </c>
      <c r="B1234" s="1205">
        <v>7.1754999999999995</v>
      </c>
    </row>
    <row r="1235" spans="1:2">
      <c r="A1235" s="1203">
        <v>40777</v>
      </c>
      <c r="B1235" s="1205">
        <v>7.2209000000000003</v>
      </c>
    </row>
    <row r="1236" spans="1:2">
      <c r="A1236" s="1203">
        <v>40774</v>
      </c>
      <c r="B1236" s="1205">
        <v>7.1779999999999999</v>
      </c>
    </row>
    <row r="1237" spans="1:2">
      <c r="A1237" s="1203">
        <v>40773</v>
      </c>
      <c r="B1237" s="1205">
        <v>7.2146999999999997</v>
      </c>
    </row>
    <row r="1238" spans="1:2">
      <c r="A1238" s="1203">
        <v>40772</v>
      </c>
      <c r="B1238" s="1205">
        <v>7.0914000000000001</v>
      </c>
    </row>
    <row r="1239" spans="1:2">
      <c r="A1239" s="1203">
        <v>40771</v>
      </c>
      <c r="B1239" s="1205">
        <v>7.1367000000000003</v>
      </c>
    </row>
    <row r="1240" spans="1:2">
      <c r="A1240" s="1203">
        <v>40770</v>
      </c>
      <c r="B1240" s="1205">
        <v>7.1425999999999998</v>
      </c>
    </row>
    <row r="1241" spans="1:2">
      <c r="A1241" s="1203">
        <v>40767</v>
      </c>
      <c r="B1241" s="1205">
        <v>7.1680000000000001</v>
      </c>
    </row>
    <row r="1242" spans="1:2">
      <c r="A1242" s="1203">
        <v>40766</v>
      </c>
      <c r="B1242" s="1205">
        <v>7.2317</v>
      </c>
    </row>
    <row r="1243" spans="1:2">
      <c r="A1243" s="1203">
        <v>40765</v>
      </c>
      <c r="B1243" s="1205">
        <v>7.2721999999999998</v>
      </c>
    </row>
    <row r="1244" spans="1:2">
      <c r="A1244" s="1203">
        <v>40764</v>
      </c>
      <c r="B1244" s="1205">
        <v>7.4028999999999998</v>
      </c>
    </row>
    <row r="1245" spans="1:2">
      <c r="A1245" s="1203">
        <v>40763</v>
      </c>
      <c r="B1245" s="1205">
        <v>7.1166</v>
      </c>
    </row>
    <row r="1246" spans="1:2">
      <c r="A1246" s="1203">
        <v>40760</v>
      </c>
      <c r="B1246" s="1205">
        <v>6.8898000000000001</v>
      </c>
    </row>
    <row r="1247" spans="1:2">
      <c r="A1247" s="1203">
        <v>40759</v>
      </c>
      <c r="B1247" s="1205">
        <v>6.9225000000000003</v>
      </c>
    </row>
    <row r="1248" spans="1:2">
      <c r="A1248" s="1203">
        <v>40758</v>
      </c>
      <c r="B1248" s="1205">
        <v>6.7428999999999997</v>
      </c>
    </row>
    <row r="1249" spans="1:2">
      <c r="A1249" s="1203">
        <v>40757</v>
      </c>
      <c r="B1249" s="1205">
        <v>6.7672999999999996</v>
      </c>
    </row>
    <row r="1250" spans="1:2">
      <c r="A1250" s="1203">
        <v>40756</v>
      </c>
      <c r="B1250" s="1205">
        <v>6.7346000000000004</v>
      </c>
    </row>
    <row r="1251" spans="1:2">
      <c r="A1251" s="1203">
        <v>40753</v>
      </c>
      <c r="B1251" s="1205">
        <v>6.6988000000000003</v>
      </c>
    </row>
    <row r="1252" spans="1:2">
      <c r="A1252" s="1203">
        <v>40752</v>
      </c>
      <c r="B1252" s="1205">
        <v>6.7095000000000002</v>
      </c>
    </row>
    <row r="1253" spans="1:2">
      <c r="A1253" s="1203">
        <v>40751</v>
      </c>
      <c r="B1253" s="1205">
        <v>6.6703000000000001</v>
      </c>
    </row>
    <row r="1254" spans="1:2">
      <c r="A1254" s="1203">
        <v>40750</v>
      </c>
      <c r="B1254" s="1205">
        <v>6.6746999999999996</v>
      </c>
    </row>
    <row r="1255" spans="1:2">
      <c r="A1255" s="1203">
        <v>40749</v>
      </c>
      <c r="B1255" s="1205">
        <v>6.7643000000000004</v>
      </c>
    </row>
    <row r="1256" spans="1:2">
      <c r="A1256" s="1203">
        <v>40746</v>
      </c>
      <c r="B1256" s="1205">
        <v>6.7716000000000003</v>
      </c>
    </row>
    <row r="1257" spans="1:2">
      <c r="A1257" s="1203">
        <v>40745</v>
      </c>
      <c r="B1257" s="1205">
        <v>6.7785000000000002</v>
      </c>
    </row>
    <row r="1258" spans="1:2">
      <c r="A1258" s="1203">
        <v>40744</v>
      </c>
      <c r="B1258" s="1205">
        <v>6.8860999999999999</v>
      </c>
    </row>
    <row r="1259" spans="1:2">
      <c r="A1259" s="1203">
        <v>40743</v>
      </c>
      <c r="B1259" s="1205">
        <v>6.9443999999999999</v>
      </c>
    </row>
    <row r="1260" spans="1:2">
      <c r="A1260" s="1203">
        <v>40742</v>
      </c>
      <c r="B1260" s="1205">
        <v>6.9893000000000001</v>
      </c>
    </row>
    <row r="1261" spans="1:2">
      <c r="A1261" s="1203">
        <v>40739</v>
      </c>
      <c r="B1261" s="1205">
        <v>6.9025999999999996</v>
      </c>
    </row>
    <row r="1262" spans="1:2">
      <c r="A1262" s="1203">
        <v>40738</v>
      </c>
      <c r="B1262" s="1205">
        <v>6.8571999999999997</v>
      </c>
    </row>
    <row r="1263" spans="1:2">
      <c r="A1263" s="1203">
        <v>40737</v>
      </c>
      <c r="B1263" s="1205">
        <v>6.8223000000000003</v>
      </c>
    </row>
    <row r="1264" spans="1:2">
      <c r="A1264" s="1203">
        <v>40736</v>
      </c>
      <c r="B1264" s="1205">
        <v>6.8764000000000003</v>
      </c>
    </row>
    <row r="1265" spans="1:2">
      <c r="A1265" s="1203">
        <v>40735</v>
      </c>
      <c r="B1265" s="1205">
        <v>6.8334999999999999</v>
      </c>
    </row>
    <row r="1266" spans="1:2">
      <c r="A1266" s="1203">
        <v>40732</v>
      </c>
      <c r="B1266" s="1205">
        <v>6.7140000000000004</v>
      </c>
    </row>
    <row r="1267" spans="1:2">
      <c r="A1267" s="1203">
        <v>40731</v>
      </c>
      <c r="B1267" s="1205">
        <v>6.6776999999999997</v>
      </c>
    </row>
    <row r="1268" spans="1:2">
      <c r="A1268" s="1203">
        <v>40730</v>
      </c>
      <c r="B1268" s="1205">
        <v>6.7359999999999998</v>
      </c>
    </row>
    <row r="1269" spans="1:2">
      <c r="A1269" s="1203">
        <v>40729</v>
      </c>
      <c r="B1269" s="1205">
        <v>6.7302999999999997</v>
      </c>
    </row>
    <row r="1270" spans="1:2">
      <c r="A1270" s="1203">
        <v>40728</v>
      </c>
      <c r="B1270" s="1205">
        <v>6.7191000000000001</v>
      </c>
    </row>
    <row r="1271" spans="1:2">
      <c r="A1271" s="1203">
        <v>40725</v>
      </c>
      <c r="B1271" s="1205">
        <v>6.7237</v>
      </c>
    </row>
    <row r="1272" spans="1:2">
      <c r="A1272" s="1203">
        <v>40724</v>
      </c>
      <c r="B1272" s="1205">
        <v>6.7602000000000002</v>
      </c>
    </row>
    <row r="1273" spans="1:2">
      <c r="A1273" s="1203">
        <v>40723</v>
      </c>
      <c r="B1273" s="1205">
        <v>6.8265000000000002</v>
      </c>
    </row>
    <row r="1274" spans="1:2">
      <c r="A1274" s="1203">
        <v>40722</v>
      </c>
      <c r="B1274" s="1205">
        <v>6.8414999999999999</v>
      </c>
    </row>
    <row r="1275" spans="1:2">
      <c r="A1275" s="1203">
        <v>40721</v>
      </c>
      <c r="B1275" s="1205">
        <v>6.8737000000000004</v>
      </c>
    </row>
    <row r="1276" spans="1:2">
      <c r="A1276" s="1203">
        <v>40718</v>
      </c>
      <c r="B1276" s="1205">
        <v>6.8993000000000002</v>
      </c>
    </row>
    <row r="1277" spans="1:2">
      <c r="A1277" s="1203">
        <v>40717</v>
      </c>
      <c r="B1277" s="1205">
        <v>6.8613999999999997</v>
      </c>
    </row>
    <row r="1278" spans="1:2">
      <c r="A1278" s="1203">
        <v>40716</v>
      </c>
      <c r="B1278" s="1205">
        <v>6.7586000000000004</v>
      </c>
    </row>
    <row r="1279" spans="1:2">
      <c r="A1279" s="1203">
        <v>40715</v>
      </c>
      <c r="B1279" s="1205">
        <v>6.7275</v>
      </c>
    </row>
    <row r="1280" spans="1:2">
      <c r="A1280" s="1203">
        <v>40714</v>
      </c>
      <c r="B1280" s="1205">
        <v>6.7797999999999998</v>
      </c>
    </row>
    <row r="1281" spans="1:2">
      <c r="A1281" s="1203">
        <v>40711</v>
      </c>
      <c r="B1281" s="1205">
        <v>6.7780000000000005</v>
      </c>
    </row>
    <row r="1282" spans="1:2">
      <c r="A1282" s="1203">
        <v>40710</v>
      </c>
      <c r="B1282" s="1205">
        <v>6.8414000000000001</v>
      </c>
    </row>
    <row r="1283" spans="1:2">
      <c r="A1283" s="1203">
        <v>40709</v>
      </c>
      <c r="B1283" s="1205">
        <v>6.8431999999999995</v>
      </c>
    </row>
    <row r="1284" spans="1:2">
      <c r="A1284" s="1203">
        <v>40708</v>
      </c>
      <c r="B1284" s="1205">
        <v>6.7611999999999997</v>
      </c>
    </row>
    <row r="1285" spans="1:2">
      <c r="A1285" s="1203">
        <v>40707</v>
      </c>
      <c r="B1285" s="1205">
        <v>6.8022</v>
      </c>
    </row>
    <row r="1286" spans="1:2">
      <c r="A1286" s="1203">
        <v>40704</v>
      </c>
      <c r="B1286" s="1205">
        <v>6.8027999999999995</v>
      </c>
    </row>
    <row r="1287" spans="1:2">
      <c r="A1287" s="1203">
        <v>40703</v>
      </c>
      <c r="B1287" s="1205">
        <v>6.7351000000000001</v>
      </c>
    </row>
    <row r="1288" spans="1:2">
      <c r="A1288" s="1203">
        <v>40702</v>
      </c>
      <c r="B1288" s="1205">
        <v>6.7179000000000002</v>
      </c>
    </row>
    <row r="1289" spans="1:2">
      <c r="A1289" s="1203">
        <v>40701</v>
      </c>
      <c r="B1289" s="1205">
        <v>6.7129000000000003</v>
      </c>
    </row>
    <row r="1290" spans="1:2">
      <c r="A1290" s="1203">
        <v>40700</v>
      </c>
      <c r="B1290" s="1205">
        <v>6.7637</v>
      </c>
    </row>
    <row r="1291" spans="1:2">
      <c r="A1291" s="1203">
        <v>40697</v>
      </c>
      <c r="B1291" s="1205">
        <v>6.6931000000000003</v>
      </c>
    </row>
    <row r="1292" spans="1:2">
      <c r="A1292" s="1203">
        <v>40696</v>
      </c>
      <c r="B1292" s="1205">
        <v>6.7572999999999999</v>
      </c>
    </row>
    <row r="1293" spans="1:2">
      <c r="A1293" s="1203">
        <v>40695</v>
      </c>
      <c r="B1293" s="1205">
        <v>6.8068999999999997</v>
      </c>
    </row>
    <row r="1294" spans="1:2">
      <c r="A1294" s="1203">
        <v>40694</v>
      </c>
      <c r="B1294" s="1205">
        <v>6.8158000000000003</v>
      </c>
    </row>
    <row r="1295" spans="1:2">
      <c r="A1295" s="1203">
        <v>40693</v>
      </c>
      <c r="B1295" s="1205">
        <v>6.9457000000000004</v>
      </c>
    </row>
    <row r="1296" spans="1:2">
      <c r="A1296" s="1203">
        <v>40690</v>
      </c>
      <c r="B1296" s="1205">
        <v>6.9222999999999999</v>
      </c>
    </row>
    <row r="1297" spans="1:2">
      <c r="A1297" s="1203">
        <v>40689</v>
      </c>
      <c r="B1297" s="1205">
        <v>6.9782999999999999</v>
      </c>
    </row>
    <row r="1298" spans="1:2">
      <c r="A1298" s="1203">
        <v>40688</v>
      </c>
      <c r="B1298" s="1205">
        <v>7.0255999999999998</v>
      </c>
    </row>
    <row r="1299" spans="1:2">
      <c r="A1299" s="1203">
        <v>40687</v>
      </c>
      <c r="B1299" s="1205">
        <v>6.9904000000000002</v>
      </c>
    </row>
    <row r="1300" spans="1:2">
      <c r="A1300" s="1203">
        <v>40686</v>
      </c>
      <c r="B1300" s="1205">
        <v>7.0145999999999997</v>
      </c>
    </row>
    <row r="1301" spans="1:2">
      <c r="A1301" s="1203">
        <v>40683</v>
      </c>
      <c r="B1301" s="1205">
        <v>6.9069000000000003</v>
      </c>
    </row>
    <row r="1302" spans="1:2">
      <c r="A1302" s="1203">
        <v>40682</v>
      </c>
      <c r="B1302" s="1205">
        <v>6.8777999999999997</v>
      </c>
    </row>
    <row r="1303" spans="1:2">
      <c r="A1303" s="1203">
        <v>40681</v>
      </c>
      <c r="B1303" s="1205">
        <v>6.9198000000000004</v>
      </c>
    </row>
    <row r="1304" spans="1:2">
      <c r="A1304" s="1203">
        <v>40680</v>
      </c>
      <c r="B1304" s="1205">
        <v>6.9829999999999997</v>
      </c>
    </row>
    <row r="1305" spans="1:2">
      <c r="A1305" s="1203">
        <v>40679</v>
      </c>
      <c r="B1305" s="1205">
        <v>6.9820000000000002</v>
      </c>
    </row>
    <row r="1306" spans="1:2">
      <c r="A1306" s="1203">
        <v>40676</v>
      </c>
      <c r="B1306" s="1205">
        <v>7.0472000000000001</v>
      </c>
    </row>
    <row r="1307" spans="1:2">
      <c r="A1307" s="1203">
        <v>40675</v>
      </c>
      <c r="B1307" s="1205">
        <v>6.9061000000000003</v>
      </c>
    </row>
    <row r="1308" spans="1:2">
      <c r="A1308" s="1203">
        <v>40674</v>
      </c>
      <c r="B1308" s="1205">
        <v>6.8922999999999996</v>
      </c>
    </row>
    <row r="1309" spans="1:2">
      <c r="A1309" s="1203">
        <v>40673</v>
      </c>
      <c r="B1309" s="1205">
        <v>6.7709999999999999</v>
      </c>
    </row>
    <row r="1310" spans="1:2">
      <c r="A1310" s="1203">
        <v>40672</v>
      </c>
      <c r="B1310" s="1205">
        <v>6.7542999999999997</v>
      </c>
    </row>
    <row r="1311" spans="1:2">
      <c r="A1311" s="1203">
        <v>40669</v>
      </c>
      <c r="B1311" s="1205">
        <v>6.6870000000000003</v>
      </c>
    </row>
    <row r="1312" spans="1:2">
      <c r="A1312" s="1203">
        <v>40668</v>
      </c>
      <c r="B1312" s="1205">
        <v>6.7369000000000003</v>
      </c>
    </row>
    <row r="1313" spans="1:2">
      <c r="A1313" s="1203">
        <v>40667</v>
      </c>
      <c r="B1313" s="1205">
        <v>6.6657999999999999</v>
      </c>
    </row>
    <row r="1314" spans="1:2">
      <c r="A1314" s="1203">
        <v>40666</v>
      </c>
      <c r="B1314" s="1205">
        <v>6.6264000000000003</v>
      </c>
    </row>
    <row r="1315" spans="1:2">
      <c r="A1315" s="1203">
        <v>40665</v>
      </c>
      <c r="B1315" s="1205">
        <v>6.5801999999999996</v>
      </c>
    </row>
    <row r="1316" spans="1:2">
      <c r="A1316" s="1203">
        <v>40662</v>
      </c>
      <c r="B1316" s="1205">
        <v>6.5791000000000004</v>
      </c>
    </row>
    <row r="1317" spans="1:2">
      <c r="A1317" s="1203">
        <v>40661</v>
      </c>
      <c r="B1317" s="1205">
        <v>6.625</v>
      </c>
    </row>
    <row r="1318" spans="1:2">
      <c r="A1318" s="1203">
        <v>40660</v>
      </c>
      <c r="B1318" s="1205">
        <v>6.6495999999999995</v>
      </c>
    </row>
    <row r="1319" spans="1:2">
      <c r="A1319" s="1203">
        <v>40659</v>
      </c>
      <c r="B1319" s="1205">
        <v>6.6802000000000001</v>
      </c>
    </row>
    <row r="1320" spans="1:2">
      <c r="A1320" s="1203">
        <v>40658</v>
      </c>
      <c r="B1320" s="1205">
        <v>6.7329999999999997</v>
      </c>
    </row>
    <row r="1321" spans="1:2">
      <c r="A1321" s="1203">
        <v>40655</v>
      </c>
      <c r="B1321" s="1205">
        <v>6.7076000000000002</v>
      </c>
    </row>
    <row r="1322" spans="1:2">
      <c r="A1322" s="1203">
        <v>40654</v>
      </c>
      <c r="B1322" s="1205">
        <v>6.7046999999999999</v>
      </c>
    </row>
    <row r="1323" spans="1:2">
      <c r="A1323" s="1203">
        <v>40653</v>
      </c>
      <c r="B1323" s="1205">
        <v>6.7995999999999999</v>
      </c>
    </row>
    <row r="1324" spans="1:2">
      <c r="A1324" s="1203">
        <v>40652</v>
      </c>
      <c r="B1324" s="1205">
        <v>6.8245000000000005</v>
      </c>
    </row>
    <row r="1325" spans="1:2">
      <c r="A1325" s="1203">
        <v>40651</v>
      </c>
      <c r="B1325" s="1205">
        <v>6.8647999999999998</v>
      </c>
    </row>
    <row r="1326" spans="1:2">
      <c r="A1326" s="1203">
        <v>40648</v>
      </c>
      <c r="B1326" s="1205">
        <v>6.8141999999999996</v>
      </c>
    </row>
    <row r="1327" spans="1:2">
      <c r="A1327" s="1203">
        <v>40647</v>
      </c>
      <c r="B1327" s="1205">
        <v>6.8494999999999999</v>
      </c>
    </row>
    <row r="1328" spans="1:2">
      <c r="A1328" s="1203">
        <v>40646</v>
      </c>
      <c r="B1328" s="1205">
        <v>6.7937000000000003</v>
      </c>
    </row>
    <row r="1329" spans="1:2">
      <c r="A1329" s="1203">
        <v>40645</v>
      </c>
      <c r="B1329" s="1205">
        <v>6.7341999999999995</v>
      </c>
    </row>
    <row r="1330" spans="1:2">
      <c r="A1330" s="1203">
        <v>40644</v>
      </c>
      <c r="B1330" s="1205">
        <v>6.6627000000000001</v>
      </c>
    </row>
    <row r="1331" spans="1:2">
      <c r="A1331" s="1203">
        <v>40641</v>
      </c>
      <c r="B1331" s="1205">
        <v>6.6562999999999999</v>
      </c>
    </row>
    <row r="1332" spans="1:2">
      <c r="A1332" s="1203">
        <v>40640</v>
      </c>
      <c r="B1332" s="1205">
        <v>6.6748000000000003</v>
      </c>
    </row>
    <row r="1333" spans="1:2">
      <c r="A1333" s="1203">
        <v>40639</v>
      </c>
      <c r="B1333" s="1205">
        <v>6.6848000000000001</v>
      </c>
    </row>
    <row r="1334" spans="1:2">
      <c r="A1334" s="1203">
        <v>40638</v>
      </c>
      <c r="B1334" s="1205">
        <v>6.7219999999999995</v>
      </c>
    </row>
    <row r="1335" spans="1:2">
      <c r="A1335" s="1203">
        <v>40637</v>
      </c>
      <c r="B1335" s="1205">
        <v>6.7112999999999996</v>
      </c>
    </row>
    <row r="1336" spans="1:2">
      <c r="A1336" s="1203">
        <v>40634</v>
      </c>
      <c r="B1336" s="1205">
        <v>6.6947999999999999</v>
      </c>
    </row>
    <row r="1337" spans="1:2">
      <c r="A1337" s="1203">
        <v>40633</v>
      </c>
      <c r="B1337" s="1205">
        <v>6.7694000000000001</v>
      </c>
    </row>
    <row r="1338" spans="1:2">
      <c r="A1338" s="1203">
        <v>40632</v>
      </c>
      <c r="B1338" s="1205">
        <v>6.8029000000000002</v>
      </c>
    </row>
    <row r="1339" spans="1:2">
      <c r="A1339" s="1203">
        <v>40631</v>
      </c>
      <c r="B1339" s="1205">
        <v>6.8695000000000004</v>
      </c>
    </row>
    <row r="1340" spans="1:2">
      <c r="A1340" s="1203">
        <v>40630</v>
      </c>
      <c r="B1340" s="1205">
        <v>6.8635999999999999</v>
      </c>
    </row>
    <row r="1341" spans="1:2">
      <c r="A1341" s="1203">
        <v>40627</v>
      </c>
      <c r="B1341" s="1205">
        <v>6.8654999999999999</v>
      </c>
    </row>
    <row r="1342" spans="1:2">
      <c r="A1342" s="1203">
        <v>40626</v>
      </c>
      <c r="B1342" s="1205">
        <v>6.8628999999999998</v>
      </c>
    </row>
    <row r="1343" spans="1:2">
      <c r="A1343" s="1203">
        <v>40625</v>
      </c>
      <c r="B1343" s="1205">
        <v>6.9170999999999996</v>
      </c>
    </row>
    <row r="1344" spans="1:2">
      <c r="A1344" s="1203">
        <v>40624</v>
      </c>
      <c r="B1344" s="1205">
        <v>6.8951000000000002</v>
      </c>
    </row>
    <row r="1345" spans="1:2">
      <c r="A1345" s="1203">
        <v>40623</v>
      </c>
      <c r="B1345" s="1205">
        <v>6.9554999999999998</v>
      </c>
    </row>
    <row r="1346" spans="1:2">
      <c r="A1346" s="1203">
        <v>40620</v>
      </c>
      <c r="B1346" s="1205">
        <v>7.0022000000000002</v>
      </c>
    </row>
    <row r="1347" spans="1:2">
      <c r="A1347" s="1203">
        <v>40619</v>
      </c>
      <c r="B1347" s="1205">
        <v>7.1020000000000003</v>
      </c>
    </row>
    <row r="1348" spans="1:2">
      <c r="A1348" s="1203">
        <v>40618</v>
      </c>
      <c r="B1348" s="1205">
        <v>7.0761000000000003</v>
      </c>
    </row>
    <row r="1349" spans="1:2">
      <c r="A1349" s="1203">
        <v>40617</v>
      </c>
      <c r="B1349" s="1205">
        <v>6.9870000000000001</v>
      </c>
    </row>
    <row r="1350" spans="1:2">
      <c r="A1350" s="1203">
        <v>40616</v>
      </c>
      <c r="B1350" s="1205">
        <v>6.8380000000000001</v>
      </c>
    </row>
    <row r="1351" spans="1:2">
      <c r="A1351" s="1203">
        <v>40613</v>
      </c>
      <c r="B1351" s="1205">
        <v>6.8779000000000003</v>
      </c>
    </row>
    <row r="1352" spans="1:2">
      <c r="A1352" s="1203">
        <v>40612</v>
      </c>
      <c r="B1352" s="1205">
        <v>6.9056999999999995</v>
      </c>
    </row>
    <row r="1353" spans="1:2">
      <c r="A1353" s="1203">
        <v>40611</v>
      </c>
      <c r="B1353" s="1205">
        <v>6.8713999999999995</v>
      </c>
    </row>
    <row r="1354" spans="1:2">
      <c r="A1354" s="1203">
        <v>40610</v>
      </c>
      <c r="B1354" s="1205">
        <v>6.8815</v>
      </c>
    </row>
    <row r="1355" spans="1:2">
      <c r="A1355" s="1203">
        <v>40609</v>
      </c>
      <c r="B1355" s="1205">
        <v>6.8836000000000004</v>
      </c>
    </row>
    <row r="1356" spans="1:2">
      <c r="A1356" s="1203">
        <v>40606</v>
      </c>
      <c r="B1356" s="1205">
        <v>6.8985000000000003</v>
      </c>
    </row>
    <row r="1357" spans="1:2">
      <c r="A1357" s="1203">
        <v>40605</v>
      </c>
      <c r="B1357" s="1205">
        <v>6.9084000000000003</v>
      </c>
    </row>
    <row r="1358" spans="1:2">
      <c r="A1358" s="1203">
        <v>40604</v>
      </c>
      <c r="B1358" s="1205">
        <v>6.8784000000000001</v>
      </c>
    </row>
    <row r="1359" spans="1:2">
      <c r="A1359" s="1203">
        <v>40603</v>
      </c>
      <c r="B1359" s="1205">
        <v>6.9714</v>
      </c>
    </row>
    <row r="1360" spans="1:2">
      <c r="A1360" s="1203">
        <v>40602</v>
      </c>
      <c r="B1360" s="1205">
        <v>6.9594000000000005</v>
      </c>
    </row>
    <row r="1361" spans="1:2">
      <c r="A1361" s="1203">
        <v>40599</v>
      </c>
      <c r="B1361" s="1205">
        <v>7.0027999999999997</v>
      </c>
    </row>
    <row r="1362" spans="1:2">
      <c r="A1362" s="1203">
        <v>40598</v>
      </c>
      <c r="B1362" s="1205">
        <v>7.0650000000000004</v>
      </c>
    </row>
    <row r="1363" spans="1:2">
      <c r="A1363" s="1203">
        <v>40597</v>
      </c>
      <c r="B1363" s="1205">
        <v>7.1261999999999999</v>
      </c>
    </row>
    <row r="1364" spans="1:2">
      <c r="A1364" s="1203">
        <v>40596</v>
      </c>
      <c r="B1364" s="1205">
        <v>7.1586999999999996</v>
      </c>
    </row>
    <row r="1365" spans="1:2">
      <c r="A1365" s="1203">
        <v>40595</v>
      </c>
      <c r="B1365" s="1205">
        <v>7.1589</v>
      </c>
    </row>
    <row r="1366" spans="1:2">
      <c r="A1366" s="1203">
        <v>40592</v>
      </c>
      <c r="B1366" s="1205">
        <v>7.1325000000000003</v>
      </c>
    </row>
    <row r="1367" spans="1:2">
      <c r="A1367" s="1203">
        <v>40591</v>
      </c>
      <c r="B1367" s="1205">
        <v>7.1986999999999997</v>
      </c>
    </row>
    <row r="1368" spans="1:2">
      <c r="A1368" s="1203">
        <v>40590</v>
      </c>
      <c r="B1368" s="1205">
        <v>7.2477999999999998</v>
      </c>
    </row>
    <row r="1369" spans="1:2">
      <c r="A1369" s="1203">
        <v>40589</v>
      </c>
      <c r="B1369" s="1205">
        <v>7.3109999999999999</v>
      </c>
    </row>
    <row r="1370" spans="1:2">
      <c r="A1370" s="1203">
        <v>40588</v>
      </c>
      <c r="B1370" s="1205">
        <v>7.3065999999999995</v>
      </c>
    </row>
    <row r="1371" spans="1:2">
      <c r="A1371" s="1203">
        <v>40585</v>
      </c>
      <c r="B1371" s="1205">
        <v>7.2956000000000003</v>
      </c>
    </row>
    <row r="1372" spans="1:2">
      <c r="A1372" s="1203">
        <v>40584</v>
      </c>
      <c r="B1372" s="1205">
        <v>7.2613000000000003</v>
      </c>
    </row>
    <row r="1373" spans="1:2">
      <c r="A1373" s="1203">
        <v>40583</v>
      </c>
      <c r="B1373" s="1205">
        <v>7.2234999999999996</v>
      </c>
    </row>
    <row r="1374" spans="1:2">
      <c r="A1374" s="1203">
        <v>40582</v>
      </c>
      <c r="B1374" s="1205">
        <v>7.1738</v>
      </c>
    </row>
    <row r="1375" spans="1:2">
      <c r="A1375" s="1203">
        <v>40581</v>
      </c>
      <c r="B1375" s="1205">
        <v>7.2614000000000001</v>
      </c>
    </row>
    <row r="1376" spans="1:2">
      <c r="A1376" s="1203">
        <v>40578</v>
      </c>
      <c r="B1376" s="1205">
        <v>7.2541000000000002</v>
      </c>
    </row>
    <row r="1377" spans="1:2">
      <c r="A1377" s="1203">
        <v>40577</v>
      </c>
      <c r="B1377" s="1205">
        <v>7.2752999999999997</v>
      </c>
    </row>
    <row r="1378" spans="1:2">
      <c r="A1378" s="1203">
        <v>40576</v>
      </c>
      <c r="B1378" s="1205">
        <v>7.1665000000000001</v>
      </c>
    </row>
    <row r="1379" spans="1:2">
      <c r="A1379" s="1203">
        <v>40575</v>
      </c>
      <c r="B1379" s="1205">
        <v>7.1249000000000002</v>
      </c>
    </row>
    <row r="1380" spans="1:2">
      <c r="A1380" s="1203">
        <v>40574</v>
      </c>
      <c r="B1380" s="1205">
        <v>7.1787999999999998</v>
      </c>
    </row>
    <row r="1381" spans="1:2">
      <c r="A1381" s="1203">
        <v>40571</v>
      </c>
      <c r="B1381" s="1205">
        <v>7.1642000000000001</v>
      </c>
    </row>
    <row r="1382" spans="1:2">
      <c r="A1382" s="1203">
        <v>40570</v>
      </c>
      <c r="B1382" s="1205">
        <v>7.0418000000000003</v>
      </c>
    </row>
    <row r="1383" spans="1:2">
      <c r="A1383" s="1203">
        <v>40569</v>
      </c>
      <c r="B1383" s="1205">
        <v>7.093</v>
      </c>
    </row>
    <row r="1384" spans="1:2">
      <c r="A1384" s="1203">
        <v>40568</v>
      </c>
      <c r="B1384" s="1205">
        <v>7.0758999999999999</v>
      </c>
    </row>
    <row r="1385" spans="1:2">
      <c r="A1385" s="1203">
        <v>40567</v>
      </c>
      <c r="B1385" s="1205">
        <v>7.0054999999999996</v>
      </c>
    </row>
    <row r="1386" spans="1:2">
      <c r="A1386" s="1203">
        <v>40564</v>
      </c>
      <c r="B1386" s="1205">
        <v>7.0819000000000001</v>
      </c>
    </row>
    <row r="1387" spans="1:2">
      <c r="A1387" s="1203">
        <v>40563</v>
      </c>
      <c r="B1387" s="1205">
        <v>7.0698999999999996</v>
      </c>
    </row>
    <row r="1388" spans="1:2">
      <c r="A1388" s="1203">
        <v>40562</v>
      </c>
      <c r="B1388" s="1205">
        <v>6.9897999999999998</v>
      </c>
    </row>
    <row r="1389" spans="1:2">
      <c r="A1389" s="1203">
        <v>40561</v>
      </c>
      <c r="B1389" s="1205">
        <v>6.9132999999999996</v>
      </c>
    </row>
    <row r="1390" spans="1:2">
      <c r="A1390" s="1203">
        <v>40560</v>
      </c>
      <c r="B1390" s="1205">
        <v>6.8963000000000001</v>
      </c>
    </row>
    <row r="1391" spans="1:2">
      <c r="A1391" s="1203">
        <v>40557</v>
      </c>
      <c r="B1391" s="1205">
        <v>6.9443999999999999</v>
      </c>
    </row>
    <row r="1392" spans="1:2">
      <c r="A1392" s="1203">
        <v>40556</v>
      </c>
      <c r="B1392" s="1205">
        <v>6.8148999999999997</v>
      </c>
    </row>
    <row r="1393" spans="1:2">
      <c r="A1393" s="1203">
        <v>40555</v>
      </c>
      <c r="B1393" s="1205">
        <v>6.8324999999999996</v>
      </c>
    </row>
    <row r="1394" spans="1:2">
      <c r="A1394" s="1203">
        <v>40554</v>
      </c>
      <c r="B1394" s="1205">
        <v>6.8713999999999995</v>
      </c>
    </row>
    <row r="1395" spans="1:2">
      <c r="A1395" s="1203">
        <v>40553</v>
      </c>
      <c r="B1395" s="1205">
        <v>6.8307000000000002</v>
      </c>
    </row>
    <row r="1396" spans="1:2">
      <c r="A1396" s="1203">
        <v>40550</v>
      </c>
      <c r="B1396" s="1205">
        <v>6.8171999999999997</v>
      </c>
    </row>
    <row r="1397" spans="1:2">
      <c r="A1397" s="1203">
        <v>40549</v>
      </c>
      <c r="B1397" s="1205">
        <v>6.7815000000000003</v>
      </c>
    </row>
    <row r="1398" spans="1:2">
      <c r="A1398" s="1203">
        <v>40548</v>
      </c>
      <c r="B1398" s="1205">
        <v>6.7050000000000001</v>
      </c>
    </row>
    <row r="1399" spans="1:2">
      <c r="A1399" s="1203">
        <v>40547</v>
      </c>
      <c r="B1399" s="1205">
        <v>6.6997999999999998</v>
      </c>
    </row>
    <row r="1400" spans="1:2">
      <c r="A1400" s="1203">
        <v>40546</v>
      </c>
      <c r="B1400" s="1205">
        <v>6.6079999999999997</v>
      </c>
    </row>
    <row r="1401" spans="1:2">
      <c r="A1401" s="1203">
        <v>40543</v>
      </c>
      <c r="B1401" s="1205">
        <v>6.5869</v>
      </c>
    </row>
    <row r="1402" spans="1:2">
      <c r="A1402" s="1203">
        <v>40542</v>
      </c>
      <c r="B1402" s="1205">
        <v>6.6649000000000003</v>
      </c>
    </row>
    <row r="1403" spans="1:2">
      <c r="A1403" s="1203">
        <v>40541</v>
      </c>
      <c r="B1403" s="1205">
        <v>6.6609999999999996</v>
      </c>
    </row>
    <row r="1404" spans="1:2">
      <c r="A1404" s="1203">
        <v>40540</v>
      </c>
      <c r="B1404" s="1205">
        <v>6.6603000000000003</v>
      </c>
    </row>
    <row r="1405" spans="1:2">
      <c r="A1405" s="1203">
        <v>40539</v>
      </c>
      <c r="B1405" s="1205">
        <v>6.7434000000000003</v>
      </c>
    </row>
    <row r="1406" spans="1:2">
      <c r="A1406" s="1203">
        <v>40536</v>
      </c>
      <c r="B1406" s="1205">
        <v>6.7329999999999997</v>
      </c>
    </row>
    <row r="1407" spans="1:2">
      <c r="A1407" s="1203">
        <v>40535</v>
      </c>
      <c r="B1407" s="1205">
        <v>6.7447999999999997</v>
      </c>
    </row>
    <row r="1408" spans="1:2">
      <c r="A1408" s="1203">
        <v>40534</v>
      </c>
      <c r="B1408" s="1205">
        <v>6.7960000000000003</v>
      </c>
    </row>
    <row r="1409" spans="1:2">
      <c r="A1409" s="1203">
        <v>40533</v>
      </c>
      <c r="B1409" s="1205">
        <v>6.8151999999999999</v>
      </c>
    </row>
    <row r="1410" spans="1:2">
      <c r="A1410" s="1203">
        <v>40532</v>
      </c>
      <c r="B1410" s="1205">
        <v>6.8464999999999998</v>
      </c>
    </row>
    <row r="1411" spans="1:2">
      <c r="A1411" s="1203">
        <v>40529</v>
      </c>
      <c r="B1411" s="1205">
        <v>6.8654999999999999</v>
      </c>
    </row>
    <row r="1412" spans="1:2">
      <c r="A1412" s="1203">
        <v>40528</v>
      </c>
      <c r="B1412" s="1205">
        <v>6.835</v>
      </c>
    </row>
    <row r="1413" spans="1:2">
      <c r="A1413" s="1203">
        <v>40527</v>
      </c>
      <c r="B1413" s="1205">
        <v>6.8251999999999997</v>
      </c>
    </row>
    <row r="1414" spans="1:2">
      <c r="A1414" s="1203">
        <v>40526</v>
      </c>
      <c r="B1414" s="1205">
        <v>6.8224999999999998</v>
      </c>
    </row>
    <row r="1415" spans="1:2">
      <c r="A1415" s="1203">
        <v>40525</v>
      </c>
      <c r="B1415" s="1205">
        <v>6.8460000000000001</v>
      </c>
    </row>
    <row r="1416" spans="1:2">
      <c r="A1416" s="1203">
        <v>40522</v>
      </c>
      <c r="B1416" s="1205">
        <v>6.8634000000000004</v>
      </c>
    </row>
    <row r="1417" spans="1:2">
      <c r="A1417" s="1203">
        <v>40521</v>
      </c>
      <c r="B1417" s="1205">
        <v>6.8765999999999998</v>
      </c>
    </row>
    <row r="1418" spans="1:2">
      <c r="A1418" s="1203">
        <v>40520</v>
      </c>
      <c r="B1418" s="1205">
        <v>6.9275000000000002</v>
      </c>
    </row>
    <row r="1419" spans="1:2">
      <c r="A1419" s="1203">
        <v>40519</v>
      </c>
      <c r="B1419" s="1205">
        <v>6.8937999999999997</v>
      </c>
    </row>
    <row r="1420" spans="1:2">
      <c r="A1420" s="1203">
        <v>40518</v>
      </c>
      <c r="B1420" s="1205">
        <v>6.8958000000000004</v>
      </c>
    </row>
    <row r="1421" spans="1:2">
      <c r="A1421" s="1203">
        <v>40515</v>
      </c>
      <c r="B1421" s="1205">
        <v>6.8582000000000001</v>
      </c>
    </row>
    <row r="1422" spans="1:2">
      <c r="A1422" s="1203">
        <v>40514</v>
      </c>
      <c r="B1422" s="1205">
        <v>6.8870000000000005</v>
      </c>
    </row>
    <row r="1423" spans="1:2">
      <c r="A1423" s="1203">
        <v>40513</v>
      </c>
      <c r="B1423" s="1205">
        <v>7.0061</v>
      </c>
    </row>
    <row r="1424" spans="1:2">
      <c r="A1424" s="1203">
        <v>40512</v>
      </c>
      <c r="B1424" s="1205">
        <v>7.0918000000000001</v>
      </c>
    </row>
    <row r="1425" spans="1:2">
      <c r="A1425" s="1203">
        <v>40511</v>
      </c>
      <c r="B1425" s="1205">
        <v>7.1586999999999996</v>
      </c>
    </row>
    <row r="1426" spans="1:2">
      <c r="A1426" s="1203">
        <v>40508</v>
      </c>
      <c r="B1426" s="1205">
        <v>7.1384999999999996</v>
      </c>
    </row>
    <row r="1427" spans="1:2">
      <c r="A1427" s="1203">
        <v>40507</v>
      </c>
      <c r="B1427" s="1205">
        <v>7.0511999999999997</v>
      </c>
    </row>
    <row r="1428" spans="1:2">
      <c r="A1428" s="1203">
        <v>40506</v>
      </c>
      <c r="B1428" s="1205">
        <v>7.0662000000000003</v>
      </c>
    </row>
    <row r="1429" spans="1:2">
      <c r="A1429" s="1203">
        <v>40505</v>
      </c>
      <c r="B1429" s="1205">
        <v>7.1078000000000001</v>
      </c>
    </row>
    <row r="1430" spans="1:2">
      <c r="A1430" s="1203">
        <v>40504</v>
      </c>
      <c r="B1430" s="1205">
        <v>7.0285000000000002</v>
      </c>
    </row>
    <row r="1431" spans="1:2">
      <c r="A1431" s="1203">
        <v>40501</v>
      </c>
      <c r="B1431" s="1205">
        <v>7.0183999999999997</v>
      </c>
    </row>
    <row r="1432" spans="1:2">
      <c r="A1432" s="1203">
        <v>40500</v>
      </c>
      <c r="B1432" s="1205">
        <v>6.9886999999999997</v>
      </c>
    </row>
    <row r="1433" spans="1:2">
      <c r="A1433" s="1203">
        <v>40499</v>
      </c>
      <c r="B1433" s="1205">
        <v>7.0134999999999996</v>
      </c>
    </row>
    <row r="1434" spans="1:2">
      <c r="A1434" s="1203">
        <v>40498</v>
      </c>
      <c r="B1434" s="1205">
        <v>7.0675999999999997</v>
      </c>
    </row>
    <row r="1435" spans="1:2">
      <c r="A1435" s="1203">
        <v>40497</v>
      </c>
      <c r="B1435" s="1205">
        <v>6.9485000000000001</v>
      </c>
    </row>
    <row r="1436" spans="1:2">
      <c r="A1436" s="1203">
        <v>40494</v>
      </c>
      <c r="B1436" s="1205">
        <v>6.9649999999999999</v>
      </c>
    </row>
    <row r="1437" spans="1:2">
      <c r="A1437" s="1203">
        <v>40493</v>
      </c>
      <c r="B1437" s="1205">
        <v>6.9447999999999999</v>
      </c>
    </row>
    <row r="1438" spans="1:2">
      <c r="A1438" s="1203">
        <v>40492</v>
      </c>
      <c r="B1438" s="1205">
        <v>6.9094999999999995</v>
      </c>
    </row>
    <row r="1439" spans="1:2">
      <c r="A1439" s="1203">
        <v>40491</v>
      </c>
      <c r="B1439" s="1205">
        <v>6.8451000000000004</v>
      </c>
    </row>
    <row r="1440" spans="1:2">
      <c r="A1440" s="1203">
        <v>40490</v>
      </c>
      <c r="B1440" s="1205">
        <v>6.8370999999999995</v>
      </c>
    </row>
    <row r="1441" spans="1:2">
      <c r="A1441" s="1203">
        <v>40487</v>
      </c>
      <c r="B1441" s="1205">
        <v>6.7880000000000003</v>
      </c>
    </row>
    <row r="1442" spans="1:2">
      <c r="A1442" s="1203">
        <v>40486</v>
      </c>
      <c r="B1442" s="1205">
        <v>6.8100000000000005</v>
      </c>
    </row>
    <row r="1443" spans="1:2">
      <c r="A1443" s="1203">
        <v>40485</v>
      </c>
      <c r="B1443" s="1205">
        <v>6.9126000000000003</v>
      </c>
    </row>
    <row r="1444" spans="1:2">
      <c r="A1444" s="1203">
        <v>40484</v>
      </c>
      <c r="B1444" s="1205">
        <v>6.8860000000000001</v>
      </c>
    </row>
    <row r="1445" spans="1:2">
      <c r="A1445" s="1203">
        <v>40483</v>
      </c>
      <c r="B1445" s="1205">
        <v>6.9790000000000001</v>
      </c>
    </row>
    <row r="1446" spans="1:2">
      <c r="A1446" s="1203">
        <v>40480</v>
      </c>
      <c r="B1446" s="1205">
        <v>6.9756999999999998</v>
      </c>
    </row>
    <row r="1447" spans="1:2">
      <c r="A1447" s="1203">
        <v>40479</v>
      </c>
      <c r="B1447" s="1205">
        <v>6.9939999999999998</v>
      </c>
    </row>
    <row r="1448" spans="1:2">
      <c r="A1448" s="1203">
        <v>40478</v>
      </c>
      <c r="B1448" s="1205">
        <v>7.0678999999999998</v>
      </c>
    </row>
    <row r="1449" spans="1:2">
      <c r="A1449" s="1203">
        <v>40477</v>
      </c>
      <c r="B1449" s="1205">
        <v>6.9436999999999998</v>
      </c>
    </row>
    <row r="1450" spans="1:2">
      <c r="A1450" s="1203">
        <v>40476</v>
      </c>
      <c r="B1450" s="1205">
        <v>6.9210000000000003</v>
      </c>
    </row>
    <row r="1451" spans="1:2">
      <c r="A1451" s="1203">
        <v>40473</v>
      </c>
      <c r="B1451" s="1205">
        <v>6.9641000000000002</v>
      </c>
    </row>
    <row r="1452" spans="1:2">
      <c r="A1452" s="1203">
        <v>40472</v>
      </c>
      <c r="B1452" s="1205">
        <v>6.9474999999999998</v>
      </c>
    </row>
    <row r="1453" spans="1:2">
      <c r="A1453" s="1203">
        <v>40471</v>
      </c>
      <c r="B1453" s="1205">
        <v>6.9149000000000003</v>
      </c>
    </row>
    <row r="1454" spans="1:2">
      <c r="A1454" s="1203">
        <v>40470</v>
      </c>
      <c r="B1454" s="1205">
        <v>6.9584000000000001</v>
      </c>
    </row>
    <row r="1455" spans="1:2">
      <c r="A1455" s="1203">
        <v>40469</v>
      </c>
      <c r="B1455" s="1205">
        <v>6.8712999999999997</v>
      </c>
    </row>
    <row r="1456" spans="1:2">
      <c r="A1456" s="1203">
        <v>40466</v>
      </c>
      <c r="B1456" s="1205">
        <v>6.8266</v>
      </c>
    </row>
    <row r="1457" spans="1:2">
      <c r="A1457" s="1203">
        <v>40465</v>
      </c>
      <c r="B1457" s="1205">
        <v>6.8018000000000001</v>
      </c>
    </row>
    <row r="1458" spans="1:2">
      <c r="A1458" s="1203">
        <v>40464</v>
      </c>
      <c r="B1458" s="1205">
        <v>6.8100000000000005</v>
      </c>
    </row>
    <row r="1459" spans="1:2">
      <c r="A1459" s="1203">
        <v>40463</v>
      </c>
      <c r="B1459" s="1205">
        <v>6.8894000000000002</v>
      </c>
    </row>
    <row r="1460" spans="1:2">
      <c r="A1460" s="1203">
        <v>40462</v>
      </c>
      <c r="B1460" s="1205">
        <v>6.8567</v>
      </c>
    </row>
    <row r="1461" spans="1:2">
      <c r="A1461" s="1203">
        <v>40459</v>
      </c>
      <c r="B1461" s="1205">
        <v>6.8544999999999998</v>
      </c>
    </row>
    <row r="1462" spans="1:2">
      <c r="A1462" s="1203">
        <v>40458</v>
      </c>
      <c r="B1462" s="1205">
        <v>6.9058999999999999</v>
      </c>
    </row>
    <row r="1463" spans="1:2">
      <c r="A1463" s="1203">
        <v>40457</v>
      </c>
      <c r="B1463" s="1205">
        <v>6.8575999999999997</v>
      </c>
    </row>
    <row r="1464" spans="1:2">
      <c r="A1464" s="1203">
        <v>40456</v>
      </c>
      <c r="B1464" s="1205">
        <v>6.9036999999999997</v>
      </c>
    </row>
    <row r="1465" spans="1:2">
      <c r="A1465" s="1203">
        <v>40455</v>
      </c>
      <c r="B1465" s="1205">
        <v>7.0171000000000001</v>
      </c>
    </row>
    <row r="1466" spans="1:2">
      <c r="A1466" s="1203">
        <v>40452</v>
      </c>
      <c r="B1466" s="1205">
        <v>6.9401999999999999</v>
      </c>
    </row>
    <row r="1467" spans="1:2">
      <c r="A1467" s="1203">
        <v>40451</v>
      </c>
      <c r="B1467" s="1205">
        <v>6.9821</v>
      </c>
    </row>
    <row r="1468" spans="1:2">
      <c r="A1468" s="1203">
        <v>40450</v>
      </c>
      <c r="B1468" s="1205">
        <v>6.9729000000000001</v>
      </c>
    </row>
    <row r="1469" spans="1:2">
      <c r="A1469" s="1203">
        <v>40449</v>
      </c>
      <c r="B1469" s="1205">
        <v>6.9748000000000001</v>
      </c>
    </row>
    <row r="1470" spans="1:2">
      <c r="A1470" s="1203">
        <v>40448</v>
      </c>
      <c r="B1470" s="1205">
        <v>6.9954000000000001</v>
      </c>
    </row>
    <row r="1471" spans="1:2">
      <c r="A1471" s="1203">
        <v>40445</v>
      </c>
      <c r="B1471" s="1205">
        <v>7.0063000000000004</v>
      </c>
    </row>
    <row r="1472" spans="1:2">
      <c r="A1472" s="1203">
        <v>40444</v>
      </c>
      <c r="B1472" s="1205">
        <v>7.0361000000000002</v>
      </c>
    </row>
    <row r="1473" spans="1:2">
      <c r="A1473" s="1203">
        <v>40443</v>
      </c>
      <c r="B1473" s="1205">
        <v>7.0247999999999999</v>
      </c>
    </row>
    <row r="1474" spans="1:2">
      <c r="A1474" s="1203">
        <v>40442</v>
      </c>
      <c r="B1474" s="1205">
        <v>7.1318999999999999</v>
      </c>
    </row>
    <row r="1475" spans="1:2">
      <c r="A1475" s="1203">
        <v>40441</v>
      </c>
      <c r="B1475" s="1205">
        <v>7.1294000000000004</v>
      </c>
    </row>
    <row r="1476" spans="1:2">
      <c r="A1476" s="1203">
        <v>40438</v>
      </c>
      <c r="B1476" s="1205">
        <v>7.1262999999999996</v>
      </c>
    </row>
    <row r="1477" spans="1:2">
      <c r="A1477" s="1203">
        <v>40437</v>
      </c>
      <c r="B1477" s="1205">
        <v>7.1612</v>
      </c>
    </row>
    <row r="1478" spans="1:2">
      <c r="A1478" s="1203">
        <v>40436</v>
      </c>
      <c r="B1478" s="1205">
        <v>7.0930999999999997</v>
      </c>
    </row>
    <row r="1479" spans="1:2">
      <c r="A1479" s="1203">
        <v>40435</v>
      </c>
      <c r="B1479" s="1205">
        <v>7.0662000000000003</v>
      </c>
    </row>
    <row r="1480" spans="1:2">
      <c r="A1480" s="1203">
        <v>40434</v>
      </c>
      <c r="B1480" s="1205">
        <v>7.1407999999999996</v>
      </c>
    </row>
    <row r="1481" spans="1:2">
      <c r="A1481" s="1203">
        <v>40431</v>
      </c>
      <c r="B1481" s="1205">
        <v>7.1883999999999997</v>
      </c>
    </row>
    <row r="1482" spans="1:2">
      <c r="A1482" s="1203">
        <v>40430</v>
      </c>
      <c r="B1482" s="1205">
        <v>7.2023999999999999</v>
      </c>
    </row>
    <row r="1483" spans="1:2">
      <c r="A1483" s="1203">
        <v>40429</v>
      </c>
      <c r="B1483" s="1205">
        <v>7.2404999999999999</v>
      </c>
    </row>
    <row r="1484" spans="1:2">
      <c r="A1484" s="1203">
        <v>40428</v>
      </c>
      <c r="B1484" s="1205">
        <v>7.2630999999999997</v>
      </c>
    </row>
    <row r="1485" spans="1:2">
      <c r="A1485" s="1203">
        <v>40427</v>
      </c>
      <c r="B1485" s="1205">
        <v>7.2213000000000003</v>
      </c>
    </row>
    <row r="1486" spans="1:2">
      <c r="A1486" s="1203">
        <v>40424</v>
      </c>
      <c r="B1486" s="1205">
        <v>7.1818</v>
      </c>
    </row>
    <row r="1487" spans="1:2">
      <c r="A1487" s="1203">
        <v>40423</v>
      </c>
      <c r="B1487" s="1205">
        <v>7.2351999999999999</v>
      </c>
    </row>
    <row r="1488" spans="1:2">
      <c r="A1488" s="1203">
        <v>40422</v>
      </c>
      <c r="B1488" s="1205">
        <v>7.2911000000000001</v>
      </c>
    </row>
    <row r="1489" spans="1:2">
      <c r="A1489" s="1203">
        <v>40421</v>
      </c>
      <c r="B1489" s="1205">
        <v>7.3834999999999997</v>
      </c>
    </row>
    <row r="1490" spans="1:2">
      <c r="A1490" s="1203">
        <v>40420</v>
      </c>
      <c r="B1490" s="1205">
        <v>7.3413000000000004</v>
      </c>
    </row>
    <row r="1491" spans="1:2">
      <c r="A1491" s="1203">
        <v>40417</v>
      </c>
      <c r="B1491" s="1205">
        <v>7.3075999999999999</v>
      </c>
    </row>
    <row r="1492" spans="1:2">
      <c r="A1492" s="1203">
        <v>40416</v>
      </c>
      <c r="B1492" s="1205">
        <v>7.3160999999999996</v>
      </c>
    </row>
    <row r="1493" spans="1:2">
      <c r="A1493" s="1203">
        <v>40415</v>
      </c>
      <c r="B1493" s="1205">
        <v>7.3651</v>
      </c>
    </row>
    <row r="1494" spans="1:2">
      <c r="A1494" s="1203">
        <v>40414</v>
      </c>
      <c r="B1494" s="1205">
        <v>7.3567999999999998</v>
      </c>
    </row>
    <row r="1495" spans="1:2">
      <c r="A1495" s="1203">
        <v>40413</v>
      </c>
      <c r="B1495" s="1205">
        <v>7.3441000000000001</v>
      </c>
    </row>
    <row r="1496" spans="1:2">
      <c r="A1496" s="1203">
        <v>40410</v>
      </c>
      <c r="B1496" s="1205">
        <v>7.3288000000000002</v>
      </c>
    </row>
    <row r="1497" spans="1:2">
      <c r="A1497" s="1203">
        <v>40409</v>
      </c>
      <c r="B1497" s="1205">
        <v>7.2919999999999998</v>
      </c>
    </row>
    <row r="1498" spans="1:2">
      <c r="A1498" s="1203">
        <v>40408</v>
      </c>
      <c r="B1498" s="1205">
        <v>7.2562999999999995</v>
      </c>
    </row>
    <row r="1499" spans="1:2">
      <c r="A1499" s="1203">
        <v>40407</v>
      </c>
      <c r="B1499" s="1205">
        <v>7.2602000000000002</v>
      </c>
    </row>
    <row r="1500" spans="1:2">
      <c r="A1500" s="1203">
        <v>40406</v>
      </c>
      <c r="B1500" s="1205">
        <v>7.2522000000000002</v>
      </c>
    </row>
    <row r="1501" spans="1:2">
      <c r="A1501" s="1203">
        <v>40403</v>
      </c>
      <c r="B1501" s="1205">
        <v>7.3057999999999996</v>
      </c>
    </row>
    <row r="1502" spans="1:2">
      <c r="A1502" s="1203">
        <v>40402</v>
      </c>
      <c r="B1502" s="1205">
        <v>7.29</v>
      </c>
    </row>
    <row r="1503" spans="1:2">
      <c r="A1503" s="1203">
        <v>40401</v>
      </c>
      <c r="B1503" s="1205">
        <v>7.2804000000000002</v>
      </c>
    </row>
    <row r="1504" spans="1:2">
      <c r="A1504" s="1203">
        <v>40400</v>
      </c>
      <c r="B1504" s="1205">
        <v>7.2329999999999997</v>
      </c>
    </row>
    <row r="1505" spans="1:2">
      <c r="A1505" s="1203">
        <v>40399</v>
      </c>
      <c r="B1505" s="1205">
        <v>7.1908000000000003</v>
      </c>
    </row>
    <row r="1506" spans="1:2">
      <c r="A1506" s="1203">
        <v>40396</v>
      </c>
      <c r="B1506" s="1205">
        <v>7.2451999999999996</v>
      </c>
    </row>
    <row r="1507" spans="1:2">
      <c r="A1507" s="1203">
        <v>40395</v>
      </c>
      <c r="B1507" s="1205">
        <v>7.2488000000000001</v>
      </c>
    </row>
    <row r="1508" spans="1:2">
      <c r="A1508" s="1203">
        <v>40394</v>
      </c>
      <c r="B1508" s="1205">
        <v>7.2553000000000001</v>
      </c>
    </row>
    <row r="1509" spans="1:2">
      <c r="A1509" s="1203">
        <v>40393</v>
      </c>
      <c r="B1509" s="1205">
        <v>7.2839</v>
      </c>
    </row>
    <row r="1510" spans="1:2">
      <c r="A1510" s="1203">
        <v>40392</v>
      </c>
      <c r="B1510" s="1205">
        <v>7.2744</v>
      </c>
    </row>
    <row r="1511" spans="1:2">
      <c r="A1511" s="1203">
        <v>40389</v>
      </c>
      <c r="B1511" s="1205">
        <v>7.2988</v>
      </c>
    </row>
    <row r="1512" spans="1:2">
      <c r="A1512" s="1203">
        <v>40388</v>
      </c>
      <c r="B1512" s="1205">
        <v>7.3467000000000002</v>
      </c>
    </row>
    <row r="1513" spans="1:2">
      <c r="A1513" s="1203">
        <v>40387</v>
      </c>
      <c r="B1513" s="1205">
        <v>7.3372000000000002</v>
      </c>
    </row>
    <row r="1514" spans="1:2">
      <c r="A1514" s="1203">
        <v>40386</v>
      </c>
      <c r="B1514" s="1205">
        <v>7.3262999999999998</v>
      </c>
    </row>
    <row r="1515" spans="1:2">
      <c r="A1515" s="1203">
        <v>40385</v>
      </c>
      <c r="B1515" s="1205">
        <v>7.3552999999999997</v>
      </c>
    </row>
    <row r="1516" spans="1:2">
      <c r="A1516" s="1203">
        <v>40382</v>
      </c>
      <c r="B1516" s="1205">
        <v>7.4516</v>
      </c>
    </row>
    <row r="1517" spans="1:2">
      <c r="A1517" s="1203">
        <v>40381</v>
      </c>
      <c r="B1517" s="1205">
        <v>7.4408000000000003</v>
      </c>
    </row>
    <row r="1518" spans="1:2">
      <c r="A1518" s="1203">
        <v>40380</v>
      </c>
      <c r="B1518" s="1205">
        <v>7.5220000000000002</v>
      </c>
    </row>
    <row r="1519" spans="1:2">
      <c r="A1519" s="1203">
        <v>40379</v>
      </c>
      <c r="B1519" s="1205">
        <v>7.5815000000000001</v>
      </c>
    </row>
    <row r="1520" spans="1:2">
      <c r="A1520" s="1203">
        <v>40378</v>
      </c>
      <c r="B1520" s="1205">
        <v>7.6513</v>
      </c>
    </row>
    <row r="1521" spans="1:2">
      <c r="A1521" s="1203">
        <v>40375</v>
      </c>
      <c r="B1521" s="1205">
        <v>7.5964</v>
      </c>
    </row>
    <row r="1522" spans="1:2">
      <c r="A1522" s="1203">
        <v>40374</v>
      </c>
      <c r="B1522" s="1205">
        <v>7.5852000000000004</v>
      </c>
    </row>
    <row r="1523" spans="1:2">
      <c r="A1523" s="1203">
        <v>40373</v>
      </c>
      <c r="B1523" s="1205">
        <v>7.5335999999999999</v>
      </c>
    </row>
    <row r="1524" spans="1:2">
      <c r="A1524" s="1203">
        <v>40372</v>
      </c>
      <c r="B1524" s="1205">
        <v>7.5286</v>
      </c>
    </row>
    <row r="1525" spans="1:2">
      <c r="A1525" s="1203">
        <v>40371</v>
      </c>
      <c r="B1525" s="1205">
        <v>7.6170999999999998</v>
      </c>
    </row>
    <row r="1526" spans="1:2">
      <c r="A1526" s="1203">
        <v>40368</v>
      </c>
      <c r="B1526" s="1205">
        <v>7.5835999999999997</v>
      </c>
    </row>
    <row r="1527" spans="1:2">
      <c r="A1527" s="1203">
        <v>40367</v>
      </c>
      <c r="B1527" s="1205">
        <v>7.5913000000000004</v>
      </c>
    </row>
    <row r="1528" spans="1:2">
      <c r="A1528" s="1203">
        <v>40366</v>
      </c>
      <c r="B1528" s="1205">
        <v>7.6249000000000002</v>
      </c>
    </row>
    <row r="1529" spans="1:2">
      <c r="A1529" s="1203">
        <v>40365</v>
      </c>
      <c r="B1529" s="1205">
        <v>7.6475999999999997</v>
      </c>
    </row>
    <row r="1530" spans="1:2">
      <c r="A1530" s="1203">
        <v>40364</v>
      </c>
      <c r="B1530" s="1205">
        <v>7.7465000000000002</v>
      </c>
    </row>
    <row r="1531" spans="1:2">
      <c r="A1531" s="1203">
        <v>40361</v>
      </c>
      <c r="B1531" s="1205">
        <v>7.7254000000000005</v>
      </c>
    </row>
    <row r="1532" spans="1:2">
      <c r="A1532" s="1203">
        <v>40360</v>
      </c>
      <c r="B1532" s="1205">
        <v>7.7378999999999998</v>
      </c>
    </row>
    <row r="1533" spans="1:2">
      <c r="A1533" s="1203">
        <v>40359</v>
      </c>
      <c r="B1533" s="1205">
        <v>7.6543000000000001</v>
      </c>
    </row>
    <row r="1534" spans="1:2">
      <c r="A1534" s="1203">
        <v>40358</v>
      </c>
      <c r="B1534" s="1205">
        <v>7.6661999999999999</v>
      </c>
    </row>
    <row r="1535" spans="1:2">
      <c r="A1535" s="1203">
        <v>40357</v>
      </c>
      <c r="B1535" s="1205">
        <v>7.5625999999999998</v>
      </c>
    </row>
    <row r="1536" spans="1:2">
      <c r="A1536" s="1203">
        <v>40354</v>
      </c>
      <c r="B1536" s="1205">
        <v>7.62</v>
      </c>
    </row>
    <row r="1537" spans="1:2">
      <c r="A1537" s="1203">
        <v>40353</v>
      </c>
      <c r="B1537" s="1205">
        <v>7.5743999999999998</v>
      </c>
    </row>
    <row r="1538" spans="1:2">
      <c r="A1538" s="1203">
        <v>40352</v>
      </c>
      <c r="B1538" s="1205">
        <v>7.55</v>
      </c>
    </row>
    <row r="1539" spans="1:2">
      <c r="A1539" s="1203">
        <v>40351</v>
      </c>
      <c r="B1539" s="1205">
        <v>7.5385999999999997</v>
      </c>
    </row>
    <row r="1540" spans="1:2">
      <c r="A1540" s="1203">
        <v>40350</v>
      </c>
      <c r="B1540" s="1205">
        <v>7.4917999999999996</v>
      </c>
    </row>
    <row r="1541" spans="1:2">
      <c r="A1541" s="1203">
        <v>40347</v>
      </c>
      <c r="B1541" s="1205">
        <v>7.5174000000000003</v>
      </c>
    </row>
    <row r="1542" spans="1:2">
      <c r="A1542" s="1203">
        <v>40346</v>
      </c>
      <c r="B1542" s="1205">
        <v>7.5900999999999996</v>
      </c>
    </row>
    <row r="1543" spans="1:2">
      <c r="A1543" s="1203">
        <v>40345</v>
      </c>
      <c r="B1543" s="1205">
        <v>7.5806000000000004</v>
      </c>
    </row>
    <row r="1544" spans="1:2">
      <c r="A1544" s="1203">
        <v>40344</v>
      </c>
      <c r="B1544" s="1205">
        <v>7.5957999999999997</v>
      </c>
    </row>
    <row r="1545" spans="1:2">
      <c r="A1545" s="1203">
        <v>40343</v>
      </c>
      <c r="B1545" s="1205">
        <v>7.6631</v>
      </c>
    </row>
    <row r="1546" spans="1:2">
      <c r="A1546" s="1203">
        <v>40340</v>
      </c>
      <c r="B1546" s="1205">
        <v>7.7096999999999998</v>
      </c>
    </row>
    <row r="1547" spans="1:2">
      <c r="A1547" s="1203">
        <v>40339</v>
      </c>
      <c r="B1547" s="1205">
        <v>7.7150999999999996</v>
      </c>
    </row>
    <row r="1548" spans="1:2">
      <c r="A1548" s="1203">
        <v>40338</v>
      </c>
      <c r="B1548" s="1205">
        <v>7.7503000000000002</v>
      </c>
    </row>
    <row r="1549" spans="1:2">
      <c r="A1549" s="1203">
        <v>40337</v>
      </c>
      <c r="B1549" s="1205">
        <v>7.7469000000000001</v>
      </c>
    </row>
    <row r="1550" spans="1:2">
      <c r="A1550" s="1203">
        <v>40336</v>
      </c>
      <c r="B1550" s="1205">
        <v>7.7995999999999999</v>
      </c>
    </row>
    <row r="1551" spans="1:2">
      <c r="A1551" s="1203">
        <v>40333</v>
      </c>
      <c r="B1551" s="1205">
        <v>7.7655000000000003</v>
      </c>
    </row>
    <row r="1552" spans="1:2">
      <c r="A1552" s="1203">
        <v>40332</v>
      </c>
      <c r="B1552" s="1205">
        <v>7.7054999999999998</v>
      </c>
    </row>
    <row r="1553" spans="1:2">
      <c r="A1553" s="1203">
        <v>40331</v>
      </c>
      <c r="B1553" s="1205">
        <v>7.6760999999999999</v>
      </c>
    </row>
    <row r="1554" spans="1:2">
      <c r="A1554" s="1203">
        <v>40330</v>
      </c>
      <c r="B1554" s="1205">
        <v>7.6763000000000003</v>
      </c>
    </row>
    <row r="1555" spans="1:2">
      <c r="A1555" s="1203">
        <v>40329</v>
      </c>
      <c r="B1555" s="1205">
        <v>7.6604000000000001</v>
      </c>
    </row>
    <row r="1556" spans="1:2">
      <c r="A1556" s="1203">
        <v>40326</v>
      </c>
      <c r="B1556" s="1205">
        <v>7.6085000000000003</v>
      </c>
    </row>
    <row r="1557" spans="1:2">
      <c r="A1557" s="1203">
        <v>40325</v>
      </c>
      <c r="B1557" s="1205">
        <v>7.5739999999999998</v>
      </c>
    </row>
    <row r="1558" spans="1:2">
      <c r="A1558" s="1203">
        <v>40324</v>
      </c>
      <c r="B1558" s="1205">
        <v>7.7187999999999999</v>
      </c>
    </row>
    <row r="1559" spans="1:2">
      <c r="A1559" s="1203">
        <v>40323</v>
      </c>
      <c r="B1559" s="1205">
        <v>7.9432999999999998</v>
      </c>
    </row>
    <row r="1560" spans="1:2">
      <c r="A1560" s="1203">
        <v>40322</v>
      </c>
      <c r="B1560" s="1205">
        <v>7.8258000000000001</v>
      </c>
    </row>
    <row r="1561" spans="1:2">
      <c r="A1561" s="1203">
        <v>40319</v>
      </c>
      <c r="B1561" s="1205">
        <v>7.9275000000000002</v>
      </c>
    </row>
    <row r="1562" spans="1:2">
      <c r="A1562" s="1203">
        <v>40318</v>
      </c>
      <c r="B1562" s="1205">
        <v>8.0153999999999996</v>
      </c>
    </row>
    <row r="1563" spans="1:2">
      <c r="A1563" s="1203">
        <v>40317</v>
      </c>
      <c r="B1563" s="1205">
        <v>7.8471000000000002</v>
      </c>
    </row>
    <row r="1564" spans="1:2">
      <c r="A1564" s="1203">
        <v>40316</v>
      </c>
      <c r="B1564" s="1205">
        <v>7.6050000000000004</v>
      </c>
    </row>
    <row r="1565" spans="1:2">
      <c r="A1565" s="1203">
        <v>40315</v>
      </c>
      <c r="B1565" s="1205">
        <v>7.6041999999999996</v>
      </c>
    </row>
    <row r="1566" spans="1:2">
      <c r="A1566" s="1203">
        <v>40312</v>
      </c>
      <c r="B1566" s="1205">
        <v>7.5415999999999999</v>
      </c>
    </row>
    <row r="1567" spans="1:2">
      <c r="A1567" s="1203">
        <v>40311</v>
      </c>
      <c r="B1567" s="1205">
        <v>7.4532999999999996</v>
      </c>
    </row>
    <row r="1568" spans="1:2">
      <c r="A1568" s="1203">
        <v>40310</v>
      </c>
      <c r="B1568" s="1205">
        <v>7.4752000000000001</v>
      </c>
    </row>
    <row r="1569" spans="1:2">
      <c r="A1569" s="1203">
        <v>40309</v>
      </c>
      <c r="B1569" s="1205">
        <v>7.4871999999999996</v>
      </c>
    </row>
    <row r="1570" spans="1:2">
      <c r="A1570" s="1203">
        <v>40308</v>
      </c>
      <c r="B1570" s="1205">
        <v>7.5015999999999998</v>
      </c>
    </row>
    <row r="1571" spans="1:2">
      <c r="A1571" s="1203">
        <v>40305</v>
      </c>
      <c r="B1571" s="1205">
        <v>7.6524000000000001</v>
      </c>
    </row>
    <row r="1572" spans="1:2">
      <c r="A1572" s="1203">
        <v>40304</v>
      </c>
      <c r="B1572" s="1205">
        <v>7.7397999999999998</v>
      </c>
    </row>
    <row r="1573" spans="1:2">
      <c r="A1573" s="1203">
        <v>40303</v>
      </c>
      <c r="B1573" s="1205">
        <v>7.6146000000000003</v>
      </c>
    </row>
    <row r="1574" spans="1:2">
      <c r="A1574" s="1203">
        <v>40302</v>
      </c>
      <c r="B1574" s="1205">
        <v>7.5529000000000002</v>
      </c>
    </row>
    <row r="1575" spans="1:2">
      <c r="A1575" s="1203">
        <v>40301</v>
      </c>
      <c r="B1575" s="1205">
        <v>7.4099000000000004</v>
      </c>
    </row>
    <row r="1576" spans="1:2">
      <c r="A1576" s="1203">
        <v>40298</v>
      </c>
      <c r="B1576" s="1205">
        <v>7.3884999999999996</v>
      </c>
    </row>
    <row r="1577" spans="1:2">
      <c r="A1577" s="1203">
        <v>40297</v>
      </c>
      <c r="B1577" s="1205">
        <v>7.3527000000000005</v>
      </c>
    </row>
    <row r="1578" spans="1:2">
      <c r="A1578" s="1203">
        <v>40296</v>
      </c>
      <c r="B1578" s="1205">
        <v>7.4861000000000004</v>
      </c>
    </row>
    <row r="1579" spans="1:2">
      <c r="A1579" s="1203">
        <v>40295</v>
      </c>
      <c r="B1579" s="1205">
        <v>7.4466999999999999</v>
      </c>
    </row>
    <row r="1580" spans="1:2">
      <c r="A1580" s="1203">
        <v>40294</v>
      </c>
      <c r="B1580" s="1205">
        <v>7.3288000000000002</v>
      </c>
    </row>
    <row r="1581" spans="1:2">
      <c r="A1581" s="1203">
        <v>40291</v>
      </c>
      <c r="B1581" s="1205">
        <v>7.4394999999999998</v>
      </c>
    </row>
    <row r="1582" spans="1:2">
      <c r="A1582" s="1203">
        <v>40290</v>
      </c>
      <c r="B1582" s="1205">
        <v>7.4962999999999997</v>
      </c>
    </row>
    <row r="1583" spans="1:2">
      <c r="A1583" s="1203">
        <v>40289</v>
      </c>
      <c r="B1583" s="1205">
        <v>7.4035000000000002</v>
      </c>
    </row>
    <row r="1584" spans="1:2">
      <c r="A1584" s="1203">
        <v>40288</v>
      </c>
      <c r="B1584" s="1205">
        <v>7.3875000000000002</v>
      </c>
    </row>
    <row r="1585" spans="1:2">
      <c r="A1585" s="1203">
        <v>40287</v>
      </c>
      <c r="B1585" s="1205">
        <v>7.4809000000000001</v>
      </c>
    </row>
    <row r="1586" spans="1:2">
      <c r="A1586" s="1203">
        <v>40284</v>
      </c>
      <c r="B1586" s="1205">
        <v>7.4036999999999997</v>
      </c>
    </row>
    <row r="1587" spans="1:2">
      <c r="A1587" s="1203">
        <v>40283</v>
      </c>
      <c r="B1587" s="1205">
        <v>7.3137999999999996</v>
      </c>
    </row>
    <row r="1588" spans="1:2">
      <c r="A1588" s="1203">
        <v>40282</v>
      </c>
      <c r="B1588" s="1205">
        <v>7.3003999999999998</v>
      </c>
    </row>
    <row r="1589" spans="1:2">
      <c r="A1589" s="1203">
        <v>40281</v>
      </c>
      <c r="B1589" s="1205">
        <v>7.3025000000000002</v>
      </c>
    </row>
    <row r="1590" spans="1:2">
      <c r="A1590" s="1203">
        <v>40280</v>
      </c>
      <c r="B1590" s="1205">
        <v>7.2683999999999997</v>
      </c>
    </row>
    <row r="1591" spans="1:2">
      <c r="A1591" s="1203">
        <v>40277</v>
      </c>
      <c r="B1591" s="1205">
        <v>7.2442000000000002</v>
      </c>
    </row>
    <row r="1592" spans="1:2">
      <c r="A1592" s="1203">
        <v>40276</v>
      </c>
      <c r="B1592" s="1205">
        <v>7.2690000000000001</v>
      </c>
    </row>
    <row r="1593" spans="1:2">
      <c r="A1593" s="1203">
        <v>40275</v>
      </c>
      <c r="B1593" s="1205">
        <v>7.2759</v>
      </c>
    </row>
    <row r="1594" spans="1:2">
      <c r="A1594" s="1203">
        <v>40274</v>
      </c>
      <c r="B1594" s="1205">
        <v>7.2640000000000002</v>
      </c>
    </row>
    <row r="1595" spans="1:2">
      <c r="A1595" s="1203">
        <v>40273</v>
      </c>
      <c r="B1595" s="1205">
        <v>7.2351000000000001</v>
      </c>
    </row>
    <row r="1596" spans="1:2">
      <c r="A1596" s="1203">
        <v>40270</v>
      </c>
      <c r="B1596" s="1205">
        <v>7.2462999999999997</v>
      </c>
    </row>
    <row r="1597" spans="1:2">
      <c r="A1597" s="1203">
        <v>40269</v>
      </c>
      <c r="B1597" s="1205">
        <v>7.2480000000000002</v>
      </c>
    </row>
    <row r="1598" spans="1:2">
      <c r="A1598" s="1203">
        <v>40268</v>
      </c>
      <c r="B1598" s="1205">
        <v>7.2647000000000004</v>
      </c>
    </row>
    <row r="1599" spans="1:2">
      <c r="A1599" s="1203">
        <v>40267</v>
      </c>
      <c r="B1599" s="1205">
        <v>7.3825000000000003</v>
      </c>
    </row>
    <row r="1600" spans="1:2">
      <c r="A1600" s="1203">
        <v>40266</v>
      </c>
      <c r="B1600" s="1205">
        <v>7.4207000000000001</v>
      </c>
    </row>
    <row r="1601" spans="1:2">
      <c r="A1601" s="1203">
        <v>40263</v>
      </c>
      <c r="B1601" s="1205">
        <v>7.4538000000000002</v>
      </c>
    </row>
    <row r="1602" spans="1:2">
      <c r="A1602" s="1203">
        <v>40262</v>
      </c>
      <c r="B1602" s="1205">
        <v>7.4675000000000002</v>
      </c>
    </row>
    <row r="1603" spans="1:2">
      <c r="A1603" s="1203">
        <v>40261</v>
      </c>
      <c r="B1603" s="1205">
        <v>7.3804999999999996</v>
      </c>
    </row>
    <row r="1604" spans="1:2">
      <c r="A1604" s="1203">
        <v>40260</v>
      </c>
      <c r="B1604" s="1205">
        <v>7.3243999999999998</v>
      </c>
    </row>
    <row r="1605" spans="1:2">
      <c r="A1605" s="1203">
        <v>40259</v>
      </c>
      <c r="B1605" s="1205">
        <v>7.3273999999999999</v>
      </c>
    </row>
    <row r="1606" spans="1:2">
      <c r="A1606" s="1203">
        <v>40256</v>
      </c>
      <c r="B1606" s="1205">
        <v>7.3296999999999999</v>
      </c>
    </row>
    <row r="1607" spans="1:2">
      <c r="A1607" s="1203">
        <v>40255</v>
      </c>
      <c r="B1607" s="1205">
        <v>7.2910000000000004</v>
      </c>
    </row>
    <row r="1608" spans="1:2">
      <c r="A1608" s="1203">
        <v>40254</v>
      </c>
      <c r="B1608" s="1205">
        <v>7.2823000000000002</v>
      </c>
    </row>
    <row r="1609" spans="1:2">
      <c r="A1609" s="1203">
        <v>40253</v>
      </c>
      <c r="B1609" s="1205">
        <v>7.3665000000000003</v>
      </c>
    </row>
    <row r="1610" spans="1:2">
      <c r="A1610" s="1203">
        <v>40252</v>
      </c>
      <c r="B1610" s="1205">
        <v>7.4193999999999996</v>
      </c>
    </row>
    <row r="1611" spans="1:2">
      <c r="A1611" s="1203">
        <v>40249</v>
      </c>
      <c r="B1611" s="1205">
        <v>7.3966000000000003</v>
      </c>
    </row>
    <row r="1612" spans="1:2">
      <c r="A1612" s="1203">
        <v>40248</v>
      </c>
      <c r="B1612" s="1205">
        <v>7.4313000000000002</v>
      </c>
    </row>
    <row r="1613" spans="1:2">
      <c r="A1613" s="1203">
        <v>40247</v>
      </c>
      <c r="B1613" s="1205">
        <v>7.4169999999999998</v>
      </c>
    </row>
    <row r="1614" spans="1:2">
      <c r="A1614" s="1203">
        <v>40246</v>
      </c>
      <c r="B1614" s="1205">
        <v>7.3870000000000005</v>
      </c>
    </row>
    <row r="1615" spans="1:2">
      <c r="A1615" s="1203">
        <v>40245</v>
      </c>
      <c r="B1615" s="1205">
        <v>7.3887999999999998</v>
      </c>
    </row>
    <row r="1616" spans="1:2">
      <c r="A1616" s="1203">
        <v>40242</v>
      </c>
      <c r="B1616" s="1205">
        <v>7.4213000000000005</v>
      </c>
    </row>
    <row r="1617" spans="1:2">
      <c r="A1617" s="1203">
        <v>40241</v>
      </c>
      <c r="B1617" s="1205">
        <v>7.4768999999999997</v>
      </c>
    </row>
    <row r="1618" spans="1:2">
      <c r="A1618" s="1203">
        <v>40240</v>
      </c>
      <c r="B1618" s="1205">
        <v>7.5110000000000001</v>
      </c>
    </row>
    <row r="1619" spans="1:2">
      <c r="A1619" s="1203">
        <v>40239</v>
      </c>
      <c r="B1619" s="1205">
        <v>7.5933000000000002</v>
      </c>
    </row>
    <row r="1620" spans="1:2">
      <c r="A1620" s="1203">
        <v>40238</v>
      </c>
      <c r="B1620" s="1205">
        <v>7.6062000000000003</v>
      </c>
    </row>
    <row r="1621" spans="1:2">
      <c r="A1621" s="1203">
        <v>40235</v>
      </c>
      <c r="B1621" s="1205">
        <v>7.6706000000000003</v>
      </c>
    </row>
    <row r="1622" spans="1:2">
      <c r="A1622" s="1203">
        <v>40234</v>
      </c>
      <c r="B1622" s="1205">
        <v>7.8388</v>
      </c>
    </row>
    <row r="1623" spans="1:2">
      <c r="A1623" s="1203">
        <v>40233</v>
      </c>
      <c r="B1623" s="1205">
        <v>7.7575000000000003</v>
      </c>
    </row>
    <row r="1624" spans="1:2">
      <c r="A1624" s="1203">
        <v>40232</v>
      </c>
      <c r="B1624" s="1205">
        <v>7.7815000000000003</v>
      </c>
    </row>
    <row r="1625" spans="1:2">
      <c r="A1625" s="1203">
        <v>40231</v>
      </c>
      <c r="B1625" s="1205">
        <v>7.7264999999999997</v>
      </c>
    </row>
    <row r="1626" spans="1:2">
      <c r="A1626" s="1203">
        <v>40228</v>
      </c>
      <c r="B1626" s="1205">
        <v>7.6580000000000004</v>
      </c>
    </row>
    <row r="1627" spans="1:2">
      <c r="A1627" s="1203">
        <v>40227</v>
      </c>
      <c r="B1627" s="1205">
        <v>7.6127000000000002</v>
      </c>
    </row>
    <row r="1628" spans="1:2">
      <c r="A1628" s="1203">
        <v>40226</v>
      </c>
      <c r="B1628" s="1205">
        <v>7.6088000000000005</v>
      </c>
    </row>
    <row r="1629" spans="1:2">
      <c r="A1629" s="1203">
        <v>40225</v>
      </c>
      <c r="B1629" s="1205">
        <v>7.6718000000000002</v>
      </c>
    </row>
    <row r="1630" spans="1:2">
      <c r="A1630" s="1203">
        <v>40224</v>
      </c>
      <c r="B1630" s="1205">
        <v>7.7328000000000001</v>
      </c>
    </row>
    <row r="1631" spans="1:2">
      <c r="A1631" s="1203">
        <v>40221</v>
      </c>
      <c r="B1631" s="1205">
        <v>7.6975999999999996</v>
      </c>
    </row>
    <row r="1632" spans="1:2">
      <c r="A1632" s="1203">
        <v>40220</v>
      </c>
      <c r="B1632" s="1205">
        <v>7.6406999999999998</v>
      </c>
    </row>
    <row r="1633" spans="1:2">
      <c r="A1633" s="1203">
        <v>40219</v>
      </c>
      <c r="B1633" s="1205">
        <v>7.7430000000000003</v>
      </c>
    </row>
    <row r="1634" spans="1:2">
      <c r="A1634" s="1203">
        <v>40218</v>
      </c>
      <c r="B1634" s="1205">
        <v>7.6970000000000001</v>
      </c>
    </row>
    <row r="1635" spans="1:2">
      <c r="A1635" s="1203">
        <v>40217</v>
      </c>
      <c r="B1635" s="1205">
        <v>7.7248000000000001</v>
      </c>
    </row>
    <row r="1636" spans="1:2">
      <c r="A1636" s="1203">
        <v>40214</v>
      </c>
      <c r="B1636" s="1205">
        <v>7.7858000000000001</v>
      </c>
    </row>
    <row r="1637" spans="1:2">
      <c r="A1637" s="1203">
        <v>40213</v>
      </c>
      <c r="B1637" s="1205">
        <v>7.6894999999999998</v>
      </c>
    </row>
    <row r="1638" spans="1:2">
      <c r="A1638" s="1203">
        <v>40212</v>
      </c>
      <c r="B1638" s="1205">
        <v>7.5071000000000003</v>
      </c>
    </row>
    <row r="1639" spans="1:2">
      <c r="A1639" s="1203">
        <v>40211</v>
      </c>
      <c r="B1639" s="1205">
        <v>7.4920999999999998</v>
      </c>
    </row>
    <row r="1640" spans="1:2">
      <c r="A1640" s="1203">
        <v>40210</v>
      </c>
      <c r="B1640" s="1205">
        <v>7.5075000000000003</v>
      </c>
    </row>
    <row r="1641" spans="1:2">
      <c r="A1641" s="1203">
        <v>40207</v>
      </c>
      <c r="B1641" s="1205">
        <v>7.5662000000000003</v>
      </c>
    </row>
    <row r="1642" spans="1:2">
      <c r="A1642" s="1203">
        <v>40206</v>
      </c>
      <c r="B1642" s="1205">
        <v>7.6268000000000002</v>
      </c>
    </row>
    <row r="1643" spans="1:2">
      <c r="A1643" s="1203">
        <v>40205</v>
      </c>
      <c r="B1643" s="1205">
        <v>7.6218000000000004</v>
      </c>
    </row>
    <row r="1644" spans="1:2">
      <c r="A1644" s="1203">
        <v>40204</v>
      </c>
      <c r="B1644" s="1205">
        <v>7.5594000000000001</v>
      </c>
    </row>
    <row r="1645" spans="1:2">
      <c r="A1645" s="1203">
        <v>40203</v>
      </c>
      <c r="B1645" s="1205">
        <v>7.6</v>
      </c>
    </row>
    <row r="1646" spans="1:2">
      <c r="A1646" s="1203">
        <v>40200</v>
      </c>
      <c r="B1646" s="1205">
        <v>7.5983999999999998</v>
      </c>
    </row>
    <row r="1647" spans="1:2">
      <c r="A1647" s="1203">
        <v>40199</v>
      </c>
      <c r="B1647" s="1205">
        <v>7.5724999999999998</v>
      </c>
    </row>
    <row r="1648" spans="1:2">
      <c r="A1648" s="1203">
        <v>40198</v>
      </c>
      <c r="B1648" s="1205">
        <v>7.53</v>
      </c>
    </row>
    <row r="1649" spans="1:2">
      <c r="A1649" s="1203">
        <v>40197</v>
      </c>
      <c r="B1649" s="1205">
        <v>7.4010999999999996</v>
      </c>
    </row>
    <row r="1650" spans="1:2">
      <c r="A1650" s="1203">
        <v>40196</v>
      </c>
      <c r="B1650" s="1205">
        <v>7.3962000000000003</v>
      </c>
    </row>
    <row r="1651" spans="1:2">
      <c r="A1651" s="1203">
        <v>40193</v>
      </c>
      <c r="B1651" s="1205">
        <v>7.4141000000000004</v>
      </c>
    </row>
    <row r="1652" spans="1:2">
      <c r="A1652" s="1203">
        <v>40192</v>
      </c>
      <c r="B1652" s="1205">
        <v>7.4021999999999997</v>
      </c>
    </row>
    <row r="1653" spans="1:2">
      <c r="A1653" s="1203">
        <v>40191</v>
      </c>
      <c r="B1653" s="1205">
        <v>7.4053000000000004</v>
      </c>
    </row>
    <row r="1654" spans="1:2">
      <c r="A1654" s="1203">
        <v>40190</v>
      </c>
      <c r="B1654" s="1205">
        <v>7.4427000000000003</v>
      </c>
    </row>
    <row r="1655" spans="1:2">
      <c r="A1655" s="1203">
        <v>40189</v>
      </c>
      <c r="B1655" s="1205">
        <v>7.3690999999999995</v>
      </c>
    </row>
    <row r="1656" spans="1:2">
      <c r="A1656" s="1203">
        <v>40186</v>
      </c>
      <c r="B1656" s="1205">
        <v>7.3259999999999996</v>
      </c>
    </row>
    <row r="1657" spans="1:2">
      <c r="A1657" s="1203">
        <v>40185</v>
      </c>
      <c r="B1657" s="1205">
        <v>7.4347000000000003</v>
      </c>
    </row>
    <row r="1658" spans="1:2">
      <c r="A1658" s="1203">
        <v>40184</v>
      </c>
      <c r="B1658" s="1205">
        <v>7.3048000000000002</v>
      </c>
    </row>
    <row r="1659" spans="1:2">
      <c r="A1659" s="1203">
        <v>40183</v>
      </c>
      <c r="B1659" s="1205">
        <v>7.3143000000000002</v>
      </c>
    </row>
    <row r="1660" spans="1:2">
      <c r="A1660" s="1203">
        <v>40182</v>
      </c>
      <c r="B1660" s="1205">
        <v>7.2882999999999996</v>
      </c>
    </row>
    <row r="1661" spans="1:2">
      <c r="A1661" s="1203">
        <v>40179</v>
      </c>
      <c r="B1661" s="1205">
        <v>7.3890000000000002</v>
      </c>
    </row>
    <row r="1662" spans="1:2">
      <c r="A1662" s="1203">
        <v>40178</v>
      </c>
      <c r="B1662" s="1205">
        <v>7.38</v>
      </c>
    </row>
    <row r="1663" spans="1:2">
      <c r="A1663" s="1203">
        <v>40177</v>
      </c>
      <c r="B1663" s="1205">
        <v>7.3872</v>
      </c>
    </row>
    <row r="1664" spans="1:2">
      <c r="A1664" s="1203">
        <v>40176</v>
      </c>
      <c r="B1664" s="1205">
        <v>7.391</v>
      </c>
    </row>
    <row r="1665" spans="1:2">
      <c r="A1665" s="1203">
        <v>40175</v>
      </c>
      <c r="B1665" s="1205">
        <v>7.4874000000000001</v>
      </c>
    </row>
    <row r="1666" spans="1:2">
      <c r="A1666" s="1203">
        <v>40172</v>
      </c>
      <c r="B1666" s="1205">
        <v>7.5315000000000003</v>
      </c>
    </row>
    <row r="1667" spans="1:2">
      <c r="A1667" s="1203">
        <v>40171</v>
      </c>
      <c r="B1667" s="1205">
        <v>7.5430000000000001</v>
      </c>
    </row>
    <row r="1668" spans="1:2">
      <c r="A1668" s="1203">
        <v>40170</v>
      </c>
      <c r="B1668" s="1205">
        <v>7.6111000000000004</v>
      </c>
    </row>
    <row r="1669" spans="1:2">
      <c r="A1669" s="1203">
        <v>40169</v>
      </c>
      <c r="B1669" s="1205">
        <v>7.7084999999999999</v>
      </c>
    </row>
    <row r="1670" spans="1:2">
      <c r="A1670" s="1203">
        <v>40168</v>
      </c>
      <c r="B1670" s="1205">
        <v>7.7435</v>
      </c>
    </row>
    <row r="1671" spans="1:2">
      <c r="A1671" s="1203">
        <v>40165</v>
      </c>
      <c r="B1671" s="1205">
        <v>7.577</v>
      </c>
    </row>
    <row r="1672" spans="1:2">
      <c r="A1672" s="1203">
        <v>40164</v>
      </c>
      <c r="B1672" s="1205">
        <v>7.5549999999999997</v>
      </c>
    </row>
    <row r="1673" spans="1:2">
      <c r="A1673" s="1203">
        <v>40163</v>
      </c>
      <c r="B1673" s="1205">
        <v>7.4138000000000002</v>
      </c>
    </row>
    <row r="1674" spans="1:2">
      <c r="A1674" s="1203">
        <v>40162</v>
      </c>
      <c r="B1674" s="1205">
        <v>7.4649000000000001</v>
      </c>
    </row>
    <row r="1675" spans="1:2">
      <c r="A1675" s="1203">
        <v>40161</v>
      </c>
      <c r="B1675" s="1205">
        <v>7.3913000000000002</v>
      </c>
    </row>
    <row r="1676" spans="1:2">
      <c r="A1676" s="1203">
        <v>40158</v>
      </c>
      <c r="B1676" s="1205">
        <v>7.5323000000000002</v>
      </c>
    </row>
    <row r="1677" spans="1:2">
      <c r="A1677" s="1203">
        <v>40157</v>
      </c>
      <c r="B1677" s="1205">
        <v>7.5641999999999996</v>
      </c>
    </row>
    <row r="1678" spans="1:2">
      <c r="A1678" s="1203">
        <v>40156</v>
      </c>
      <c r="B1678" s="1205">
        <v>7.5940000000000003</v>
      </c>
    </row>
    <row r="1679" spans="1:2">
      <c r="A1679" s="1203">
        <v>40155</v>
      </c>
      <c r="B1679" s="1205">
        <v>7.5475000000000003</v>
      </c>
    </row>
    <row r="1680" spans="1:2">
      <c r="A1680" s="1203">
        <v>40154</v>
      </c>
      <c r="B1680" s="1205">
        <v>7.4184999999999999</v>
      </c>
    </row>
    <row r="1681" spans="1:2">
      <c r="A1681" s="1203">
        <v>40151</v>
      </c>
      <c r="B1681" s="1205">
        <v>7.4221000000000004</v>
      </c>
    </row>
    <row r="1682" spans="1:2">
      <c r="A1682" s="1203">
        <v>40150</v>
      </c>
      <c r="B1682" s="1205">
        <v>7.3425000000000002</v>
      </c>
    </row>
    <row r="1683" spans="1:2">
      <c r="A1683" s="1203">
        <v>40149</v>
      </c>
      <c r="B1683" s="1205">
        <v>7.3250000000000002</v>
      </c>
    </row>
    <row r="1684" spans="1:2">
      <c r="A1684" s="1203">
        <v>40148</v>
      </c>
      <c r="B1684" s="1205">
        <v>7.3</v>
      </c>
    </row>
    <row r="1685" spans="1:2">
      <c r="A1685" s="1203">
        <v>40147</v>
      </c>
      <c r="B1685" s="1205">
        <v>7.4215</v>
      </c>
    </row>
    <row r="1686" spans="1:2">
      <c r="A1686" s="1203">
        <v>40144</v>
      </c>
      <c r="B1686" s="1205">
        <v>7.4089999999999998</v>
      </c>
    </row>
    <row r="1687" spans="1:2">
      <c r="A1687" s="1203">
        <v>40143</v>
      </c>
      <c r="B1687" s="1205">
        <v>7.4916</v>
      </c>
    </row>
    <row r="1688" spans="1:2">
      <c r="A1688" s="1203">
        <v>40142</v>
      </c>
      <c r="B1688" s="1205">
        <v>7.3319999999999999</v>
      </c>
    </row>
    <row r="1689" spans="1:2">
      <c r="A1689" s="1203">
        <v>40141</v>
      </c>
      <c r="B1689" s="1205">
        <v>7.4554999999999998</v>
      </c>
    </row>
    <row r="1690" spans="1:2">
      <c r="A1690" s="1203">
        <v>40140</v>
      </c>
      <c r="B1690" s="1205">
        <v>7.4767000000000001</v>
      </c>
    </row>
    <row r="1691" spans="1:2">
      <c r="A1691" s="1203">
        <v>40137</v>
      </c>
      <c r="B1691" s="1205">
        <v>7.6109999999999998</v>
      </c>
    </row>
    <row r="1692" spans="1:2">
      <c r="A1692" s="1203">
        <v>40136</v>
      </c>
      <c r="B1692" s="1205">
        <v>7.5265000000000004</v>
      </c>
    </row>
    <row r="1693" spans="1:2">
      <c r="A1693" s="1203">
        <v>40135</v>
      </c>
      <c r="B1693" s="1205">
        <v>7.4734999999999996</v>
      </c>
    </row>
    <row r="1694" spans="1:2">
      <c r="A1694" s="1203">
        <v>40134</v>
      </c>
      <c r="B1694" s="1205">
        <v>7.4741</v>
      </c>
    </row>
    <row r="1695" spans="1:2">
      <c r="A1695" s="1203">
        <v>40133</v>
      </c>
      <c r="B1695" s="1205">
        <v>7.3865999999999996</v>
      </c>
    </row>
    <row r="1696" spans="1:2">
      <c r="A1696" s="1203">
        <v>40130</v>
      </c>
      <c r="B1696" s="1205">
        <v>7.4081000000000001</v>
      </c>
    </row>
    <row r="1697" spans="1:2">
      <c r="A1697" s="1203">
        <v>40129</v>
      </c>
      <c r="B1697" s="1205">
        <v>7.4424999999999999</v>
      </c>
    </row>
    <row r="1698" spans="1:2">
      <c r="A1698" s="1203">
        <v>40128</v>
      </c>
      <c r="B1698" s="1205">
        <v>7.3921000000000001</v>
      </c>
    </row>
    <row r="1699" spans="1:2">
      <c r="A1699" s="1203">
        <v>40127</v>
      </c>
      <c r="B1699" s="1205">
        <v>7.3967000000000001</v>
      </c>
    </row>
    <row r="1700" spans="1:2">
      <c r="A1700" s="1203">
        <v>40126</v>
      </c>
      <c r="B1700" s="1205">
        <v>7.4077999999999999</v>
      </c>
    </row>
    <row r="1701" spans="1:2">
      <c r="A1701" s="1203">
        <v>40123</v>
      </c>
      <c r="B1701" s="1205">
        <v>7.5274000000000001</v>
      </c>
    </row>
    <row r="1702" spans="1:2">
      <c r="A1702" s="1203">
        <v>40122</v>
      </c>
      <c r="B1702" s="1205">
        <v>7.6120999999999999</v>
      </c>
    </row>
    <row r="1703" spans="1:2">
      <c r="A1703" s="1203">
        <v>40121</v>
      </c>
      <c r="B1703" s="1205">
        <v>7.6437999999999997</v>
      </c>
    </row>
    <row r="1704" spans="1:2">
      <c r="A1704" s="1203">
        <v>40120</v>
      </c>
      <c r="B1704" s="1205">
        <v>7.8456999999999999</v>
      </c>
    </row>
    <row r="1705" spans="1:2">
      <c r="A1705" s="1203">
        <v>40119</v>
      </c>
      <c r="B1705" s="1205">
        <v>7.8949999999999996</v>
      </c>
    </row>
    <row r="1706" spans="1:2">
      <c r="A1706" s="1203">
        <v>40116</v>
      </c>
      <c r="B1706" s="1205">
        <v>7.8540000000000001</v>
      </c>
    </row>
    <row r="1707" spans="1:2">
      <c r="A1707" s="1203">
        <v>40115</v>
      </c>
      <c r="B1707" s="1205">
        <v>7.7084999999999999</v>
      </c>
    </row>
    <row r="1708" spans="1:2">
      <c r="A1708" s="1203">
        <v>40114</v>
      </c>
      <c r="B1708" s="1205">
        <v>7.8224999999999998</v>
      </c>
    </row>
    <row r="1709" spans="1:2">
      <c r="A1709" s="1203">
        <v>40113</v>
      </c>
      <c r="B1709" s="1205">
        <v>7.6829999999999998</v>
      </c>
    </row>
    <row r="1710" spans="1:2">
      <c r="A1710" s="1203">
        <v>40112</v>
      </c>
      <c r="B1710" s="1205">
        <v>7.5518999999999998</v>
      </c>
    </row>
    <row r="1711" spans="1:2">
      <c r="A1711" s="1203">
        <v>40109</v>
      </c>
      <c r="B1711" s="1205">
        <v>7.4477000000000002</v>
      </c>
    </row>
    <row r="1712" spans="1:2">
      <c r="A1712" s="1203">
        <v>40108</v>
      </c>
      <c r="B1712" s="1205">
        <v>7.4287999999999998</v>
      </c>
    </row>
    <row r="1713" spans="1:2">
      <c r="A1713" s="1203">
        <v>40107</v>
      </c>
      <c r="B1713" s="1205">
        <v>7.3560999999999996</v>
      </c>
    </row>
    <row r="1714" spans="1:2">
      <c r="A1714" s="1203">
        <v>40106</v>
      </c>
      <c r="B1714" s="1205">
        <v>7.3913000000000002</v>
      </c>
    </row>
    <row r="1715" spans="1:2">
      <c r="A1715" s="1203">
        <v>40105</v>
      </c>
      <c r="B1715" s="1205">
        <v>7.3106999999999998</v>
      </c>
    </row>
    <row r="1716" spans="1:2">
      <c r="A1716" s="1203">
        <v>40102</v>
      </c>
      <c r="B1716" s="1205">
        <v>7.3556999999999997</v>
      </c>
    </row>
    <row r="1717" spans="1:2">
      <c r="A1717" s="1203">
        <v>40101</v>
      </c>
      <c r="B1717" s="1205">
        <v>7.2744999999999997</v>
      </c>
    </row>
    <row r="1718" spans="1:2">
      <c r="A1718" s="1203">
        <v>40100</v>
      </c>
      <c r="B1718" s="1205">
        <v>7.2622</v>
      </c>
    </row>
    <row r="1719" spans="1:2">
      <c r="A1719" s="1203">
        <v>40099</v>
      </c>
      <c r="B1719" s="1205">
        <v>7.3521000000000001</v>
      </c>
    </row>
    <row r="1720" spans="1:2">
      <c r="A1720" s="1203">
        <v>40098</v>
      </c>
      <c r="B1720" s="1205">
        <v>7.3346</v>
      </c>
    </row>
    <row r="1721" spans="1:2">
      <c r="A1721" s="1203">
        <v>40095</v>
      </c>
      <c r="B1721" s="1205">
        <v>7.3929</v>
      </c>
    </row>
    <row r="1722" spans="1:2">
      <c r="A1722" s="1203">
        <v>40094</v>
      </c>
      <c r="B1722" s="1205">
        <v>7.3232999999999997</v>
      </c>
    </row>
    <row r="1723" spans="1:2">
      <c r="A1723" s="1203">
        <v>40093</v>
      </c>
      <c r="B1723" s="1205">
        <v>7.4531000000000001</v>
      </c>
    </row>
    <row r="1724" spans="1:2">
      <c r="A1724" s="1203">
        <v>40092</v>
      </c>
      <c r="B1724" s="1205">
        <v>7.3817000000000004</v>
      </c>
    </row>
    <row r="1725" spans="1:2">
      <c r="A1725" s="1203">
        <v>40091</v>
      </c>
      <c r="B1725" s="1205">
        <v>7.5583</v>
      </c>
    </row>
    <row r="1726" spans="1:2">
      <c r="A1726" s="1203">
        <v>40088</v>
      </c>
      <c r="B1726" s="1205">
        <v>7.6619999999999999</v>
      </c>
    </row>
    <row r="1727" spans="1:2">
      <c r="A1727" s="1203">
        <v>40087</v>
      </c>
      <c r="B1727" s="1205">
        <v>7.6840000000000002</v>
      </c>
    </row>
    <row r="1728" spans="1:2">
      <c r="A1728" s="1203">
        <v>40086</v>
      </c>
      <c r="B1728" s="1205">
        <v>7.5092999999999996</v>
      </c>
    </row>
    <row r="1729" spans="1:2">
      <c r="A1729" s="1203">
        <v>40085</v>
      </c>
      <c r="B1729" s="1205">
        <v>7.4051</v>
      </c>
    </row>
    <row r="1730" spans="1:2">
      <c r="A1730" s="1203">
        <v>40084</v>
      </c>
      <c r="B1730" s="1205">
        <v>7.3982000000000001</v>
      </c>
    </row>
    <row r="1731" spans="1:2">
      <c r="A1731" s="1203">
        <v>40081</v>
      </c>
      <c r="B1731" s="1205">
        <v>7.4161000000000001</v>
      </c>
    </row>
    <row r="1732" spans="1:2">
      <c r="A1732" s="1203">
        <v>40080</v>
      </c>
      <c r="B1732" s="1205">
        <v>7.4805000000000001</v>
      </c>
    </row>
    <row r="1733" spans="1:2">
      <c r="A1733" s="1203">
        <v>40079</v>
      </c>
      <c r="B1733" s="1205">
        <v>7.4272999999999998</v>
      </c>
    </row>
    <row r="1734" spans="1:2">
      <c r="A1734" s="1203">
        <v>40078</v>
      </c>
      <c r="B1734" s="1205">
        <v>7.3849999999999998</v>
      </c>
    </row>
    <row r="1735" spans="1:2">
      <c r="A1735" s="1203">
        <v>40077</v>
      </c>
      <c r="B1735" s="1205">
        <v>7.4945000000000004</v>
      </c>
    </row>
    <row r="1736" spans="1:2">
      <c r="A1736" s="1203">
        <v>40074</v>
      </c>
      <c r="B1736" s="1205">
        <v>7.4348999999999998</v>
      </c>
    </row>
    <row r="1737" spans="1:2">
      <c r="A1737" s="1203">
        <v>40073</v>
      </c>
      <c r="B1737" s="1205">
        <v>7.4145000000000003</v>
      </c>
    </row>
    <row r="1738" spans="1:2">
      <c r="A1738" s="1203">
        <v>40072</v>
      </c>
      <c r="B1738" s="1205">
        <v>7.3224999999999998</v>
      </c>
    </row>
    <row r="1739" spans="1:2">
      <c r="A1739" s="1203">
        <v>40071</v>
      </c>
      <c r="B1739" s="1205">
        <v>7.3741000000000003</v>
      </c>
    </row>
    <row r="1740" spans="1:2">
      <c r="A1740" s="1203">
        <v>40070</v>
      </c>
      <c r="B1740" s="1205">
        <v>7.4535</v>
      </c>
    </row>
    <row r="1741" spans="1:2">
      <c r="A1741" s="1203">
        <v>40067</v>
      </c>
      <c r="B1741" s="1205">
        <v>7.4429999999999996</v>
      </c>
    </row>
    <row r="1742" spans="1:2">
      <c r="A1742" s="1203">
        <v>40066</v>
      </c>
      <c r="B1742" s="1205">
        <v>7.5552999999999999</v>
      </c>
    </row>
    <row r="1743" spans="1:2">
      <c r="A1743" s="1203">
        <v>40065</v>
      </c>
      <c r="B1743" s="1205">
        <v>7.4983000000000004</v>
      </c>
    </row>
    <row r="1744" spans="1:2">
      <c r="A1744" s="1203">
        <v>40064</v>
      </c>
      <c r="B1744" s="1205">
        <v>7.5186999999999999</v>
      </c>
    </row>
    <row r="1745" spans="1:2">
      <c r="A1745" s="1203">
        <v>40063</v>
      </c>
      <c r="B1745" s="1205">
        <v>7.5809999999999995</v>
      </c>
    </row>
    <row r="1746" spans="1:2">
      <c r="A1746" s="1203">
        <v>40060</v>
      </c>
      <c r="B1746" s="1205">
        <v>7.5994999999999999</v>
      </c>
    </row>
    <row r="1747" spans="1:2">
      <c r="A1747" s="1203">
        <v>40059</v>
      </c>
      <c r="B1747" s="1205">
        <v>7.6683000000000003</v>
      </c>
    </row>
    <row r="1748" spans="1:2">
      <c r="A1748" s="1203">
        <v>40058</v>
      </c>
      <c r="B1748" s="1205">
        <v>7.8159000000000001</v>
      </c>
    </row>
    <row r="1749" spans="1:2">
      <c r="A1749" s="1203">
        <v>40057</v>
      </c>
      <c r="B1749" s="1205">
        <v>7.8859000000000004</v>
      </c>
    </row>
    <row r="1750" spans="1:2">
      <c r="A1750" s="1203">
        <v>40056</v>
      </c>
      <c r="B1750" s="1205">
        <v>7.7838000000000003</v>
      </c>
    </row>
    <row r="1751" spans="1:2">
      <c r="A1751" s="1203">
        <v>40053</v>
      </c>
      <c r="B1751" s="1205">
        <v>7.7613000000000003</v>
      </c>
    </row>
    <row r="1752" spans="1:2">
      <c r="A1752" s="1203">
        <v>40052</v>
      </c>
      <c r="B1752" s="1205">
        <v>7.8540999999999999</v>
      </c>
    </row>
    <row r="1753" spans="1:2">
      <c r="A1753" s="1203">
        <v>40051</v>
      </c>
      <c r="B1753" s="1205">
        <v>7.8609999999999998</v>
      </c>
    </row>
    <row r="1754" spans="1:2">
      <c r="A1754" s="1203">
        <v>40050</v>
      </c>
      <c r="B1754" s="1205">
        <v>7.8186</v>
      </c>
    </row>
    <row r="1755" spans="1:2">
      <c r="A1755" s="1203">
        <v>40049</v>
      </c>
      <c r="B1755" s="1205">
        <v>7.8037999999999998</v>
      </c>
    </row>
    <row r="1756" spans="1:2">
      <c r="A1756" s="1203">
        <v>40046</v>
      </c>
      <c r="B1756" s="1205">
        <v>7.7873000000000001</v>
      </c>
    </row>
    <row r="1757" spans="1:2">
      <c r="A1757" s="1203">
        <v>40045</v>
      </c>
      <c r="B1757" s="1205">
        <v>7.9055</v>
      </c>
    </row>
    <row r="1758" spans="1:2">
      <c r="A1758" s="1203">
        <v>40044</v>
      </c>
      <c r="B1758" s="1205">
        <v>8.0024999999999995</v>
      </c>
    </row>
    <row r="1759" spans="1:2">
      <c r="A1759" s="1203">
        <v>40043</v>
      </c>
      <c r="B1759" s="1205">
        <v>8.0366999999999997</v>
      </c>
    </row>
    <row r="1760" spans="1:2">
      <c r="A1760" s="1203">
        <v>40042</v>
      </c>
      <c r="B1760" s="1205">
        <v>8.1564999999999994</v>
      </c>
    </row>
    <row r="1761" spans="1:2">
      <c r="A1761" s="1203">
        <v>40039</v>
      </c>
      <c r="B1761" s="1205">
        <v>8.0808</v>
      </c>
    </row>
    <row r="1762" spans="1:2">
      <c r="A1762" s="1203">
        <v>40038</v>
      </c>
      <c r="B1762" s="1205">
        <v>8.0244999999999997</v>
      </c>
    </row>
    <row r="1763" spans="1:2">
      <c r="A1763" s="1203">
        <v>40037</v>
      </c>
      <c r="B1763" s="1205">
        <v>8.0663</v>
      </c>
    </row>
    <row r="1764" spans="1:2">
      <c r="A1764" s="1203">
        <v>40036</v>
      </c>
      <c r="B1764" s="1205">
        <v>8.1361000000000008</v>
      </c>
    </row>
    <row r="1765" spans="1:2">
      <c r="A1765" s="1203">
        <v>40035</v>
      </c>
      <c r="B1765" s="1205">
        <v>8.1188000000000002</v>
      </c>
    </row>
    <row r="1766" spans="1:2">
      <c r="A1766" s="1203">
        <v>40032</v>
      </c>
      <c r="B1766" s="1205">
        <v>7.9912999999999998</v>
      </c>
    </row>
    <row r="1767" spans="1:2">
      <c r="A1767" s="1203">
        <v>40031</v>
      </c>
      <c r="B1767" s="1205">
        <v>8.0718999999999994</v>
      </c>
    </row>
    <row r="1768" spans="1:2">
      <c r="A1768" s="1203">
        <v>40030</v>
      </c>
      <c r="B1768" s="1205">
        <v>7.9240000000000004</v>
      </c>
    </row>
    <row r="1769" spans="1:2">
      <c r="A1769" s="1203">
        <v>40029</v>
      </c>
      <c r="B1769" s="1205">
        <v>7.8376000000000001</v>
      </c>
    </row>
    <row r="1770" spans="1:2">
      <c r="A1770" s="1203">
        <v>40028</v>
      </c>
      <c r="B1770" s="1205">
        <v>7.7492999999999999</v>
      </c>
    </row>
    <row r="1771" spans="1:2">
      <c r="A1771" s="1203">
        <v>40025</v>
      </c>
      <c r="B1771" s="1205">
        <v>7.7827999999999999</v>
      </c>
    </row>
    <row r="1772" spans="1:2">
      <c r="A1772" s="1203">
        <v>40024</v>
      </c>
      <c r="B1772" s="1205">
        <v>7.8013000000000003</v>
      </c>
    </row>
    <row r="1773" spans="1:2">
      <c r="A1773" s="1203">
        <v>40023</v>
      </c>
      <c r="B1773" s="1205">
        <v>7.8761000000000001</v>
      </c>
    </row>
    <row r="1774" spans="1:2">
      <c r="A1774" s="1203">
        <v>40022</v>
      </c>
      <c r="B1774" s="1205">
        <v>7.8906999999999998</v>
      </c>
    </row>
    <row r="1775" spans="1:2">
      <c r="A1775" s="1203">
        <v>40021</v>
      </c>
      <c r="B1775" s="1205">
        <v>7.7625000000000002</v>
      </c>
    </row>
    <row r="1776" spans="1:2">
      <c r="A1776" s="1203">
        <v>40018</v>
      </c>
      <c r="B1776" s="1205">
        <v>7.7309000000000001</v>
      </c>
    </row>
    <row r="1777" spans="1:2">
      <c r="A1777" s="1203">
        <v>40017</v>
      </c>
      <c r="B1777" s="1205">
        <v>7.6463000000000001</v>
      </c>
    </row>
    <row r="1778" spans="1:2">
      <c r="A1778" s="1203">
        <v>40016</v>
      </c>
      <c r="B1778" s="1205">
        <v>7.6963999999999997</v>
      </c>
    </row>
    <row r="1779" spans="1:2">
      <c r="A1779" s="1203">
        <v>40015</v>
      </c>
      <c r="B1779" s="1205">
        <v>7.8334999999999999</v>
      </c>
    </row>
    <row r="1780" spans="1:2">
      <c r="A1780" s="1203">
        <v>40014</v>
      </c>
      <c r="B1780" s="1205">
        <v>7.8525</v>
      </c>
    </row>
    <row r="1781" spans="1:2">
      <c r="A1781" s="1203">
        <v>40011</v>
      </c>
      <c r="B1781" s="1205">
        <v>8.0388999999999999</v>
      </c>
    </row>
    <row r="1782" spans="1:2">
      <c r="A1782" s="1203">
        <v>40010</v>
      </c>
      <c r="B1782" s="1205">
        <v>8.1184999999999992</v>
      </c>
    </row>
    <row r="1783" spans="1:2">
      <c r="A1783" s="1203">
        <v>40009</v>
      </c>
      <c r="B1783" s="1205">
        <v>8.1282999999999994</v>
      </c>
    </row>
    <row r="1784" spans="1:2">
      <c r="A1784" s="1203">
        <v>40008</v>
      </c>
      <c r="B1784" s="1205">
        <v>8.2865000000000002</v>
      </c>
    </row>
    <row r="1785" spans="1:2">
      <c r="A1785" s="1203">
        <v>40007</v>
      </c>
      <c r="B1785" s="1205">
        <v>8.2654999999999994</v>
      </c>
    </row>
    <row r="1786" spans="1:2">
      <c r="A1786" s="1203">
        <v>40004</v>
      </c>
      <c r="B1786" s="1205">
        <v>8.2662999999999993</v>
      </c>
    </row>
    <row r="1787" spans="1:2">
      <c r="A1787" s="1203">
        <v>40003</v>
      </c>
      <c r="B1787" s="1205">
        <v>8.1098999999999997</v>
      </c>
    </row>
    <row r="1788" spans="1:2">
      <c r="A1788" s="1203">
        <v>40002</v>
      </c>
      <c r="B1788" s="1205">
        <v>8.2354000000000003</v>
      </c>
    </row>
    <row r="1789" spans="1:2">
      <c r="A1789" s="1203">
        <v>40001</v>
      </c>
      <c r="B1789" s="1205">
        <v>8.0503</v>
      </c>
    </row>
    <row r="1790" spans="1:2">
      <c r="A1790" s="1203">
        <v>40000</v>
      </c>
      <c r="B1790" s="1205">
        <v>7.9912999999999998</v>
      </c>
    </row>
    <row r="1791" spans="1:2">
      <c r="A1791" s="1203">
        <v>39997</v>
      </c>
      <c r="B1791" s="1205">
        <v>7.9375</v>
      </c>
    </row>
    <row r="1792" spans="1:2">
      <c r="A1792" s="1203">
        <v>39996</v>
      </c>
      <c r="B1792" s="1205">
        <v>7.8463000000000003</v>
      </c>
    </row>
    <row r="1793" spans="1:2">
      <c r="A1793" s="1203">
        <v>39995</v>
      </c>
      <c r="B1793" s="1205">
        <v>7.7462999999999997</v>
      </c>
    </row>
    <row r="1794" spans="1:2">
      <c r="A1794" s="1203">
        <v>39994</v>
      </c>
      <c r="B1794" s="1205">
        <v>7.7450000000000001</v>
      </c>
    </row>
    <row r="1795" spans="1:2">
      <c r="A1795" s="1203">
        <v>39993</v>
      </c>
      <c r="B1795" s="1205">
        <v>7.8164999999999996</v>
      </c>
    </row>
    <row r="1796" spans="1:2">
      <c r="A1796" s="1203">
        <v>39990</v>
      </c>
      <c r="B1796" s="1205">
        <v>7.8821000000000003</v>
      </c>
    </row>
    <row r="1797" spans="1:2">
      <c r="A1797" s="1203">
        <v>39989</v>
      </c>
      <c r="B1797" s="1205">
        <v>8.0244999999999997</v>
      </c>
    </row>
    <row r="1798" spans="1:2">
      <c r="A1798" s="1203">
        <v>39988</v>
      </c>
      <c r="B1798" s="1205">
        <v>8.0475999999999992</v>
      </c>
    </row>
    <row r="1799" spans="1:2">
      <c r="A1799" s="1203">
        <v>39987</v>
      </c>
      <c r="B1799" s="1205">
        <v>8.1654</v>
      </c>
    </row>
    <row r="1800" spans="1:2">
      <c r="A1800" s="1203">
        <v>39986</v>
      </c>
      <c r="B1800" s="1205">
        <v>8.1954999999999991</v>
      </c>
    </row>
    <row r="1801" spans="1:2">
      <c r="A1801" s="1203">
        <v>39983</v>
      </c>
      <c r="B1801" s="1205">
        <v>8.0986999999999991</v>
      </c>
    </row>
    <row r="1802" spans="1:2">
      <c r="A1802" s="1203">
        <v>39982</v>
      </c>
      <c r="B1802" s="1205">
        <v>8.1173999999999999</v>
      </c>
    </row>
    <row r="1803" spans="1:2">
      <c r="A1803" s="1203">
        <v>39981</v>
      </c>
      <c r="B1803" s="1205">
        <v>8.0952999999999999</v>
      </c>
    </row>
    <row r="1804" spans="1:2">
      <c r="A1804" s="1203">
        <v>39980</v>
      </c>
      <c r="B1804" s="1205">
        <v>8.0390999999999995</v>
      </c>
    </row>
    <row r="1805" spans="1:2">
      <c r="A1805" s="1203">
        <v>39979</v>
      </c>
      <c r="B1805" s="1205">
        <v>8.0973000000000006</v>
      </c>
    </row>
    <row r="1806" spans="1:2">
      <c r="A1806" s="1203">
        <v>39976</v>
      </c>
      <c r="B1806" s="1205">
        <v>8.0350000000000001</v>
      </c>
    </row>
    <row r="1807" spans="1:2">
      <c r="A1807" s="1203">
        <v>39975</v>
      </c>
      <c r="B1807" s="1205">
        <v>7.9474999999999998</v>
      </c>
    </row>
    <row r="1808" spans="1:2">
      <c r="A1808" s="1203">
        <v>39974</v>
      </c>
      <c r="B1808" s="1205">
        <v>8.0877999999999997</v>
      </c>
    </row>
    <row r="1809" spans="1:2">
      <c r="A1809" s="1203">
        <v>39973</v>
      </c>
      <c r="B1809" s="1205">
        <v>8.1035000000000004</v>
      </c>
    </row>
    <row r="1810" spans="1:2">
      <c r="A1810" s="1203">
        <v>39972</v>
      </c>
      <c r="B1810" s="1205">
        <v>8.17</v>
      </c>
    </row>
    <row r="1811" spans="1:2">
      <c r="A1811" s="1203">
        <v>39969</v>
      </c>
      <c r="B1811" s="1205">
        <v>8.0389999999999997</v>
      </c>
    </row>
    <row r="1812" spans="1:2">
      <c r="A1812" s="1203">
        <v>39968</v>
      </c>
      <c r="B1812" s="1205">
        <v>8.0419999999999998</v>
      </c>
    </row>
    <row r="1813" spans="1:2">
      <c r="A1813" s="1203">
        <v>39967</v>
      </c>
      <c r="B1813" s="1205">
        <v>8.1120999999999999</v>
      </c>
    </row>
    <row r="1814" spans="1:2">
      <c r="A1814" s="1203">
        <v>39966</v>
      </c>
      <c r="B1814" s="1205">
        <v>8.0145</v>
      </c>
    </row>
    <row r="1815" spans="1:2">
      <c r="A1815" s="1203">
        <v>39965</v>
      </c>
      <c r="B1815" s="1205">
        <v>7.9683999999999999</v>
      </c>
    </row>
    <row r="1816" spans="1:2">
      <c r="A1816" s="1203">
        <v>39962</v>
      </c>
      <c r="B1816" s="1205">
        <v>7.9844999999999997</v>
      </c>
    </row>
    <row r="1817" spans="1:2">
      <c r="A1817" s="1203">
        <v>39961</v>
      </c>
      <c r="B1817" s="1205">
        <v>8.0975999999999999</v>
      </c>
    </row>
    <row r="1818" spans="1:2">
      <c r="A1818" s="1203">
        <v>39960</v>
      </c>
      <c r="B1818" s="1205">
        <v>8.0853999999999999</v>
      </c>
    </row>
    <row r="1819" spans="1:2">
      <c r="A1819" s="1203">
        <v>39959</v>
      </c>
      <c r="B1819" s="1205">
        <v>8.2833000000000006</v>
      </c>
    </row>
    <row r="1820" spans="1:2">
      <c r="A1820" s="1203">
        <v>39958</v>
      </c>
      <c r="B1820" s="1205">
        <v>8.2129999999999992</v>
      </c>
    </row>
    <row r="1821" spans="1:2">
      <c r="A1821" s="1203">
        <v>39955</v>
      </c>
      <c r="B1821" s="1205">
        <v>8.2738999999999994</v>
      </c>
    </row>
    <row r="1822" spans="1:2">
      <c r="A1822" s="1203">
        <v>39954</v>
      </c>
      <c r="B1822" s="1205">
        <v>8.359</v>
      </c>
    </row>
    <row r="1823" spans="1:2">
      <c r="A1823" s="1203">
        <v>39953</v>
      </c>
      <c r="B1823" s="1205">
        <v>8.3557000000000006</v>
      </c>
    </row>
    <row r="1824" spans="1:2">
      <c r="A1824" s="1203">
        <v>39952</v>
      </c>
      <c r="B1824" s="1205">
        <v>8.4454999999999991</v>
      </c>
    </row>
    <row r="1825" spans="1:2">
      <c r="A1825" s="1203">
        <v>39951</v>
      </c>
      <c r="B1825" s="1205">
        <v>8.5658999999999992</v>
      </c>
    </row>
    <row r="1826" spans="1:2">
      <c r="A1826" s="1203">
        <v>39948</v>
      </c>
      <c r="B1826" s="1205">
        <v>8.7471999999999994</v>
      </c>
    </row>
    <row r="1827" spans="1:2">
      <c r="A1827" s="1203">
        <v>39947</v>
      </c>
      <c r="B1827" s="1205">
        <v>8.5594000000000001</v>
      </c>
    </row>
    <row r="1828" spans="1:2">
      <c r="A1828" s="1203">
        <v>39946</v>
      </c>
      <c r="B1828" s="1205">
        <v>8.5219000000000005</v>
      </c>
    </row>
    <row r="1829" spans="1:2">
      <c r="A1829" s="1203">
        <v>39945</v>
      </c>
      <c r="B1829" s="1205">
        <v>8.4934999999999992</v>
      </c>
    </row>
    <row r="1830" spans="1:2">
      <c r="A1830" s="1203">
        <v>39944</v>
      </c>
      <c r="B1830" s="1205">
        <v>8.4236000000000004</v>
      </c>
    </row>
    <row r="1831" spans="1:2">
      <c r="A1831" s="1203">
        <v>39941</v>
      </c>
      <c r="B1831" s="1205">
        <v>8.3055000000000003</v>
      </c>
    </row>
    <row r="1832" spans="1:2">
      <c r="A1832" s="1203">
        <v>39940</v>
      </c>
      <c r="B1832" s="1205">
        <v>8.3754000000000008</v>
      </c>
    </row>
    <row r="1833" spans="1:2">
      <c r="A1833" s="1203">
        <v>39939</v>
      </c>
      <c r="B1833" s="1205">
        <v>8.375</v>
      </c>
    </row>
    <row r="1834" spans="1:2">
      <c r="A1834" s="1203">
        <v>39938</v>
      </c>
      <c r="B1834" s="1205">
        <v>8.4316999999999993</v>
      </c>
    </row>
    <row r="1835" spans="1:2">
      <c r="A1835" s="1203">
        <v>39937</v>
      </c>
      <c r="B1835" s="1205">
        <v>8.3725000000000005</v>
      </c>
    </row>
    <row r="1836" spans="1:2">
      <c r="A1836" s="1203">
        <v>39934</v>
      </c>
      <c r="B1836" s="1205">
        <v>8.4369999999999994</v>
      </c>
    </row>
    <row r="1837" spans="1:2">
      <c r="A1837" s="1203">
        <v>39933</v>
      </c>
      <c r="B1837" s="1205">
        <v>8.4816000000000003</v>
      </c>
    </row>
    <row r="1838" spans="1:2">
      <c r="A1838" s="1203">
        <v>39932</v>
      </c>
      <c r="B1838" s="1205">
        <v>8.4986999999999995</v>
      </c>
    </row>
    <row r="1839" spans="1:2">
      <c r="A1839" s="1203">
        <v>39931</v>
      </c>
      <c r="B1839" s="1205">
        <v>8.7190999999999992</v>
      </c>
    </row>
    <row r="1840" spans="1:2">
      <c r="A1840" s="1203">
        <v>39930</v>
      </c>
      <c r="B1840" s="1205">
        <v>8.7675000000000001</v>
      </c>
    </row>
    <row r="1841" spans="1:2">
      <c r="A1841" s="1203">
        <v>39927</v>
      </c>
      <c r="B1841" s="1205">
        <v>8.7413000000000007</v>
      </c>
    </row>
    <row r="1842" spans="1:2">
      <c r="A1842" s="1203">
        <v>39926</v>
      </c>
      <c r="B1842" s="1205">
        <v>8.9794999999999998</v>
      </c>
    </row>
    <row r="1843" spans="1:2">
      <c r="A1843" s="1203">
        <v>39925</v>
      </c>
      <c r="B1843" s="1205">
        <v>8.9001000000000001</v>
      </c>
    </row>
    <row r="1844" spans="1:2">
      <c r="A1844" s="1203">
        <v>39924</v>
      </c>
      <c r="B1844" s="1205">
        <v>8.9337999999999997</v>
      </c>
    </row>
    <row r="1845" spans="1:2">
      <c r="A1845" s="1203">
        <v>39923</v>
      </c>
      <c r="B1845" s="1205">
        <v>9.0824999999999996</v>
      </c>
    </row>
    <row r="1846" spans="1:2">
      <c r="A1846" s="1203">
        <v>39920</v>
      </c>
      <c r="B1846" s="1205">
        <v>8.9665999999999997</v>
      </c>
    </row>
    <row r="1847" spans="1:2">
      <c r="A1847" s="1203">
        <v>39919</v>
      </c>
      <c r="B1847" s="1205">
        <v>8.9513999999999996</v>
      </c>
    </row>
    <row r="1848" spans="1:2">
      <c r="A1848" s="1203">
        <v>39918</v>
      </c>
      <c r="B1848" s="1205">
        <v>9.1257999999999999</v>
      </c>
    </row>
    <row r="1849" spans="1:2">
      <c r="A1849" s="1203">
        <v>39917</v>
      </c>
      <c r="B1849" s="1205">
        <v>9.0757999999999992</v>
      </c>
    </row>
    <row r="1850" spans="1:2">
      <c r="A1850" s="1203">
        <v>39916</v>
      </c>
      <c r="B1850" s="1205">
        <v>9.0222999999999995</v>
      </c>
    </row>
    <row r="1851" spans="1:2">
      <c r="A1851" s="1203">
        <v>39913</v>
      </c>
      <c r="B1851" s="1205">
        <v>9.0588999999999995</v>
      </c>
    </row>
    <row r="1852" spans="1:2">
      <c r="A1852" s="1203">
        <v>39912</v>
      </c>
      <c r="B1852" s="1205">
        <v>9.0962999999999994</v>
      </c>
    </row>
    <row r="1853" spans="1:2">
      <c r="A1853" s="1203">
        <v>39911</v>
      </c>
      <c r="B1853" s="1205">
        <v>9.1107999999999993</v>
      </c>
    </row>
    <row r="1854" spans="1:2">
      <c r="A1854" s="1203">
        <v>39910</v>
      </c>
      <c r="B1854" s="1205">
        <v>9.1257000000000001</v>
      </c>
    </row>
    <row r="1855" spans="1:2">
      <c r="A1855" s="1203">
        <v>39909</v>
      </c>
      <c r="B1855" s="1205">
        <v>9.1059999999999999</v>
      </c>
    </row>
    <row r="1856" spans="1:2">
      <c r="A1856" s="1203">
        <v>39906</v>
      </c>
      <c r="B1856" s="1205">
        <v>9.077</v>
      </c>
    </row>
    <row r="1857" spans="1:2">
      <c r="A1857" s="1203">
        <v>39905</v>
      </c>
      <c r="B1857" s="1205">
        <v>9.0520999999999994</v>
      </c>
    </row>
    <row r="1858" spans="1:2">
      <c r="A1858" s="1203">
        <v>39904</v>
      </c>
      <c r="B1858" s="1205">
        <v>9.3794000000000004</v>
      </c>
    </row>
    <row r="1859" spans="1:2">
      <c r="A1859" s="1203">
        <v>39903</v>
      </c>
      <c r="B1859" s="1205">
        <v>9.5175000000000001</v>
      </c>
    </row>
    <row r="1860" spans="1:2">
      <c r="A1860" s="1203">
        <v>39902</v>
      </c>
      <c r="B1860" s="1205">
        <v>9.7170000000000005</v>
      </c>
    </row>
    <row r="1861" spans="1:2">
      <c r="A1861" s="1203">
        <v>39899</v>
      </c>
      <c r="B1861" s="1205">
        <v>9.6343999999999994</v>
      </c>
    </row>
    <row r="1862" spans="1:2">
      <c r="A1862" s="1203">
        <v>39898</v>
      </c>
      <c r="B1862" s="1205">
        <v>9.3603000000000005</v>
      </c>
    </row>
    <row r="1863" spans="1:2">
      <c r="A1863" s="1203">
        <v>39897</v>
      </c>
      <c r="B1863" s="1205">
        <v>9.4476999999999993</v>
      </c>
    </row>
    <row r="1864" spans="1:2">
      <c r="A1864" s="1203">
        <v>39896</v>
      </c>
      <c r="B1864" s="1205">
        <v>9.4786999999999999</v>
      </c>
    </row>
    <row r="1865" spans="1:2">
      <c r="A1865" s="1203">
        <v>39895</v>
      </c>
      <c r="B1865" s="1205">
        <v>9.4873999999999992</v>
      </c>
    </row>
    <row r="1866" spans="1:2">
      <c r="A1866" s="1203">
        <v>39892</v>
      </c>
      <c r="B1866" s="1205">
        <v>9.6074999999999999</v>
      </c>
    </row>
    <row r="1867" spans="1:2">
      <c r="A1867" s="1203">
        <v>39891</v>
      </c>
      <c r="B1867" s="1205">
        <v>9.6431000000000004</v>
      </c>
    </row>
    <row r="1868" spans="1:2">
      <c r="A1868" s="1203">
        <v>39890</v>
      </c>
      <c r="B1868" s="1205">
        <v>9.8893000000000004</v>
      </c>
    </row>
    <row r="1869" spans="1:2">
      <c r="A1869" s="1203">
        <v>39889</v>
      </c>
      <c r="B1869" s="1205">
        <v>9.9031000000000002</v>
      </c>
    </row>
    <row r="1870" spans="1:2">
      <c r="A1870" s="1203">
        <v>39888</v>
      </c>
      <c r="B1870" s="1205">
        <v>9.8650000000000002</v>
      </c>
    </row>
    <row r="1871" spans="1:2">
      <c r="A1871" s="1203">
        <v>39885</v>
      </c>
      <c r="B1871" s="1205">
        <v>9.9565000000000001</v>
      </c>
    </row>
    <row r="1872" spans="1:2">
      <c r="A1872" s="1203">
        <v>39884</v>
      </c>
      <c r="B1872" s="1205">
        <v>9.9758999999999993</v>
      </c>
    </row>
    <row r="1873" spans="1:2">
      <c r="A1873" s="1203">
        <v>39883</v>
      </c>
      <c r="B1873" s="1205">
        <v>10.117800000000001</v>
      </c>
    </row>
    <row r="1874" spans="1:2">
      <c r="A1874" s="1203">
        <v>39882</v>
      </c>
      <c r="B1874" s="1205">
        <v>10.3325</v>
      </c>
    </row>
    <row r="1875" spans="1:2">
      <c r="A1875" s="1203">
        <v>39881</v>
      </c>
      <c r="B1875" s="1205">
        <v>10.59</v>
      </c>
    </row>
    <row r="1876" spans="1:2">
      <c r="A1876" s="1203">
        <v>39878</v>
      </c>
      <c r="B1876" s="1205">
        <v>10.474</v>
      </c>
    </row>
    <row r="1877" spans="1:2">
      <c r="A1877" s="1203">
        <v>39877</v>
      </c>
      <c r="B1877" s="1205">
        <v>10.607799999999999</v>
      </c>
    </row>
    <row r="1878" spans="1:2">
      <c r="A1878" s="1203">
        <v>39876</v>
      </c>
      <c r="B1878" s="1205">
        <v>10.3687</v>
      </c>
    </row>
    <row r="1879" spans="1:2">
      <c r="A1879" s="1203">
        <v>39875</v>
      </c>
      <c r="B1879" s="1205">
        <v>10.5</v>
      </c>
    </row>
    <row r="1880" spans="1:2">
      <c r="A1880" s="1203">
        <v>39874</v>
      </c>
      <c r="B1880" s="1205">
        <v>10.513299999999999</v>
      </c>
    </row>
    <row r="1881" spans="1:2">
      <c r="A1881" s="1203">
        <v>39871</v>
      </c>
      <c r="B1881" s="1205">
        <v>10.089499999999999</v>
      </c>
    </row>
    <row r="1882" spans="1:2">
      <c r="A1882" s="1203">
        <v>39870</v>
      </c>
      <c r="B1882" s="1205">
        <v>9.8755000000000006</v>
      </c>
    </row>
    <row r="1883" spans="1:2">
      <c r="A1883" s="1203">
        <v>39869</v>
      </c>
      <c r="B1883" s="1205">
        <v>9.9649999999999999</v>
      </c>
    </row>
    <row r="1884" spans="1:2">
      <c r="A1884" s="1203">
        <v>39868</v>
      </c>
      <c r="B1884" s="1205">
        <v>9.9459999999999997</v>
      </c>
    </row>
    <row r="1885" spans="1:2">
      <c r="A1885" s="1203">
        <v>39867</v>
      </c>
      <c r="B1885" s="1205">
        <v>10.0695</v>
      </c>
    </row>
    <row r="1886" spans="1:2">
      <c r="A1886" s="1203">
        <v>39864</v>
      </c>
      <c r="B1886" s="1205">
        <v>10.1225</v>
      </c>
    </row>
    <row r="1887" spans="1:2">
      <c r="A1887" s="1203">
        <v>39863</v>
      </c>
      <c r="B1887" s="1205">
        <v>10.033200000000001</v>
      </c>
    </row>
    <row r="1888" spans="1:2">
      <c r="A1888" s="1203">
        <v>39862</v>
      </c>
      <c r="B1888" s="1205">
        <v>10.174899999999999</v>
      </c>
    </row>
    <row r="1889" spans="1:2">
      <c r="A1889" s="1203">
        <v>39861</v>
      </c>
      <c r="B1889" s="1205">
        <v>10.2775</v>
      </c>
    </row>
    <row r="1890" spans="1:2">
      <c r="A1890" s="1203">
        <v>39860</v>
      </c>
      <c r="B1890" s="1205">
        <v>10.036799999999999</v>
      </c>
    </row>
    <row r="1891" spans="1:2">
      <c r="A1891" s="1203">
        <v>39857</v>
      </c>
      <c r="B1891" s="1205">
        <v>9.9596999999999998</v>
      </c>
    </row>
    <row r="1892" spans="1:2">
      <c r="A1892" s="1203">
        <v>39856</v>
      </c>
      <c r="B1892" s="1205">
        <v>10.085000000000001</v>
      </c>
    </row>
    <row r="1893" spans="1:2">
      <c r="A1893" s="1203">
        <v>39855</v>
      </c>
      <c r="B1893" s="1205">
        <v>9.91</v>
      </c>
    </row>
    <row r="1894" spans="1:2">
      <c r="A1894" s="1203">
        <v>39854</v>
      </c>
      <c r="B1894" s="1205">
        <v>9.7799999999999994</v>
      </c>
    </row>
    <row r="1895" spans="1:2">
      <c r="A1895" s="1203">
        <v>39853</v>
      </c>
      <c r="B1895" s="1205">
        <v>9.5924999999999994</v>
      </c>
    </row>
    <row r="1896" spans="1:2">
      <c r="A1896" s="1203">
        <v>39850</v>
      </c>
      <c r="B1896" s="1205">
        <v>9.6493000000000002</v>
      </c>
    </row>
    <row r="1897" spans="1:2">
      <c r="A1897" s="1203">
        <v>39849</v>
      </c>
      <c r="B1897" s="1205">
        <v>9.8146000000000004</v>
      </c>
    </row>
    <row r="1898" spans="1:2">
      <c r="A1898" s="1203">
        <v>39848</v>
      </c>
      <c r="B1898" s="1205">
        <v>9.9600000000000009</v>
      </c>
    </row>
    <row r="1899" spans="1:2">
      <c r="A1899" s="1203">
        <v>39847</v>
      </c>
      <c r="B1899" s="1205">
        <v>10.1425</v>
      </c>
    </row>
    <row r="1900" spans="1:2">
      <c r="A1900" s="1203">
        <v>39846</v>
      </c>
      <c r="B1900" s="1205">
        <v>10.144299999999999</v>
      </c>
    </row>
    <row r="1901" spans="1:2">
      <c r="A1901" s="1203">
        <v>39843</v>
      </c>
      <c r="B1901" s="1205">
        <v>10.2021</v>
      </c>
    </row>
    <row r="1902" spans="1:2">
      <c r="A1902" s="1203">
        <v>39842</v>
      </c>
      <c r="B1902" s="1205">
        <v>10.041499999999999</v>
      </c>
    </row>
    <row r="1903" spans="1:2">
      <c r="A1903" s="1203">
        <v>39841</v>
      </c>
      <c r="B1903" s="1205">
        <v>9.8895999999999997</v>
      </c>
    </row>
    <row r="1904" spans="1:2">
      <c r="A1904" s="1203">
        <v>39840</v>
      </c>
      <c r="B1904" s="1205">
        <v>9.9774999999999991</v>
      </c>
    </row>
    <row r="1905" spans="1:2">
      <c r="A1905" s="1203">
        <v>39839</v>
      </c>
      <c r="B1905" s="1205">
        <v>10.119999999999999</v>
      </c>
    </row>
    <row r="1906" spans="1:2">
      <c r="A1906" s="1203">
        <v>39836</v>
      </c>
      <c r="B1906" s="1205">
        <v>10.225</v>
      </c>
    </row>
    <row r="1907" spans="1:2">
      <c r="A1907" s="1203">
        <v>39835</v>
      </c>
      <c r="B1907" s="1205">
        <v>10.0755</v>
      </c>
    </row>
    <row r="1908" spans="1:2">
      <c r="A1908" s="1203">
        <v>39834</v>
      </c>
      <c r="B1908" s="1205">
        <v>10.159000000000001</v>
      </c>
    </row>
    <row r="1909" spans="1:2">
      <c r="A1909" s="1203">
        <v>39833</v>
      </c>
      <c r="B1909" s="1205">
        <v>10.204499999999999</v>
      </c>
    </row>
    <row r="1910" spans="1:2">
      <c r="A1910" s="1203">
        <v>39832</v>
      </c>
      <c r="B1910" s="1205">
        <v>10.1295</v>
      </c>
    </row>
    <row r="1911" spans="1:2">
      <c r="A1911" s="1203">
        <v>39829</v>
      </c>
      <c r="B1911" s="1205">
        <v>10.0715</v>
      </c>
    </row>
    <row r="1912" spans="1:2">
      <c r="A1912" s="1203">
        <v>39828</v>
      </c>
      <c r="B1912" s="1205">
        <v>10.182499999999999</v>
      </c>
    </row>
    <row r="1913" spans="1:2">
      <c r="A1913" s="1203">
        <v>39827</v>
      </c>
      <c r="B1913" s="1205">
        <v>10.167300000000001</v>
      </c>
    </row>
    <row r="1914" spans="1:2">
      <c r="A1914" s="1203">
        <v>39826</v>
      </c>
      <c r="B1914" s="1205">
        <v>10.014699999999999</v>
      </c>
    </row>
    <row r="1915" spans="1:2">
      <c r="A1915" s="1203">
        <v>39825</v>
      </c>
      <c r="B1915" s="1205">
        <v>10.109500000000001</v>
      </c>
    </row>
    <row r="1916" spans="1:2">
      <c r="A1916" s="1203">
        <v>39822</v>
      </c>
      <c r="B1916" s="1205">
        <v>9.7787000000000006</v>
      </c>
    </row>
    <row r="1917" spans="1:2">
      <c r="A1917" s="1203">
        <v>39821</v>
      </c>
      <c r="B1917" s="1205">
        <v>9.66</v>
      </c>
    </row>
    <row r="1918" spans="1:2">
      <c r="A1918" s="1203">
        <v>39820</v>
      </c>
      <c r="B1918" s="1205">
        <v>9.4846000000000004</v>
      </c>
    </row>
    <row r="1919" spans="1:2">
      <c r="A1919" s="1203">
        <v>39819</v>
      </c>
      <c r="B1919" s="1205">
        <v>9.2954000000000008</v>
      </c>
    </row>
    <row r="1920" spans="1:2">
      <c r="A1920" s="1203">
        <v>39818</v>
      </c>
      <c r="B1920" s="1205">
        <v>9.3237000000000005</v>
      </c>
    </row>
    <row r="1921" spans="1:2">
      <c r="A1921" s="1203">
        <v>39815</v>
      </c>
      <c r="B1921" s="1205">
        <v>9.2880000000000003</v>
      </c>
    </row>
    <row r="1922" spans="1:2">
      <c r="A1922" s="1203">
        <v>39814</v>
      </c>
      <c r="B1922" s="1205">
        <v>9.4540000000000006</v>
      </c>
    </row>
    <row r="1923" spans="1:2">
      <c r="A1923" s="1203">
        <v>39813</v>
      </c>
      <c r="B1923" s="1205">
        <v>9.4130000000000003</v>
      </c>
    </row>
    <row r="1924" spans="1:2">
      <c r="A1924" s="1203">
        <v>39812</v>
      </c>
      <c r="B1924" s="1205">
        <v>9.3623999999999992</v>
      </c>
    </row>
    <row r="1925" spans="1:2">
      <c r="A1925" s="1203">
        <v>39811</v>
      </c>
      <c r="B1925" s="1205">
        <v>9.4473000000000003</v>
      </c>
    </row>
    <row r="1926" spans="1:2">
      <c r="A1926" s="1203">
        <v>39808</v>
      </c>
      <c r="B1926" s="1205">
        <v>9.7227999999999994</v>
      </c>
    </row>
    <row r="1927" spans="1:2">
      <c r="A1927" s="1203">
        <v>39807</v>
      </c>
      <c r="B1927" s="1205">
        <v>9.73</v>
      </c>
    </row>
    <row r="1928" spans="1:2">
      <c r="A1928" s="1203">
        <v>39806</v>
      </c>
      <c r="B1928" s="1205">
        <v>9.7413000000000007</v>
      </c>
    </row>
    <row r="1929" spans="1:2">
      <c r="A1929" s="1203">
        <v>39805</v>
      </c>
      <c r="B1929" s="1205">
        <v>9.6412999999999993</v>
      </c>
    </row>
    <row r="1930" spans="1:2">
      <c r="A1930" s="1203">
        <v>39804</v>
      </c>
      <c r="B1930" s="1205">
        <v>9.7256</v>
      </c>
    </row>
    <row r="1931" spans="1:2">
      <c r="A1931" s="1203">
        <v>39801</v>
      </c>
      <c r="B1931" s="1205">
        <v>9.6725999999999992</v>
      </c>
    </row>
    <row r="1932" spans="1:2">
      <c r="A1932" s="1203">
        <v>39800</v>
      </c>
      <c r="B1932" s="1205">
        <v>9.5152000000000001</v>
      </c>
    </row>
    <row r="1933" spans="1:2">
      <c r="A1933" s="1203">
        <v>39799</v>
      </c>
      <c r="B1933" s="1205">
        <v>9.8163</v>
      </c>
    </row>
    <row r="1934" spans="1:2">
      <c r="A1934" s="1203">
        <v>39798</v>
      </c>
      <c r="B1934" s="1205">
        <v>10.237500000000001</v>
      </c>
    </row>
    <row r="1935" spans="1:2">
      <c r="A1935" s="1203">
        <v>39797</v>
      </c>
      <c r="B1935" s="1205">
        <v>10.125</v>
      </c>
    </row>
    <row r="1936" spans="1:2">
      <c r="A1936" s="1203">
        <v>39794</v>
      </c>
      <c r="B1936" s="1205">
        <v>10.1495</v>
      </c>
    </row>
    <row r="1937" spans="1:2">
      <c r="A1937" s="1203">
        <v>39793</v>
      </c>
      <c r="B1937" s="1205">
        <v>9.9550000000000001</v>
      </c>
    </row>
    <row r="1938" spans="1:2">
      <c r="A1938" s="1203">
        <v>39792</v>
      </c>
      <c r="B1938" s="1205">
        <v>10.134499999999999</v>
      </c>
    </row>
    <row r="1939" spans="1:2">
      <c r="A1939" s="1203">
        <v>39791</v>
      </c>
      <c r="B1939" s="1205">
        <v>10.085000000000001</v>
      </c>
    </row>
    <row r="1940" spans="1:2">
      <c r="A1940" s="1203">
        <v>39790</v>
      </c>
      <c r="B1940" s="1205">
        <v>10.113</v>
      </c>
    </row>
    <row r="1941" spans="1:2">
      <c r="A1941" s="1203">
        <v>39787</v>
      </c>
      <c r="B1941" s="1205">
        <v>10.484999999999999</v>
      </c>
    </row>
    <row r="1942" spans="1:2">
      <c r="A1942" s="1203">
        <v>39786</v>
      </c>
      <c r="B1942" s="1205">
        <v>10.269500000000001</v>
      </c>
    </row>
    <row r="1943" spans="1:2">
      <c r="A1943" s="1203">
        <v>39785</v>
      </c>
      <c r="B1943" s="1205">
        <v>10.18</v>
      </c>
    </row>
    <row r="1944" spans="1:2">
      <c r="A1944" s="1203">
        <v>39784</v>
      </c>
      <c r="B1944" s="1205">
        <v>10.3855</v>
      </c>
    </row>
    <row r="1945" spans="1:2">
      <c r="A1945" s="1203">
        <v>39783</v>
      </c>
      <c r="B1945" s="1205">
        <v>10.4795</v>
      </c>
    </row>
    <row r="1946" spans="1:2">
      <c r="A1946" s="1203">
        <v>39780</v>
      </c>
      <c r="B1946" s="1205">
        <v>10.085599999999999</v>
      </c>
    </row>
    <row r="1947" spans="1:2">
      <c r="A1947" s="1203">
        <v>39779</v>
      </c>
      <c r="B1947" s="1205">
        <v>9.91</v>
      </c>
    </row>
    <row r="1948" spans="1:2">
      <c r="A1948" s="1203">
        <v>39778</v>
      </c>
      <c r="B1948" s="1205">
        <v>9.8789999999999996</v>
      </c>
    </row>
    <row r="1949" spans="1:2">
      <c r="A1949" s="1203">
        <v>39777</v>
      </c>
      <c r="B1949" s="1205">
        <v>9.8973999999999993</v>
      </c>
    </row>
    <row r="1950" spans="1:2">
      <c r="A1950" s="1203">
        <v>39776</v>
      </c>
      <c r="B1950" s="1205">
        <v>10.137499999999999</v>
      </c>
    </row>
    <row r="1951" spans="1:2">
      <c r="A1951" s="1203">
        <v>39773</v>
      </c>
      <c r="B1951" s="1205">
        <v>10.4925</v>
      </c>
    </row>
    <row r="1952" spans="1:2">
      <c r="A1952" s="1203">
        <v>39772</v>
      </c>
      <c r="B1952" s="1205">
        <v>10.5587</v>
      </c>
    </row>
    <row r="1953" spans="1:2">
      <c r="A1953" s="1203">
        <v>39771</v>
      </c>
      <c r="B1953" s="1205">
        <v>10.46</v>
      </c>
    </row>
    <row r="1954" spans="1:2">
      <c r="A1954" s="1203">
        <v>39770</v>
      </c>
      <c r="B1954" s="1205">
        <v>10.2239</v>
      </c>
    </row>
    <row r="1955" spans="1:2">
      <c r="A1955" s="1203">
        <v>39769</v>
      </c>
      <c r="B1955" s="1205">
        <v>10.1395</v>
      </c>
    </row>
    <row r="1956" spans="1:2">
      <c r="A1956" s="1203">
        <v>39766</v>
      </c>
      <c r="B1956" s="1205">
        <v>10.016299999999999</v>
      </c>
    </row>
    <row r="1957" spans="1:2">
      <c r="A1957" s="1203">
        <v>39765</v>
      </c>
      <c r="B1957" s="1205">
        <v>10.6477</v>
      </c>
    </row>
    <row r="1958" spans="1:2">
      <c r="A1958" s="1203">
        <v>39764</v>
      </c>
      <c r="B1958" s="1205">
        <v>10.3375</v>
      </c>
    </row>
    <row r="1959" spans="1:2">
      <c r="A1959" s="1203">
        <v>39763</v>
      </c>
      <c r="B1959" s="1205">
        <v>10.3445</v>
      </c>
    </row>
    <row r="1960" spans="1:2">
      <c r="A1960" s="1203">
        <v>39762</v>
      </c>
      <c r="B1960" s="1205">
        <v>9.98</v>
      </c>
    </row>
    <row r="1961" spans="1:2">
      <c r="A1961" s="1203">
        <v>39759</v>
      </c>
      <c r="B1961" s="1205">
        <v>10.175000000000001</v>
      </c>
    </row>
    <row r="1962" spans="1:2">
      <c r="A1962" s="1203">
        <v>39758</v>
      </c>
      <c r="B1962" s="1205">
        <v>10.082100000000001</v>
      </c>
    </row>
    <row r="1963" spans="1:2">
      <c r="A1963" s="1203">
        <v>39757</v>
      </c>
      <c r="B1963" s="1205">
        <v>9.7139000000000006</v>
      </c>
    </row>
    <row r="1964" spans="1:2">
      <c r="A1964" s="1203">
        <v>39756</v>
      </c>
      <c r="B1964" s="1205">
        <v>9.6463000000000001</v>
      </c>
    </row>
    <row r="1965" spans="1:2">
      <c r="A1965" s="1203">
        <v>39755</v>
      </c>
      <c r="B1965" s="1205">
        <v>9.9555000000000007</v>
      </c>
    </row>
    <row r="1966" spans="1:2">
      <c r="A1966" s="1203">
        <v>39752</v>
      </c>
      <c r="B1966" s="1205">
        <v>9.7551000000000005</v>
      </c>
    </row>
    <row r="1967" spans="1:2">
      <c r="A1967" s="1203">
        <v>39751</v>
      </c>
      <c r="B1967" s="1205">
        <v>10.049899999999999</v>
      </c>
    </row>
    <row r="1968" spans="1:2">
      <c r="A1968" s="1203">
        <v>39750</v>
      </c>
      <c r="B1968" s="1205">
        <v>9.8699999999999992</v>
      </c>
    </row>
    <row r="1969" spans="1:2">
      <c r="A1969" s="1203">
        <v>39749</v>
      </c>
      <c r="B1969" s="1205">
        <v>10.579800000000001</v>
      </c>
    </row>
    <row r="1970" spans="1:2">
      <c r="A1970" s="1203">
        <v>39748</v>
      </c>
      <c r="B1970" s="1205">
        <v>10.8245</v>
      </c>
    </row>
    <row r="1971" spans="1:2">
      <c r="A1971" s="1203">
        <v>39745</v>
      </c>
      <c r="B1971" s="1205">
        <v>11.095499999999999</v>
      </c>
    </row>
    <row r="1972" spans="1:2">
      <c r="A1972" s="1203">
        <v>39744</v>
      </c>
      <c r="B1972" s="1205">
        <v>11.209099999999999</v>
      </c>
    </row>
    <row r="1973" spans="1:2">
      <c r="A1973" s="1203">
        <v>39743</v>
      </c>
      <c r="B1973" s="1205">
        <v>11.375500000000001</v>
      </c>
    </row>
    <row r="1974" spans="1:2">
      <c r="A1974" s="1203">
        <v>39742</v>
      </c>
      <c r="B1974" s="1205">
        <v>10.6547</v>
      </c>
    </row>
    <row r="1975" spans="1:2">
      <c r="A1975" s="1203">
        <v>39741</v>
      </c>
      <c r="B1975" s="1205">
        <v>10.219099999999999</v>
      </c>
    </row>
    <row r="1976" spans="1:2">
      <c r="A1976" s="1203">
        <v>39738</v>
      </c>
      <c r="B1976" s="1205">
        <v>9.98</v>
      </c>
    </row>
    <row r="1977" spans="1:2">
      <c r="A1977" s="1203">
        <v>39737</v>
      </c>
      <c r="B1977" s="1205">
        <v>10.4933</v>
      </c>
    </row>
    <row r="1978" spans="1:2">
      <c r="A1978" s="1203">
        <v>39736</v>
      </c>
      <c r="B1978" s="1205">
        <v>9.5687999999999995</v>
      </c>
    </row>
    <row r="1979" spans="1:2">
      <c r="A1979" s="1203">
        <v>39735</v>
      </c>
      <c r="B1979" s="1205">
        <v>9.02</v>
      </c>
    </row>
    <row r="1980" spans="1:2">
      <c r="A1980" s="1203">
        <v>39734</v>
      </c>
      <c r="B1980" s="1205">
        <v>9.2269000000000005</v>
      </c>
    </row>
    <row r="1981" spans="1:2">
      <c r="A1981" s="1203">
        <v>39731</v>
      </c>
      <c r="B1981" s="1205">
        <v>9.3529999999999998</v>
      </c>
    </row>
    <row r="1982" spans="1:2">
      <c r="A1982" s="1203">
        <v>39730</v>
      </c>
      <c r="B1982" s="1205">
        <v>9.1146999999999991</v>
      </c>
    </row>
    <row r="1983" spans="1:2">
      <c r="A1983" s="1203">
        <v>39729</v>
      </c>
      <c r="B1983" s="1205">
        <v>9.2567000000000004</v>
      </c>
    </row>
    <row r="1984" spans="1:2">
      <c r="A1984" s="1203">
        <v>39728</v>
      </c>
      <c r="B1984" s="1205">
        <v>8.8955000000000002</v>
      </c>
    </row>
    <row r="1985" spans="1:2">
      <c r="A1985" s="1203">
        <v>39727</v>
      </c>
      <c r="B1985" s="1205">
        <v>8.8804999999999996</v>
      </c>
    </row>
    <row r="1986" spans="1:2">
      <c r="A1986" s="1203">
        <v>39724</v>
      </c>
      <c r="B1986" s="1205">
        <v>8.4445999999999994</v>
      </c>
    </row>
    <row r="1987" spans="1:2">
      <c r="A1987" s="1203">
        <v>39723</v>
      </c>
      <c r="B1987" s="1205">
        <v>8.4737000000000009</v>
      </c>
    </row>
    <row r="1988" spans="1:2">
      <c r="A1988" s="1203">
        <v>39722</v>
      </c>
      <c r="B1988" s="1205">
        <v>8.2647999999999993</v>
      </c>
    </row>
    <row r="1989" spans="1:2">
      <c r="A1989" s="1203">
        <v>39721</v>
      </c>
      <c r="B1989" s="1205">
        <v>8.3323999999999998</v>
      </c>
    </row>
    <row r="1990" spans="1:2">
      <c r="A1990" s="1203">
        <v>39720</v>
      </c>
      <c r="B1990" s="1205">
        <v>8.2345000000000006</v>
      </c>
    </row>
    <row r="1991" spans="1:2">
      <c r="A1991" s="1203">
        <v>39717</v>
      </c>
      <c r="B1991" s="1205">
        <v>8.1159999999999997</v>
      </c>
    </row>
    <row r="1992" spans="1:2">
      <c r="A1992" s="1203">
        <v>39716</v>
      </c>
      <c r="B1992" s="1205">
        <v>8.1312999999999995</v>
      </c>
    </row>
    <row r="1993" spans="1:2">
      <c r="A1993" s="1203">
        <v>39715</v>
      </c>
      <c r="B1993" s="1205">
        <v>8.1484000000000005</v>
      </c>
    </row>
    <row r="1994" spans="1:2">
      <c r="A1994" s="1203">
        <v>39714</v>
      </c>
      <c r="B1994" s="1205">
        <v>8.1562999999999999</v>
      </c>
    </row>
    <row r="1995" spans="1:2">
      <c r="A1995" s="1203">
        <v>39713</v>
      </c>
      <c r="B1995" s="1205">
        <v>7.9847999999999999</v>
      </c>
    </row>
    <row r="1996" spans="1:2">
      <c r="A1996" s="1203">
        <v>39710</v>
      </c>
      <c r="B1996" s="1205">
        <v>7.9376999999999995</v>
      </c>
    </row>
    <row r="1997" spans="1:2">
      <c r="A1997" s="1203">
        <v>39709</v>
      </c>
      <c r="B1997" s="1205">
        <v>8.3112999999999992</v>
      </c>
    </row>
    <row r="1998" spans="1:2">
      <c r="A1998" s="1203">
        <v>39708</v>
      </c>
      <c r="B1998" s="1205">
        <v>8.2455999999999996</v>
      </c>
    </row>
    <row r="1999" spans="1:2">
      <c r="A1999" s="1203">
        <v>39707</v>
      </c>
      <c r="B1999" s="1205">
        <v>8.19</v>
      </c>
    </row>
    <row r="2000" spans="1:2">
      <c r="A2000" s="1203">
        <v>39706</v>
      </c>
      <c r="B2000" s="1205">
        <v>8.0570000000000004</v>
      </c>
    </row>
    <row r="2001" spans="1:2">
      <c r="A2001" s="1203">
        <v>39703</v>
      </c>
      <c r="B2001" s="1205">
        <v>8.0480999999999998</v>
      </c>
    </row>
    <row r="2002" spans="1:2">
      <c r="A2002" s="1203">
        <v>39702</v>
      </c>
      <c r="B2002" s="1205">
        <v>8.2576000000000001</v>
      </c>
    </row>
    <row r="2003" spans="1:2">
      <c r="A2003" s="1203">
        <v>39701</v>
      </c>
      <c r="B2003" s="1205">
        <v>8.1559000000000008</v>
      </c>
    </row>
    <row r="2004" spans="1:2">
      <c r="A2004" s="1203">
        <v>39700</v>
      </c>
      <c r="B2004" s="1205">
        <v>7.9295</v>
      </c>
    </row>
    <row r="2005" spans="1:2">
      <c r="A2005" s="1203">
        <v>39699</v>
      </c>
      <c r="B2005" s="1205">
        <v>7.9386000000000001</v>
      </c>
    </row>
    <row r="2006" spans="1:2">
      <c r="A2006" s="1203">
        <v>39696</v>
      </c>
      <c r="B2006" s="1205">
        <v>7.9904999999999999</v>
      </c>
    </row>
    <row r="2007" spans="1:2">
      <c r="A2007" s="1203">
        <v>39695</v>
      </c>
      <c r="B2007" s="1205">
        <v>7.9454000000000002</v>
      </c>
    </row>
    <row r="2008" spans="1:2">
      <c r="A2008" s="1203">
        <v>39694</v>
      </c>
      <c r="B2008" s="1205">
        <v>7.8841000000000001</v>
      </c>
    </row>
    <row r="2009" spans="1:2">
      <c r="A2009" s="1203">
        <v>39693</v>
      </c>
      <c r="B2009" s="1205">
        <v>7.7751000000000001</v>
      </c>
    </row>
    <row r="2010" spans="1:2">
      <c r="A2010" s="1203">
        <v>39692</v>
      </c>
      <c r="B2010" s="1205">
        <v>7.7652000000000001</v>
      </c>
    </row>
    <row r="2011" spans="1:2">
      <c r="A2011" s="1203">
        <v>39689</v>
      </c>
      <c r="B2011" s="1205">
        <v>7.7009999999999996</v>
      </c>
    </row>
    <row r="2012" spans="1:2">
      <c r="A2012" s="1203">
        <v>39688</v>
      </c>
      <c r="B2012" s="1205">
        <v>7.7175000000000002</v>
      </c>
    </row>
    <row r="2013" spans="1:2">
      <c r="A2013" s="1203">
        <v>39687</v>
      </c>
      <c r="B2013" s="1205">
        <v>7.7744999999999997</v>
      </c>
    </row>
    <row r="2014" spans="1:2">
      <c r="A2014" s="1203">
        <v>39686</v>
      </c>
      <c r="B2014" s="1205">
        <v>7.8114999999999997</v>
      </c>
    </row>
    <row r="2015" spans="1:2">
      <c r="A2015" s="1203">
        <v>39685</v>
      </c>
      <c r="B2015" s="1205">
        <v>7.7489999999999997</v>
      </c>
    </row>
    <row r="2016" spans="1:2">
      <c r="A2016" s="1203">
        <v>39682</v>
      </c>
      <c r="B2016" s="1205">
        <v>7.665</v>
      </c>
    </row>
    <row r="2017" spans="1:2">
      <c r="A2017" s="1203">
        <v>39681</v>
      </c>
      <c r="B2017" s="1205">
        <v>7.6635</v>
      </c>
    </row>
    <row r="2018" spans="1:2">
      <c r="A2018" s="1203">
        <v>39680</v>
      </c>
      <c r="B2018" s="1205">
        <v>7.7610999999999999</v>
      </c>
    </row>
    <row r="2019" spans="1:2">
      <c r="A2019" s="1203">
        <v>39679</v>
      </c>
      <c r="B2019" s="1205">
        <v>7.7782999999999998</v>
      </c>
    </row>
    <row r="2020" spans="1:2">
      <c r="A2020" s="1203">
        <v>39678</v>
      </c>
      <c r="B2020" s="1205">
        <v>7.7054999999999998</v>
      </c>
    </row>
    <row r="2021" spans="1:2">
      <c r="A2021" s="1203">
        <v>39675</v>
      </c>
      <c r="B2021" s="1205">
        <v>7.875</v>
      </c>
    </row>
    <row r="2022" spans="1:2">
      <c r="A2022" s="1203">
        <v>39674</v>
      </c>
      <c r="B2022" s="1205">
        <v>7.8619000000000003</v>
      </c>
    </row>
    <row r="2023" spans="1:2">
      <c r="A2023" s="1203">
        <v>39673</v>
      </c>
      <c r="B2023" s="1205">
        <v>7.8769999999999998</v>
      </c>
    </row>
    <row r="2024" spans="1:2">
      <c r="A2024" s="1203">
        <v>39672</v>
      </c>
      <c r="B2024" s="1205">
        <v>7.8437000000000001</v>
      </c>
    </row>
    <row r="2025" spans="1:2">
      <c r="A2025" s="1203">
        <v>39671</v>
      </c>
      <c r="B2025" s="1205">
        <v>7.7633000000000001</v>
      </c>
    </row>
    <row r="2026" spans="1:2">
      <c r="A2026" s="1203">
        <v>39668</v>
      </c>
      <c r="B2026" s="1205">
        <v>7.7104999999999997</v>
      </c>
    </row>
    <row r="2027" spans="1:2">
      <c r="A2027" s="1203">
        <v>39667</v>
      </c>
      <c r="B2027" s="1205">
        <v>7.4855</v>
      </c>
    </row>
    <row r="2028" spans="1:2">
      <c r="A2028" s="1203">
        <v>39666</v>
      </c>
      <c r="B2028" s="1205">
        <v>7.4287999999999998</v>
      </c>
    </row>
    <row r="2029" spans="1:2">
      <c r="A2029" s="1203">
        <v>39665</v>
      </c>
      <c r="B2029" s="1205">
        <v>7.3859000000000004</v>
      </c>
    </row>
    <row r="2030" spans="1:2">
      <c r="A2030" s="1203">
        <v>39664</v>
      </c>
      <c r="B2030" s="1205">
        <v>7.2462999999999997</v>
      </c>
    </row>
    <row r="2031" spans="1:2">
      <c r="A2031" s="1203">
        <v>39661</v>
      </c>
      <c r="B2031" s="1205">
        <v>7.2562999999999995</v>
      </c>
    </row>
    <row r="2032" spans="1:2">
      <c r="A2032" s="1203">
        <v>39660</v>
      </c>
      <c r="B2032" s="1205">
        <v>7.3441000000000001</v>
      </c>
    </row>
    <row r="2033" spans="1:2">
      <c r="A2033" s="1203">
        <v>39659</v>
      </c>
      <c r="B2033" s="1205">
        <v>7.3911999999999995</v>
      </c>
    </row>
    <row r="2034" spans="1:2">
      <c r="A2034" s="1203">
        <v>39658</v>
      </c>
      <c r="B2034" s="1205">
        <v>7.3834</v>
      </c>
    </row>
    <row r="2035" spans="1:2">
      <c r="A2035" s="1203">
        <v>39657</v>
      </c>
      <c r="B2035" s="1205">
        <v>7.5175000000000001</v>
      </c>
    </row>
    <row r="2036" spans="1:2">
      <c r="A2036" s="1203">
        <v>39654</v>
      </c>
      <c r="B2036" s="1205">
        <v>7.5722000000000005</v>
      </c>
    </row>
    <row r="2037" spans="1:2">
      <c r="A2037" s="1203">
        <v>39653</v>
      </c>
      <c r="B2037" s="1205">
        <v>7.6718000000000002</v>
      </c>
    </row>
    <row r="2038" spans="1:2">
      <c r="A2038" s="1203">
        <v>39652</v>
      </c>
      <c r="B2038" s="1205">
        <v>7.5525000000000002</v>
      </c>
    </row>
    <row r="2039" spans="1:2">
      <c r="A2039" s="1203">
        <v>39651</v>
      </c>
      <c r="B2039" s="1205">
        <v>7.5075000000000003</v>
      </c>
    </row>
    <row r="2040" spans="1:2">
      <c r="A2040" s="1203">
        <v>39650</v>
      </c>
      <c r="B2040" s="1205">
        <v>7.5766</v>
      </c>
    </row>
    <row r="2041" spans="1:2">
      <c r="A2041" s="1203">
        <v>39647</v>
      </c>
      <c r="B2041" s="1205">
        <v>7.6322000000000001</v>
      </c>
    </row>
    <row r="2042" spans="1:2">
      <c r="A2042" s="1203">
        <v>39646</v>
      </c>
      <c r="B2042" s="1205">
        <v>7.54</v>
      </c>
    </row>
    <row r="2043" spans="1:2">
      <c r="A2043" s="1203">
        <v>39645</v>
      </c>
      <c r="B2043" s="1205">
        <v>7.6238999999999999</v>
      </c>
    </row>
    <row r="2044" spans="1:2">
      <c r="A2044" s="1203">
        <v>39644</v>
      </c>
      <c r="B2044" s="1205">
        <v>7.6532999999999998</v>
      </c>
    </row>
    <row r="2045" spans="1:2">
      <c r="A2045" s="1203">
        <v>39643</v>
      </c>
      <c r="B2045" s="1205">
        <v>7.6478999999999999</v>
      </c>
    </row>
    <row r="2046" spans="1:2">
      <c r="A2046" s="1203">
        <v>39640</v>
      </c>
      <c r="B2046" s="1205">
        <v>7.6962000000000002</v>
      </c>
    </row>
    <row r="2047" spans="1:2">
      <c r="A2047" s="1203">
        <v>39639</v>
      </c>
      <c r="B2047" s="1205">
        <v>7.7160000000000002</v>
      </c>
    </row>
    <row r="2048" spans="1:2">
      <c r="A2048" s="1203">
        <v>39638</v>
      </c>
      <c r="B2048" s="1205">
        <v>7.6870000000000003</v>
      </c>
    </row>
    <row r="2049" spans="1:2">
      <c r="A2049" s="1203">
        <v>39637</v>
      </c>
      <c r="B2049" s="1205">
        <v>7.7588999999999997</v>
      </c>
    </row>
    <row r="2050" spans="1:2">
      <c r="A2050" s="1203">
        <v>39636</v>
      </c>
      <c r="B2050" s="1205">
        <v>7.7504999999999997</v>
      </c>
    </row>
    <row r="2051" spans="1:2">
      <c r="A2051" s="1203">
        <v>39633</v>
      </c>
      <c r="B2051" s="1205">
        <v>7.7427000000000001</v>
      </c>
    </row>
    <row r="2052" spans="1:2">
      <c r="A2052" s="1203">
        <v>39632</v>
      </c>
      <c r="B2052" s="1205">
        <v>7.7554999999999996</v>
      </c>
    </row>
    <row r="2053" spans="1:2">
      <c r="A2053" s="1203">
        <v>39631</v>
      </c>
      <c r="B2053" s="1205">
        <v>7.8365999999999998</v>
      </c>
    </row>
    <row r="2054" spans="1:2">
      <c r="A2054" s="1203">
        <v>39630</v>
      </c>
      <c r="B2054" s="1205">
        <v>7.9104999999999999</v>
      </c>
    </row>
    <row r="2055" spans="1:2">
      <c r="A2055" s="1203">
        <v>39629</v>
      </c>
      <c r="B2055" s="1205">
        <v>7.8196000000000003</v>
      </c>
    </row>
    <row r="2056" spans="1:2">
      <c r="A2056" s="1203">
        <v>39626</v>
      </c>
      <c r="B2056" s="1205">
        <v>7.9055</v>
      </c>
    </row>
    <row r="2057" spans="1:2">
      <c r="A2057" s="1203">
        <v>39625</v>
      </c>
      <c r="B2057" s="1205">
        <v>7.9245999999999999</v>
      </c>
    </row>
    <row r="2058" spans="1:2">
      <c r="A2058" s="1203">
        <v>39624</v>
      </c>
      <c r="B2058" s="1205">
        <v>7.9035000000000002</v>
      </c>
    </row>
    <row r="2059" spans="1:2">
      <c r="A2059" s="1203">
        <v>39623</v>
      </c>
      <c r="B2059" s="1205">
        <v>7.9999000000000002</v>
      </c>
    </row>
    <row r="2060" spans="1:2">
      <c r="A2060" s="1203">
        <v>39622</v>
      </c>
      <c r="B2060" s="1205">
        <v>8.0726999999999993</v>
      </c>
    </row>
    <row r="2061" spans="1:2">
      <c r="A2061" s="1203">
        <v>39619</v>
      </c>
      <c r="B2061" s="1205">
        <v>7.9969000000000001</v>
      </c>
    </row>
    <row r="2062" spans="1:2">
      <c r="A2062" s="1203">
        <v>39618</v>
      </c>
      <c r="B2062" s="1205">
        <v>7.9676999999999998</v>
      </c>
    </row>
    <row r="2063" spans="1:2">
      <c r="A2063" s="1203">
        <v>39617</v>
      </c>
      <c r="B2063" s="1205">
        <v>8.0250000000000004</v>
      </c>
    </row>
    <row r="2064" spans="1:2">
      <c r="A2064" s="1203">
        <v>39616</v>
      </c>
      <c r="B2064" s="1205">
        <v>8.0134000000000007</v>
      </c>
    </row>
    <row r="2065" spans="1:2">
      <c r="A2065" s="1203">
        <v>39615</v>
      </c>
      <c r="B2065" s="1205">
        <v>8.1013000000000002</v>
      </c>
    </row>
    <row r="2066" spans="1:2">
      <c r="A2066" s="1203">
        <v>39612</v>
      </c>
      <c r="B2066" s="1205">
        <v>8.1142000000000003</v>
      </c>
    </row>
    <row r="2067" spans="1:2">
      <c r="A2067" s="1203">
        <v>39611</v>
      </c>
      <c r="B2067" s="1205">
        <v>8.1155000000000008</v>
      </c>
    </row>
    <row r="2068" spans="1:2">
      <c r="A2068" s="1203">
        <v>39610</v>
      </c>
      <c r="B2068" s="1205">
        <v>8.0085999999999995</v>
      </c>
    </row>
    <row r="2069" spans="1:2">
      <c r="A2069" s="1203">
        <v>39609</v>
      </c>
      <c r="B2069" s="1205">
        <v>7.9480000000000004</v>
      </c>
    </row>
    <row r="2070" spans="1:2">
      <c r="A2070" s="1203">
        <v>39608</v>
      </c>
      <c r="B2070" s="1205">
        <v>7.8749000000000002</v>
      </c>
    </row>
    <row r="2071" spans="1:2">
      <c r="A2071" s="1203">
        <v>39605</v>
      </c>
      <c r="B2071" s="1205">
        <v>7.8513999999999999</v>
      </c>
    </row>
    <row r="2072" spans="1:2">
      <c r="A2072" s="1203">
        <v>39604</v>
      </c>
      <c r="B2072" s="1205">
        <v>7.8548</v>
      </c>
    </row>
    <row r="2073" spans="1:2">
      <c r="A2073" s="1203">
        <v>39603</v>
      </c>
      <c r="B2073" s="1205">
        <v>7.7745999999999995</v>
      </c>
    </row>
    <row r="2074" spans="1:2">
      <c r="A2074" s="1203">
        <v>39602</v>
      </c>
      <c r="B2074" s="1205">
        <v>7.7061000000000002</v>
      </c>
    </row>
    <row r="2075" spans="1:2">
      <c r="A2075" s="1203">
        <v>39601</v>
      </c>
      <c r="B2075" s="1205">
        <v>7.7412000000000001</v>
      </c>
    </row>
    <row r="2076" spans="1:2">
      <c r="A2076" s="1203">
        <v>39598</v>
      </c>
      <c r="B2076" s="1205">
        <v>7.5991999999999997</v>
      </c>
    </row>
    <row r="2077" spans="1:2">
      <c r="A2077" s="1203">
        <v>39597</v>
      </c>
      <c r="B2077" s="1205">
        <v>7.5673000000000004</v>
      </c>
    </row>
    <row r="2078" spans="1:2">
      <c r="A2078" s="1203">
        <v>39596</v>
      </c>
      <c r="B2078" s="1205">
        <v>7.6850000000000005</v>
      </c>
    </row>
    <row r="2079" spans="1:2">
      <c r="A2079" s="1203">
        <v>39595</v>
      </c>
      <c r="B2079" s="1205">
        <v>7.7595000000000001</v>
      </c>
    </row>
    <row r="2080" spans="1:2">
      <c r="A2080" s="1203">
        <v>39594</v>
      </c>
      <c r="B2080" s="1205">
        <v>7.6993999999999998</v>
      </c>
    </row>
    <row r="2081" spans="1:2">
      <c r="A2081" s="1203">
        <v>39591</v>
      </c>
      <c r="B2081" s="1205">
        <v>7.6528999999999998</v>
      </c>
    </row>
    <row r="2082" spans="1:2">
      <c r="A2082" s="1203">
        <v>39590</v>
      </c>
      <c r="B2082" s="1205">
        <v>7.6711</v>
      </c>
    </row>
    <row r="2083" spans="1:2">
      <c r="A2083" s="1203">
        <v>39589</v>
      </c>
      <c r="B2083" s="1205">
        <v>7.6443000000000003</v>
      </c>
    </row>
    <row r="2084" spans="1:2">
      <c r="A2084" s="1203">
        <v>39588</v>
      </c>
      <c r="B2084" s="1205">
        <v>7.6355000000000004</v>
      </c>
    </row>
    <row r="2085" spans="1:2">
      <c r="A2085" s="1203">
        <v>39587</v>
      </c>
      <c r="B2085" s="1205">
        <v>7.4878999999999998</v>
      </c>
    </row>
    <row r="2086" spans="1:2">
      <c r="A2086" s="1203">
        <v>39584</v>
      </c>
      <c r="B2086" s="1205">
        <v>7.4696999999999996</v>
      </c>
    </row>
    <row r="2087" spans="1:2">
      <c r="A2087" s="1203">
        <v>39583</v>
      </c>
      <c r="B2087" s="1205">
        <v>7.5694999999999997</v>
      </c>
    </row>
    <row r="2088" spans="1:2">
      <c r="A2088" s="1203">
        <v>39582</v>
      </c>
      <c r="B2088" s="1205">
        <v>7.6483999999999996</v>
      </c>
    </row>
    <row r="2089" spans="1:2">
      <c r="A2089" s="1203">
        <v>39581</v>
      </c>
      <c r="B2089" s="1205">
        <v>7.5804</v>
      </c>
    </row>
    <row r="2090" spans="1:2">
      <c r="A2090" s="1203">
        <v>39580</v>
      </c>
      <c r="B2090" s="1205">
        <v>7.6162999999999998</v>
      </c>
    </row>
    <row r="2091" spans="1:2">
      <c r="A2091" s="1203">
        <v>39577</v>
      </c>
      <c r="B2091" s="1205">
        <v>7.7188999999999997</v>
      </c>
    </row>
    <row r="2092" spans="1:2">
      <c r="A2092" s="1203">
        <v>39576</v>
      </c>
      <c r="B2092" s="1205">
        <v>7.5865</v>
      </c>
    </row>
    <row r="2093" spans="1:2">
      <c r="A2093" s="1203">
        <v>39575</v>
      </c>
      <c r="B2093" s="1205">
        <v>7.5049999999999999</v>
      </c>
    </row>
    <row r="2094" spans="1:2">
      <c r="A2094" s="1203">
        <v>39574</v>
      </c>
      <c r="B2094" s="1205">
        <v>7.5293999999999999</v>
      </c>
    </row>
    <row r="2095" spans="1:2">
      <c r="A2095" s="1203">
        <v>39573</v>
      </c>
      <c r="B2095" s="1205">
        <v>7.5712999999999999</v>
      </c>
    </row>
    <row r="2096" spans="1:2">
      <c r="A2096" s="1203">
        <v>39570</v>
      </c>
      <c r="B2096" s="1205">
        <v>7.5678999999999998</v>
      </c>
    </row>
    <row r="2097" spans="1:2">
      <c r="A2097" s="1203">
        <v>39569</v>
      </c>
      <c r="B2097" s="1205">
        <v>7.6375000000000002</v>
      </c>
    </row>
    <row r="2098" spans="1:2">
      <c r="A2098" s="1203">
        <v>39568</v>
      </c>
      <c r="B2098" s="1205">
        <v>7.5648</v>
      </c>
    </row>
    <row r="2099" spans="1:2">
      <c r="A2099" s="1203">
        <v>39567</v>
      </c>
      <c r="B2099" s="1205">
        <v>7.5907999999999998</v>
      </c>
    </row>
    <row r="2100" spans="1:2">
      <c r="A2100" s="1203">
        <v>39566</v>
      </c>
      <c r="B2100" s="1205">
        <v>7.5324999999999998</v>
      </c>
    </row>
    <row r="2101" spans="1:2">
      <c r="A2101" s="1203">
        <v>39563</v>
      </c>
      <c r="B2101" s="1205">
        <v>7.6055999999999999</v>
      </c>
    </row>
    <row r="2102" spans="1:2">
      <c r="A2102" s="1203">
        <v>39562</v>
      </c>
      <c r="B2102" s="1205">
        <v>7.6894</v>
      </c>
    </row>
    <row r="2103" spans="1:2">
      <c r="A2103" s="1203">
        <v>39561</v>
      </c>
      <c r="B2103" s="1205">
        <v>7.6737000000000002</v>
      </c>
    </row>
    <row r="2104" spans="1:2">
      <c r="A2104" s="1203">
        <v>39560</v>
      </c>
      <c r="B2104" s="1205">
        <v>7.6524999999999999</v>
      </c>
    </row>
    <row r="2105" spans="1:2">
      <c r="A2105" s="1203">
        <v>39559</v>
      </c>
      <c r="B2105" s="1205">
        <v>7.7557999999999998</v>
      </c>
    </row>
    <row r="2106" spans="1:2">
      <c r="A2106" s="1203">
        <v>39556</v>
      </c>
      <c r="B2106" s="1205">
        <v>7.7550999999999997</v>
      </c>
    </row>
    <row r="2107" spans="1:2">
      <c r="A2107" s="1203">
        <v>39555</v>
      </c>
      <c r="B2107" s="1205">
        <v>7.8087</v>
      </c>
    </row>
    <row r="2108" spans="1:2">
      <c r="A2108" s="1203">
        <v>39554</v>
      </c>
      <c r="B2108" s="1205">
        <v>7.9009999999999998</v>
      </c>
    </row>
    <row r="2109" spans="1:2">
      <c r="A2109" s="1203">
        <v>39553</v>
      </c>
      <c r="B2109" s="1205">
        <v>7.9428000000000001</v>
      </c>
    </row>
    <row r="2110" spans="1:2">
      <c r="A2110" s="1203">
        <v>39552</v>
      </c>
      <c r="B2110" s="1205">
        <v>7.8674999999999997</v>
      </c>
    </row>
    <row r="2111" spans="1:2">
      <c r="A2111" s="1203">
        <v>39549</v>
      </c>
      <c r="B2111" s="1205">
        <v>7.8100000000000005</v>
      </c>
    </row>
    <row r="2112" spans="1:2">
      <c r="A2112" s="1203">
        <v>39548</v>
      </c>
      <c r="B2112" s="1205">
        <v>7.806</v>
      </c>
    </row>
    <row r="2113" spans="1:2">
      <c r="A2113" s="1203">
        <v>39547</v>
      </c>
      <c r="B2113" s="1205">
        <v>7.8525</v>
      </c>
    </row>
    <row r="2114" spans="1:2">
      <c r="A2114" s="1203">
        <v>39546</v>
      </c>
      <c r="B2114" s="1205">
        <v>7.7782999999999998</v>
      </c>
    </row>
    <row r="2115" spans="1:2">
      <c r="A2115" s="1203">
        <v>39545</v>
      </c>
      <c r="B2115" s="1205">
        <v>7.7449000000000003</v>
      </c>
    </row>
    <row r="2116" spans="1:2">
      <c r="A2116" s="1203">
        <v>39542</v>
      </c>
      <c r="B2116" s="1205">
        <v>7.8146000000000004</v>
      </c>
    </row>
    <row r="2117" spans="1:2">
      <c r="A2117" s="1203">
        <v>39541</v>
      </c>
      <c r="B2117" s="1205">
        <v>7.7462999999999997</v>
      </c>
    </row>
    <row r="2118" spans="1:2">
      <c r="A2118" s="1203">
        <v>39540</v>
      </c>
      <c r="B2118" s="1205">
        <v>7.8190999999999997</v>
      </c>
    </row>
    <row r="2119" spans="1:2">
      <c r="A2119" s="1203">
        <v>39539</v>
      </c>
      <c r="B2119" s="1205">
        <v>8.0287000000000006</v>
      </c>
    </row>
    <row r="2120" spans="1:2">
      <c r="A2120" s="1203">
        <v>39538</v>
      </c>
      <c r="B2120" s="1205">
        <v>8.1301000000000005</v>
      </c>
    </row>
    <row r="2121" spans="1:2">
      <c r="A2121" s="1203">
        <v>39535</v>
      </c>
      <c r="B2121" s="1205">
        <v>8.1211000000000002</v>
      </c>
    </row>
    <row r="2122" spans="1:2">
      <c r="A2122" s="1203">
        <v>39534</v>
      </c>
      <c r="B2122" s="1205">
        <v>7.9749999999999996</v>
      </c>
    </row>
    <row r="2123" spans="1:2">
      <c r="A2123" s="1203">
        <v>39533</v>
      </c>
      <c r="B2123" s="1205">
        <v>8.0649999999999995</v>
      </c>
    </row>
    <row r="2124" spans="1:2">
      <c r="A2124" s="1203">
        <v>39532</v>
      </c>
      <c r="B2124" s="1205">
        <v>8.0252999999999997</v>
      </c>
    </row>
    <row r="2125" spans="1:2">
      <c r="A2125" s="1203">
        <v>39531</v>
      </c>
      <c r="B2125" s="1205">
        <v>8.1163000000000007</v>
      </c>
    </row>
    <row r="2126" spans="1:2">
      <c r="A2126" s="1203">
        <v>39528</v>
      </c>
      <c r="B2126" s="1205">
        <v>8.1586999999999996</v>
      </c>
    </row>
    <row r="2127" spans="1:2">
      <c r="A2127" s="1203">
        <v>39527</v>
      </c>
      <c r="B2127" s="1205">
        <v>8.1888000000000005</v>
      </c>
    </row>
    <row r="2128" spans="1:2">
      <c r="A2128" s="1203">
        <v>39526</v>
      </c>
      <c r="B2128" s="1205">
        <v>8.0760000000000005</v>
      </c>
    </row>
    <row r="2129" spans="1:2">
      <c r="A2129" s="1203">
        <v>39525</v>
      </c>
      <c r="B2129" s="1205">
        <v>8.0094999999999992</v>
      </c>
    </row>
    <row r="2130" spans="1:2">
      <c r="A2130" s="1203">
        <v>39524</v>
      </c>
      <c r="B2130" s="1205">
        <v>8.1562999999999999</v>
      </c>
    </row>
    <row r="2131" spans="1:2">
      <c r="A2131" s="1203">
        <v>39521</v>
      </c>
      <c r="B2131" s="1205">
        <v>7.9420000000000002</v>
      </c>
    </row>
    <row r="2132" spans="1:2">
      <c r="A2132" s="1203">
        <v>39520</v>
      </c>
      <c r="B2132" s="1205">
        <v>7.8994</v>
      </c>
    </row>
    <row r="2133" spans="1:2">
      <c r="A2133" s="1203">
        <v>39519</v>
      </c>
      <c r="B2133" s="1205">
        <v>7.8662999999999998</v>
      </c>
    </row>
    <row r="2134" spans="1:2">
      <c r="A2134" s="1203">
        <v>39518</v>
      </c>
      <c r="B2134" s="1205">
        <v>7.8475999999999999</v>
      </c>
    </row>
    <row r="2135" spans="1:2">
      <c r="A2135" s="1203">
        <v>39517</v>
      </c>
      <c r="B2135" s="1205">
        <v>8.0325000000000006</v>
      </c>
    </row>
    <row r="2136" spans="1:2">
      <c r="A2136" s="1203">
        <v>39514</v>
      </c>
      <c r="B2136" s="1205">
        <v>7.9824999999999999</v>
      </c>
    </row>
    <row r="2137" spans="1:2">
      <c r="A2137" s="1203">
        <v>39513</v>
      </c>
      <c r="B2137" s="1205">
        <v>7.95</v>
      </c>
    </row>
    <row r="2138" spans="1:2">
      <c r="A2138" s="1203">
        <v>39512</v>
      </c>
      <c r="B2138" s="1205">
        <v>7.7667000000000002</v>
      </c>
    </row>
    <row r="2139" spans="1:2">
      <c r="A2139" s="1203">
        <v>39511</v>
      </c>
      <c r="B2139" s="1205">
        <v>7.9263000000000003</v>
      </c>
    </row>
    <row r="2140" spans="1:2">
      <c r="A2140" s="1203">
        <v>39510</v>
      </c>
      <c r="B2140" s="1205">
        <v>7.766</v>
      </c>
    </row>
    <row r="2141" spans="1:2">
      <c r="A2141" s="1203">
        <v>39507</v>
      </c>
      <c r="B2141" s="1205">
        <v>7.7568999999999999</v>
      </c>
    </row>
    <row r="2142" spans="1:2">
      <c r="A2142" s="1203">
        <v>39506</v>
      </c>
      <c r="B2142" s="1205">
        <v>7.5575000000000001</v>
      </c>
    </row>
    <row r="2143" spans="1:2">
      <c r="A2143" s="1203">
        <v>39505</v>
      </c>
      <c r="B2143" s="1205">
        <v>7.4556000000000004</v>
      </c>
    </row>
    <row r="2144" spans="1:2">
      <c r="A2144" s="1203">
        <v>39504</v>
      </c>
      <c r="B2144" s="1205">
        <v>7.5433000000000003</v>
      </c>
    </row>
    <row r="2145" spans="1:2">
      <c r="A2145" s="1203">
        <v>39503</v>
      </c>
      <c r="B2145" s="1205">
        <v>7.6943000000000001</v>
      </c>
    </row>
    <row r="2146" spans="1:2">
      <c r="A2146" s="1203">
        <v>39500</v>
      </c>
      <c r="B2146" s="1205">
        <v>7.7545000000000002</v>
      </c>
    </row>
    <row r="2147" spans="1:2">
      <c r="A2147" s="1203">
        <v>39499</v>
      </c>
      <c r="B2147" s="1205">
        <v>7.7834000000000003</v>
      </c>
    </row>
    <row r="2148" spans="1:2">
      <c r="A2148" s="1203">
        <v>39498</v>
      </c>
      <c r="B2148" s="1205">
        <v>7.8875000000000002</v>
      </c>
    </row>
    <row r="2149" spans="1:2">
      <c r="A2149" s="1203">
        <v>39497</v>
      </c>
      <c r="B2149" s="1205">
        <v>7.6826999999999996</v>
      </c>
    </row>
    <row r="2150" spans="1:2">
      <c r="A2150" s="1203">
        <v>39496</v>
      </c>
      <c r="B2150" s="1205">
        <v>7.6050000000000004</v>
      </c>
    </row>
    <row r="2151" spans="1:2">
      <c r="A2151" s="1203">
        <v>39493</v>
      </c>
      <c r="B2151" s="1205">
        <v>7.6734999999999998</v>
      </c>
    </row>
    <row r="2152" spans="1:2">
      <c r="A2152" s="1203">
        <v>39492</v>
      </c>
      <c r="B2152" s="1205">
        <v>7.6925999999999997</v>
      </c>
    </row>
    <row r="2153" spans="1:2">
      <c r="A2153" s="1203">
        <v>39491</v>
      </c>
      <c r="B2153" s="1205">
        <v>7.7240000000000002</v>
      </c>
    </row>
    <row r="2154" spans="1:2">
      <c r="A2154" s="1203">
        <v>39490</v>
      </c>
      <c r="B2154" s="1205">
        <v>7.7039999999999997</v>
      </c>
    </row>
    <row r="2155" spans="1:2">
      <c r="A2155" s="1203">
        <v>39489</v>
      </c>
      <c r="B2155" s="1205">
        <v>7.7489999999999997</v>
      </c>
    </row>
    <row r="2156" spans="1:2">
      <c r="A2156" s="1203">
        <v>39486</v>
      </c>
      <c r="B2156" s="1205">
        <v>7.8019999999999996</v>
      </c>
    </row>
    <row r="2157" spans="1:2">
      <c r="A2157" s="1203">
        <v>39485</v>
      </c>
      <c r="B2157" s="1205">
        <v>7.6820000000000004</v>
      </c>
    </row>
    <row r="2158" spans="1:2">
      <c r="A2158" s="1203">
        <v>39484</v>
      </c>
      <c r="B2158" s="1205">
        <v>7.6657999999999999</v>
      </c>
    </row>
    <row r="2159" spans="1:2">
      <c r="A2159" s="1203">
        <v>39483</v>
      </c>
      <c r="B2159" s="1205">
        <v>7.665</v>
      </c>
    </row>
    <row r="2160" spans="1:2">
      <c r="A2160" s="1203">
        <v>39482</v>
      </c>
      <c r="B2160" s="1205">
        <v>7.4375999999999998</v>
      </c>
    </row>
    <row r="2161" spans="1:2">
      <c r="A2161" s="1203">
        <v>39479</v>
      </c>
      <c r="B2161" s="1205">
        <v>7.4175000000000004</v>
      </c>
    </row>
    <row r="2162" spans="1:2">
      <c r="A2162" s="1203">
        <v>39478</v>
      </c>
      <c r="B2162" s="1205">
        <v>7.4770000000000003</v>
      </c>
    </row>
    <row r="2163" spans="1:2">
      <c r="A2163" s="1203">
        <v>39477</v>
      </c>
      <c r="B2163" s="1205">
        <v>7.3179999999999996</v>
      </c>
    </row>
    <row r="2164" spans="1:2">
      <c r="A2164" s="1203">
        <v>39476</v>
      </c>
      <c r="B2164" s="1205">
        <v>7.2073</v>
      </c>
    </row>
    <row r="2165" spans="1:2">
      <c r="A2165" s="1203">
        <v>39475</v>
      </c>
      <c r="B2165" s="1205">
        <v>7.2035</v>
      </c>
    </row>
    <row r="2166" spans="1:2">
      <c r="A2166" s="1203">
        <v>39472</v>
      </c>
      <c r="B2166" s="1205">
        <v>7.1425000000000001</v>
      </c>
    </row>
    <row r="2167" spans="1:2">
      <c r="A2167" s="1203">
        <v>39471</v>
      </c>
      <c r="B2167" s="1205">
        <v>7.03</v>
      </c>
    </row>
    <row r="2168" spans="1:2">
      <c r="A2168" s="1203">
        <v>39470</v>
      </c>
      <c r="B2168" s="1205">
        <v>7.1708999999999996</v>
      </c>
    </row>
    <row r="2169" spans="1:2">
      <c r="A2169" s="1203">
        <v>39469</v>
      </c>
      <c r="B2169" s="1205">
        <v>7.1007999999999996</v>
      </c>
    </row>
    <row r="2170" spans="1:2">
      <c r="A2170" s="1203">
        <v>39468</v>
      </c>
      <c r="B2170" s="1205">
        <v>7.2161</v>
      </c>
    </row>
    <row r="2171" spans="1:2">
      <c r="A2171" s="1203">
        <v>39465</v>
      </c>
      <c r="B2171" s="1205">
        <v>7.0725999999999996</v>
      </c>
    </row>
    <row r="2172" spans="1:2">
      <c r="A2172" s="1203">
        <v>39464</v>
      </c>
      <c r="B2172" s="1205">
        <v>7.0255000000000001</v>
      </c>
    </row>
    <row r="2173" spans="1:2">
      <c r="A2173" s="1203">
        <v>39463</v>
      </c>
      <c r="B2173" s="1205">
        <v>6.9550000000000001</v>
      </c>
    </row>
    <row r="2174" spans="1:2">
      <c r="A2174" s="1203">
        <v>39462</v>
      </c>
      <c r="B2174" s="1205">
        <v>6.8309999999999995</v>
      </c>
    </row>
    <row r="2175" spans="1:2">
      <c r="A2175" s="1203">
        <v>39461</v>
      </c>
      <c r="B2175" s="1205">
        <v>6.7504999999999997</v>
      </c>
    </row>
    <row r="2176" spans="1:2">
      <c r="A2176" s="1203">
        <v>39458</v>
      </c>
      <c r="B2176" s="1205">
        <v>6.7634999999999996</v>
      </c>
    </row>
    <row r="2177" spans="1:2">
      <c r="A2177" s="1203">
        <v>39457</v>
      </c>
      <c r="B2177" s="1205">
        <v>6.8331999999999997</v>
      </c>
    </row>
    <row r="2178" spans="1:2">
      <c r="A2178" s="1203">
        <v>39456</v>
      </c>
      <c r="B2178" s="1205">
        <v>6.8875999999999999</v>
      </c>
    </row>
    <row r="2179" spans="1:2">
      <c r="A2179" s="1203">
        <v>39455</v>
      </c>
      <c r="B2179" s="1205">
        <v>6.8742000000000001</v>
      </c>
    </row>
    <row r="2180" spans="1:2">
      <c r="A2180" s="1203">
        <v>39454</v>
      </c>
      <c r="B2180" s="1205">
        <v>6.9127999999999998</v>
      </c>
    </row>
    <row r="2181" spans="1:2">
      <c r="A2181" s="1203">
        <v>39451</v>
      </c>
      <c r="B2181" s="1205">
        <v>6.8726000000000003</v>
      </c>
    </row>
    <row r="2182" spans="1:2">
      <c r="A2182" s="1203">
        <v>39450</v>
      </c>
      <c r="B2182" s="1205">
        <v>6.8443000000000005</v>
      </c>
    </row>
    <row r="2183" spans="1:2">
      <c r="A2183" s="1203">
        <v>39449</v>
      </c>
      <c r="B2183" s="1205">
        <v>6.8375000000000004</v>
      </c>
    </row>
    <row r="2184" spans="1:2">
      <c r="A2184" s="1203">
        <v>39448</v>
      </c>
      <c r="B2184" s="1205">
        <v>6.8449999999999998</v>
      </c>
    </row>
    <row r="2185" spans="1:2">
      <c r="A2185" s="1203">
        <v>39447</v>
      </c>
      <c r="B2185" s="1205">
        <v>6.8615000000000004</v>
      </c>
    </row>
    <row r="2186" spans="1:2">
      <c r="A2186" s="1203">
        <v>39444</v>
      </c>
      <c r="B2186" s="1205">
        <v>6.8273000000000001</v>
      </c>
    </row>
    <row r="2187" spans="1:2">
      <c r="A2187" s="1203">
        <v>39443</v>
      </c>
      <c r="B2187" s="1205">
        <v>6.8532999999999999</v>
      </c>
    </row>
    <row r="2188" spans="1:2">
      <c r="A2188" s="1203">
        <v>39442</v>
      </c>
      <c r="B2188" s="1205">
        <v>6.9835000000000003</v>
      </c>
    </row>
    <row r="2189" spans="1:2">
      <c r="A2189" s="1203">
        <v>39441</v>
      </c>
      <c r="B2189" s="1205">
        <v>6.9744999999999999</v>
      </c>
    </row>
    <row r="2190" spans="1:2">
      <c r="A2190" s="1203">
        <v>39440</v>
      </c>
      <c r="B2190" s="1205">
        <v>6.9787999999999997</v>
      </c>
    </row>
    <row r="2191" spans="1:2">
      <c r="A2191" s="1203">
        <v>39437</v>
      </c>
      <c r="B2191" s="1205">
        <v>7.0224000000000002</v>
      </c>
    </row>
    <row r="2192" spans="1:2">
      <c r="A2192" s="1203">
        <v>39436</v>
      </c>
      <c r="B2192" s="1205">
        <v>7.0438999999999998</v>
      </c>
    </row>
    <row r="2193" spans="1:2">
      <c r="A2193" s="1203">
        <v>39435</v>
      </c>
      <c r="B2193" s="1205">
        <v>6.9394999999999998</v>
      </c>
    </row>
    <row r="2194" spans="1:2">
      <c r="A2194" s="1203">
        <v>39434</v>
      </c>
      <c r="B2194" s="1205">
        <v>6.9213000000000005</v>
      </c>
    </row>
    <row r="2195" spans="1:2">
      <c r="A2195" s="1203">
        <v>39433</v>
      </c>
      <c r="B2195" s="1205">
        <v>6.9135</v>
      </c>
    </row>
    <row r="2196" spans="1:2">
      <c r="A2196" s="1203">
        <v>39430</v>
      </c>
      <c r="B2196" s="1205">
        <v>6.875</v>
      </c>
    </row>
    <row r="2197" spans="1:2">
      <c r="A2197" s="1203">
        <v>39429</v>
      </c>
      <c r="B2197" s="1205">
        <v>6.7599</v>
      </c>
    </row>
    <row r="2198" spans="1:2">
      <c r="A2198" s="1203">
        <v>39428</v>
      </c>
      <c r="B2198" s="1205">
        <v>6.7267999999999999</v>
      </c>
    </row>
    <row r="2199" spans="1:2">
      <c r="A2199" s="1203">
        <v>39427</v>
      </c>
      <c r="B2199" s="1205">
        <v>6.7047999999999996</v>
      </c>
    </row>
    <row r="2200" spans="1:2">
      <c r="A2200" s="1203">
        <v>39426</v>
      </c>
      <c r="B2200" s="1205">
        <v>6.6734999999999998</v>
      </c>
    </row>
    <row r="2201" spans="1:2">
      <c r="A2201" s="1203">
        <v>39423</v>
      </c>
      <c r="B2201" s="1205">
        <v>6.7225000000000001</v>
      </c>
    </row>
    <row r="2202" spans="1:2">
      <c r="A2202" s="1203">
        <v>39422</v>
      </c>
      <c r="B2202" s="1205">
        <v>6.7432999999999996</v>
      </c>
    </row>
    <row r="2203" spans="1:2">
      <c r="A2203" s="1203">
        <v>39421</v>
      </c>
      <c r="B2203" s="1205">
        <v>6.7649999999999997</v>
      </c>
    </row>
    <row r="2204" spans="1:2">
      <c r="A2204" s="1203">
        <v>39420</v>
      </c>
      <c r="B2204" s="1205">
        <v>6.8033000000000001</v>
      </c>
    </row>
    <row r="2205" spans="1:2">
      <c r="A2205" s="1203">
        <v>39419</v>
      </c>
      <c r="B2205" s="1205">
        <v>6.8065999999999995</v>
      </c>
    </row>
    <row r="2206" spans="1:2">
      <c r="A2206" s="1203">
        <v>39416</v>
      </c>
      <c r="B2206" s="1205">
        <v>6.8049999999999997</v>
      </c>
    </row>
    <row r="2207" spans="1:2">
      <c r="A2207" s="1203">
        <v>39415</v>
      </c>
      <c r="B2207" s="1205">
        <v>6.8350999999999997</v>
      </c>
    </row>
    <row r="2208" spans="1:2">
      <c r="A2208" s="1203">
        <v>39414</v>
      </c>
      <c r="B2208" s="1205">
        <v>6.8788</v>
      </c>
    </row>
    <row r="2209" spans="1:2">
      <c r="A2209" s="1203">
        <v>39413</v>
      </c>
      <c r="B2209" s="1205">
        <v>7.0087999999999999</v>
      </c>
    </row>
    <row r="2210" spans="1:2">
      <c r="A2210" s="1203">
        <v>39412</v>
      </c>
      <c r="B2210" s="1205">
        <v>6.9363000000000001</v>
      </c>
    </row>
    <row r="2211" spans="1:2">
      <c r="A2211" s="1203">
        <v>39409</v>
      </c>
      <c r="B2211" s="1205">
        <v>6.8185000000000002</v>
      </c>
    </row>
    <row r="2212" spans="1:2">
      <c r="A2212" s="1203">
        <v>39408</v>
      </c>
      <c r="B2212" s="1205">
        <v>6.7892999999999999</v>
      </c>
    </row>
    <row r="2213" spans="1:2">
      <c r="A2213" s="1203">
        <v>39407</v>
      </c>
      <c r="B2213" s="1205">
        <v>6.8108000000000004</v>
      </c>
    </row>
    <row r="2214" spans="1:2">
      <c r="A2214" s="1203">
        <v>39406</v>
      </c>
      <c r="B2214" s="1205">
        <v>6.7117000000000004</v>
      </c>
    </row>
    <row r="2215" spans="1:2">
      <c r="A2215" s="1203">
        <v>39405</v>
      </c>
      <c r="B2215" s="1205">
        <v>6.7613000000000003</v>
      </c>
    </row>
    <row r="2216" spans="1:2">
      <c r="A2216" s="1203">
        <v>39402</v>
      </c>
      <c r="B2216" s="1205">
        <v>6.6814</v>
      </c>
    </row>
    <row r="2217" spans="1:2">
      <c r="A2217" s="1203">
        <v>39401</v>
      </c>
      <c r="B2217" s="1205">
        <v>6.7127999999999997</v>
      </c>
    </row>
    <row r="2218" spans="1:2">
      <c r="A2218" s="1203">
        <v>39400</v>
      </c>
      <c r="B2218" s="1205">
        <v>6.569</v>
      </c>
    </row>
    <row r="2219" spans="1:2">
      <c r="A2219" s="1203">
        <v>39399</v>
      </c>
      <c r="B2219" s="1205">
        <v>6.7207999999999997</v>
      </c>
    </row>
    <row r="2220" spans="1:2">
      <c r="A2220" s="1203">
        <v>39398</v>
      </c>
      <c r="B2220" s="1205">
        <v>6.7925000000000004</v>
      </c>
    </row>
    <row r="2221" spans="1:2">
      <c r="A2221" s="1203">
        <v>39395</v>
      </c>
      <c r="B2221" s="1205">
        <v>6.6436999999999999</v>
      </c>
    </row>
    <row r="2222" spans="1:2">
      <c r="A2222" s="1203">
        <v>39394</v>
      </c>
      <c r="B2222" s="1205">
        <v>6.5283999999999995</v>
      </c>
    </row>
    <row r="2223" spans="1:2">
      <c r="A2223" s="1203">
        <v>39393</v>
      </c>
      <c r="B2223" s="1205">
        <v>6.476</v>
      </c>
    </row>
    <row r="2224" spans="1:2">
      <c r="A2224" s="1203">
        <v>39392</v>
      </c>
      <c r="B2224" s="1205">
        <v>6.5285000000000002</v>
      </c>
    </row>
    <row r="2225" spans="1:2">
      <c r="A2225" s="1203">
        <v>39391</v>
      </c>
      <c r="B2225" s="1205">
        <v>6.5736999999999997</v>
      </c>
    </row>
    <row r="2226" spans="1:2">
      <c r="A2226" s="1203">
        <v>39388</v>
      </c>
      <c r="B2226" s="1205">
        <v>6.5635000000000003</v>
      </c>
    </row>
    <row r="2227" spans="1:2">
      <c r="A2227" s="1203">
        <v>39387</v>
      </c>
      <c r="B2227" s="1205">
        <v>6.5849000000000002</v>
      </c>
    </row>
    <row r="2228" spans="1:2">
      <c r="A2228" s="1203">
        <v>39386</v>
      </c>
      <c r="B2228" s="1205">
        <v>6.5353000000000003</v>
      </c>
    </row>
    <row r="2229" spans="1:2">
      <c r="A2229" s="1203">
        <v>39385</v>
      </c>
      <c r="B2229" s="1205">
        <v>6.5465</v>
      </c>
    </row>
    <row r="2230" spans="1:2">
      <c r="A2230" s="1203">
        <v>39384</v>
      </c>
      <c r="B2230" s="1205">
        <v>6.5438000000000001</v>
      </c>
    </row>
    <row r="2231" spans="1:2">
      <c r="A2231" s="1203">
        <v>39381</v>
      </c>
      <c r="B2231" s="1205">
        <v>6.5044000000000004</v>
      </c>
    </row>
    <row r="2232" spans="1:2">
      <c r="A2232" s="1203">
        <v>39380</v>
      </c>
      <c r="B2232" s="1205">
        <v>6.5709999999999997</v>
      </c>
    </row>
    <row r="2233" spans="1:2">
      <c r="A2233" s="1203">
        <v>39379</v>
      </c>
      <c r="B2233" s="1205">
        <v>6.6688999999999998</v>
      </c>
    </row>
    <row r="2234" spans="1:2">
      <c r="A2234" s="1203">
        <v>39378</v>
      </c>
      <c r="B2234" s="1205">
        <v>6.7127999999999997</v>
      </c>
    </row>
    <row r="2235" spans="1:2">
      <c r="A2235" s="1203">
        <v>39377</v>
      </c>
      <c r="B2235" s="1205">
        <v>6.8674999999999997</v>
      </c>
    </row>
    <row r="2236" spans="1:2">
      <c r="A2236" s="1203">
        <v>39374</v>
      </c>
      <c r="B2236" s="1205">
        <v>6.7931999999999997</v>
      </c>
    </row>
    <row r="2237" spans="1:2">
      <c r="A2237" s="1203">
        <v>39373</v>
      </c>
      <c r="B2237" s="1205">
        <v>6.8037000000000001</v>
      </c>
    </row>
    <row r="2238" spans="1:2">
      <c r="A2238" s="1203">
        <v>39372</v>
      </c>
      <c r="B2238" s="1205">
        <v>6.8380000000000001</v>
      </c>
    </row>
    <row r="2239" spans="1:2">
      <c r="A2239" s="1203">
        <v>39371</v>
      </c>
      <c r="B2239" s="1205">
        <v>6.8616999999999999</v>
      </c>
    </row>
    <row r="2240" spans="1:2">
      <c r="A2240" s="1203">
        <v>39370</v>
      </c>
      <c r="B2240" s="1205">
        <v>6.8479999999999999</v>
      </c>
    </row>
    <row r="2241" spans="1:2">
      <c r="A2241" s="1203">
        <v>39367</v>
      </c>
      <c r="B2241" s="1205">
        <v>6.75</v>
      </c>
    </row>
    <row r="2242" spans="1:2">
      <c r="A2242" s="1203">
        <v>39366</v>
      </c>
      <c r="B2242" s="1205">
        <v>6.6913999999999998</v>
      </c>
    </row>
    <row r="2243" spans="1:2">
      <c r="A2243" s="1203">
        <v>39365</v>
      </c>
      <c r="B2243" s="1205">
        <v>6.8647999999999998</v>
      </c>
    </row>
    <row r="2244" spans="1:2">
      <c r="A2244" s="1203">
        <v>39364</v>
      </c>
      <c r="B2244" s="1205">
        <v>6.8566000000000003</v>
      </c>
    </row>
    <row r="2245" spans="1:2">
      <c r="A2245" s="1203">
        <v>39363</v>
      </c>
      <c r="B2245" s="1205">
        <v>6.8574999999999999</v>
      </c>
    </row>
    <row r="2246" spans="1:2">
      <c r="A2246" s="1203">
        <v>39360</v>
      </c>
      <c r="B2246" s="1205">
        <v>6.8173000000000004</v>
      </c>
    </row>
    <row r="2247" spans="1:2">
      <c r="A2247" s="1203">
        <v>39359</v>
      </c>
      <c r="B2247" s="1205">
        <v>6.9050000000000002</v>
      </c>
    </row>
    <row r="2248" spans="1:2">
      <c r="A2248" s="1203">
        <v>39358</v>
      </c>
      <c r="B2248" s="1205">
        <v>6.9081000000000001</v>
      </c>
    </row>
    <row r="2249" spans="1:2">
      <c r="A2249" s="1203">
        <v>39357</v>
      </c>
      <c r="B2249" s="1205">
        <v>6.9284999999999997</v>
      </c>
    </row>
    <row r="2250" spans="1:2">
      <c r="A2250" s="1203">
        <v>39356</v>
      </c>
      <c r="B2250" s="1205">
        <v>6.867</v>
      </c>
    </row>
    <row r="2251" spans="1:2">
      <c r="A2251" s="1203">
        <v>39353</v>
      </c>
      <c r="B2251" s="1205">
        <v>6.8776000000000002</v>
      </c>
    </row>
    <row r="2252" spans="1:2">
      <c r="A2252" s="1203">
        <v>39352</v>
      </c>
      <c r="B2252" s="1205">
        <v>6.8833000000000002</v>
      </c>
    </row>
    <row r="2253" spans="1:2">
      <c r="A2253" s="1203">
        <v>39351</v>
      </c>
      <c r="B2253" s="1205">
        <v>6.9378000000000002</v>
      </c>
    </row>
    <row r="2254" spans="1:2">
      <c r="A2254" s="1203">
        <v>39350</v>
      </c>
      <c r="B2254" s="1205">
        <v>6.9794999999999998</v>
      </c>
    </row>
    <row r="2255" spans="1:2">
      <c r="A2255" s="1203">
        <v>39349</v>
      </c>
      <c r="B2255" s="1205">
        <v>6.9713000000000003</v>
      </c>
    </row>
    <row r="2256" spans="1:2">
      <c r="A2256" s="1203">
        <v>39346</v>
      </c>
      <c r="B2256" s="1205">
        <v>6.9950000000000001</v>
      </c>
    </row>
    <row r="2257" spans="1:2">
      <c r="A2257" s="1203">
        <v>39345</v>
      </c>
      <c r="B2257" s="1205">
        <v>7.0410000000000004</v>
      </c>
    </row>
    <row r="2258" spans="1:2">
      <c r="A2258" s="1203">
        <v>39344</v>
      </c>
      <c r="B2258" s="1205">
        <v>7.0715000000000003</v>
      </c>
    </row>
    <row r="2259" spans="1:2">
      <c r="A2259" s="1203">
        <v>39343</v>
      </c>
      <c r="B2259" s="1205">
        <v>7.1763000000000003</v>
      </c>
    </row>
    <row r="2260" spans="1:2">
      <c r="A2260" s="1203">
        <v>39342</v>
      </c>
      <c r="B2260" s="1205">
        <v>7.1962000000000002</v>
      </c>
    </row>
    <row r="2261" spans="1:2">
      <c r="A2261" s="1203">
        <v>39339</v>
      </c>
      <c r="B2261" s="1205">
        <v>7.1666999999999996</v>
      </c>
    </row>
    <row r="2262" spans="1:2">
      <c r="A2262" s="1203">
        <v>39338</v>
      </c>
      <c r="B2262" s="1205">
        <v>7.1260000000000003</v>
      </c>
    </row>
    <row r="2263" spans="1:2">
      <c r="A2263" s="1203">
        <v>39337</v>
      </c>
      <c r="B2263" s="1205">
        <v>7.1349999999999998</v>
      </c>
    </row>
    <row r="2264" spans="1:2">
      <c r="A2264" s="1203">
        <v>39336</v>
      </c>
      <c r="B2264" s="1205">
        <v>7.1821000000000002</v>
      </c>
    </row>
    <row r="2265" spans="1:2">
      <c r="A2265" s="1203">
        <v>39335</v>
      </c>
      <c r="B2265" s="1205">
        <v>7.2424999999999997</v>
      </c>
    </row>
    <row r="2266" spans="1:2">
      <c r="A2266" s="1203">
        <v>39332</v>
      </c>
      <c r="B2266" s="1205">
        <v>7.2358000000000002</v>
      </c>
    </row>
    <row r="2267" spans="1:2">
      <c r="A2267" s="1203">
        <v>39331</v>
      </c>
      <c r="B2267" s="1205">
        <v>7.2080000000000002</v>
      </c>
    </row>
    <row r="2268" spans="1:2">
      <c r="A2268" s="1203">
        <v>39330</v>
      </c>
      <c r="B2268" s="1205">
        <v>7.2504999999999997</v>
      </c>
    </row>
    <row r="2269" spans="1:2">
      <c r="A2269" s="1203">
        <v>39329</v>
      </c>
      <c r="B2269" s="1205">
        <v>7.2091000000000003</v>
      </c>
    </row>
    <row r="2270" spans="1:2">
      <c r="A2270" s="1203">
        <v>39328</v>
      </c>
      <c r="B2270" s="1205">
        <v>7.2118000000000002</v>
      </c>
    </row>
    <row r="2271" spans="1:2">
      <c r="A2271" s="1203">
        <v>39325</v>
      </c>
      <c r="B2271" s="1205">
        <v>7.1600999999999999</v>
      </c>
    </row>
    <row r="2272" spans="1:2">
      <c r="A2272" s="1203">
        <v>39324</v>
      </c>
      <c r="B2272" s="1205">
        <v>7.1280000000000001</v>
      </c>
    </row>
    <row r="2273" spans="1:2">
      <c r="A2273" s="1203">
        <v>39323</v>
      </c>
      <c r="B2273" s="1205">
        <v>7.2264999999999997</v>
      </c>
    </row>
    <row r="2274" spans="1:2">
      <c r="A2274" s="1203">
        <v>39322</v>
      </c>
      <c r="B2274" s="1205">
        <v>7.2550999999999997</v>
      </c>
    </row>
    <row r="2275" spans="1:2">
      <c r="A2275" s="1203">
        <v>39321</v>
      </c>
      <c r="B2275" s="1205">
        <v>7.2198000000000002</v>
      </c>
    </row>
    <row r="2276" spans="1:2">
      <c r="A2276" s="1203">
        <v>39318</v>
      </c>
      <c r="B2276" s="1205">
        <v>7.2004000000000001</v>
      </c>
    </row>
    <row r="2277" spans="1:2">
      <c r="A2277" s="1203">
        <v>39317</v>
      </c>
      <c r="B2277" s="1205">
        <v>7.2843</v>
      </c>
    </row>
    <row r="2278" spans="1:2">
      <c r="A2278" s="1203">
        <v>39316</v>
      </c>
      <c r="B2278" s="1205">
        <v>7.2678000000000003</v>
      </c>
    </row>
    <row r="2279" spans="1:2">
      <c r="A2279" s="1203">
        <v>39315</v>
      </c>
      <c r="B2279" s="1205">
        <v>7.3826999999999998</v>
      </c>
    </row>
    <row r="2280" spans="1:2">
      <c r="A2280" s="1203">
        <v>39314</v>
      </c>
      <c r="B2280" s="1205">
        <v>7.4177</v>
      </c>
    </row>
    <row r="2281" spans="1:2">
      <c r="A2281" s="1203">
        <v>39311</v>
      </c>
      <c r="B2281" s="1205">
        <v>7.4024999999999999</v>
      </c>
    </row>
    <row r="2282" spans="1:2">
      <c r="A2282" s="1203">
        <v>39310</v>
      </c>
      <c r="B2282" s="1205">
        <v>7.5850999999999997</v>
      </c>
    </row>
    <row r="2283" spans="1:2">
      <c r="A2283" s="1203">
        <v>39309</v>
      </c>
      <c r="B2283" s="1205">
        <v>7.3789999999999996</v>
      </c>
    </row>
    <row r="2284" spans="1:2">
      <c r="A2284" s="1203">
        <v>39308</v>
      </c>
      <c r="B2284" s="1205">
        <v>7.3102</v>
      </c>
    </row>
    <row r="2285" spans="1:2">
      <c r="A2285" s="1203">
        <v>39307</v>
      </c>
      <c r="B2285" s="1205">
        <v>7.1887999999999996</v>
      </c>
    </row>
    <row r="2286" spans="1:2">
      <c r="A2286" s="1203">
        <v>39304</v>
      </c>
      <c r="B2286" s="1205">
        <v>7.1932</v>
      </c>
    </row>
    <row r="2287" spans="1:2">
      <c r="A2287" s="1203">
        <v>39303</v>
      </c>
      <c r="B2287" s="1205">
        <v>7.1425000000000001</v>
      </c>
    </row>
    <row r="2288" spans="1:2">
      <c r="A2288" s="1203">
        <v>39302</v>
      </c>
      <c r="B2288" s="1205">
        <v>7.0288000000000004</v>
      </c>
    </row>
    <row r="2289" spans="1:2">
      <c r="A2289" s="1203">
        <v>39301</v>
      </c>
      <c r="B2289" s="1205">
        <v>7.0795000000000003</v>
      </c>
    </row>
    <row r="2290" spans="1:2">
      <c r="A2290" s="1203">
        <v>39300</v>
      </c>
      <c r="B2290" s="1205">
        <v>7.0724</v>
      </c>
    </row>
    <row r="2291" spans="1:2">
      <c r="A2291" s="1203">
        <v>39297</v>
      </c>
      <c r="B2291" s="1205">
        <v>7.0914999999999999</v>
      </c>
    </row>
    <row r="2292" spans="1:2">
      <c r="A2292" s="1203">
        <v>39296</v>
      </c>
      <c r="B2292" s="1205">
        <v>7.0875000000000004</v>
      </c>
    </row>
    <row r="2293" spans="1:2">
      <c r="A2293" s="1203">
        <v>39295</v>
      </c>
      <c r="B2293" s="1205">
        <v>7.1414999999999997</v>
      </c>
    </row>
    <row r="2294" spans="1:2">
      <c r="A2294" s="1203">
        <v>39294</v>
      </c>
      <c r="B2294" s="1205">
        <v>7.0780000000000003</v>
      </c>
    </row>
    <row r="2295" spans="1:2">
      <c r="A2295" s="1203">
        <v>39293</v>
      </c>
      <c r="B2295" s="1205">
        <v>7.1292999999999997</v>
      </c>
    </row>
    <row r="2296" spans="1:2">
      <c r="A2296" s="1203">
        <v>39290</v>
      </c>
      <c r="B2296" s="1205">
        <v>7.0987999999999998</v>
      </c>
    </row>
    <row r="2297" spans="1:2">
      <c r="A2297" s="1203">
        <v>39289</v>
      </c>
      <c r="B2297" s="1205">
        <v>7.0359999999999996</v>
      </c>
    </row>
    <row r="2298" spans="1:2">
      <c r="A2298" s="1203">
        <v>39288</v>
      </c>
      <c r="B2298" s="1205">
        <v>6.8993000000000002</v>
      </c>
    </row>
    <row r="2299" spans="1:2">
      <c r="A2299" s="1203">
        <v>39287</v>
      </c>
      <c r="B2299" s="1205">
        <v>6.8283000000000005</v>
      </c>
    </row>
    <row r="2300" spans="1:2">
      <c r="A2300" s="1203">
        <v>39286</v>
      </c>
      <c r="B2300" s="1205">
        <v>6.8085000000000004</v>
      </c>
    </row>
    <row r="2301" spans="1:2">
      <c r="A2301" s="1203">
        <v>39283</v>
      </c>
      <c r="B2301" s="1205">
        <v>6.8933</v>
      </c>
    </row>
    <row r="2302" spans="1:2">
      <c r="A2302" s="1203">
        <v>39282</v>
      </c>
      <c r="B2302" s="1205">
        <v>6.8715000000000002</v>
      </c>
    </row>
    <row r="2303" spans="1:2">
      <c r="A2303" s="1203">
        <v>39281</v>
      </c>
      <c r="B2303" s="1205">
        <v>6.9688999999999997</v>
      </c>
    </row>
    <row r="2304" spans="1:2">
      <c r="A2304" s="1203">
        <v>39280</v>
      </c>
      <c r="B2304" s="1205">
        <v>6.9699</v>
      </c>
    </row>
    <row r="2305" spans="1:2">
      <c r="A2305" s="1203">
        <v>39279</v>
      </c>
      <c r="B2305" s="1205">
        <v>6.9634999999999998</v>
      </c>
    </row>
    <row r="2306" spans="1:2">
      <c r="A2306" s="1203">
        <v>39276</v>
      </c>
      <c r="B2306" s="1205">
        <v>6.9779999999999998</v>
      </c>
    </row>
    <row r="2307" spans="1:2">
      <c r="A2307" s="1203">
        <v>39275</v>
      </c>
      <c r="B2307" s="1205">
        <v>6.9672999999999998</v>
      </c>
    </row>
    <row r="2308" spans="1:2">
      <c r="A2308" s="1203">
        <v>39274</v>
      </c>
      <c r="B2308" s="1205">
        <v>7.0380000000000003</v>
      </c>
    </row>
    <row r="2309" spans="1:2">
      <c r="A2309" s="1203">
        <v>39273</v>
      </c>
      <c r="B2309" s="1205">
        <v>6.9947999999999997</v>
      </c>
    </row>
    <row r="2310" spans="1:2">
      <c r="A2310" s="1203">
        <v>39272</v>
      </c>
      <c r="B2310" s="1205">
        <v>6.9611999999999998</v>
      </c>
    </row>
    <row r="2311" spans="1:2">
      <c r="A2311" s="1203">
        <v>39269</v>
      </c>
      <c r="B2311" s="1205">
        <v>6.9950000000000001</v>
      </c>
    </row>
    <row r="2312" spans="1:2">
      <c r="A2312" s="1203">
        <v>39268</v>
      </c>
      <c r="B2312" s="1205">
        <v>7.0129999999999999</v>
      </c>
    </row>
    <row r="2313" spans="1:2">
      <c r="A2313" s="1203">
        <v>39267</v>
      </c>
      <c r="B2313" s="1205">
        <v>6.9597999999999995</v>
      </c>
    </row>
    <row r="2314" spans="1:2">
      <c r="A2314" s="1203">
        <v>39266</v>
      </c>
      <c r="B2314" s="1205">
        <v>6.9865000000000004</v>
      </c>
    </row>
    <row r="2315" spans="1:2">
      <c r="A2315" s="1203">
        <v>39265</v>
      </c>
      <c r="B2315" s="1205">
        <v>6.9649999999999999</v>
      </c>
    </row>
    <row r="2316" spans="1:2">
      <c r="A2316" s="1203">
        <v>39262</v>
      </c>
      <c r="B2316" s="1205">
        <v>7.0587999999999997</v>
      </c>
    </row>
    <row r="2317" spans="1:2">
      <c r="A2317" s="1203">
        <v>39261</v>
      </c>
      <c r="B2317" s="1205">
        <v>7.0759999999999996</v>
      </c>
    </row>
    <row r="2318" spans="1:2">
      <c r="A2318" s="1203">
        <v>39260</v>
      </c>
      <c r="B2318" s="1205">
        <v>7.1764999999999999</v>
      </c>
    </row>
    <row r="2319" spans="1:2">
      <c r="A2319" s="1203">
        <v>39259</v>
      </c>
      <c r="B2319" s="1205">
        <v>7.1733000000000002</v>
      </c>
    </row>
    <row r="2320" spans="1:2">
      <c r="A2320" s="1203">
        <v>39258</v>
      </c>
      <c r="B2320" s="1205">
        <v>7.1529999999999996</v>
      </c>
    </row>
    <row r="2321" spans="1:2">
      <c r="A2321" s="1203">
        <v>39255</v>
      </c>
      <c r="B2321" s="1205">
        <v>7.1538000000000004</v>
      </c>
    </row>
    <row r="2322" spans="1:2">
      <c r="A2322" s="1203">
        <v>39254</v>
      </c>
      <c r="B2322" s="1205">
        <v>7.1428000000000003</v>
      </c>
    </row>
    <row r="2323" spans="1:2">
      <c r="A2323" s="1203">
        <v>39253</v>
      </c>
      <c r="B2323" s="1205">
        <v>7.1117999999999997</v>
      </c>
    </row>
    <row r="2324" spans="1:2">
      <c r="A2324" s="1203">
        <v>39252</v>
      </c>
      <c r="B2324" s="1205">
        <v>7.069</v>
      </c>
    </row>
    <row r="2325" spans="1:2">
      <c r="A2325" s="1203">
        <v>39251</v>
      </c>
      <c r="B2325" s="1205">
        <v>7.0845000000000002</v>
      </c>
    </row>
    <row r="2326" spans="1:2">
      <c r="A2326" s="1203">
        <v>39248</v>
      </c>
      <c r="B2326" s="1205">
        <v>7.1345999999999998</v>
      </c>
    </row>
    <row r="2327" spans="1:2">
      <c r="A2327" s="1203">
        <v>39247</v>
      </c>
      <c r="B2327" s="1205">
        <v>7.1950000000000003</v>
      </c>
    </row>
    <row r="2328" spans="1:2">
      <c r="A2328" s="1203">
        <v>39246</v>
      </c>
      <c r="B2328" s="1205">
        <v>7.2431999999999999</v>
      </c>
    </row>
    <row r="2329" spans="1:2">
      <c r="A2329" s="1203">
        <v>39245</v>
      </c>
      <c r="B2329" s="1205">
        <v>7.2290000000000001</v>
      </c>
    </row>
    <row r="2330" spans="1:2">
      <c r="A2330" s="1203">
        <v>39244</v>
      </c>
      <c r="B2330" s="1205">
        <v>7.2214</v>
      </c>
    </row>
    <row r="2331" spans="1:2">
      <c r="A2331" s="1203">
        <v>39241</v>
      </c>
      <c r="B2331" s="1205">
        <v>7.2943999999999996</v>
      </c>
    </row>
    <row r="2332" spans="1:2">
      <c r="A2332" s="1203">
        <v>39240</v>
      </c>
      <c r="B2332" s="1205">
        <v>7.2230999999999996</v>
      </c>
    </row>
    <row r="2333" spans="1:2">
      <c r="A2333" s="1203">
        <v>39239</v>
      </c>
      <c r="B2333" s="1205">
        <v>7.2093999999999996</v>
      </c>
    </row>
    <row r="2334" spans="1:2">
      <c r="A2334" s="1203">
        <v>39238</v>
      </c>
      <c r="B2334" s="1205">
        <v>7.1713000000000005</v>
      </c>
    </row>
    <row r="2335" spans="1:2">
      <c r="A2335" s="1203">
        <v>39237</v>
      </c>
      <c r="B2335" s="1205">
        <v>7.1215000000000002</v>
      </c>
    </row>
    <row r="2336" spans="1:2">
      <c r="A2336" s="1203">
        <v>39234</v>
      </c>
      <c r="B2336" s="1205">
        <v>7.0957999999999997</v>
      </c>
    </row>
    <row r="2337" spans="1:2">
      <c r="A2337" s="1203">
        <v>39233</v>
      </c>
      <c r="B2337" s="1205">
        <v>7.1252000000000004</v>
      </c>
    </row>
    <row r="2338" spans="1:2">
      <c r="A2338" s="1203">
        <v>39232</v>
      </c>
      <c r="B2338" s="1205">
        <v>7.1698000000000004</v>
      </c>
    </row>
    <row r="2339" spans="1:2">
      <c r="A2339" s="1203">
        <v>39231</v>
      </c>
      <c r="B2339" s="1205">
        <v>7.1463000000000001</v>
      </c>
    </row>
    <row r="2340" spans="1:2">
      <c r="A2340" s="1203">
        <v>39230</v>
      </c>
      <c r="B2340" s="1205">
        <v>7.1</v>
      </c>
    </row>
    <row r="2341" spans="1:2">
      <c r="A2341" s="1203">
        <v>39227</v>
      </c>
      <c r="B2341" s="1205">
        <v>7.1026999999999996</v>
      </c>
    </row>
    <row r="2342" spans="1:2">
      <c r="A2342" s="1203">
        <v>39226</v>
      </c>
      <c r="B2342" s="1205">
        <v>7.1470000000000002</v>
      </c>
    </row>
    <row r="2343" spans="1:2">
      <c r="A2343" s="1203">
        <v>39225</v>
      </c>
      <c r="B2343" s="1205">
        <v>7.0595999999999997</v>
      </c>
    </row>
    <row r="2344" spans="1:2">
      <c r="A2344" s="1203">
        <v>39224</v>
      </c>
      <c r="B2344" s="1205">
        <v>7.0575000000000001</v>
      </c>
    </row>
    <row r="2345" spans="1:2">
      <c r="A2345" s="1203">
        <v>39223</v>
      </c>
      <c r="B2345" s="1205">
        <v>7.0170000000000003</v>
      </c>
    </row>
    <row r="2346" spans="1:2">
      <c r="A2346" s="1203">
        <v>39220</v>
      </c>
      <c r="B2346" s="1205">
        <v>7.0172999999999996</v>
      </c>
    </row>
    <row r="2347" spans="1:2">
      <c r="A2347" s="1203">
        <v>39219</v>
      </c>
      <c r="B2347" s="1205">
        <v>7.0401999999999996</v>
      </c>
    </row>
    <row r="2348" spans="1:2">
      <c r="A2348" s="1203">
        <v>39218</v>
      </c>
      <c r="B2348" s="1205">
        <v>6.9755000000000003</v>
      </c>
    </row>
    <row r="2349" spans="1:2">
      <c r="A2349" s="1203">
        <v>39217</v>
      </c>
      <c r="B2349" s="1205">
        <v>6.8994999999999997</v>
      </c>
    </row>
    <row r="2350" spans="1:2">
      <c r="A2350" s="1203">
        <v>39216</v>
      </c>
      <c r="B2350" s="1205">
        <v>6.93</v>
      </c>
    </row>
    <row r="2351" spans="1:2">
      <c r="A2351" s="1203">
        <v>39213</v>
      </c>
      <c r="B2351" s="1205">
        <v>6.9809999999999999</v>
      </c>
    </row>
    <row r="2352" spans="1:2">
      <c r="A2352" s="1203">
        <v>39212</v>
      </c>
      <c r="B2352" s="1205">
        <v>7.0345000000000004</v>
      </c>
    </row>
    <row r="2353" spans="1:2">
      <c r="A2353" s="1203">
        <v>39211</v>
      </c>
      <c r="B2353" s="1205">
        <v>6.8929999999999998</v>
      </c>
    </row>
    <row r="2354" spans="1:2">
      <c r="A2354" s="1203">
        <v>39210</v>
      </c>
      <c r="B2354" s="1205">
        <v>6.9104000000000001</v>
      </c>
    </row>
    <row r="2355" spans="1:2">
      <c r="A2355" s="1203">
        <v>39209</v>
      </c>
      <c r="B2355" s="1205">
        <v>6.8804999999999996</v>
      </c>
    </row>
    <row r="2356" spans="1:2">
      <c r="A2356" s="1203">
        <v>39206</v>
      </c>
      <c r="B2356" s="1205">
        <v>6.9414999999999996</v>
      </c>
    </row>
    <row r="2357" spans="1:2">
      <c r="A2357" s="1203">
        <v>39205</v>
      </c>
      <c r="B2357" s="1205">
        <v>6.9749999999999996</v>
      </c>
    </row>
    <row r="2358" spans="1:2">
      <c r="A2358" s="1203">
        <v>39204</v>
      </c>
      <c r="B2358" s="1205">
        <v>7.0282999999999998</v>
      </c>
    </row>
    <row r="2359" spans="1:2">
      <c r="A2359" s="1203">
        <v>39203</v>
      </c>
      <c r="B2359" s="1205">
        <v>7.0366</v>
      </c>
    </row>
    <row r="2360" spans="1:2">
      <c r="A2360" s="1203">
        <v>39202</v>
      </c>
      <c r="B2360" s="1205">
        <v>7.0163000000000002</v>
      </c>
    </row>
    <row r="2361" spans="1:2">
      <c r="A2361" s="1203">
        <v>39199</v>
      </c>
      <c r="B2361" s="1205">
        <v>7.0594999999999999</v>
      </c>
    </row>
    <row r="2362" spans="1:2">
      <c r="A2362" s="1203">
        <v>39198</v>
      </c>
      <c r="B2362" s="1205">
        <v>6.9962</v>
      </c>
    </row>
    <row r="2363" spans="1:2">
      <c r="A2363" s="1203">
        <v>39197</v>
      </c>
      <c r="B2363" s="1205">
        <v>6.9809999999999999</v>
      </c>
    </row>
    <row r="2364" spans="1:2">
      <c r="A2364" s="1203">
        <v>39196</v>
      </c>
      <c r="B2364" s="1205">
        <v>7.0498000000000003</v>
      </c>
    </row>
    <row r="2365" spans="1:2">
      <c r="A2365" s="1203">
        <v>39195</v>
      </c>
      <c r="B2365" s="1205">
        <v>7.077</v>
      </c>
    </row>
    <row r="2366" spans="1:2">
      <c r="A2366" s="1203">
        <v>39192</v>
      </c>
      <c r="B2366" s="1205">
        <v>7.0343</v>
      </c>
    </row>
    <row r="2367" spans="1:2">
      <c r="A2367" s="1203">
        <v>39191</v>
      </c>
      <c r="B2367" s="1205">
        <v>7.0445000000000002</v>
      </c>
    </row>
    <row r="2368" spans="1:2">
      <c r="A2368" s="1203">
        <v>39190</v>
      </c>
      <c r="B2368" s="1205">
        <v>7.06</v>
      </c>
    </row>
    <row r="2369" spans="1:2">
      <c r="A2369" s="1203">
        <v>39189</v>
      </c>
      <c r="B2369" s="1205">
        <v>7.0647000000000002</v>
      </c>
    </row>
    <row r="2370" spans="1:2">
      <c r="A2370" s="1203">
        <v>39188</v>
      </c>
      <c r="B2370" s="1205">
        <v>7.1063999999999998</v>
      </c>
    </row>
    <row r="2371" spans="1:2">
      <c r="A2371" s="1203">
        <v>39185</v>
      </c>
      <c r="B2371" s="1205">
        <v>7.1981000000000002</v>
      </c>
    </row>
    <row r="2372" spans="1:2">
      <c r="A2372" s="1203">
        <v>39184</v>
      </c>
      <c r="B2372" s="1205">
        <v>7.1718000000000002</v>
      </c>
    </row>
    <row r="2373" spans="1:2">
      <c r="A2373" s="1203">
        <v>39183</v>
      </c>
      <c r="B2373" s="1205">
        <v>7.1334999999999997</v>
      </c>
    </row>
    <row r="2374" spans="1:2">
      <c r="A2374" s="1203">
        <v>39182</v>
      </c>
      <c r="B2374" s="1205">
        <v>7.1329000000000002</v>
      </c>
    </row>
    <row r="2375" spans="1:2">
      <c r="A2375" s="1203">
        <v>39181</v>
      </c>
      <c r="B2375" s="1205">
        <v>7.1208</v>
      </c>
    </row>
    <row r="2376" spans="1:2">
      <c r="A2376" s="1203">
        <v>39178</v>
      </c>
      <c r="B2376" s="1205">
        <v>7.1334999999999997</v>
      </c>
    </row>
    <row r="2377" spans="1:2">
      <c r="A2377" s="1203">
        <v>39177</v>
      </c>
      <c r="B2377" s="1205">
        <v>7.1342999999999996</v>
      </c>
    </row>
    <row r="2378" spans="1:2">
      <c r="A2378" s="1203">
        <v>39176</v>
      </c>
      <c r="B2378" s="1205">
        <v>7.1696999999999997</v>
      </c>
    </row>
    <row r="2379" spans="1:2">
      <c r="A2379" s="1203">
        <v>39175</v>
      </c>
      <c r="B2379" s="1205">
        <v>7.1722000000000001</v>
      </c>
    </row>
    <row r="2380" spans="1:2">
      <c r="A2380" s="1203">
        <v>39174</v>
      </c>
      <c r="B2380" s="1205">
        <v>7.26</v>
      </c>
    </row>
    <row r="2381" spans="1:2">
      <c r="A2381" s="1203">
        <v>39171</v>
      </c>
      <c r="B2381" s="1205">
        <v>7.2972999999999999</v>
      </c>
    </row>
    <row r="2382" spans="1:2">
      <c r="A2382" s="1203">
        <v>39170</v>
      </c>
      <c r="B2382" s="1205">
        <v>7.2841000000000005</v>
      </c>
    </row>
    <row r="2383" spans="1:2">
      <c r="A2383" s="1203">
        <v>39169</v>
      </c>
      <c r="B2383" s="1205">
        <v>7.3422999999999998</v>
      </c>
    </row>
    <row r="2384" spans="1:2">
      <c r="A2384" s="1203">
        <v>39168</v>
      </c>
      <c r="B2384" s="1205">
        <v>7.2477999999999998</v>
      </c>
    </row>
    <row r="2385" spans="1:2">
      <c r="A2385" s="1203">
        <v>39167</v>
      </c>
      <c r="B2385" s="1205">
        <v>7.2215999999999996</v>
      </c>
    </row>
    <row r="2386" spans="1:2">
      <c r="A2386" s="1203">
        <v>39164</v>
      </c>
      <c r="B2386" s="1205">
        <v>7.2187000000000001</v>
      </c>
    </row>
    <row r="2387" spans="1:2">
      <c r="A2387" s="1203">
        <v>39163</v>
      </c>
      <c r="B2387" s="1205">
        <v>7.1858000000000004</v>
      </c>
    </row>
    <row r="2388" spans="1:2">
      <c r="A2388" s="1203">
        <v>39162</v>
      </c>
      <c r="B2388" s="1205">
        <v>7.3460999999999999</v>
      </c>
    </row>
    <row r="2389" spans="1:2">
      <c r="A2389" s="1203">
        <v>39161</v>
      </c>
      <c r="B2389" s="1205">
        <v>7.3914999999999997</v>
      </c>
    </row>
    <row r="2390" spans="1:2">
      <c r="A2390" s="1203">
        <v>39160</v>
      </c>
      <c r="B2390" s="1205">
        <v>7.4263000000000003</v>
      </c>
    </row>
    <row r="2391" spans="1:2">
      <c r="A2391" s="1203">
        <v>39157</v>
      </c>
      <c r="B2391" s="1205">
        <v>7.4854000000000003</v>
      </c>
    </row>
    <row r="2392" spans="1:2">
      <c r="A2392" s="1203">
        <v>39156</v>
      </c>
      <c r="B2392" s="1205">
        <v>7.4100999999999999</v>
      </c>
    </row>
    <row r="2393" spans="1:2">
      <c r="A2393" s="1203">
        <v>39155</v>
      </c>
      <c r="B2393" s="1205">
        <v>7.4612999999999996</v>
      </c>
    </row>
    <row r="2394" spans="1:2">
      <c r="A2394" s="1203">
        <v>39154</v>
      </c>
      <c r="B2394" s="1205">
        <v>7.4714999999999998</v>
      </c>
    </row>
    <row r="2395" spans="1:2">
      <c r="A2395" s="1203">
        <v>39153</v>
      </c>
      <c r="B2395" s="1205">
        <v>7.3304999999999998</v>
      </c>
    </row>
    <row r="2396" spans="1:2">
      <c r="A2396" s="1203">
        <v>39150</v>
      </c>
      <c r="B2396" s="1205">
        <v>7.3242000000000003</v>
      </c>
    </row>
    <row r="2397" spans="1:2">
      <c r="A2397" s="1203">
        <v>39149</v>
      </c>
      <c r="B2397" s="1205">
        <v>7.38</v>
      </c>
    </row>
    <row r="2398" spans="1:2">
      <c r="A2398" s="1203">
        <v>39148</v>
      </c>
      <c r="B2398" s="1205">
        <v>7.4295</v>
      </c>
    </row>
    <row r="2399" spans="1:2">
      <c r="A2399" s="1203">
        <v>39147</v>
      </c>
      <c r="B2399" s="1205">
        <v>7.4165999999999999</v>
      </c>
    </row>
    <row r="2400" spans="1:2">
      <c r="A2400" s="1203">
        <v>39146</v>
      </c>
      <c r="B2400" s="1205">
        <v>7.4650999999999996</v>
      </c>
    </row>
    <row r="2401" spans="1:2">
      <c r="A2401" s="1203">
        <v>39143</v>
      </c>
      <c r="B2401" s="1205">
        <v>7.3928000000000003</v>
      </c>
    </row>
    <row r="2402" spans="1:2">
      <c r="A2402" s="1203">
        <v>39142</v>
      </c>
      <c r="B2402" s="1205">
        <v>7.2984999999999998</v>
      </c>
    </row>
    <row r="2403" spans="1:2">
      <c r="A2403" s="1203">
        <v>39141</v>
      </c>
      <c r="B2403" s="1205">
        <v>7.2515000000000001</v>
      </c>
    </row>
    <row r="2404" spans="1:2">
      <c r="A2404" s="1203">
        <v>39140</v>
      </c>
      <c r="B2404" s="1205">
        <v>7.2137000000000002</v>
      </c>
    </row>
    <row r="2405" spans="1:2">
      <c r="A2405" s="1203">
        <v>39139</v>
      </c>
      <c r="B2405" s="1205">
        <v>7.0816999999999997</v>
      </c>
    </row>
    <row r="2406" spans="1:2">
      <c r="A2406" s="1203">
        <v>39136</v>
      </c>
      <c r="B2406" s="1205">
        <v>7.0651000000000002</v>
      </c>
    </row>
    <row r="2407" spans="1:2">
      <c r="A2407" s="1203">
        <v>39135</v>
      </c>
      <c r="B2407" s="1205">
        <v>7.0702999999999996</v>
      </c>
    </row>
    <row r="2408" spans="1:2">
      <c r="A2408" s="1203">
        <v>39134</v>
      </c>
      <c r="B2408" s="1205">
        <v>7.1079999999999997</v>
      </c>
    </row>
    <row r="2409" spans="1:2">
      <c r="A2409" s="1203">
        <v>39133</v>
      </c>
      <c r="B2409" s="1205">
        <v>7.1238999999999999</v>
      </c>
    </row>
    <row r="2410" spans="1:2">
      <c r="A2410" s="1203">
        <v>39132</v>
      </c>
      <c r="B2410" s="1205">
        <v>7.1070000000000002</v>
      </c>
    </row>
    <row r="2411" spans="1:2">
      <c r="A2411" s="1203">
        <v>39129</v>
      </c>
      <c r="B2411" s="1205">
        <v>7.17</v>
      </c>
    </row>
    <row r="2412" spans="1:2">
      <c r="A2412" s="1203">
        <v>39128</v>
      </c>
      <c r="B2412" s="1205">
        <v>7.2118000000000002</v>
      </c>
    </row>
    <row r="2413" spans="1:2">
      <c r="A2413" s="1203">
        <v>39127</v>
      </c>
      <c r="B2413" s="1205">
        <v>7.1935000000000002</v>
      </c>
    </row>
    <row r="2414" spans="1:2">
      <c r="A2414" s="1203">
        <v>39126</v>
      </c>
      <c r="B2414" s="1205">
        <v>7.2438000000000002</v>
      </c>
    </row>
    <row r="2415" spans="1:2">
      <c r="A2415" s="1203">
        <v>39125</v>
      </c>
      <c r="B2415" s="1205">
        <v>7.2678000000000003</v>
      </c>
    </row>
    <row r="2416" spans="1:2">
      <c r="A2416" s="1203">
        <v>39122</v>
      </c>
      <c r="B2416" s="1205">
        <v>7.1604999999999999</v>
      </c>
    </row>
    <row r="2417" spans="1:2">
      <c r="A2417" s="1203">
        <v>39121</v>
      </c>
      <c r="B2417" s="1205">
        <v>7.1510999999999996</v>
      </c>
    </row>
    <row r="2418" spans="1:2">
      <c r="A2418" s="1203">
        <v>39120</v>
      </c>
      <c r="B2418" s="1205">
        <v>7.1688000000000001</v>
      </c>
    </row>
    <row r="2419" spans="1:2">
      <c r="A2419" s="1203">
        <v>39119</v>
      </c>
      <c r="B2419" s="1205">
        <v>7.1967999999999996</v>
      </c>
    </row>
    <row r="2420" spans="1:2">
      <c r="A2420" s="1203">
        <v>39118</v>
      </c>
      <c r="B2420" s="1205">
        <v>7.2069999999999999</v>
      </c>
    </row>
    <row r="2421" spans="1:2">
      <c r="A2421" s="1203">
        <v>39115</v>
      </c>
      <c r="B2421" s="1205">
        <v>7.1951000000000001</v>
      </c>
    </row>
    <row r="2422" spans="1:2">
      <c r="A2422" s="1203">
        <v>39114</v>
      </c>
      <c r="B2422" s="1205">
        <v>7.1867999999999999</v>
      </c>
    </row>
    <row r="2423" spans="1:2">
      <c r="A2423" s="1203">
        <v>39113</v>
      </c>
      <c r="B2423" s="1205">
        <v>7.2255000000000003</v>
      </c>
    </row>
    <row r="2424" spans="1:2">
      <c r="A2424" s="1203">
        <v>39112</v>
      </c>
      <c r="B2424" s="1205">
        <v>7.2964000000000002</v>
      </c>
    </row>
    <row r="2425" spans="1:2">
      <c r="A2425" s="1203">
        <v>39111</v>
      </c>
      <c r="B2425" s="1205">
        <v>7.3163</v>
      </c>
    </row>
    <row r="2426" spans="1:2">
      <c r="A2426" s="1203">
        <v>39108</v>
      </c>
      <c r="B2426" s="1205">
        <v>7.2832999999999997</v>
      </c>
    </row>
    <row r="2427" spans="1:2">
      <c r="A2427" s="1203">
        <v>39107</v>
      </c>
      <c r="B2427" s="1205">
        <v>7.2408000000000001</v>
      </c>
    </row>
    <row r="2428" spans="1:2">
      <c r="A2428" s="1203">
        <v>39106</v>
      </c>
      <c r="B2428" s="1205">
        <v>7.1550000000000002</v>
      </c>
    </row>
    <row r="2429" spans="1:2">
      <c r="A2429" s="1203">
        <v>39105</v>
      </c>
      <c r="B2429" s="1205">
        <v>7.1226000000000003</v>
      </c>
    </row>
    <row r="2430" spans="1:2">
      <c r="A2430" s="1203">
        <v>39104</v>
      </c>
      <c r="B2430" s="1205">
        <v>7.1379999999999999</v>
      </c>
    </row>
    <row r="2431" spans="1:2">
      <c r="A2431" s="1203">
        <v>39101</v>
      </c>
      <c r="B2431" s="1205">
        <v>7.1471</v>
      </c>
    </row>
    <row r="2432" spans="1:2">
      <c r="A2432" s="1203">
        <v>39100</v>
      </c>
      <c r="B2432" s="1205">
        <v>7.1411999999999995</v>
      </c>
    </row>
    <row r="2433" spans="1:2">
      <c r="A2433" s="1203">
        <v>39099</v>
      </c>
      <c r="B2433" s="1205">
        <v>7.1588000000000003</v>
      </c>
    </row>
    <row r="2434" spans="1:2">
      <c r="A2434" s="1203">
        <v>39098</v>
      </c>
      <c r="B2434" s="1205">
        <v>7.2314999999999996</v>
      </c>
    </row>
    <row r="2435" spans="1:2">
      <c r="A2435" s="1203">
        <v>39097</v>
      </c>
      <c r="B2435" s="1205">
        <v>7.2149000000000001</v>
      </c>
    </row>
    <row r="2436" spans="1:2">
      <c r="A2436" s="1203">
        <v>39094</v>
      </c>
      <c r="B2436" s="1205">
        <v>7.2267000000000001</v>
      </c>
    </row>
    <row r="2437" spans="1:2">
      <c r="A2437" s="1203">
        <v>39093</v>
      </c>
      <c r="B2437" s="1205">
        <v>7.2633000000000001</v>
      </c>
    </row>
    <row r="2438" spans="1:2">
      <c r="A2438" s="1203">
        <v>39092</v>
      </c>
      <c r="B2438" s="1205">
        <v>7.3224999999999998</v>
      </c>
    </row>
    <row r="2439" spans="1:2">
      <c r="A2439" s="1203">
        <v>39091</v>
      </c>
      <c r="B2439" s="1205">
        <v>7.3223000000000003</v>
      </c>
    </row>
    <row r="2440" spans="1:2">
      <c r="A2440" s="1203">
        <v>39090</v>
      </c>
      <c r="B2440" s="1205">
        <v>7.2417999999999996</v>
      </c>
    </row>
    <row r="2441" spans="1:2">
      <c r="A2441" s="1203">
        <v>39087</v>
      </c>
      <c r="B2441" s="1205">
        <v>7.2126999999999999</v>
      </c>
    </row>
    <row r="2442" spans="1:2">
      <c r="A2442" s="1203">
        <v>39086</v>
      </c>
      <c r="B2442" s="1205">
        <v>7.0906000000000002</v>
      </c>
    </row>
    <row r="2443" spans="1:2">
      <c r="A2443" s="1203">
        <v>39085</v>
      </c>
      <c r="B2443" s="1205">
        <v>6.9447999999999999</v>
      </c>
    </row>
    <row r="2444" spans="1:2">
      <c r="A2444" s="1203">
        <v>39084</v>
      </c>
      <c r="B2444" s="1205">
        <v>6.9</v>
      </c>
    </row>
    <row r="2445" spans="1:2">
      <c r="A2445" s="1203">
        <v>39083</v>
      </c>
      <c r="B2445" s="1205">
        <v>7.0061</v>
      </c>
    </row>
    <row r="2446" spans="1:2">
      <c r="A2446" s="1203">
        <v>39080</v>
      </c>
      <c r="B2446" s="1205">
        <v>6.9878999999999998</v>
      </c>
    </row>
    <row r="2447" spans="1:2">
      <c r="A2447" s="1203">
        <v>39079</v>
      </c>
      <c r="B2447" s="1205">
        <v>7.0107999999999997</v>
      </c>
    </row>
    <row r="2448" spans="1:2">
      <c r="A2448" s="1203">
        <v>39078</v>
      </c>
      <c r="B2448" s="1205">
        <v>7.0888</v>
      </c>
    </row>
    <row r="2449" spans="1:2">
      <c r="A2449" s="1203">
        <v>39077</v>
      </c>
      <c r="B2449" s="1205">
        <v>7.0627000000000004</v>
      </c>
    </row>
    <row r="2450" spans="1:2">
      <c r="A2450" s="1203">
        <v>39076</v>
      </c>
      <c r="B2450" s="1205">
        <v>7.0389999999999997</v>
      </c>
    </row>
    <row r="2451" spans="1:2">
      <c r="A2451" s="1203">
        <v>39073</v>
      </c>
      <c r="B2451" s="1205">
        <v>7.0350000000000001</v>
      </c>
    </row>
    <row r="2452" spans="1:2">
      <c r="A2452" s="1203">
        <v>39072</v>
      </c>
      <c r="B2452" s="1205">
        <v>7.02</v>
      </c>
    </row>
    <row r="2453" spans="1:2">
      <c r="A2453" s="1203">
        <v>39071</v>
      </c>
      <c r="B2453" s="1205">
        <v>6.9204999999999997</v>
      </c>
    </row>
    <row r="2454" spans="1:2">
      <c r="A2454" s="1203">
        <v>39070</v>
      </c>
      <c r="B2454" s="1205">
        <v>7.0208000000000004</v>
      </c>
    </row>
    <row r="2455" spans="1:2">
      <c r="A2455" s="1203">
        <v>39069</v>
      </c>
      <c r="B2455" s="1205">
        <v>7.0338000000000003</v>
      </c>
    </row>
    <row r="2456" spans="1:2">
      <c r="A2456" s="1203">
        <v>39066</v>
      </c>
      <c r="B2456" s="1205">
        <v>7.0065</v>
      </c>
    </row>
    <row r="2457" spans="1:2">
      <c r="A2457" s="1203">
        <v>39065</v>
      </c>
      <c r="B2457" s="1205">
        <v>6.97</v>
      </c>
    </row>
    <row r="2458" spans="1:2">
      <c r="A2458" s="1203">
        <v>39064</v>
      </c>
      <c r="B2458" s="1205">
        <v>6.9888000000000003</v>
      </c>
    </row>
    <row r="2459" spans="1:2">
      <c r="A2459" s="1203">
        <v>39063</v>
      </c>
      <c r="B2459" s="1205">
        <v>7.0068000000000001</v>
      </c>
    </row>
    <row r="2460" spans="1:2">
      <c r="A2460" s="1203">
        <v>39062</v>
      </c>
      <c r="B2460" s="1205">
        <v>7.0278</v>
      </c>
    </row>
    <row r="2461" spans="1:2">
      <c r="A2461" s="1203">
        <v>39059</v>
      </c>
      <c r="B2461" s="1205">
        <v>7.0597000000000003</v>
      </c>
    </row>
    <row r="2462" spans="1:2">
      <c r="A2462" s="1203">
        <v>39058</v>
      </c>
      <c r="B2462" s="1205">
        <v>7.0244</v>
      </c>
    </row>
    <row r="2463" spans="1:2">
      <c r="A2463" s="1203">
        <v>39057</v>
      </c>
      <c r="B2463" s="1205">
        <v>7.0868000000000002</v>
      </c>
    </row>
    <row r="2464" spans="1:2">
      <c r="A2464" s="1203">
        <v>39056</v>
      </c>
      <c r="B2464" s="1205">
        <v>7.1063000000000001</v>
      </c>
    </row>
    <row r="2465" spans="1:2">
      <c r="A2465" s="1203">
        <v>39055</v>
      </c>
      <c r="B2465" s="1205">
        <v>7.1639999999999997</v>
      </c>
    </row>
    <row r="2466" spans="1:2">
      <c r="A2466" s="1203">
        <v>39052</v>
      </c>
      <c r="B2466" s="1205">
        <v>7.1588000000000003</v>
      </c>
    </row>
    <row r="2467" spans="1:2">
      <c r="A2467" s="1203">
        <v>39051</v>
      </c>
      <c r="B2467" s="1205">
        <v>7.1513</v>
      </c>
    </row>
    <row r="2468" spans="1:2">
      <c r="A2468" s="1203">
        <v>39050</v>
      </c>
      <c r="B2468" s="1205">
        <v>7.1395</v>
      </c>
    </row>
    <row r="2469" spans="1:2">
      <c r="A2469" s="1203">
        <v>39049</v>
      </c>
      <c r="B2469" s="1205">
        <v>7.165</v>
      </c>
    </row>
    <row r="2470" spans="1:2">
      <c r="A2470" s="1203">
        <v>39048</v>
      </c>
      <c r="B2470" s="1205">
        <v>7.1298000000000004</v>
      </c>
    </row>
    <row r="2471" spans="1:2">
      <c r="A2471" s="1203">
        <v>39045</v>
      </c>
      <c r="B2471" s="1205">
        <v>7.1635</v>
      </c>
    </row>
    <row r="2472" spans="1:2">
      <c r="A2472" s="1203">
        <v>39044</v>
      </c>
      <c r="B2472" s="1205">
        <v>7.2050000000000001</v>
      </c>
    </row>
    <row r="2473" spans="1:2">
      <c r="A2473" s="1203">
        <v>39043</v>
      </c>
      <c r="B2473" s="1205">
        <v>7.1538000000000004</v>
      </c>
    </row>
    <row r="2474" spans="1:2">
      <c r="A2474" s="1203">
        <v>39042</v>
      </c>
      <c r="B2474" s="1205">
        <v>7.2065000000000001</v>
      </c>
    </row>
    <row r="2475" spans="1:2">
      <c r="A2475" s="1203">
        <v>39041</v>
      </c>
      <c r="B2475" s="1205">
        <v>7.2329999999999997</v>
      </c>
    </row>
    <row r="2476" spans="1:2">
      <c r="A2476" s="1203">
        <v>39038</v>
      </c>
      <c r="B2476" s="1205">
        <v>7.2826000000000004</v>
      </c>
    </row>
    <row r="2477" spans="1:2">
      <c r="A2477" s="1203">
        <v>39037</v>
      </c>
      <c r="B2477" s="1205">
        <v>7.2234999999999996</v>
      </c>
    </row>
    <row r="2478" spans="1:2">
      <c r="A2478" s="1203">
        <v>39036</v>
      </c>
      <c r="B2478" s="1205">
        <v>7.2554999999999996</v>
      </c>
    </row>
    <row r="2479" spans="1:2">
      <c r="A2479" s="1203">
        <v>39035</v>
      </c>
      <c r="B2479" s="1205">
        <v>7.2687999999999997</v>
      </c>
    </row>
    <row r="2480" spans="1:2">
      <c r="A2480" s="1203">
        <v>39034</v>
      </c>
      <c r="B2480" s="1205">
        <v>7.26</v>
      </c>
    </row>
    <row r="2481" spans="1:2">
      <c r="A2481" s="1203">
        <v>39031</v>
      </c>
      <c r="B2481" s="1205">
        <v>7.2159000000000004</v>
      </c>
    </row>
    <row r="2482" spans="1:2">
      <c r="A2482" s="1203">
        <v>39030</v>
      </c>
      <c r="B2482" s="1205">
        <v>7.2317999999999998</v>
      </c>
    </row>
    <row r="2483" spans="1:2">
      <c r="A2483" s="1203">
        <v>39029</v>
      </c>
      <c r="B2483" s="1205">
        <v>7.3155000000000001</v>
      </c>
    </row>
    <row r="2484" spans="1:2">
      <c r="A2484" s="1203">
        <v>39028</v>
      </c>
      <c r="B2484" s="1205">
        <v>7.3063000000000002</v>
      </c>
    </row>
    <row r="2485" spans="1:2">
      <c r="A2485" s="1203">
        <v>39027</v>
      </c>
      <c r="B2485" s="1205">
        <v>7.3810000000000002</v>
      </c>
    </row>
    <row r="2486" spans="1:2">
      <c r="A2486" s="1203">
        <v>39024</v>
      </c>
      <c r="B2486" s="1205">
        <v>7.3768000000000002</v>
      </c>
    </row>
    <row r="2487" spans="1:2">
      <c r="A2487" s="1203">
        <v>39023</v>
      </c>
      <c r="B2487" s="1205">
        <v>7.4324000000000003</v>
      </c>
    </row>
    <row r="2488" spans="1:2">
      <c r="A2488" s="1203">
        <v>39022</v>
      </c>
      <c r="B2488" s="1205">
        <v>7.3963000000000001</v>
      </c>
    </row>
    <row r="2489" spans="1:2">
      <c r="A2489" s="1203">
        <v>39021</v>
      </c>
      <c r="B2489" s="1205">
        <v>7.3864999999999998</v>
      </c>
    </row>
    <row r="2490" spans="1:2">
      <c r="A2490" s="1203">
        <v>39020</v>
      </c>
      <c r="B2490" s="1205">
        <v>7.5065</v>
      </c>
    </row>
    <row r="2491" spans="1:2">
      <c r="A2491" s="1203">
        <v>39017</v>
      </c>
      <c r="B2491" s="1205">
        <v>7.43</v>
      </c>
    </row>
    <row r="2492" spans="1:2">
      <c r="A2492" s="1203">
        <v>39016</v>
      </c>
      <c r="B2492" s="1205">
        <v>7.5006000000000004</v>
      </c>
    </row>
    <row r="2493" spans="1:2">
      <c r="A2493" s="1203">
        <v>39015</v>
      </c>
      <c r="B2493" s="1205">
        <v>7.5914999999999999</v>
      </c>
    </row>
    <row r="2494" spans="1:2">
      <c r="A2494" s="1203">
        <v>39014</v>
      </c>
      <c r="B2494" s="1205">
        <v>7.7095000000000002</v>
      </c>
    </row>
    <row r="2495" spans="1:2">
      <c r="A2495" s="1203">
        <v>39013</v>
      </c>
      <c r="B2495" s="1205">
        <v>7.6763000000000003</v>
      </c>
    </row>
    <row r="2496" spans="1:2">
      <c r="A2496" s="1203">
        <v>39010</v>
      </c>
      <c r="B2496" s="1205">
        <v>7.5377999999999998</v>
      </c>
    </row>
    <row r="2497" spans="1:2">
      <c r="A2497" s="1203">
        <v>39009</v>
      </c>
      <c r="B2497" s="1205">
        <v>7.52</v>
      </c>
    </row>
    <row r="2498" spans="1:2">
      <c r="A2498" s="1203">
        <v>39008</v>
      </c>
      <c r="B2498" s="1205">
        <v>7.5959000000000003</v>
      </c>
    </row>
    <row r="2499" spans="1:2">
      <c r="A2499" s="1203">
        <v>39007</v>
      </c>
      <c r="B2499" s="1205">
        <v>7.6098999999999997</v>
      </c>
    </row>
    <row r="2500" spans="1:2">
      <c r="A2500" s="1203">
        <v>39006</v>
      </c>
      <c r="B2500" s="1205">
        <v>7.5175000000000001</v>
      </c>
    </row>
    <row r="2501" spans="1:2">
      <c r="A2501" s="1203">
        <v>39003</v>
      </c>
      <c r="B2501" s="1205">
        <v>7.4713000000000003</v>
      </c>
    </row>
    <row r="2502" spans="1:2">
      <c r="A2502" s="1203">
        <v>39002</v>
      </c>
      <c r="B2502" s="1205">
        <v>7.5259999999999998</v>
      </c>
    </row>
    <row r="2503" spans="1:2">
      <c r="A2503" s="1203">
        <v>39001</v>
      </c>
      <c r="B2503" s="1205">
        <v>7.6690000000000005</v>
      </c>
    </row>
    <row r="2504" spans="1:2">
      <c r="A2504" s="1203">
        <v>39000</v>
      </c>
      <c r="B2504" s="1205">
        <v>7.7664999999999997</v>
      </c>
    </row>
    <row r="2505" spans="1:2">
      <c r="A2505" s="1203">
        <v>38999</v>
      </c>
      <c r="B2505" s="1205">
        <v>7.8338000000000001</v>
      </c>
    </row>
    <row r="2506" spans="1:2">
      <c r="A2506" s="1203">
        <v>38996</v>
      </c>
      <c r="B2506" s="1205">
        <v>7.8170000000000002</v>
      </c>
    </row>
    <row r="2507" spans="1:2">
      <c r="A2507" s="1203">
        <v>38995</v>
      </c>
      <c r="B2507" s="1205">
        <v>7.806</v>
      </c>
    </row>
    <row r="2508" spans="1:2">
      <c r="A2508" s="1203">
        <v>38994</v>
      </c>
      <c r="B2508" s="1205">
        <v>7.9124999999999996</v>
      </c>
    </row>
    <row r="2509" spans="1:2">
      <c r="A2509" s="1203">
        <v>38993</v>
      </c>
      <c r="B2509" s="1205">
        <v>7.8840000000000003</v>
      </c>
    </row>
    <row r="2510" spans="1:2">
      <c r="A2510" s="1203">
        <v>38992</v>
      </c>
      <c r="B2510" s="1205">
        <v>7.7234999999999996</v>
      </c>
    </row>
    <row r="2511" spans="1:2">
      <c r="A2511" s="1203">
        <v>38989</v>
      </c>
      <c r="B2511" s="1205">
        <v>7.7613000000000003</v>
      </c>
    </row>
    <row r="2512" spans="1:2">
      <c r="A2512" s="1203">
        <v>38988</v>
      </c>
      <c r="B2512" s="1205">
        <v>7.6779999999999999</v>
      </c>
    </row>
    <row r="2513" spans="1:2">
      <c r="A2513" s="1203">
        <v>38987</v>
      </c>
      <c r="B2513" s="1205">
        <v>7.6268000000000002</v>
      </c>
    </row>
    <row r="2514" spans="1:2">
      <c r="A2514" s="1203">
        <v>38986</v>
      </c>
      <c r="B2514" s="1205">
        <v>7.6562999999999999</v>
      </c>
    </row>
    <row r="2515" spans="1:2">
      <c r="A2515" s="1203">
        <v>38985</v>
      </c>
      <c r="B2515" s="1205">
        <v>7.7004999999999999</v>
      </c>
    </row>
    <row r="2516" spans="1:2">
      <c r="A2516" s="1203">
        <v>38982</v>
      </c>
      <c r="B2516" s="1205">
        <v>7.6225000000000005</v>
      </c>
    </row>
    <row r="2517" spans="1:2">
      <c r="A2517" s="1203">
        <v>38981</v>
      </c>
      <c r="B2517" s="1205">
        <v>7.5834999999999999</v>
      </c>
    </row>
    <row r="2518" spans="1:2">
      <c r="A2518" s="1203">
        <v>38980</v>
      </c>
      <c r="B2518" s="1205">
        <v>7.3864999999999998</v>
      </c>
    </row>
    <row r="2519" spans="1:2">
      <c r="A2519" s="1203">
        <v>38979</v>
      </c>
      <c r="B2519" s="1205">
        <v>7.367</v>
      </c>
    </row>
    <row r="2520" spans="1:2">
      <c r="A2520" s="1203">
        <v>38978</v>
      </c>
      <c r="B2520" s="1205">
        <v>7.2830000000000004</v>
      </c>
    </row>
    <row r="2521" spans="1:2">
      <c r="A2521" s="1203">
        <v>38975</v>
      </c>
      <c r="B2521" s="1205">
        <v>7.3970000000000002</v>
      </c>
    </row>
    <row r="2522" spans="1:2">
      <c r="A2522" s="1203">
        <v>38974</v>
      </c>
      <c r="B2522" s="1205">
        <v>7.4047000000000001</v>
      </c>
    </row>
    <row r="2523" spans="1:2">
      <c r="A2523" s="1203">
        <v>38973</v>
      </c>
      <c r="B2523" s="1205">
        <v>7.3179999999999996</v>
      </c>
    </row>
    <row r="2524" spans="1:2">
      <c r="A2524" s="1203">
        <v>38972</v>
      </c>
      <c r="B2524" s="1205">
        <v>7.3452999999999999</v>
      </c>
    </row>
    <row r="2525" spans="1:2">
      <c r="A2525" s="1203">
        <v>38971</v>
      </c>
      <c r="B2525" s="1205">
        <v>7.4085000000000001</v>
      </c>
    </row>
    <row r="2526" spans="1:2">
      <c r="A2526" s="1203">
        <v>38968</v>
      </c>
      <c r="B2526" s="1205">
        <v>7.3730000000000002</v>
      </c>
    </row>
    <row r="2527" spans="1:2">
      <c r="A2527" s="1203">
        <v>38967</v>
      </c>
      <c r="B2527" s="1205">
        <v>7.3475000000000001</v>
      </c>
    </row>
    <row r="2528" spans="1:2">
      <c r="A2528" s="1203">
        <v>38966</v>
      </c>
      <c r="B2528" s="1205">
        <v>7.3129999999999997</v>
      </c>
    </row>
    <row r="2529" spans="1:2">
      <c r="A2529" s="1203">
        <v>38965</v>
      </c>
      <c r="B2529" s="1205">
        <v>7.1886999999999999</v>
      </c>
    </row>
    <row r="2530" spans="1:2">
      <c r="A2530" s="1203">
        <v>38964</v>
      </c>
      <c r="B2530" s="1205">
        <v>7.1609999999999996</v>
      </c>
    </row>
    <row r="2531" spans="1:2">
      <c r="A2531" s="1203">
        <v>38961</v>
      </c>
      <c r="B2531" s="1205">
        <v>7.2088000000000001</v>
      </c>
    </row>
    <row r="2532" spans="1:2">
      <c r="A2532" s="1203">
        <v>38960</v>
      </c>
      <c r="B2532" s="1205">
        <v>7.2089999999999996</v>
      </c>
    </row>
    <row r="2533" spans="1:2">
      <c r="A2533" s="1203">
        <v>38959</v>
      </c>
      <c r="B2533" s="1205">
        <v>7.1020000000000003</v>
      </c>
    </row>
    <row r="2534" spans="1:2">
      <c r="A2534" s="1203">
        <v>38958</v>
      </c>
      <c r="B2534" s="1205">
        <v>7.1448</v>
      </c>
    </row>
    <row r="2535" spans="1:2">
      <c r="A2535" s="1203">
        <v>38957</v>
      </c>
      <c r="B2535" s="1205">
        <v>7.1833</v>
      </c>
    </row>
    <row r="2536" spans="1:2">
      <c r="A2536" s="1203">
        <v>38954</v>
      </c>
      <c r="B2536" s="1205">
        <v>7.1436000000000002</v>
      </c>
    </row>
    <row r="2537" spans="1:2">
      <c r="A2537" s="1203">
        <v>38953</v>
      </c>
      <c r="B2537" s="1205">
        <v>7.1675000000000004</v>
      </c>
    </row>
    <row r="2538" spans="1:2">
      <c r="A2538" s="1203">
        <v>38952</v>
      </c>
      <c r="B2538" s="1205">
        <v>7.1398000000000001</v>
      </c>
    </row>
    <row r="2539" spans="1:2">
      <c r="A2539" s="1203">
        <v>38951</v>
      </c>
      <c r="B2539" s="1205">
        <v>7.1185</v>
      </c>
    </row>
    <row r="2540" spans="1:2">
      <c r="A2540" s="1203">
        <v>38950</v>
      </c>
      <c r="B2540" s="1205">
        <v>7.0315000000000003</v>
      </c>
    </row>
    <row r="2541" spans="1:2">
      <c r="A2541" s="1203">
        <v>38947</v>
      </c>
      <c r="B2541" s="1205">
        <v>6.9889999999999999</v>
      </c>
    </row>
    <row r="2542" spans="1:2">
      <c r="A2542" s="1203">
        <v>38946</v>
      </c>
      <c r="B2542" s="1205">
        <v>6.7925000000000004</v>
      </c>
    </row>
    <row r="2543" spans="1:2">
      <c r="A2543" s="1203">
        <v>38945</v>
      </c>
      <c r="B2543" s="1205">
        <v>6.7445000000000004</v>
      </c>
    </row>
    <row r="2544" spans="1:2">
      <c r="A2544" s="1203">
        <v>38944</v>
      </c>
      <c r="B2544" s="1205">
        <v>6.8715000000000002</v>
      </c>
    </row>
    <row r="2545" spans="1:2">
      <c r="A2545" s="1203">
        <v>38943</v>
      </c>
      <c r="B2545" s="1205">
        <v>6.8535000000000004</v>
      </c>
    </row>
    <row r="2546" spans="1:2">
      <c r="A2546" s="1203">
        <v>38940</v>
      </c>
      <c r="B2546" s="1205">
        <v>6.7925000000000004</v>
      </c>
    </row>
    <row r="2547" spans="1:2">
      <c r="A2547" s="1203">
        <v>38939</v>
      </c>
      <c r="B2547" s="1205">
        <v>6.8037999999999998</v>
      </c>
    </row>
    <row r="2548" spans="1:2">
      <c r="A2548" s="1203">
        <v>38938</v>
      </c>
      <c r="B2548" s="1205">
        <v>6.7315000000000005</v>
      </c>
    </row>
    <row r="2549" spans="1:2">
      <c r="A2549" s="1203">
        <v>38937</v>
      </c>
      <c r="B2549" s="1205">
        <v>6.8319999999999999</v>
      </c>
    </row>
    <row r="2550" spans="1:2">
      <c r="A2550" s="1203">
        <v>38936</v>
      </c>
      <c r="B2550" s="1205">
        <v>6.7914000000000003</v>
      </c>
    </row>
    <row r="2551" spans="1:2">
      <c r="A2551" s="1203">
        <v>38933</v>
      </c>
      <c r="B2551" s="1205">
        <v>6.8167999999999997</v>
      </c>
    </row>
    <row r="2552" spans="1:2">
      <c r="A2552" s="1203">
        <v>38932</v>
      </c>
      <c r="B2552" s="1205">
        <v>6.8529999999999998</v>
      </c>
    </row>
    <row r="2553" spans="1:2">
      <c r="A2553" s="1203">
        <v>38931</v>
      </c>
      <c r="B2553" s="1205">
        <v>6.8925000000000001</v>
      </c>
    </row>
    <row r="2554" spans="1:2">
      <c r="A2554" s="1203">
        <v>38930</v>
      </c>
      <c r="B2554" s="1205">
        <v>6.9688999999999997</v>
      </c>
    </row>
    <row r="2555" spans="1:2">
      <c r="A2555" s="1203">
        <v>38929</v>
      </c>
      <c r="B2555" s="1205">
        <v>6.9245000000000001</v>
      </c>
    </row>
    <row r="2556" spans="1:2">
      <c r="A2556" s="1203">
        <v>38926</v>
      </c>
      <c r="B2556" s="1205">
        <v>6.8769999999999998</v>
      </c>
    </row>
    <row r="2557" spans="1:2">
      <c r="A2557" s="1203">
        <v>38925</v>
      </c>
      <c r="B2557" s="1205">
        <v>6.82</v>
      </c>
    </row>
    <row r="2558" spans="1:2">
      <c r="A2558" s="1203">
        <v>38924</v>
      </c>
      <c r="B2558" s="1205">
        <v>6.9737999999999998</v>
      </c>
    </row>
    <row r="2559" spans="1:2">
      <c r="A2559" s="1203">
        <v>38923</v>
      </c>
      <c r="B2559" s="1205">
        <v>7.0129999999999999</v>
      </c>
    </row>
    <row r="2560" spans="1:2">
      <c r="A2560" s="1203">
        <v>38922</v>
      </c>
      <c r="B2560" s="1205">
        <v>7.0180999999999996</v>
      </c>
    </row>
    <row r="2561" spans="1:2">
      <c r="A2561" s="1203">
        <v>38919</v>
      </c>
      <c r="B2561" s="1205">
        <v>7.0392000000000001</v>
      </c>
    </row>
    <row r="2562" spans="1:2">
      <c r="A2562" s="1203">
        <v>38918</v>
      </c>
      <c r="B2562" s="1205">
        <v>6.9693000000000005</v>
      </c>
    </row>
    <row r="2563" spans="1:2">
      <c r="A2563" s="1203">
        <v>38917</v>
      </c>
      <c r="B2563" s="1205">
        <v>7.0547000000000004</v>
      </c>
    </row>
    <row r="2564" spans="1:2">
      <c r="A2564" s="1203">
        <v>38916</v>
      </c>
      <c r="B2564" s="1205">
        <v>7.1875999999999998</v>
      </c>
    </row>
    <row r="2565" spans="1:2">
      <c r="A2565" s="1203">
        <v>38915</v>
      </c>
      <c r="B2565" s="1205">
        <v>7.2225000000000001</v>
      </c>
    </row>
    <row r="2566" spans="1:2">
      <c r="A2566" s="1203">
        <v>38912</v>
      </c>
      <c r="B2566" s="1205">
        <v>7.2087000000000003</v>
      </c>
    </row>
    <row r="2567" spans="1:2">
      <c r="A2567" s="1203">
        <v>38911</v>
      </c>
      <c r="B2567" s="1205">
        <v>7.1642000000000001</v>
      </c>
    </row>
    <row r="2568" spans="1:2">
      <c r="A2568" s="1203">
        <v>38910</v>
      </c>
      <c r="B2568" s="1205">
        <v>7.1429999999999998</v>
      </c>
    </row>
    <row r="2569" spans="1:2">
      <c r="A2569" s="1203">
        <v>38909</v>
      </c>
      <c r="B2569" s="1205">
        <v>7.1128999999999998</v>
      </c>
    </row>
    <row r="2570" spans="1:2">
      <c r="A2570" s="1203">
        <v>38908</v>
      </c>
      <c r="B2570" s="1205">
        <v>7.1214000000000004</v>
      </c>
    </row>
    <row r="2571" spans="1:2">
      <c r="A2571" s="1203">
        <v>38905</v>
      </c>
      <c r="B2571" s="1205">
        <v>7.1005000000000003</v>
      </c>
    </row>
    <row r="2572" spans="1:2">
      <c r="A2572" s="1203">
        <v>38904</v>
      </c>
      <c r="B2572" s="1205">
        <v>7.1632999999999996</v>
      </c>
    </row>
    <row r="2573" spans="1:2">
      <c r="A2573" s="1203">
        <v>38903</v>
      </c>
      <c r="B2573" s="1205">
        <v>7.2287999999999997</v>
      </c>
    </row>
    <row r="2574" spans="1:2">
      <c r="A2574" s="1203">
        <v>38902</v>
      </c>
      <c r="B2574" s="1205">
        <v>7.0385</v>
      </c>
    </row>
    <row r="2575" spans="1:2">
      <c r="A2575" s="1203">
        <v>38901</v>
      </c>
      <c r="B2575" s="1205">
        <v>7.0563000000000002</v>
      </c>
    </row>
    <row r="2576" spans="1:2">
      <c r="A2576" s="1203">
        <v>38898</v>
      </c>
      <c r="B2576" s="1205">
        <v>7.1639999999999997</v>
      </c>
    </row>
    <row r="2577" spans="1:2">
      <c r="A2577" s="1203">
        <v>38897</v>
      </c>
      <c r="B2577" s="1205">
        <v>7.2925000000000004</v>
      </c>
    </row>
    <row r="2578" spans="1:2">
      <c r="A2578" s="1203">
        <v>38896</v>
      </c>
      <c r="B2578" s="1205">
        <v>7.2423000000000002</v>
      </c>
    </row>
    <row r="2579" spans="1:2">
      <c r="A2579" s="1203">
        <v>38895</v>
      </c>
      <c r="B2579" s="1205">
        <v>7.3025000000000002</v>
      </c>
    </row>
    <row r="2580" spans="1:2">
      <c r="A2580" s="1203">
        <v>38894</v>
      </c>
      <c r="B2580" s="1205">
        <v>7.3775000000000004</v>
      </c>
    </row>
    <row r="2581" spans="1:2">
      <c r="A2581" s="1203">
        <v>38891</v>
      </c>
      <c r="B2581" s="1205">
        <v>7.4462999999999999</v>
      </c>
    </row>
    <row r="2582" spans="1:2">
      <c r="A2582" s="1203">
        <v>38890</v>
      </c>
      <c r="B2582" s="1205">
        <v>7.3140000000000001</v>
      </c>
    </row>
    <row r="2583" spans="1:2">
      <c r="A2583" s="1203">
        <v>38889</v>
      </c>
      <c r="B2583" s="1205">
        <v>7.1470000000000002</v>
      </c>
    </row>
    <row r="2584" spans="1:2">
      <c r="A2584" s="1203">
        <v>38888</v>
      </c>
      <c r="B2584" s="1205">
        <v>7.0903</v>
      </c>
    </row>
    <row r="2585" spans="1:2">
      <c r="A2585" s="1203">
        <v>38887</v>
      </c>
      <c r="B2585" s="1205">
        <v>6.9820000000000002</v>
      </c>
    </row>
    <row r="2586" spans="1:2">
      <c r="A2586" s="1203">
        <v>38884</v>
      </c>
      <c r="B2586" s="1205">
        <v>6.8929999999999998</v>
      </c>
    </row>
    <row r="2587" spans="1:2">
      <c r="A2587" s="1203">
        <v>38883</v>
      </c>
      <c r="B2587" s="1205">
        <v>6.9335000000000004</v>
      </c>
    </row>
    <row r="2588" spans="1:2">
      <c r="A2588" s="1203">
        <v>38882</v>
      </c>
      <c r="B2588" s="1205">
        <v>6.8460000000000001</v>
      </c>
    </row>
    <row r="2589" spans="1:2">
      <c r="A2589" s="1203">
        <v>38881</v>
      </c>
      <c r="B2589" s="1205">
        <v>6.8440000000000003</v>
      </c>
    </row>
    <row r="2590" spans="1:2">
      <c r="A2590" s="1203">
        <v>38880</v>
      </c>
      <c r="B2590" s="1205">
        <v>6.7722999999999995</v>
      </c>
    </row>
    <row r="2591" spans="1:2">
      <c r="A2591" s="1203">
        <v>38877</v>
      </c>
      <c r="B2591" s="1205">
        <v>6.7213000000000003</v>
      </c>
    </row>
    <row r="2592" spans="1:2">
      <c r="A2592" s="1203">
        <v>38876</v>
      </c>
      <c r="B2592" s="1205">
        <v>6.7874999999999996</v>
      </c>
    </row>
    <row r="2593" spans="1:2">
      <c r="A2593" s="1203">
        <v>38875</v>
      </c>
      <c r="B2593" s="1205">
        <v>6.7125000000000004</v>
      </c>
    </row>
    <row r="2594" spans="1:2">
      <c r="A2594" s="1203">
        <v>38874</v>
      </c>
      <c r="B2594" s="1205">
        <v>6.7778</v>
      </c>
    </row>
    <row r="2595" spans="1:2">
      <c r="A2595" s="1203">
        <v>38873</v>
      </c>
      <c r="B2595" s="1205">
        <v>6.6395</v>
      </c>
    </row>
    <row r="2596" spans="1:2">
      <c r="A2596" s="1203">
        <v>38870</v>
      </c>
      <c r="B2596" s="1205">
        <v>6.6515000000000004</v>
      </c>
    </row>
    <row r="2597" spans="1:2">
      <c r="A2597" s="1203">
        <v>38869</v>
      </c>
      <c r="B2597" s="1205">
        <v>6.6787000000000001</v>
      </c>
    </row>
    <row r="2598" spans="1:2">
      <c r="A2598" s="1203">
        <v>38868</v>
      </c>
      <c r="B2598" s="1205">
        <v>6.7084999999999999</v>
      </c>
    </row>
    <row r="2599" spans="1:2">
      <c r="A2599" s="1203">
        <v>38867</v>
      </c>
      <c r="B2599" s="1205">
        <v>6.5842999999999998</v>
      </c>
    </row>
    <row r="2600" spans="1:2">
      <c r="A2600" s="1203">
        <v>38866</v>
      </c>
      <c r="B2600" s="1205">
        <v>6.5129999999999999</v>
      </c>
    </row>
    <row r="2601" spans="1:2">
      <c r="A2601" s="1203">
        <v>38863</v>
      </c>
      <c r="B2601" s="1205">
        <v>6.5385</v>
      </c>
    </row>
    <row r="2602" spans="1:2">
      <c r="A2602" s="1203">
        <v>38862</v>
      </c>
      <c r="B2602" s="1205">
        <v>6.5649999999999995</v>
      </c>
    </row>
    <row r="2603" spans="1:2">
      <c r="A2603" s="1203">
        <v>38861</v>
      </c>
      <c r="B2603" s="1205">
        <v>6.6788999999999996</v>
      </c>
    </row>
    <row r="2604" spans="1:2">
      <c r="A2604" s="1203">
        <v>38860</v>
      </c>
      <c r="B2604" s="1205">
        <v>6.5069999999999997</v>
      </c>
    </row>
    <row r="2605" spans="1:2">
      <c r="A2605" s="1203">
        <v>38859</v>
      </c>
      <c r="B2605" s="1205">
        <v>6.59</v>
      </c>
    </row>
    <row r="2606" spans="1:2">
      <c r="A2606" s="1203">
        <v>38856</v>
      </c>
      <c r="B2606" s="1205">
        <v>6.5258000000000003</v>
      </c>
    </row>
    <row r="2607" spans="1:2">
      <c r="A2607" s="1203">
        <v>38855</v>
      </c>
      <c r="B2607" s="1205">
        <v>6.4858000000000002</v>
      </c>
    </row>
    <row r="2608" spans="1:2">
      <c r="A2608" s="1203">
        <v>38854</v>
      </c>
      <c r="B2608" s="1205">
        <v>6.4</v>
      </c>
    </row>
    <row r="2609" spans="1:2">
      <c r="A2609" s="1203">
        <v>38853</v>
      </c>
      <c r="B2609" s="1205">
        <v>6.3697999999999997</v>
      </c>
    </row>
    <row r="2610" spans="1:2">
      <c r="A2610" s="1203">
        <v>38852</v>
      </c>
      <c r="B2610" s="1205">
        <v>6.4142999999999999</v>
      </c>
    </row>
    <row r="2611" spans="1:2">
      <c r="A2611" s="1203">
        <v>38849</v>
      </c>
      <c r="B2611" s="1205">
        <v>6.2385000000000002</v>
      </c>
    </row>
    <row r="2612" spans="1:2">
      <c r="A2612" s="1203">
        <v>38848</v>
      </c>
      <c r="B2612" s="1205">
        <v>6.0629999999999997</v>
      </c>
    </row>
    <row r="2613" spans="1:2">
      <c r="A2613" s="1203">
        <v>38847</v>
      </c>
      <c r="B2613" s="1205">
        <v>6.0702999999999996</v>
      </c>
    </row>
    <row r="2614" spans="1:2">
      <c r="A2614" s="1203">
        <v>38846</v>
      </c>
      <c r="B2614" s="1205">
        <v>6.0498000000000003</v>
      </c>
    </row>
    <row r="2615" spans="1:2">
      <c r="A2615" s="1203">
        <v>38845</v>
      </c>
      <c r="B2615" s="1205">
        <v>6.0585000000000004</v>
      </c>
    </row>
    <row r="2616" spans="1:2">
      <c r="A2616" s="1203">
        <v>38842</v>
      </c>
      <c r="B2616" s="1205">
        <v>6.0594999999999999</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AC493"/>
  <sheetViews>
    <sheetView showGridLines="0" zoomScale="75" zoomScaleNormal="75" zoomScalePageLayoutView="75" workbookViewId="0">
      <selection activeCell="F44" sqref="F44"/>
    </sheetView>
  </sheetViews>
  <sheetFormatPr baseColWidth="10" defaultRowHeight="15" x14ac:dyDescent="0"/>
  <cols>
    <col min="2" max="2" width="35.6640625" bestFit="1" customWidth="1"/>
    <col min="3" max="3" width="13.6640625" bestFit="1" customWidth="1"/>
    <col min="4" max="4" width="13.33203125" bestFit="1" customWidth="1"/>
    <col min="6" max="6" width="12.6640625" bestFit="1" customWidth="1"/>
    <col min="7" max="7" width="8.1640625" bestFit="1" customWidth="1"/>
    <col min="12" max="12" width="7" customWidth="1"/>
    <col min="16" max="16" width="2" customWidth="1"/>
  </cols>
  <sheetData>
    <row r="1" spans="1:26">
      <c r="A1" t="s">
        <v>1500</v>
      </c>
      <c r="B1" t="s">
        <v>1514</v>
      </c>
    </row>
    <row r="2" spans="1:26">
      <c r="A2" t="s">
        <v>1501</v>
      </c>
      <c r="B2" s="743">
        <v>38847</v>
      </c>
    </row>
    <row r="3" spans="1:26">
      <c r="A3" t="s">
        <v>1502</v>
      </c>
      <c r="B3" s="743">
        <v>42487</v>
      </c>
    </row>
    <row r="4" spans="1:26">
      <c r="A4" t="s">
        <v>1503</v>
      </c>
      <c r="B4" t="s">
        <v>1220</v>
      </c>
      <c r="F4" s="1903" t="s">
        <v>1637</v>
      </c>
      <c r="G4" s="1903"/>
    </row>
    <row r="5" spans="1:26">
      <c r="A5" t="s">
        <v>835</v>
      </c>
      <c r="B5" t="s">
        <v>1504</v>
      </c>
      <c r="F5" t="s">
        <v>1636</v>
      </c>
      <c r="G5">
        <v>10</v>
      </c>
      <c r="H5" s="969"/>
      <c r="I5" s="969"/>
      <c r="J5" s="969"/>
      <c r="K5" s="969"/>
      <c r="L5" s="969"/>
      <c r="M5" s="969"/>
      <c r="N5" s="969"/>
      <c r="O5" s="969"/>
      <c r="P5" s="969"/>
      <c r="Q5" s="969"/>
      <c r="R5" s="969"/>
      <c r="S5" s="969"/>
      <c r="T5" s="969"/>
      <c r="U5" s="969"/>
      <c r="V5" s="969"/>
      <c r="W5" s="969"/>
      <c r="X5" s="969"/>
      <c r="Y5" s="969"/>
      <c r="Z5" s="969"/>
    </row>
    <row r="6" spans="1:26">
      <c r="F6" t="s">
        <v>1619</v>
      </c>
      <c r="G6">
        <f>B493</f>
        <v>1130</v>
      </c>
    </row>
    <row r="7" spans="1:26" ht="16" thickBot="1">
      <c r="A7" s="10" t="s">
        <v>1176</v>
      </c>
      <c r="B7" s="10" t="s">
        <v>1505</v>
      </c>
      <c r="F7" t="s">
        <v>1620</v>
      </c>
      <c r="G7">
        <f>B10</f>
        <v>1570</v>
      </c>
      <c r="H7" s="969"/>
      <c r="I7" s="969"/>
      <c r="J7" s="969"/>
      <c r="K7" s="969"/>
      <c r="L7" s="969"/>
      <c r="M7" s="969"/>
      <c r="N7" s="969"/>
      <c r="O7" s="969"/>
      <c r="P7" s="969"/>
      <c r="Q7" s="969"/>
      <c r="R7" s="969"/>
      <c r="S7" s="969"/>
      <c r="T7" s="969"/>
      <c r="U7" s="969"/>
      <c r="V7" s="969"/>
      <c r="W7" s="969"/>
      <c r="X7" s="969"/>
      <c r="Y7" s="969"/>
      <c r="Z7" s="969"/>
    </row>
    <row r="8" spans="1:26" ht="21" thickBot="1">
      <c r="A8" s="1192" t="e">
        <v>#NAME?</v>
      </c>
      <c r="B8" s="10">
        <v>1570</v>
      </c>
      <c r="C8" s="1195">
        <f>AVERAGE(B8:B493)</f>
        <v>1454.5567010309278</v>
      </c>
      <c r="D8" s="1194" t="s">
        <v>1634</v>
      </c>
      <c r="F8" s="4" t="s">
        <v>1621</v>
      </c>
      <c r="G8" s="121">
        <f>(G7/G6)^(1/G5)-1</f>
        <v>3.3432513127982011E-2</v>
      </c>
      <c r="K8" s="1197" t="s">
        <v>1774</v>
      </c>
    </row>
    <row r="9" spans="1:26">
      <c r="A9" s="1192"/>
      <c r="B9" s="10"/>
    </row>
    <row r="10" spans="1:26">
      <c r="A10" s="1193">
        <v>42480</v>
      </c>
      <c r="B10" s="10">
        <v>1570</v>
      </c>
      <c r="F10" t="s">
        <v>1623</v>
      </c>
      <c r="G10">
        <v>1</v>
      </c>
      <c r="H10" s="969"/>
      <c r="I10" s="969"/>
      <c r="J10" s="969"/>
      <c r="K10" s="969"/>
      <c r="L10" s="969"/>
      <c r="M10" s="969"/>
      <c r="N10" s="969"/>
      <c r="O10" s="969"/>
      <c r="P10" s="969"/>
      <c r="Q10" s="969"/>
      <c r="R10" s="969"/>
      <c r="S10" s="969"/>
      <c r="T10" s="969"/>
      <c r="U10" s="969"/>
      <c r="V10" s="969"/>
      <c r="W10" s="969"/>
      <c r="X10" s="969"/>
      <c r="Y10" s="969"/>
      <c r="Z10" s="969"/>
    </row>
    <row r="11" spans="1:26">
      <c r="A11" s="1193">
        <v>42474</v>
      </c>
      <c r="B11" s="10">
        <v>1570</v>
      </c>
      <c r="F11" t="s">
        <v>1619</v>
      </c>
      <c r="G11">
        <f>B59</f>
        <v>1950</v>
      </c>
    </row>
    <row r="12" spans="1:26">
      <c r="A12" s="1193">
        <v>42466</v>
      </c>
      <c r="B12" s="10">
        <v>1620</v>
      </c>
      <c r="F12" t="s">
        <v>1620</v>
      </c>
      <c r="G12">
        <f>B10</f>
        <v>1570</v>
      </c>
    </row>
    <row r="13" spans="1:26">
      <c r="A13" s="1193">
        <v>42459</v>
      </c>
      <c r="B13" s="10">
        <v>1640</v>
      </c>
      <c r="F13" s="4" t="s">
        <v>1622</v>
      </c>
      <c r="G13" s="121">
        <f>(G12/G11)^(1/G10)-1</f>
        <v>-0.19487179487179485</v>
      </c>
    </row>
    <row r="14" spans="1:26">
      <c r="A14" s="1193">
        <v>42452</v>
      </c>
      <c r="B14" s="10">
        <v>1620</v>
      </c>
    </row>
    <row r="15" spans="1:26">
      <c r="A15" s="1193">
        <v>42445</v>
      </c>
      <c r="B15" s="10">
        <v>1650</v>
      </c>
      <c r="F15" t="s">
        <v>1624</v>
      </c>
      <c r="G15">
        <v>2</v>
      </c>
    </row>
    <row r="16" spans="1:26">
      <c r="A16" s="1193">
        <v>42438</v>
      </c>
      <c r="B16" s="10">
        <v>1560</v>
      </c>
      <c r="F16" t="s">
        <v>1619</v>
      </c>
      <c r="G16">
        <f>B108</f>
        <v>1600</v>
      </c>
    </row>
    <row r="17" spans="1:26">
      <c r="A17" s="1193">
        <v>42431</v>
      </c>
      <c r="B17" s="10">
        <v>1540</v>
      </c>
      <c r="F17" t="s">
        <v>1620</v>
      </c>
      <c r="G17">
        <f>B10</f>
        <v>1570</v>
      </c>
    </row>
    <row r="18" spans="1:26">
      <c r="A18" s="1193">
        <v>42425</v>
      </c>
      <c r="B18" s="10">
        <v>1550</v>
      </c>
      <c r="F18" s="4" t="s">
        <v>1625</v>
      </c>
      <c r="G18" s="121">
        <f>(G17/G16)^(1/G15)-1</f>
        <v>-9.4193621920525272E-3</v>
      </c>
    </row>
    <row r="19" spans="1:26">
      <c r="A19" s="1193">
        <v>42417</v>
      </c>
      <c r="B19" s="10">
        <v>1580</v>
      </c>
    </row>
    <row r="20" spans="1:26">
      <c r="A20" s="1193">
        <v>42410</v>
      </c>
      <c r="B20" s="10">
        <v>1600</v>
      </c>
      <c r="F20" t="s">
        <v>1626</v>
      </c>
      <c r="G20">
        <v>3</v>
      </c>
    </row>
    <row r="21" spans="1:26">
      <c r="A21" s="1193">
        <v>42403</v>
      </c>
      <c r="B21" s="10">
        <v>1600</v>
      </c>
      <c r="F21" t="s">
        <v>1619</v>
      </c>
      <c r="G21">
        <f>B159</f>
        <v>1900</v>
      </c>
    </row>
    <row r="22" spans="1:26">
      <c r="A22" s="1193">
        <v>42396</v>
      </c>
      <c r="B22" s="10">
        <v>1600</v>
      </c>
      <c r="F22" t="s">
        <v>1620</v>
      </c>
      <c r="G22">
        <f>B10</f>
        <v>1570</v>
      </c>
    </row>
    <row r="23" spans="1:26">
      <c r="A23" s="1193">
        <v>42389</v>
      </c>
      <c r="B23" s="10">
        <v>1650</v>
      </c>
      <c r="F23" s="4" t="s">
        <v>1627</v>
      </c>
      <c r="G23" s="121">
        <f>(G22/G21)^(1/G20)-1</f>
        <v>-6.16129253961617E-2</v>
      </c>
    </row>
    <row r="24" spans="1:26" ht="16" thickBot="1">
      <c r="A24" s="1193">
        <v>42382</v>
      </c>
      <c r="B24" s="10">
        <v>1700</v>
      </c>
      <c r="C24" s="1196"/>
    </row>
    <row r="25" spans="1:26" ht="16" thickBot="1">
      <c r="A25" s="1193">
        <v>42369</v>
      </c>
      <c r="B25" s="10">
        <v>1750</v>
      </c>
      <c r="C25" s="1195">
        <f>AVERAGE(B25:B73)</f>
        <v>1848.1632653061224</v>
      </c>
      <c r="D25" s="1194" t="s">
        <v>1635</v>
      </c>
      <c r="F25" t="s">
        <v>1628</v>
      </c>
      <c r="G25">
        <v>4</v>
      </c>
    </row>
    <row r="26" spans="1:26">
      <c r="A26" s="1193">
        <v>42361</v>
      </c>
      <c r="B26" s="10">
        <v>1800</v>
      </c>
      <c r="F26" t="s">
        <v>1619</v>
      </c>
      <c r="G26">
        <f>B206</f>
        <v>1450</v>
      </c>
    </row>
    <row r="27" spans="1:26">
      <c r="A27" s="1193">
        <v>42354</v>
      </c>
      <c r="B27" s="10">
        <v>1800</v>
      </c>
      <c r="F27" t="s">
        <v>1620</v>
      </c>
      <c r="G27">
        <f>B10</f>
        <v>1570</v>
      </c>
    </row>
    <row r="28" spans="1:26">
      <c r="A28" s="1193">
        <v>42347</v>
      </c>
      <c r="B28" s="10">
        <v>1800</v>
      </c>
      <c r="F28" s="4" t="s">
        <v>1629</v>
      </c>
      <c r="G28" s="121">
        <f>(G27/G26)^(1/G25)-1</f>
        <v>2.0076899103083967E-2</v>
      </c>
      <c r="K28" t="s">
        <v>1733</v>
      </c>
    </row>
    <row r="29" spans="1:26">
      <c r="A29" s="1193">
        <v>42340</v>
      </c>
      <c r="B29" s="10">
        <v>1800</v>
      </c>
    </row>
    <row r="30" spans="1:26">
      <c r="A30" s="1193">
        <v>42333</v>
      </c>
      <c r="B30" s="10">
        <v>1850</v>
      </c>
      <c r="F30" t="s">
        <v>1630</v>
      </c>
      <c r="G30">
        <v>5</v>
      </c>
      <c r="H30" s="969"/>
      <c r="I30" s="969"/>
      <c r="J30" s="969"/>
      <c r="K30" s="969"/>
      <c r="L30" s="969"/>
      <c r="M30" s="969"/>
      <c r="N30" s="969"/>
      <c r="O30" s="969"/>
      <c r="P30" s="969"/>
      <c r="Q30" s="969"/>
      <c r="R30" s="969"/>
      <c r="S30" s="969"/>
      <c r="T30" s="969"/>
      <c r="U30" s="969"/>
      <c r="V30" s="969"/>
      <c r="W30" s="969"/>
      <c r="X30" s="969"/>
      <c r="Y30" s="969"/>
      <c r="Z30" s="969"/>
    </row>
    <row r="31" spans="1:26">
      <c r="A31" s="1193">
        <v>42326</v>
      </c>
      <c r="B31" s="10">
        <v>1940</v>
      </c>
      <c r="F31" t="s">
        <v>1619</v>
      </c>
      <c r="G31">
        <f>B245</f>
        <v>1380</v>
      </c>
    </row>
    <row r="32" spans="1:26">
      <c r="A32" s="1193">
        <v>42319</v>
      </c>
      <c r="B32" s="10">
        <v>1940</v>
      </c>
      <c r="F32" t="s">
        <v>1620</v>
      </c>
      <c r="G32">
        <f>B10</f>
        <v>1570</v>
      </c>
    </row>
    <row r="33" spans="1:26">
      <c r="A33" s="1193">
        <v>42312</v>
      </c>
      <c r="B33" s="10">
        <v>1890</v>
      </c>
      <c r="F33" s="4" t="s">
        <v>1631</v>
      </c>
      <c r="G33" s="121">
        <f>(G32/G31)^(1/G30)-1</f>
        <v>2.613408365982739E-2</v>
      </c>
      <c r="H33" s="969"/>
      <c r="I33" s="969"/>
      <c r="J33" s="969"/>
      <c r="K33" s="969"/>
      <c r="L33" s="969"/>
      <c r="M33" s="969"/>
      <c r="N33" s="969"/>
      <c r="O33" s="969"/>
      <c r="P33" s="969"/>
      <c r="Q33" s="969"/>
      <c r="R33" s="969"/>
      <c r="S33" s="969"/>
      <c r="T33" s="969"/>
      <c r="U33" s="969"/>
      <c r="V33" s="969"/>
      <c r="W33" s="969"/>
      <c r="X33" s="969"/>
      <c r="Y33" s="969"/>
      <c r="Z33" s="969"/>
    </row>
    <row r="34" spans="1:26">
      <c r="A34" s="1193">
        <v>42306</v>
      </c>
      <c r="B34" s="10">
        <v>1890</v>
      </c>
      <c r="H34" s="969"/>
      <c r="I34" s="969"/>
      <c r="J34" s="969"/>
      <c r="K34" s="969"/>
      <c r="L34" s="969"/>
      <c r="M34" s="969"/>
      <c r="N34" s="969"/>
      <c r="O34" s="969"/>
      <c r="P34" s="969"/>
      <c r="Q34" s="969"/>
      <c r="R34" s="969"/>
      <c r="S34" s="969"/>
      <c r="T34" s="969"/>
      <c r="U34" s="969"/>
      <c r="V34" s="969"/>
      <c r="W34" s="969"/>
      <c r="X34" s="969"/>
      <c r="Y34" s="969"/>
      <c r="Z34" s="969"/>
    </row>
    <row r="35" spans="1:26">
      <c r="A35" s="1193">
        <v>42291</v>
      </c>
      <c r="B35" s="10">
        <v>1840</v>
      </c>
      <c r="F35" t="s">
        <v>1632</v>
      </c>
      <c r="G35">
        <v>6</v>
      </c>
      <c r="H35" s="969"/>
      <c r="I35" s="969"/>
      <c r="J35" s="969"/>
      <c r="K35" s="969"/>
      <c r="L35" s="969"/>
      <c r="M35" s="969"/>
      <c r="N35" s="969"/>
      <c r="O35" s="969"/>
      <c r="P35" s="969"/>
      <c r="Q35" s="969"/>
      <c r="R35" s="969"/>
      <c r="S35" s="969"/>
      <c r="T35" s="969"/>
      <c r="U35" s="969"/>
      <c r="V35" s="969"/>
      <c r="W35" s="969"/>
      <c r="X35" s="969"/>
      <c r="Y35" s="969"/>
      <c r="Z35" s="969"/>
    </row>
    <row r="36" spans="1:26">
      <c r="A36" s="1193">
        <v>42284</v>
      </c>
      <c r="B36" s="10">
        <v>1740</v>
      </c>
      <c r="F36" t="s">
        <v>1619</v>
      </c>
      <c r="G36">
        <f>B296</f>
        <v>1880</v>
      </c>
      <c r="H36" s="969"/>
      <c r="I36" s="969"/>
      <c r="J36" s="969"/>
      <c r="K36" s="969"/>
      <c r="L36" s="969"/>
      <c r="M36" s="969"/>
      <c r="N36" s="969"/>
      <c r="O36" s="969"/>
      <c r="P36" s="969"/>
      <c r="Q36" s="969"/>
      <c r="R36" s="969"/>
      <c r="S36" s="969"/>
      <c r="T36" s="969"/>
      <c r="U36" s="969"/>
      <c r="V36" s="969"/>
      <c r="W36" s="969"/>
      <c r="X36" s="969"/>
      <c r="Y36" s="969"/>
      <c r="Z36" s="969"/>
    </row>
    <row r="37" spans="1:26">
      <c r="A37" s="1193">
        <v>42279</v>
      </c>
      <c r="B37" s="10">
        <v>1740</v>
      </c>
      <c r="F37" t="s">
        <v>1620</v>
      </c>
      <c r="G37">
        <f>B10</f>
        <v>1570</v>
      </c>
    </row>
    <row r="38" spans="1:26">
      <c r="A38" s="1193">
        <v>42270</v>
      </c>
      <c r="B38" s="10">
        <v>1690</v>
      </c>
      <c r="F38" s="4" t="s">
        <v>1633</v>
      </c>
      <c r="G38" s="121">
        <f>(G37/G36)^(1/G35)-1</f>
        <v>-2.9586192624866947E-2</v>
      </c>
      <c r="H38" s="969"/>
      <c r="I38" s="969"/>
      <c r="J38" s="969"/>
      <c r="K38" s="969"/>
      <c r="L38" s="969"/>
      <c r="M38" s="969"/>
      <c r="N38" s="969"/>
      <c r="O38" s="969"/>
      <c r="P38" s="969"/>
      <c r="Q38" s="969"/>
      <c r="R38" s="969"/>
      <c r="S38" s="969"/>
      <c r="T38" s="969"/>
      <c r="U38" s="969"/>
      <c r="V38" s="969"/>
      <c r="W38" s="969"/>
      <c r="X38" s="969"/>
      <c r="Y38" s="969"/>
      <c r="Z38" s="969"/>
    </row>
    <row r="39" spans="1:26">
      <c r="A39" s="1193">
        <v>42263</v>
      </c>
      <c r="B39" s="10">
        <v>1670</v>
      </c>
    </row>
    <row r="40" spans="1:26">
      <c r="A40" s="1193">
        <v>42256</v>
      </c>
      <c r="B40" s="10">
        <v>1650</v>
      </c>
    </row>
    <row r="41" spans="1:26">
      <c r="A41" s="1193">
        <v>42249</v>
      </c>
      <c r="B41" s="10">
        <v>1650</v>
      </c>
    </row>
    <row r="42" spans="1:26">
      <c r="A42" s="1193">
        <v>42242</v>
      </c>
      <c r="B42" s="10">
        <v>1650</v>
      </c>
      <c r="H42" s="969"/>
      <c r="I42" s="969"/>
      <c r="J42" s="969"/>
      <c r="K42" s="969"/>
      <c r="L42" s="969"/>
      <c r="M42" s="969"/>
      <c r="N42" s="969"/>
      <c r="O42" s="969"/>
      <c r="P42" s="969"/>
    </row>
    <row r="43" spans="1:26">
      <c r="A43" s="1193">
        <v>42235</v>
      </c>
      <c r="B43" s="10">
        <v>1650</v>
      </c>
      <c r="H43" s="969"/>
      <c r="I43" s="969"/>
      <c r="J43" s="969"/>
      <c r="K43" s="969"/>
      <c r="L43" s="969"/>
      <c r="M43" s="969"/>
      <c r="N43" s="969"/>
      <c r="O43" s="969"/>
      <c r="P43" s="969"/>
    </row>
    <row r="44" spans="1:26">
      <c r="A44" s="1193">
        <v>42228</v>
      </c>
      <c r="B44" s="10">
        <v>1620</v>
      </c>
      <c r="H44" s="969"/>
      <c r="I44" s="969"/>
      <c r="J44" s="969"/>
      <c r="K44" s="969"/>
      <c r="L44" s="969"/>
      <c r="M44" s="969"/>
      <c r="N44" s="969"/>
      <c r="O44" s="969"/>
      <c r="P44" s="969"/>
    </row>
    <row r="45" spans="1:26">
      <c r="A45" s="1193">
        <v>42221</v>
      </c>
      <c r="B45" s="10">
        <v>1600</v>
      </c>
      <c r="H45" s="969"/>
      <c r="I45" s="969"/>
      <c r="J45" s="969"/>
      <c r="K45" s="969"/>
      <c r="L45" s="969"/>
      <c r="M45" s="969"/>
      <c r="N45" s="969"/>
      <c r="O45" s="969"/>
      <c r="P45" s="969"/>
    </row>
    <row r="46" spans="1:26">
      <c r="A46" s="1193">
        <v>42207</v>
      </c>
      <c r="B46" s="10">
        <v>1530</v>
      </c>
      <c r="H46" s="969"/>
      <c r="I46" s="969"/>
      <c r="J46" s="969"/>
      <c r="K46" s="969"/>
      <c r="L46" s="969"/>
      <c r="M46" s="969"/>
      <c r="N46" s="969"/>
      <c r="O46" s="969"/>
      <c r="P46" s="969"/>
    </row>
    <row r="47" spans="1:26">
      <c r="A47" s="1193">
        <v>42200</v>
      </c>
      <c r="B47" s="10">
        <v>1530</v>
      </c>
      <c r="H47" s="969"/>
      <c r="I47" s="969"/>
      <c r="J47" s="969"/>
      <c r="K47" s="969"/>
      <c r="L47" s="969"/>
      <c r="M47" s="969"/>
      <c r="N47" s="969"/>
      <c r="O47" s="969"/>
      <c r="P47" s="969"/>
    </row>
    <row r="48" spans="1:26">
      <c r="A48" s="1193">
        <v>42193</v>
      </c>
      <c r="B48" s="10">
        <v>1550</v>
      </c>
      <c r="H48" s="969"/>
      <c r="I48" s="969"/>
      <c r="J48" s="969"/>
      <c r="K48" s="969"/>
      <c r="L48" s="969"/>
      <c r="M48" s="969"/>
      <c r="N48" s="969"/>
      <c r="O48" s="969"/>
      <c r="P48" s="969"/>
    </row>
    <row r="49" spans="1:29">
      <c r="A49" s="1193">
        <v>42186</v>
      </c>
      <c r="B49" s="10">
        <v>1600</v>
      </c>
      <c r="H49" s="969"/>
      <c r="I49" s="969"/>
      <c r="J49" s="969"/>
      <c r="K49" s="969"/>
      <c r="L49" s="969"/>
      <c r="M49" s="969"/>
      <c r="N49" s="969"/>
      <c r="O49" s="969"/>
      <c r="P49" s="969"/>
    </row>
    <row r="50" spans="1:29">
      <c r="A50" s="1193">
        <v>42179</v>
      </c>
      <c r="B50" s="10">
        <v>1600</v>
      </c>
      <c r="H50" s="969"/>
      <c r="I50" s="969"/>
      <c r="J50" s="969"/>
      <c r="K50" s="969"/>
      <c r="L50" s="969"/>
      <c r="M50" s="969"/>
      <c r="N50" s="969"/>
      <c r="O50" s="969"/>
      <c r="P50" s="969"/>
    </row>
    <row r="51" spans="1:29">
      <c r="A51" s="1193">
        <v>42172</v>
      </c>
      <c r="B51" s="10">
        <v>1635</v>
      </c>
      <c r="H51" s="969"/>
      <c r="I51" s="969"/>
      <c r="J51" s="969"/>
      <c r="K51" s="969"/>
      <c r="L51" s="969"/>
      <c r="M51" s="969"/>
      <c r="N51" s="969"/>
      <c r="O51" s="969"/>
      <c r="P51" s="969"/>
    </row>
    <row r="52" spans="1:29">
      <c r="A52" s="1193">
        <v>42165</v>
      </c>
      <c r="B52" s="10">
        <v>1650</v>
      </c>
      <c r="H52" s="969"/>
      <c r="I52" s="969"/>
      <c r="J52" s="969"/>
      <c r="K52" s="969"/>
      <c r="L52" s="969"/>
      <c r="M52" s="969"/>
      <c r="N52" s="969"/>
      <c r="O52" s="969"/>
      <c r="P52" s="1065"/>
    </row>
    <row r="53" spans="1:29">
      <c r="A53" s="1193">
        <v>42158</v>
      </c>
      <c r="B53" s="10">
        <v>1685</v>
      </c>
      <c r="H53" s="969"/>
      <c r="I53" s="969"/>
      <c r="J53" s="969"/>
      <c r="K53" s="969"/>
      <c r="L53" s="969"/>
      <c r="M53" s="969"/>
      <c r="N53" s="969"/>
      <c r="O53" s="969"/>
      <c r="P53" s="969"/>
    </row>
    <row r="54" spans="1:29">
      <c r="A54" s="1193">
        <v>42151</v>
      </c>
      <c r="B54" s="10">
        <v>1750</v>
      </c>
      <c r="H54" s="969"/>
      <c r="I54" s="969"/>
      <c r="J54" s="969"/>
      <c r="K54" s="969"/>
      <c r="L54" s="969"/>
      <c r="M54" s="969"/>
      <c r="N54" s="969"/>
      <c r="O54" s="969"/>
      <c r="P54" s="969"/>
    </row>
    <row r="55" spans="1:29">
      <c r="A55" s="1193">
        <v>42146</v>
      </c>
      <c r="B55" s="10">
        <v>1770</v>
      </c>
      <c r="H55" s="969"/>
      <c r="I55" s="969"/>
      <c r="J55" s="969"/>
      <c r="K55" s="969"/>
      <c r="L55" s="969"/>
      <c r="M55" s="969"/>
      <c r="N55" s="969"/>
      <c r="O55" s="969"/>
      <c r="P55" s="969"/>
    </row>
    <row r="56" spans="1:29">
      <c r="A56" s="1193">
        <v>42137</v>
      </c>
      <c r="B56" s="10">
        <v>1820</v>
      </c>
      <c r="H56" s="969"/>
      <c r="I56" s="969"/>
      <c r="J56" s="969"/>
      <c r="K56" s="969"/>
      <c r="L56" s="969"/>
      <c r="M56" s="969"/>
      <c r="N56" s="969"/>
      <c r="O56" s="969"/>
      <c r="P56" s="969"/>
    </row>
    <row r="57" spans="1:29">
      <c r="A57" s="1193">
        <v>42130</v>
      </c>
      <c r="B57" s="10">
        <v>1840</v>
      </c>
      <c r="H57" s="969"/>
      <c r="I57" s="969"/>
      <c r="J57" s="969"/>
      <c r="K57" s="969"/>
      <c r="L57" s="969"/>
      <c r="M57" s="969"/>
      <c r="N57" s="969"/>
      <c r="O57" s="969"/>
      <c r="P57" s="969"/>
    </row>
    <row r="58" spans="1:29">
      <c r="A58" s="1193">
        <v>42123</v>
      </c>
      <c r="B58" s="10">
        <v>1850</v>
      </c>
      <c r="H58" s="969"/>
      <c r="I58" s="969"/>
      <c r="J58" s="969"/>
      <c r="K58" s="969"/>
      <c r="L58" s="969"/>
      <c r="M58" s="969"/>
      <c r="N58" s="969"/>
      <c r="O58" s="969"/>
      <c r="P58" s="969"/>
    </row>
    <row r="59" spans="1:29">
      <c r="A59" s="1193">
        <v>42116</v>
      </c>
      <c r="B59" s="10">
        <v>1950</v>
      </c>
      <c r="H59" s="969"/>
      <c r="I59" s="969"/>
      <c r="J59" s="969"/>
      <c r="K59" s="969"/>
      <c r="L59" s="969"/>
      <c r="M59" s="969"/>
      <c r="N59" s="969"/>
      <c r="O59" s="969"/>
      <c r="P59" s="969"/>
    </row>
    <row r="60" spans="1:29">
      <c r="A60" s="1193">
        <v>42111</v>
      </c>
      <c r="B60" s="10">
        <v>1950</v>
      </c>
      <c r="E60" s="137"/>
      <c r="F60" s="137"/>
      <c r="G60" s="137"/>
      <c r="H60" s="844"/>
      <c r="I60" s="844"/>
      <c r="J60" s="844"/>
      <c r="K60" s="844"/>
      <c r="L60" s="844"/>
      <c r="M60" s="844"/>
      <c r="N60" s="844"/>
      <c r="O60" s="844"/>
      <c r="P60" s="844"/>
      <c r="Q60" s="137"/>
      <c r="R60" s="137"/>
      <c r="S60" s="137"/>
      <c r="T60" s="137"/>
      <c r="U60" s="137"/>
      <c r="V60" s="137"/>
      <c r="W60" s="137"/>
      <c r="X60" s="137"/>
      <c r="Y60" s="137"/>
      <c r="Z60" s="137"/>
      <c r="AA60" s="137"/>
      <c r="AB60" s="137"/>
      <c r="AC60" s="137"/>
    </row>
    <row r="61" spans="1:29">
      <c r="A61" s="1193">
        <v>42102</v>
      </c>
      <c r="B61" s="10">
        <v>1950</v>
      </c>
      <c r="E61" s="137"/>
      <c r="F61" s="137"/>
      <c r="G61" s="137"/>
      <c r="H61" s="844"/>
      <c r="I61" s="844"/>
      <c r="J61" s="844"/>
      <c r="K61" s="844"/>
      <c r="L61" s="844"/>
      <c r="M61" s="844"/>
      <c r="N61" s="844"/>
      <c r="O61" s="844"/>
      <c r="P61" s="844"/>
      <c r="Q61" s="137"/>
      <c r="R61" s="137"/>
      <c r="S61" s="137"/>
      <c r="T61" s="137"/>
      <c r="U61" s="137"/>
      <c r="V61" s="137"/>
      <c r="W61" s="137"/>
      <c r="X61" s="137"/>
      <c r="Y61" s="137"/>
      <c r="Z61" s="137"/>
      <c r="AA61" s="137"/>
      <c r="AB61" s="137"/>
      <c r="AC61" s="137"/>
    </row>
    <row r="62" spans="1:29">
      <c r="A62" s="1193">
        <v>42095</v>
      </c>
      <c r="B62" s="10">
        <v>1970</v>
      </c>
      <c r="E62" s="137"/>
      <c r="F62" s="137"/>
      <c r="G62" s="137"/>
      <c r="H62" s="844"/>
      <c r="I62" s="844"/>
      <c r="J62" s="844"/>
      <c r="K62" s="844"/>
      <c r="L62" s="844"/>
      <c r="M62" s="844"/>
      <c r="N62" s="844"/>
      <c r="O62" s="844"/>
      <c r="P62" s="844"/>
      <c r="Q62" s="137"/>
      <c r="R62" s="137"/>
      <c r="S62" s="137"/>
      <c r="T62" s="137"/>
      <c r="U62" s="137"/>
      <c r="V62" s="137"/>
      <c r="W62" s="137"/>
      <c r="X62" s="137"/>
      <c r="Y62" s="137"/>
      <c r="Z62" s="137"/>
      <c r="AA62" s="137"/>
      <c r="AB62" s="137"/>
      <c r="AC62" s="137"/>
    </row>
    <row r="63" spans="1:29">
      <c r="A63" s="1193">
        <v>42088</v>
      </c>
      <c r="B63" s="10">
        <v>1970</v>
      </c>
      <c r="E63" s="137"/>
      <c r="F63" s="137"/>
      <c r="G63" s="137"/>
      <c r="H63" s="844"/>
      <c r="I63" s="844"/>
      <c r="J63" s="844"/>
      <c r="K63" s="844"/>
      <c r="L63" s="844"/>
      <c r="M63" s="844"/>
      <c r="N63" s="844"/>
      <c r="O63" s="844"/>
      <c r="P63" s="844"/>
      <c r="Q63" s="137"/>
      <c r="R63" s="137"/>
      <c r="S63" s="137"/>
      <c r="T63" s="137"/>
      <c r="U63" s="137"/>
      <c r="V63" s="137"/>
      <c r="W63" s="137"/>
      <c r="X63" s="137"/>
      <c r="Y63" s="137"/>
      <c r="Z63" s="137"/>
      <c r="AA63" s="137"/>
      <c r="AB63" s="137"/>
      <c r="AC63" s="137"/>
    </row>
    <row r="64" spans="1:29" s="1065" customFormat="1">
      <c r="A64" s="1193">
        <v>42081</v>
      </c>
      <c r="B64" s="10">
        <v>2050</v>
      </c>
      <c r="E64" s="1011"/>
      <c r="F64" s="1011"/>
      <c r="G64" s="1011"/>
      <c r="H64" s="1011"/>
      <c r="I64" s="1011"/>
      <c r="J64" s="1011"/>
      <c r="K64" s="1011"/>
      <c r="L64" s="1011"/>
      <c r="M64" s="1011"/>
      <c r="N64" s="1011"/>
      <c r="O64" s="1011"/>
      <c r="P64" s="1011"/>
      <c r="Q64" s="1011"/>
      <c r="R64" s="1011"/>
      <c r="S64" s="1011"/>
      <c r="T64" s="1011"/>
      <c r="U64" s="1011"/>
      <c r="V64" s="1011"/>
      <c r="W64" s="1011"/>
      <c r="X64" s="1011"/>
      <c r="Y64" s="1011"/>
      <c r="Z64" s="1011"/>
      <c r="AA64" s="1011"/>
      <c r="AB64" s="1011"/>
      <c r="AC64" s="1011"/>
    </row>
    <row r="65" spans="1:29">
      <c r="A65" s="1193">
        <v>42074</v>
      </c>
      <c r="B65" s="10">
        <v>2200</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row>
    <row r="66" spans="1:29">
      <c r="A66" s="1193">
        <v>42060</v>
      </c>
      <c r="B66" s="10">
        <v>2200</v>
      </c>
      <c r="E66" s="137"/>
      <c r="F66" s="137"/>
      <c r="G66" s="137"/>
      <c r="H66" s="844"/>
      <c r="I66" s="844"/>
      <c r="J66" s="844"/>
      <c r="K66" s="844"/>
      <c r="L66" s="844"/>
      <c r="M66" s="844"/>
      <c r="N66" s="844"/>
      <c r="O66" s="844"/>
      <c r="P66" s="844"/>
      <c r="Q66" s="137"/>
      <c r="R66" s="137"/>
      <c r="S66" s="137"/>
      <c r="T66" s="137"/>
      <c r="U66" s="137"/>
      <c r="V66" s="137"/>
      <c r="W66" s="137"/>
      <c r="X66" s="137"/>
      <c r="Y66" s="137"/>
      <c r="Z66" s="137"/>
      <c r="AA66" s="137"/>
      <c r="AB66" s="137"/>
      <c r="AC66" s="137"/>
    </row>
    <row r="67" spans="1:29" s="1065" customFormat="1">
      <c r="A67" s="1193">
        <v>42053</v>
      </c>
      <c r="B67" s="10">
        <v>2250</v>
      </c>
      <c r="E67" s="1011"/>
      <c r="F67" s="1011"/>
      <c r="G67" s="1011"/>
      <c r="H67" s="1011"/>
      <c r="I67" s="1011"/>
      <c r="J67" s="1011"/>
      <c r="K67" s="1011"/>
      <c r="L67" s="1011"/>
      <c r="M67" s="1011"/>
      <c r="N67" s="1011"/>
      <c r="O67" s="1011"/>
      <c r="P67" s="1011"/>
      <c r="Q67" s="1011"/>
      <c r="R67" s="1011"/>
      <c r="S67" s="1011"/>
      <c r="T67" s="1011"/>
      <c r="U67" s="1011"/>
      <c r="V67" s="1011"/>
      <c r="W67" s="1011"/>
      <c r="X67" s="1011"/>
      <c r="Y67" s="1011"/>
      <c r="Z67" s="1011"/>
      <c r="AA67" s="1011"/>
      <c r="AB67" s="1011"/>
      <c r="AC67" s="1011"/>
    </row>
    <row r="68" spans="1:29">
      <c r="A68" s="1193">
        <v>42046</v>
      </c>
      <c r="B68" s="10">
        <v>2300</v>
      </c>
      <c r="E68" s="137"/>
      <c r="F68" s="137"/>
      <c r="G68" s="137"/>
      <c r="H68" s="844"/>
      <c r="I68" s="844"/>
      <c r="J68" s="844"/>
      <c r="K68" s="844"/>
      <c r="L68" s="844"/>
      <c r="M68" s="844"/>
      <c r="N68" s="844"/>
      <c r="O68" s="844"/>
      <c r="P68" s="844"/>
      <c r="Q68" s="137"/>
      <c r="R68" s="137"/>
      <c r="S68" s="137"/>
      <c r="T68" s="137"/>
      <c r="U68" s="137"/>
      <c r="V68" s="137"/>
      <c r="W68" s="137"/>
      <c r="X68" s="137"/>
      <c r="Y68" s="137"/>
      <c r="Z68" s="137"/>
      <c r="AA68" s="137"/>
      <c r="AB68" s="137"/>
      <c r="AC68" s="137"/>
    </row>
    <row r="69" spans="1:29" s="1065" customFormat="1">
      <c r="A69" s="1193">
        <v>42039</v>
      </c>
      <c r="B69" s="10">
        <v>2300</v>
      </c>
      <c r="E69" s="1011"/>
      <c r="F69" s="1011"/>
      <c r="G69" s="1011"/>
      <c r="H69" s="1011"/>
      <c r="I69" s="1011"/>
      <c r="J69" s="1011"/>
      <c r="K69" s="1011"/>
      <c r="L69" s="1011"/>
      <c r="M69" s="1011"/>
      <c r="N69" s="1011"/>
      <c r="O69" s="1011"/>
      <c r="P69" s="1011"/>
      <c r="Q69" s="1011"/>
      <c r="R69" s="1011"/>
      <c r="S69" s="1011"/>
      <c r="T69" s="1011"/>
      <c r="U69" s="1011"/>
      <c r="V69" s="1011"/>
      <c r="W69" s="1011"/>
      <c r="X69" s="1011"/>
      <c r="Y69" s="1011"/>
      <c r="Z69" s="1011"/>
      <c r="AA69" s="1011"/>
      <c r="AB69" s="1011"/>
      <c r="AC69" s="1011"/>
    </row>
    <row r="70" spans="1:29">
      <c r="A70" s="1193">
        <v>42032</v>
      </c>
      <c r="B70" s="10">
        <v>2300</v>
      </c>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row>
    <row r="71" spans="1:29">
      <c r="A71" s="1193">
        <v>42025</v>
      </c>
      <c r="B71" s="10">
        <v>2350</v>
      </c>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row>
    <row r="72" spans="1:29">
      <c r="A72" s="1193">
        <v>42018</v>
      </c>
      <c r="B72" s="10">
        <v>2350</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row>
    <row r="73" spans="1:29">
      <c r="A73" s="1193">
        <v>42010</v>
      </c>
      <c r="B73" s="10">
        <v>1700</v>
      </c>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row>
    <row r="74" spans="1:29">
      <c r="A74" s="1193">
        <v>42004</v>
      </c>
      <c r="B74" s="10">
        <v>2380</v>
      </c>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row>
    <row r="75" spans="1:29">
      <c r="A75" s="1193">
        <v>41996</v>
      </c>
      <c r="B75" s="10">
        <v>2380</v>
      </c>
      <c r="E75" s="137"/>
      <c r="F75" s="137"/>
      <c r="G75" s="137"/>
      <c r="H75" s="844"/>
      <c r="I75" s="844"/>
      <c r="J75" s="844"/>
      <c r="K75" s="844"/>
      <c r="L75" s="844"/>
      <c r="M75" s="844"/>
      <c r="N75" s="844"/>
      <c r="O75" s="844"/>
      <c r="P75" s="844"/>
      <c r="Q75" s="844"/>
      <c r="R75" s="844"/>
      <c r="S75" s="844"/>
      <c r="T75" s="844"/>
      <c r="U75" s="844"/>
      <c r="V75" s="844"/>
      <c r="W75" s="844"/>
      <c r="X75" s="844"/>
      <c r="Y75" s="844"/>
      <c r="Z75" s="844"/>
      <c r="AA75" s="137"/>
      <c r="AB75" s="137"/>
      <c r="AC75" s="137"/>
    </row>
    <row r="76" spans="1:29" s="1065" customFormat="1">
      <c r="A76" s="1193">
        <v>41990</v>
      </c>
      <c r="B76" s="10">
        <v>2380</v>
      </c>
      <c r="E76" s="1011"/>
      <c r="F76" s="1011"/>
      <c r="G76" s="1011"/>
      <c r="H76" s="1011"/>
      <c r="I76" s="1011"/>
      <c r="J76" s="1011"/>
      <c r="K76" s="1011"/>
      <c r="L76" s="1011"/>
      <c r="M76" s="1011"/>
      <c r="N76" s="1011"/>
      <c r="O76" s="1011"/>
      <c r="P76" s="1011"/>
      <c r="Q76" s="1011"/>
      <c r="R76" s="1011"/>
      <c r="S76" s="1011"/>
      <c r="T76" s="1011"/>
      <c r="U76" s="1011"/>
      <c r="V76" s="1011"/>
      <c r="W76" s="1011"/>
      <c r="X76" s="1011"/>
      <c r="Y76" s="1011"/>
      <c r="Z76" s="1011"/>
      <c r="AA76" s="1011"/>
      <c r="AB76" s="1011"/>
      <c r="AC76" s="1011"/>
    </row>
    <row r="77" spans="1:29" s="1065" customFormat="1">
      <c r="A77" s="1193">
        <v>41983</v>
      </c>
      <c r="B77" s="10">
        <v>2380</v>
      </c>
      <c r="E77" s="1011"/>
      <c r="F77" s="1011"/>
      <c r="G77" s="1011"/>
      <c r="H77" s="1011"/>
      <c r="I77" s="1011"/>
      <c r="J77" s="1011"/>
      <c r="K77" s="1011"/>
      <c r="L77" s="1011"/>
      <c r="M77" s="1011"/>
      <c r="N77" s="1011"/>
      <c r="O77" s="1011"/>
      <c r="P77" s="1011"/>
      <c r="Q77" s="1011"/>
      <c r="R77" s="1011"/>
      <c r="S77" s="1011"/>
      <c r="T77" s="1011"/>
      <c r="U77" s="1011"/>
      <c r="V77" s="1011"/>
      <c r="W77" s="1011"/>
      <c r="X77" s="1011"/>
      <c r="Y77" s="1011"/>
      <c r="Z77" s="1011"/>
      <c r="AA77" s="1011"/>
      <c r="AB77" s="1011"/>
      <c r="AC77" s="1011"/>
    </row>
    <row r="78" spans="1:29">
      <c r="A78" s="1193">
        <v>41976</v>
      </c>
      <c r="B78" s="10">
        <v>2400</v>
      </c>
      <c r="E78" s="137"/>
      <c r="F78" s="137"/>
      <c r="G78" s="137"/>
      <c r="H78" s="844"/>
      <c r="I78" s="844"/>
      <c r="J78" s="844"/>
      <c r="K78" s="844"/>
      <c r="L78" s="844"/>
      <c r="M78" s="844"/>
      <c r="N78" s="844"/>
      <c r="O78" s="844"/>
      <c r="P78" s="844"/>
      <c r="Q78" s="844"/>
      <c r="R78" s="844"/>
      <c r="S78" s="844"/>
      <c r="T78" s="844"/>
      <c r="U78" s="844"/>
      <c r="V78" s="844"/>
      <c r="W78" s="844"/>
      <c r="X78" s="844"/>
      <c r="Y78" s="844"/>
      <c r="Z78" s="844"/>
      <c r="AA78" s="137"/>
      <c r="AB78" s="137"/>
      <c r="AC78" s="137"/>
    </row>
    <row r="79" spans="1:29" s="1065" customFormat="1">
      <c r="A79" s="1193">
        <v>41969</v>
      </c>
      <c r="B79" s="10">
        <v>2360</v>
      </c>
      <c r="E79" s="1011"/>
      <c r="F79" s="1011"/>
      <c r="G79" s="1011"/>
      <c r="H79" s="1011"/>
      <c r="I79" s="1011"/>
      <c r="J79" s="1011"/>
      <c r="K79" s="1011"/>
      <c r="L79" s="1011"/>
      <c r="M79" s="1011"/>
      <c r="N79" s="1011"/>
      <c r="O79" s="1011"/>
      <c r="P79" s="1011"/>
      <c r="Q79" s="1011"/>
      <c r="R79" s="1011"/>
      <c r="S79" s="1011"/>
      <c r="T79" s="1011"/>
      <c r="U79" s="1011"/>
      <c r="V79" s="1011"/>
      <c r="W79" s="1011"/>
      <c r="X79" s="1011"/>
      <c r="Y79" s="1011"/>
      <c r="Z79" s="1011"/>
      <c r="AA79" s="1011"/>
      <c r="AB79" s="1011"/>
      <c r="AC79" s="1011"/>
    </row>
    <row r="80" spans="1:29">
      <c r="A80" s="1193">
        <v>41962</v>
      </c>
      <c r="B80" s="10">
        <v>2360</v>
      </c>
      <c r="E80" s="137"/>
      <c r="F80" s="137"/>
      <c r="G80" s="137"/>
      <c r="H80" s="844"/>
      <c r="I80" s="844"/>
      <c r="J80" s="844"/>
      <c r="K80" s="844"/>
      <c r="L80" s="844"/>
      <c r="M80" s="844"/>
      <c r="N80" s="844"/>
      <c r="O80" s="844"/>
      <c r="P80" s="844"/>
      <c r="Q80" s="844"/>
      <c r="R80" s="844"/>
      <c r="S80" s="844"/>
      <c r="T80" s="844"/>
      <c r="U80" s="844"/>
      <c r="V80" s="844"/>
      <c r="W80" s="844"/>
      <c r="X80" s="844"/>
      <c r="Y80" s="844"/>
      <c r="Z80" s="844"/>
      <c r="AA80" s="137"/>
      <c r="AB80" s="137"/>
      <c r="AC80" s="137"/>
    </row>
    <row r="81" spans="1:29" s="1065" customFormat="1">
      <c r="A81" s="1193">
        <v>41955</v>
      </c>
      <c r="B81" s="10">
        <v>2370</v>
      </c>
      <c r="E81" s="1011"/>
      <c r="F81" s="1011"/>
      <c r="G81" s="1011"/>
      <c r="H81" s="1011"/>
      <c r="I81" s="1011"/>
      <c r="J81" s="1011"/>
      <c r="K81" s="1011"/>
      <c r="L81" s="1011"/>
      <c r="M81" s="1011"/>
      <c r="N81" s="1011"/>
      <c r="O81" s="1011"/>
      <c r="P81" s="1011"/>
      <c r="Q81" s="1011"/>
      <c r="R81" s="1011"/>
      <c r="S81" s="1011"/>
      <c r="T81" s="1011"/>
      <c r="U81" s="1011"/>
      <c r="V81" s="1011"/>
      <c r="W81" s="1011"/>
      <c r="X81" s="1011"/>
      <c r="Y81" s="1011"/>
      <c r="Z81" s="1011"/>
      <c r="AA81" s="1011"/>
      <c r="AB81" s="1011"/>
      <c r="AC81" s="1011"/>
    </row>
    <row r="82" spans="1:29">
      <c r="A82" s="1193">
        <v>41948</v>
      </c>
      <c r="B82" s="10">
        <v>2370</v>
      </c>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row>
    <row r="83" spans="1:29">
      <c r="A83" s="1193">
        <v>41941</v>
      </c>
      <c r="B83" s="10">
        <v>2120</v>
      </c>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row>
    <row r="84" spans="1:29">
      <c r="A84" s="1193">
        <v>41934</v>
      </c>
      <c r="B84" s="10">
        <v>2080</v>
      </c>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row>
    <row r="85" spans="1:29">
      <c r="A85" s="1193">
        <v>41927</v>
      </c>
      <c r="B85" s="10">
        <v>2020</v>
      </c>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row>
    <row r="86" spans="1:29">
      <c r="A86" s="1193">
        <v>41912</v>
      </c>
      <c r="B86" s="10">
        <v>1780</v>
      </c>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row>
    <row r="87" spans="1:29">
      <c r="A87" s="1193">
        <v>41907</v>
      </c>
      <c r="B87" s="10">
        <v>1780</v>
      </c>
      <c r="E87" s="137"/>
      <c r="F87" s="137"/>
      <c r="G87" s="137"/>
      <c r="H87" s="844"/>
      <c r="I87" s="844"/>
      <c r="J87" s="844"/>
      <c r="K87" s="844"/>
      <c r="L87" s="844"/>
      <c r="M87" s="844"/>
      <c r="N87" s="844"/>
      <c r="O87" s="844"/>
      <c r="P87" s="844"/>
      <c r="Q87" s="137"/>
      <c r="R87" s="137"/>
      <c r="S87" s="137"/>
      <c r="T87" s="137"/>
      <c r="U87" s="137"/>
      <c r="V87" s="137"/>
      <c r="W87" s="137"/>
      <c r="X87" s="137"/>
      <c r="Y87" s="137"/>
      <c r="Z87" s="137"/>
      <c r="AA87" s="137"/>
      <c r="AB87" s="137"/>
      <c r="AC87" s="137"/>
    </row>
    <row r="88" spans="1:29">
      <c r="A88" s="1193">
        <v>41899</v>
      </c>
      <c r="B88" s="10">
        <v>1780</v>
      </c>
      <c r="E88" s="137"/>
      <c r="F88" s="137"/>
      <c r="G88" s="137"/>
      <c r="H88" s="844"/>
      <c r="I88" s="844"/>
      <c r="J88" s="844"/>
      <c r="K88" s="844"/>
      <c r="L88" s="844"/>
      <c r="M88" s="844"/>
      <c r="N88" s="844"/>
      <c r="O88" s="844"/>
      <c r="P88" s="844"/>
      <c r="Q88" s="137"/>
      <c r="R88" s="137"/>
      <c r="S88" s="137"/>
      <c r="T88" s="137"/>
      <c r="U88" s="137"/>
      <c r="V88" s="137"/>
      <c r="W88" s="137"/>
      <c r="X88" s="137"/>
      <c r="Y88" s="137"/>
      <c r="Z88" s="137"/>
      <c r="AA88" s="137"/>
      <c r="AB88" s="137"/>
      <c r="AC88" s="137"/>
    </row>
    <row r="89" spans="1:29">
      <c r="A89" s="1193">
        <v>41892</v>
      </c>
      <c r="B89" s="10">
        <v>1780</v>
      </c>
      <c r="E89" s="137"/>
      <c r="F89" s="137"/>
      <c r="G89" s="137"/>
      <c r="H89" s="844"/>
      <c r="I89" s="844"/>
      <c r="J89" s="844"/>
      <c r="K89" s="844"/>
      <c r="L89" s="844"/>
      <c r="M89" s="844"/>
      <c r="N89" s="844"/>
      <c r="O89" s="844"/>
      <c r="P89" s="844"/>
      <c r="Q89" s="137"/>
      <c r="R89" s="137"/>
      <c r="S89" s="137"/>
      <c r="T89" s="137"/>
      <c r="U89" s="137"/>
      <c r="V89" s="137"/>
      <c r="W89" s="137"/>
      <c r="X89" s="137"/>
      <c r="Y89" s="137"/>
      <c r="Z89" s="137"/>
      <c r="AA89" s="137"/>
      <c r="AB89" s="137"/>
      <c r="AC89" s="137"/>
    </row>
    <row r="90" spans="1:29">
      <c r="A90" s="1193">
        <v>41885</v>
      </c>
      <c r="B90" s="10">
        <v>1800</v>
      </c>
      <c r="E90" s="137"/>
      <c r="F90" s="137"/>
      <c r="G90" s="137"/>
      <c r="H90" s="844"/>
      <c r="I90" s="844"/>
      <c r="J90" s="844"/>
      <c r="K90" s="844"/>
      <c r="L90" s="844"/>
      <c r="M90" s="844"/>
      <c r="N90" s="844"/>
      <c r="O90" s="844"/>
      <c r="P90" s="844"/>
      <c r="Q90" s="137"/>
      <c r="R90" s="137"/>
      <c r="S90" s="137"/>
      <c r="T90" s="137"/>
      <c r="U90" s="137"/>
      <c r="V90" s="137"/>
      <c r="W90" s="137"/>
      <c r="X90" s="137"/>
      <c r="Y90" s="137"/>
      <c r="Z90" s="137"/>
      <c r="AA90" s="137"/>
      <c r="AB90" s="137"/>
      <c r="AC90" s="137"/>
    </row>
    <row r="91" spans="1:29">
      <c r="A91" s="1193">
        <v>41878</v>
      </c>
      <c r="B91" s="10">
        <v>1830</v>
      </c>
      <c r="E91" s="137"/>
      <c r="F91" s="137"/>
      <c r="G91" s="137"/>
      <c r="H91" s="844"/>
      <c r="I91" s="844"/>
      <c r="J91" s="844"/>
      <c r="K91" s="844"/>
      <c r="L91" s="844"/>
      <c r="M91" s="844"/>
      <c r="N91" s="844"/>
      <c r="O91" s="844"/>
      <c r="P91" s="844"/>
      <c r="Q91" s="137"/>
      <c r="R91" s="137"/>
      <c r="S91" s="137"/>
      <c r="T91" s="137"/>
      <c r="U91" s="137"/>
      <c r="V91" s="137"/>
      <c r="W91" s="137"/>
      <c r="X91" s="137"/>
      <c r="Y91" s="137"/>
      <c r="Z91" s="137"/>
      <c r="AA91" s="137"/>
      <c r="AB91" s="137"/>
      <c r="AC91" s="137"/>
    </row>
    <row r="92" spans="1:29">
      <c r="A92" s="1193">
        <v>41871</v>
      </c>
      <c r="B92" s="10">
        <v>1860</v>
      </c>
      <c r="E92" s="137"/>
      <c r="F92" s="137"/>
      <c r="G92" s="137"/>
      <c r="H92" s="844"/>
      <c r="I92" s="844"/>
      <c r="J92" s="844"/>
      <c r="K92" s="844"/>
      <c r="L92" s="844"/>
      <c r="M92" s="844"/>
      <c r="N92" s="844"/>
      <c r="O92" s="844"/>
      <c r="P92" s="844"/>
      <c r="Q92" s="137"/>
      <c r="R92" s="137"/>
      <c r="S92" s="137"/>
      <c r="T92" s="137"/>
      <c r="U92" s="137"/>
      <c r="V92" s="137"/>
      <c r="W92" s="137"/>
      <c r="X92" s="137"/>
      <c r="Y92" s="137"/>
      <c r="Z92" s="137"/>
      <c r="AA92" s="137"/>
      <c r="AB92" s="137"/>
      <c r="AC92" s="137"/>
    </row>
    <row r="93" spans="1:29">
      <c r="A93" s="1193">
        <v>41864</v>
      </c>
      <c r="B93" s="10">
        <v>1880</v>
      </c>
      <c r="E93" s="137"/>
      <c r="F93" s="137"/>
      <c r="G93" s="137"/>
      <c r="H93" s="844"/>
      <c r="I93" s="844"/>
      <c r="J93" s="844"/>
      <c r="K93" s="844"/>
      <c r="L93" s="844"/>
      <c r="M93" s="844"/>
      <c r="N93" s="844"/>
      <c r="O93" s="844"/>
      <c r="P93" s="844"/>
      <c r="Q93" s="137"/>
      <c r="R93" s="137"/>
      <c r="S93" s="137"/>
      <c r="T93" s="137"/>
      <c r="U93" s="137"/>
      <c r="V93" s="137"/>
      <c r="W93" s="137"/>
      <c r="X93" s="137"/>
      <c r="Y93" s="137"/>
      <c r="Z93" s="137"/>
      <c r="AA93" s="137"/>
      <c r="AB93" s="137"/>
      <c r="AC93" s="137"/>
    </row>
    <row r="94" spans="1:29">
      <c r="A94" s="1193">
        <v>41857</v>
      </c>
      <c r="B94" s="10">
        <v>1880</v>
      </c>
      <c r="E94" s="137"/>
      <c r="F94" s="137"/>
      <c r="G94" s="137"/>
      <c r="H94" s="844"/>
      <c r="I94" s="844"/>
      <c r="J94" s="844"/>
      <c r="K94" s="844"/>
      <c r="L94" s="844"/>
      <c r="M94" s="844"/>
      <c r="N94" s="844"/>
      <c r="O94" s="844"/>
      <c r="P94" s="844"/>
      <c r="Q94" s="137"/>
      <c r="R94" s="137"/>
      <c r="S94" s="137"/>
      <c r="T94" s="137"/>
      <c r="U94" s="137"/>
      <c r="V94" s="137"/>
      <c r="W94" s="137"/>
      <c r="X94" s="137"/>
      <c r="Y94" s="137"/>
      <c r="Z94" s="137"/>
      <c r="AA94" s="137"/>
      <c r="AB94" s="137"/>
      <c r="AC94" s="137"/>
    </row>
    <row r="95" spans="1:29">
      <c r="A95" s="1193">
        <v>41851</v>
      </c>
      <c r="B95" s="10">
        <v>1880</v>
      </c>
      <c r="E95" s="137"/>
      <c r="F95" s="137"/>
      <c r="G95" s="137"/>
      <c r="H95" s="844"/>
      <c r="I95" s="844"/>
      <c r="J95" s="844"/>
      <c r="K95" s="844"/>
      <c r="L95" s="844"/>
      <c r="M95" s="844"/>
      <c r="N95" s="844"/>
      <c r="O95" s="844"/>
      <c r="P95" s="844"/>
      <c r="Q95" s="137"/>
      <c r="R95" s="137"/>
      <c r="S95" s="137"/>
      <c r="T95" s="137"/>
      <c r="U95" s="137"/>
      <c r="V95" s="137"/>
      <c r="W95" s="137"/>
      <c r="X95" s="137"/>
      <c r="Y95" s="137"/>
      <c r="Z95" s="137"/>
      <c r="AA95" s="137"/>
      <c r="AB95" s="137"/>
      <c r="AC95" s="137"/>
    </row>
    <row r="96" spans="1:29">
      <c r="A96" s="1193">
        <v>41843</v>
      </c>
      <c r="B96" s="10">
        <v>1880</v>
      </c>
      <c r="E96" s="137"/>
      <c r="F96" s="137"/>
      <c r="G96" s="137"/>
      <c r="H96" s="844"/>
      <c r="I96" s="844"/>
      <c r="J96" s="844"/>
      <c r="K96" s="844"/>
      <c r="L96" s="844"/>
      <c r="M96" s="844"/>
      <c r="N96" s="844"/>
      <c r="O96" s="844"/>
      <c r="P96" s="844"/>
      <c r="Q96" s="137"/>
      <c r="R96" s="137"/>
      <c r="S96" s="137"/>
      <c r="T96" s="137"/>
      <c r="U96" s="137"/>
      <c r="V96" s="137"/>
      <c r="W96" s="137"/>
      <c r="X96" s="137"/>
      <c r="Y96" s="137"/>
      <c r="Z96" s="137"/>
      <c r="AA96" s="137"/>
      <c r="AB96" s="137"/>
      <c r="AC96" s="137"/>
    </row>
    <row r="97" spans="1:29">
      <c r="A97" s="1193">
        <v>41836</v>
      </c>
      <c r="B97" s="10">
        <v>1890</v>
      </c>
      <c r="E97" s="137"/>
      <c r="F97" s="137"/>
      <c r="G97" s="137"/>
      <c r="H97" s="844"/>
      <c r="I97" s="844"/>
      <c r="J97" s="844"/>
      <c r="K97" s="844"/>
      <c r="L97" s="844"/>
      <c r="M97" s="844"/>
      <c r="N97" s="844"/>
      <c r="O97" s="844"/>
      <c r="P97" s="844"/>
      <c r="Q97" s="137"/>
      <c r="R97" s="137"/>
      <c r="S97" s="137"/>
      <c r="T97" s="137"/>
      <c r="U97" s="137"/>
      <c r="V97" s="137"/>
      <c r="W97" s="137"/>
      <c r="X97" s="137"/>
      <c r="Y97" s="137"/>
      <c r="Z97" s="137"/>
      <c r="AA97" s="137"/>
      <c r="AB97" s="137"/>
      <c r="AC97" s="137"/>
    </row>
    <row r="98" spans="1:29">
      <c r="A98" s="1193">
        <v>41829</v>
      </c>
      <c r="B98" s="10">
        <v>1890</v>
      </c>
      <c r="E98" s="137"/>
      <c r="F98" s="137"/>
      <c r="G98" s="137"/>
      <c r="H98" s="844"/>
      <c r="I98" s="844"/>
      <c r="J98" s="844"/>
      <c r="K98" s="844"/>
      <c r="L98" s="844"/>
      <c r="M98" s="844"/>
      <c r="N98" s="844"/>
      <c r="O98" s="844"/>
      <c r="P98" s="844"/>
      <c r="Q98" s="137"/>
      <c r="R98" s="137"/>
      <c r="S98" s="137"/>
      <c r="T98" s="137"/>
      <c r="U98" s="137"/>
      <c r="V98" s="137"/>
      <c r="W98" s="137"/>
      <c r="X98" s="137"/>
      <c r="Y98" s="137"/>
      <c r="Z98" s="137"/>
      <c r="AA98" s="137"/>
      <c r="AB98" s="137"/>
      <c r="AC98" s="137"/>
    </row>
    <row r="99" spans="1:29">
      <c r="A99" s="1193">
        <v>41822</v>
      </c>
      <c r="B99" s="10">
        <v>1890</v>
      </c>
      <c r="E99" s="137"/>
      <c r="F99" s="137"/>
      <c r="G99" s="137"/>
      <c r="H99" s="844"/>
      <c r="I99" s="844"/>
      <c r="J99" s="844"/>
      <c r="K99" s="844"/>
      <c r="L99" s="844"/>
      <c r="M99" s="844"/>
      <c r="N99" s="844"/>
      <c r="O99" s="844"/>
      <c r="P99" s="844"/>
      <c r="Q99" s="137"/>
      <c r="R99" s="137"/>
      <c r="S99" s="137"/>
      <c r="T99" s="137"/>
      <c r="U99" s="137"/>
      <c r="V99" s="137"/>
      <c r="W99" s="137"/>
      <c r="X99" s="137"/>
      <c r="Y99" s="137"/>
      <c r="Z99" s="137"/>
      <c r="AA99" s="137"/>
      <c r="AB99" s="137"/>
      <c r="AC99" s="137"/>
    </row>
    <row r="100" spans="1:29">
      <c r="A100" s="1193">
        <v>41815</v>
      </c>
      <c r="B100" s="10">
        <v>1890</v>
      </c>
      <c r="E100" s="137"/>
      <c r="F100" s="137"/>
      <c r="G100" s="137"/>
      <c r="H100" s="844"/>
      <c r="I100" s="844"/>
      <c r="J100" s="844"/>
      <c r="K100" s="844"/>
      <c r="L100" s="844"/>
      <c r="M100" s="844"/>
      <c r="N100" s="844"/>
      <c r="O100" s="844"/>
      <c r="P100" s="844"/>
      <c r="Q100" s="137"/>
      <c r="R100" s="137"/>
      <c r="S100" s="137"/>
      <c r="T100" s="137"/>
      <c r="U100" s="137"/>
      <c r="V100" s="137"/>
      <c r="W100" s="137"/>
      <c r="X100" s="137"/>
      <c r="Y100" s="137"/>
      <c r="Z100" s="137"/>
      <c r="AA100" s="137"/>
      <c r="AB100" s="137"/>
      <c r="AC100" s="137"/>
    </row>
    <row r="101" spans="1:29">
      <c r="A101" s="1193">
        <v>41808</v>
      </c>
      <c r="B101" s="10">
        <v>1880</v>
      </c>
      <c r="E101" s="137"/>
      <c r="F101" s="137"/>
      <c r="G101" s="137"/>
      <c r="H101" s="844"/>
      <c r="I101" s="844"/>
      <c r="J101" s="844"/>
      <c r="K101" s="844"/>
      <c r="L101" s="844"/>
      <c r="M101" s="844"/>
      <c r="N101" s="844"/>
      <c r="O101" s="844"/>
      <c r="P101" s="844"/>
      <c r="Q101" s="137"/>
      <c r="R101" s="137"/>
      <c r="S101" s="137"/>
      <c r="T101" s="137"/>
      <c r="U101" s="137"/>
      <c r="V101" s="137"/>
      <c r="W101" s="137"/>
      <c r="X101" s="137"/>
      <c r="Y101" s="137"/>
      <c r="Z101" s="137"/>
      <c r="AA101" s="137"/>
      <c r="AB101" s="137"/>
      <c r="AC101" s="137"/>
    </row>
    <row r="102" spans="1:29">
      <c r="A102" s="1193">
        <v>41801</v>
      </c>
      <c r="B102" s="10">
        <v>1860</v>
      </c>
      <c r="E102" s="137"/>
      <c r="F102" s="137"/>
      <c r="G102" s="137"/>
      <c r="H102" s="844"/>
      <c r="I102" s="844"/>
      <c r="J102" s="844"/>
      <c r="K102" s="844"/>
      <c r="L102" s="844"/>
      <c r="M102" s="844"/>
      <c r="N102" s="844"/>
      <c r="O102" s="844"/>
      <c r="P102" s="844"/>
      <c r="Q102" s="137"/>
      <c r="R102" s="137"/>
      <c r="S102" s="137"/>
      <c r="T102" s="137"/>
      <c r="U102" s="137"/>
      <c r="V102" s="137"/>
      <c r="W102" s="137"/>
      <c r="X102" s="137"/>
      <c r="Y102" s="137"/>
      <c r="Z102" s="137"/>
      <c r="AA102" s="137"/>
      <c r="AB102" s="137"/>
      <c r="AC102" s="137"/>
    </row>
    <row r="103" spans="1:29">
      <c r="A103" s="1193">
        <v>41794</v>
      </c>
      <c r="B103" s="10">
        <v>1830</v>
      </c>
      <c r="E103" s="137"/>
      <c r="F103" s="137"/>
      <c r="G103" s="137"/>
      <c r="H103" s="844"/>
      <c r="I103" s="844"/>
      <c r="J103" s="844"/>
      <c r="K103" s="844"/>
      <c r="L103" s="844"/>
      <c r="M103" s="844"/>
      <c r="N103" s="844"/>
      <c r="O103" s="844"/>
      <c r="P103" s="844"/>
      <c r="Q103" s="137"/>
      <c r="R103" s="137"/>
      <c r="S103" s="137"/>
      <c r="T103" s="137"/>
      <c r="U103" s="137"/>
      <c r="V103" s="137"/>
      <c r="W103" s="137"/>
      <c r="X103" s="137"/>
      <c r="Y103" s="137"/>
      <c r="Z103" s="137"/>
      <c r="AA103" s="137"/>
      <c r="AB103" s="137"/>
      <c r="AC103" s="137"/>
    </row>
    <row r="104" spans="1:29">
      <c r="A104" s="1193">
        <v>41787</v>
      </c>
      <c r="B104" s="10">
        <v>1710</v>
      </c>
      <c r="E104" s="137"/>
      <c r="F104" s="137"/>
      <c r="G104" s="137"/>
      <c r="H104" s="844"/>
      <c r="I104" s="844"/>
      <c r="J104" s="844"/>
      <c r="K104" s="844"/>
      <c r="L104" s="844"/>
      <c r="M104" s="844"/>
      <c r="N104" s="844"/>
      <c r="O104" s="844"/>
      <c r="P104" s="844"/>
      <c r="Q104" s="137"/>
      <c r="R104" s="137"/>
      <c r="S104" s="137"/>
      <c r="T104" s="137"/>
      <c r="U104" s="137"/>
      <c r="V104" s="137"/>
      <c r="W104" s="137"/>
      <c r="X104" s="137"/>
      <c r="Y104" s="137"/>
      <c r="Z104" s="137"/>
      <c r="AA104" s="137"/>
      <c r="AB104" s="137"/>
      <c r="AC104" s="137"/>
    </row>
    <row r="105" spans="1:29">
      <c r="A105" s="1193">
        <v>41780</v>
      </c>
      <c r="B105" s="10">
        <v>1680</v>
      </c>
      <c r="E105" s="137"/>
      <c r="F105" s="137"/>
      <c r="G105" s="137"/>
      <c r="H105" s="844"/>
      <c r="I105" s="844"/>
      <c r="J105" s="844"/>
      <c r="K105" s="844"/>
      <c r="L105" s="844"/>
      <c r="M105" s="844"/>
      <c r="N105" s="844"/>
      <c r="O105" s="844"/>
      <c r="P105" s="844"/>
      <c r="Q105" s="137"/>
      <c r="R105" s="137"/>
      <c r="S105" s="137"/>
      <c r="T105" s="137"/>
      <c r="U105" s="137"/>
      <c r="V105" s="137"/>
      <c r="W105" s="137"/>
      <c r="X105" s="137"/>
      <c r="Y105" s="137"/>
      <c r="Z105" s="137"/>
      <c r="AA105" s="137"/>
      <c r="AB105" s="137"/>
      <c r="AC105" s="137"/>
    </row>
    <row r="106" spans="1:29">
      <c r="A106" s="1193">
        <v>41773</v>
      </c>
      <c r="B106" s="10">
        <v>1630</v>
      </c>
      <c r="E106" s="137"/>
      <c r="F106" s="137"/>
      <c r="G106" s="137"/>
      <c r="H106" s="844"/>
      <c r="I106" s="844"/>
      <c r="J106" s="844"/>
      <c r="K106" s="844"/>
      <c r="L106" s="844"/>
      <c r="M106" s="844"/>
      <c r="N106" s="844"/>
      <c r="O106" s="844"/>
      <c r="P106" s="844"/>
      <c r="Q106" s="137"/>
      <c r="R106" s="137"/>
      <c r="S106" s="137"/>
      <c r="T106" s="137"/>
      <c r="U106" s="137"/>
      <c r="V106" s="137"/>
      <c r="W106" s="137"/>
      <c r="X106" s="137"/>
      <c r="Y106" s="137"/>
      <c r="Z106" s="137"/>
      <c r="AA106" s="137"/>
      <c r="AB106" s="137"/>
      <c r="AC106" s="137"/>
    </row>
    <row r="107" spans="1:29">
      <c r="A107" s="1193">
        <v>41766</v>
      </c>
      <c r="B107" s="10">
        <v>1600</v>
      </c>
      <c r="E107" s="137"/>
      <c r="F107" s="137"/>
      <c r="G107" s="137"/>
      <c r="H107" s="844"/>
      <c r="I107" s="844"/>
      <c r="J107" s="844"/>
      <c r="K107" s="844"/>
      <c r="L107" s="844"/>
      <c r="M107" s="844"/>
      <c r="N107" s="844"/>
      <c r="O107" s="844"/>
      <c r="P107" s="844"/>
      <c r="Q107" s="137"/>
      <c r="R107" s="137"/>
      <c r="S107" s="137"/>
      <c r="T107" s="137"/>
      <c r="U107" s="137"/>
      <c r="V107" s="137"/>
      <c r="W107" s="137"/>
      <c r="X107" s="137"/>
      <c r="Y107" s="137"/>
      <c r="Z107" s="137"/>
      <c r="AA107" s="137"/>
      <c r="AB107" s="137"/>
      <c r="AC107" s="137"/>
    </row>
    <row r="108" spans="1:29">
      <c r="A108" s="1193">
        <v>41752</v>
      </c>
      <c r="B108" s="10">
        <v>1600</v>
      </c>
      <c r="E108" s="137"/>
      <c r="F108" s="137"/>
      <c r="G108" s="137"/>
      <c r="H108" s="844"/>
      <c r="I108" s="844"/>
      <c r="J108" s="844"/>
      <c r="K108" s="844"/>
      <c r="L108" s="844"/>
      <c r="M108" s="844"/>
      <c r="N108" s="844"/>
      <c r="O108" s="844"/>
      <c r="P108" s="844"/>
      <c r="Q108" s="137"/>
      <c r="R108" s="137"/>
      <c r="S108" s="137"/>
      <c r="T108" s="137"/>
      <c r="U108" s="137"/>
      <c r="V108" s="137"/>
      <c r="W108" s="137"/>
      <c r="X108" s="137"/>
      <c r="Y108" s="137"/>
      <c r="Z108" s="137"/>
      <c r="AA108" s="137"/>
      <c r="AB108" s="137"/>
      <c r="AC108" s="137"/>
    </row>
    <row r="109" spans="1:29">
      <c r="A109" s="1193">
        <v>41745</v>
      </c>
      <c r="B109" s="10">
        <v>1620</v>
      </c>
      <c r="E109" s="137"/>
      <c r="F109" s="137"/>
      <c r="G109" s="137"/>
      <c r="H109" s="844"/>
      <c r="I109" s="844"/>
      <c r="J109" s="844"/>
      <c r="K109" s="844"/>
      <c r="L109" s="844"/>
      <c r="M109" s="844"/>
      <c r="N109" s="844"/>
      <c r="O109" s="844"/>
      <c r="P109" s="844"/>
      <c r="Q109" s="137"/>
      <c r="R109" s="137"/>
      <c r="S109" s="137"/>
      <c r="T109" s="137"/>
      <c r="U109" s="137"/>
      <c r="V109" s="137"/>
      <c r="W109" s="137"/>
      <c r="X109" s="137"/>
      <c r="Y109" s="137"/>
      <c r="Z109" s="137"/>
      <c r="AA109" s="137"/>
      <c r="AB109" s="137"/>
      <c r="AC109" s="137"/>
    </row>
    <row r="110" spans="1:29">
      <c r="A110" s="1193">
        <v>41738</v>
      </c>
      <c r="B110" s="10">
        <v>1600</v>
      </c>
      <c r="E110" s="137"/>
      <c r="F110" s="137"/>
      <c r="G110" s="137"/>
      <c r="H110" s="844"/>
      <c r="I110" s="844"/>
      <c r="J110" s="844"/>
      <c r="K110" s="844"/>
      <c r="L110" s="844"/>
      <c r="M110" s="844"/>
      <c r="N110" s="844"/>
      <c r="O110" s="844"/>
      <c r="P110" s="844"/>
      <c r="Q110" s="137"/>
      <c r="R110" s="137"/>
      <c r="S110" s="137"/>
      <c r="T110" s="137"/>
      <c r="U110" s="137"/>
      <c r="V110" s="137"/>
      <c r="W110" s="137"/>
      <c r="X110" s="137"/>
      <c r="Y110" s="137"/>
      <c r="Z110" s="137"/>
      <c r="AA110" s="137"/>
      <c r="AB110" s="137"/>
      <c r="AC110" s="137"/>
    </row>
    <row r="111" spans="1:29">
      <c r="A111" s="1193">
        <v>41731</v>
      </c>
      <c r="B111" s="10">
        <v>1580</v>
      </c>
      <c r="E111" s="137"/>
      <c r="F111" s="137"/>
      <c r="G111" s="137"/>
      <c r="H111" s="844"/>
      <c r="I111" s="844"/>
      <c r="J111" s="844"/>
      <c r="K111" s="844"/>
      <c r="L111" s="844"/>
      <c r="M111" s="844"/>
      <c r="N111" s="844"/>
      <c r="O111" s="844"/>
      <c r="P111" s="844"/>
      <c r="Q111" s="137"/>
      <c r="R111" s="137"/>
      <c r="S111" s="137"/>
      <c r="T111" s="137"/>
      <c r="U111" s="137"/>
      <c r="V111" s="137"/>
      <c r="W111" s="137"/>
      <c r="X111" s="137"/>
      <c r="Y111" s="137"/>
      <c r="Z111" s="137"/>
      <c r="AA111" s="137"/>
      <c r="AB111" s="137"/>
      <c r="AC111" s="137"/>
    </row>
    <row r="112" spans="1:29">
      <c r="A112" s="1193">
        <v>41724</v>
      </c>
      <c r="B112" s="10">
        <v>1580</v>
      </c>
      <c r="E112" s="137"/>
      <c r="F112" s="137"/>
      <c r="G112" s="137"/>
      <c r="H112" s="844"/>
      <c r="I112" s="844"/>
      <c r="J112" s="844"/>
      <c r="K112" s="844"/>
      <c r="L112" s="844"/>
      <c r="M112" s="844"/>
      <c r="N112" s="844"/>
      <c r="O112" s="844"/>
      <c r="P112" s="844"/>
      <c r="Q112" s="137"/>
      <c r="R112" s="137"/>
      <c r="S112" s="137"/>
      <c r="T112" s="137"/>
      <c r="U112" s="137"/>
      <c r="V112" s="137"/>
      <c r="W112" s="137"/>
      <c r="X112" s="137"/>
      <c r="Y112" s="137"/>
      <c r="Z112" s="137"/>
      <c r="AA112" s="137"/>
      <c r="AB112" s="137"/>
      <c r="AC112" s="137"/>
    </row>
    <row r="113" spans="1:29">
      <c r="A113" s="1193">
        <v>41717</v>
      </c>
      <c r="B113" s="10">
        <v>1580</v>
      </c>
      <c r="E113" s="137"/>
      <c r="F113" s="137"/>
      <c r="G113" s="137"/>
      <c r="H113" s="844"/>
      <c r="I113" s="844"/>
      <c r="J113" s="844"/>
      <c r="K113" s="844"/>
      <c r="L113" s="844"/>
      <c r="M113" s="844"/>
      <c r="N113" s="844"/>
      <c r="O113" s="844"/>
      <c r="P113" s="844"/>
      <c r="Q113" s="137"/>
      <c r="R113" s="137"/>
      <c r="S113" s="137"/>
      <c r="T113" s="137"/>
      <c r="U113" s="137"/>
      <c r="V113" s="137"/>
      <c r="W113" s="137"/>
      <c r="X113" s="137"/>
      <c r="Y113" s="137"/>
      <c r="Z113" s="137"/>
      <c r="AA113" s="137"/>
      <c r="AB113" s="137"/>
      <c r="AC113" s="137"/>
    </row>
    <row r="114" spans="1:29">
      <c r="A114" s="1193">
        <v>41710</v>
      </c>
      <c r="B114" s="10">
        <v>1580</v>
      </c>
      <c r="E114" s="137"/>
      <c r="F114" s="137"/>
      <c r="G114" s="137"/>
      <c r="H114" s="844"/>
      <c r="I114" s="844"/>
      <c r="J114" s="844"/>
      <c r="K114" s="844"/>
      <c r="L114" s="844"/>
      <c r="M114" s="844"/>
      <c r="N114" s="844"/>
      <c r="O114" s="844"/>
      <c r="P114" s="844"/>
      <c r="Q114" s="137"/>
      <c r="R114" s="137"/>
      <c r="S114" s="137"/>
      <c r="T114" s="137"/>
      <c r="U114" s="137"/>
      <c r="V114" s="137"/>
      <c r="W114" s="137"/>
      <c r="X114" s="137"/>
      <c r="Y114" s="137"/>
      <c r="Z114" s="137"/>
      <c r="AA114" s="137"/>
      <c r="AB114" s="137"/>
      <c r="AC114" s="137"/>
    </row>
    <row r="115" spans="1:29">
      <c r="A115" s="1193">
        <v>41696</v>
      </c>
      <c r="B115" s="10">
        <v>1520</v>
      </c>
      <c r="E115" s="137"/>
      <c r="F115" s="137"/>
      <c r="G115" s="137"/>
      <c r="H115" s="844"/>
      <c r="I115" s="844"/>
      <c r="J115" s="844"/>
      <c r="K115" s="844"/>
      <c r="L115" s="844"/>
      <c r="M115" s="844"/>
      <c r="N115" s="844"/>
      <c r="O115" s="844"/>
      <c r="P115" s="844"/>
      <c r="Q115" s="137"/>
      <c r="R115" s="137"/>
      <c r="S115" s="137"/>
      <c r="T115" s="137"/>
      <c r="U115" s="137"/>
      <c r="V115" s="137"/>
      <c r="W115" s="137"/>
      <c r="X115" s="137"/>
      <c r="Y115" s="137"/>
      <c r="Z115" s="137"/>
      <c r="AA115" s="137"/>
      <c r="AB115" s="137"/>
      <c r="AC115" s="137"/>
    </row>
    <row r="116" spans="1:29">
      <c r="A116" s="1193">
        <v>41689</v>
      </c>
      <c r="B116" s="10">
        <v>1520</v>
      </c>
      <c r="E116" s="137"/>
      <c r="F116" s="137"/>
      <c r="G116" s="137"/>
      <c r="H116" s="844"/>
      <c r="I116" s="844"/>
      <c r="J116" s="844"/>
      <c r="K116" s="844"/>
      <c r="L116" s="844"/>
      <c r="M116" s="844"/>
      <c r="N116" s="844"/>
      <c r="O116" s="844"/>
      <c r="P116" s="844"/>
      <c r="Q116" s="137"/>
      <c r="R116" s="137"/>
      <c r="S116" s="137"/>
      <c r="T116" s="137"/>
      <c r="U116" s="137"/>
      <c r="V116" s="137"/>
      <c r="W116" s="137"/>
      <c r="X116" s="137"/>
      <c r="Y116" s="137"/>
      <c r="Z116" s="137"/>
      <c r="AA116" s="137"/>
      <c r="AB116" s="137"/>
      <c r="AC116" s="137"/>
    </row>
    <row r="117" spans="1:29">
      <c r="A117" s="1193">
        <v>41682</v>
      </c>
      <c r="B117" s="10">
        <v>1510</v>
      </c>
      <c r="E117" s="137"/>
      <c r="F117" s="137"/>
      <c r="G117" s="137"/>
      <c r="H117" s="844"/>
      <c r="I117" s="844"/>
      <c r="J117" s="844"/>
      <c r="K117" s="844"/>
      <c r="L117" s="844"/>
      <c r="M117" s="844"/>
      <c r="N117" s="844"/>
      <c r="O117" s="844"/>
      <c r="P117" s="844"/>
      <c r="Q117" s="137"/>
      <c r="R117" s="137"/>
      <c r="S117" s="137"/>
      <c r="T117" s="137"/>
      <c r="U117" s="137"/>
      <c r="V117" s="137"/>
      <c r="W117" s="137"/>
      <c r="X117" s="137"/>
      <c r="Y117" s="137"/>
      <c r="Z117" s="137"/>
      <c r="AA117" s="137"/>
      <c r="AB117" s="137"/>
      <c r="AC117" s="137"/>
    </row>
    <row r="118" spans="1:29">
      <c r="A118" s="1193">
        <v>41675</v>
      </c>
      <c r="B118" s="10">
        <v>1510</v>
      </c>
      <c r="E118" s="137"/>
      <c r="F118" s="137"/>
      <c r="G118" s="137"/>
      <c r="H118" s="844"/>
      <c r="I118" s="844"/>
      <c r="J118" s="844"/>
      <c r="K118" s="844"/>
      <c r="L118" s="844"/>
      <c r="M118" s="844"/>
      <c r="N118" s="844"/>
      <c r="O118" s="844"/>
      <c r="P118" s="844"/>
      <c r="Q118" s="137"/>
      <c r="R118" s="137"/>
      <c r="S118" s="137"/>
      <c r="T118" s="137"/>
      <c r="U118" s="137"/>
      <c r="V118" s="137"/>
      <c r="W118" s="137"/>
      <c r="X118" s="137"/>
      <c r="Y118" s="137"/>
      <c r="Z118" s="137"/>
      <c r="AA118" s="137"/>
      <c r="AB118" s="137"/>
      <c r="AC118" s="137"/>
    </row>
    <row r="119" spans="1:29">
      <c r="A119" s="1193">
        <v>41668</v>
      </c>
      <c r="B119" s="10">
        <v>1500</v>
      </c>
      <c r="E119" s="137"/>
      <c r="F119" s="137"/>
      <c r="G119" s="137"/>
      <c r="H119" s="844"/>
      <c r="I119" s="844"/>
      <c r="J119" s="844"/>
      <c r="K119" s="844"/>
      <c r="L119" s="844"/>
      <c r="M119" s="844"/>
      <c r="N119" s="844"/>
      <c r="O119" s="844"/>
      <c r="P119" s="844"/>
      <c r="Q119" s="137"/>
      <c r="R119" s="137"/>
      <c r="S119" s="137"/>
      <c r="T119" s="137"/>
      <c r="U119" s="137"/>
      <c r="V119" s="137"/>
      <c r="W119" s="137"/>
      <c r="X119" s="137"/>
      <c r="Y119" s="137"/>
      <c r="Z119" s="137"/>
      <c r="AA119" s="137"/>
      <c r="AB119" s="137"/>
      <c r="AC119" s="137"/>
    </row>
    <row r="120" spans="1:29">
      <c r="A120" s="1193">
        <v>41661</v>
      </c>
      <c r="B120" s="10">
        <v>1490</v>
      </c>
      <c r="E120" s="137"/>
      <c r="F120" s="137"/>
      <c r="G120" s="137"/>
      <c r="H120" s="844"/>
      <c r="I120" s="844"/>
      <c r="J120" s="844"/>
      <c r="K120" s="844"/>
      <c r="L120" s="844"/>
      <c r="M120" s="844"/>
      <c r="N120" s="844"/>
      <c r="O120" s="844"/>
      <c r="P120" s="844"/>
      <c r="Q120" s="137"/>
      <c r="R120" s="137"/>
      <c r="S120" s="137"/>
      <c r="T120" s="137"/>
      <c r="U120" s="137"/>
      <c r="V120" s="137"/>
      <c r="W120" s="137"/>
      <c r="X120" s="137"/>
      <c r="Y120" s="137"/>
      <c r="Z120" s="137"/>
      <c r="AA120" s="137"/>
      <c r="AB120" s="137"/>
      <c r="AC120" s="137"/>
    </row>
    <row r="121" spans="1:29" s="452" customFormat="1">
      <c r="A121" s="1193">
        <v>41654</v>
      </c>
      <c r="B121" s="10">
        <v>1480</v>
      </c>
      <c r="E121" s="1175"/>
      <c r="F121" s="1175"/>
      <c r="G121" s="1175"/>
      <c r="H121" s="1176"/>
      <c r="I121" s="1176"/>
      <c r="J121" s="1176"/>
      <c r="K121" s="1176"/>
      <c r="L121" s="1176"/>
      <c r="M121" s="1176"/>
      <c r="N121" s="1176"/>
      <c r="O121" s="1176"/>
      <c r="P121" s="1176"/>
      <c r="Q121" s="1175"/>
      <c r="R121" s="1175"/>
      <c r="S121" s="1175"/>
      <c r="T121" s="1175"/>
      <c r="U121" s="1175"/>
      <c r="V121" s="1175"/>
      <c r="W121" s="1175"/>
      <c r="X121" s="1175"/>
      <c r="Y121" s="1175"/>
      <c r="Z121" s="1175"/>
      <c r="AA121" s="1175"/>
      <c r="AB121" s="1175"/>
      <c r="AC121" s="1175"/>
    </row>
    <row r="122" spans="1:29" s="452" customFormat="1">
      <c r="A122" s="1193">
        <v>41646</v>
      </c>
      <c r="B122" s="10">
        <v>2380</v>
      </c>
      <c r="E122" s="1175"/>
      <c r="F122" s="1175"/>
      <c r="G122" s="1175"/>
      <c r="H122" s="1176"/>
      <c r="I122" s="1176"/>
      <c r="J122" s="1176"/>
      <c r="K122" s="1176"/>
      <c r="L122" s="1176"/>
      <c r="M122" s="1176"/>
      <c r="N122" s="1176"/>
      <c r="O122" s="1176"/>
      <c r="P122" s="1176"/>
      <c r="Q122" s="1175"/>
      <c r="R122" s="1175"/>
      <c r="S122" s="1175"/>
      <c r="T122" s="1175"/>
      <c r="U122" s="1175"/>
      <c r="V122" s="1175"/>
      <c r="W122" s="1175"/>
      <c r="X122" s="1175"/>
      <c r="Y122" s="1175"/>
      <c r="Z122" s="1175"/>
      <c r="AA122" s="1175"/>
      <c r="AB122" s="1175"/>
      <c r="AC122" s="1175"/>
    </row>
    <row r="123" spans="1:29">
      <c r="A123" s="1193">
        <v>41640</v>
      </c>
      <c r="B123" s="10">
        <v>1430</v>
      </c>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row>
    <row r="124" spans="1:29">
      <c r="A124" s="1193">
        <v>41633</v>
      </c>
      <c r="B124" s="10">
        <v>1430</v>
      </c>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row>
    <row r="125" spans="1:29">
      <c r="A125" s="1193">
        <v>41626</v>
      </c>
      <c r="B125" s="10">
        <v>1430</v>
      </c>
      <c r="E125" s="137"/>
      <c r="F125" s="137"/>
      <c r="G125" s="1177"/>
      <c r="H125" s="1177"/>
      <c r="I125" s="1177"/>
      <c r="J125" s="1177"/>
      <c r="K125" s="1177"/>
      <c r="L125" s="137"/>
      <c r="M125" s="137"/>
      <c r="N125" s="137"/>
      <c r="O125" s="137"/>
      <c r="P125" s="137"/>
      <c r="Q125" s="137"/>
      <c r="R125" s="137"/>
      <c r="S125" s="137"/>
      <c r="T125" s="137"/>
      <c r="U125" s="137"/>
      <c r="V125" s="137"/>
      <c r="W125" s="137"/>
      <c r="X125" s="137"/>
      <c r="Y125" s="137"/>
      <c r="Z125" s="137"/>
      <c r="AA125" s="137"/>
      <c r="AB125" s="137"/>
      <c r="AC125" s="137"/>
    </row>
    <row r="126" spans="1:29">
      <c r="A126" s="1193">
        <v>41619</v>
      </c>
      <c r="B126" s="10">
        <v>1430</v>
      </c>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row>
    <row r="127" spans="1:29">
      <c r="A127" s="1193">
        <v>41612</v>
      </c>
      <c r="B127" s="10">
        <v>1440</v>
      </c>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row>
    <row r="128" spans="1:29">
      <c r="A128" s="1193">
        <v>41605</v>
      </c>
      <c r="B128" s="10">
        <v>1460</v>
      </c>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row>
    <row r="129" spans="1:29">
      <c r="A129" s="1193">
        <v>41598</v>
      </c>
      <c r="B129" s="10">
        <v>1480</v>
      </c>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row>
    <row r="130" spans="1:29">
      <c r="A130" s="1193">
        <v>41591</v>
      </c>
      <c r="B130" s="10">
        <v>1480</v>
      </c>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row>
    <row r="131" spans="1:29">
      <c r="A131" s="1193">
        <v>41584</v>
      </c>
      <c r="B131" s="10">
        <v>1480</v>
      </c>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row>
    <row r="132" spans="1:29">
      <c r="A132" s="1193">
        <v>41577</v>
      </c>
      <c r="B132" s="10">
        <v>1460</v>
      </c>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row>
    <row r="133" spans="1:29">
      <c r="A133" s="1193">
        <v>41570</v>
      </c>
      <c r="B133" s="10">
        <v>1455</v>
      </c>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row>
    <row r="134" spans="1:29">
      <c r="A134" s="1193">
        <v>41563</v>
      </c>
      <c r="B134" s="10">
        <v>1450</v>
      </c>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row>
    <row r="135" spans="1:29">
      <c r="A135" s="1193">
        <v>41556</v>
      </c>
      <c r="B135" s="10">
        <v>1430</v>
      </c>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row>
    <row r="136" spans="1:29">
      <c r="A136" s="1193">
        <v>41549</v>
      </c>
      <c r="B136" s="10">
        <v>1410</v>
      </c>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row>
    <row r="137" spans="1:29">
      <c r="A137" s="1193">
        <v>41542</v>
      </c>
      <c r="B137" s="10">
        <v>1400</v>
      </c>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row>
    <row r="138" spans="1:29">
      <c r="A138" s="1193">
        <v>41535</v>
      </c>
      <c r="B138" s="10">
        <v>1420</v>
      </c>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row>
    <row r="139" spans="1:29">
      <c r="A139" s="1193">
        <v>41528</v>
      </c>
      <c r="B139" s="10">
        <v>1400</v>
      </c>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row>
    <row r="140" spans="1:29">
      <c r="A140" s="1193">
        <v>41521</v>
      </c>
      <c r="B140" s="10">
        <v>1400</v>
      </c>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row>
    <row r="141" spans="1:29">
      <c r="A141" s="1193">
        <v>41514</v>
      </c>
      <c r="B141" s="10">
        <v>1470</v>
      </c>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row>
    <row r="142" spans="1:29">
      <c r="A142" s="1193">
        <v>41507</v>
      </c>
      <c r="B142" s="10">
        <v>1500</v>
      </c>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c r="AA142" s="137"/>
      <c r="AB142" s="137"/>
      <c r="AC142" s="137"/>
    </row>
    <row r="143" spans="1:29">
      <c r="A143" s="1193">
        <v>41500</v>
      </c>
      <c r="B143" s="10">
        <v>1520</v>
      </c>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row>
    <row r="144" spans="1:29">
      <c r="A144" s="1193">
        <v>41493</v>
      </c>
      <c r="B144" s="10">
        <v>1520</v>
      </c>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row>
    <row r="145" spans="1:29">
      <c r="A145" s="1193">
        <v>41486</v>
      </c>
      <c r="B145" s="10">
        <v>1540</v>
      </c>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row>
    <row r="146" spans="1:29">
      <c r="A146" s="1193">
        <v>41479</v>
      </c>
      <c r="B146" s="10">
        <v>1540</v>
      </c>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c r="AA146" s="137"/>
      <c r="AB146" s="137"/>
      <c r="AC146" s="137"/>
    </row>
    <row r="147" spans="1:29">
      <c r="A147" s="1193">
        <v>41472</v>
      </c>
      <c r="B147" s="10">
        <v>1520</v>
      </c>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row>
    <row r="148" spans="1:29">
      <c r="A148" s="1193">
        <v>41465</v>
      </c>
      <c r="B148" s="10">
        <v>1550</v>
      </c>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c r="AA148" s="137"/>
      <c r="AB148" s="137"/>
      <c r="AC148" s="137"/>
    </row>
    <row r="149" spans="1:29">
      <c r="A149" s="1193">
        <v>41458</v>
      </c>
      <c r="B149" s="10">
        <v>1650</v>
      </c>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c r="AA149" s="137"/>
      <c r="AB149" s="137"/>
      <c r="AC149" s="137"/>
    </row>
    <row r="150" spans="1:29">
      <c r="A150" s="1193">
        <v>41451</v>
      </c>
      <c r="B150" s="10">
        <v>1700</v>
      </c>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c r="AA150" s="137"/>
      <c r="AB150" s="137"/>
      <c r="AC150" s="137"/>
    </row>
    <row r="151" spans="1:29">
      <c r="A151" s="1193">
        <v>41444</v>
      </c>
      <c r="B151" s="10">
        <v>1750</v>
      </c>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c r="AA151" s="137"/>
      <c r="AB151" s="137"/>
      <c r="AC151" s="137"/>
    </row>
    <row r="152" spans="1:29">
      <c r="A152" s="1193">
        <v>41437</v>
      </c>
      <c r="B152" s="10">
        <v>1750</v>
      </c>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row>
    <row r="153" spans="1:29">
      <c r="A153" s="1193">
        <v>41430</v>
      </c>
      <c r="B153" s="10">
        <v>1750</v>
      </c>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c r="AA153" s="137"/>
      <c r="AB153" s="137"/>
      <c r="AC153" s="137"/>
    </row>
    <row r="154" spans="1:29">
      <c r="A154" s="1193">
        <v>41423</v>
      </c>
      <c r="B154" s="10">
        <v>1850</v>
      </c>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row>
    <row r="155" spans="1:29">
      <c r="A155" s="1193">
        <v>41416</v>
      </c>
      <c r="B155" s="10">
        <v>1950</v>
      </c>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row>
    <row r="156" spans="1:29">
      <c r="A156" s="1193">
        <v>41409</v>
      </c>
      <c r="B156" s="10">
        <v>1950</v>
      </c>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row>
    <row r="157" spans="1:29">
      <c r="A157" s="1193">
        <v>41402</v>
      </c>
      <c r="B157" s="10">
        <v>1900</v>
      </c>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row>
    <row r="158" spans="1:29">
      <c r="A158" s="1193">
        <v>41395</v>
      </c>
      <c r="B158" s="10">
        <v>1900</v>
      </c>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c r="AA158" s="137"/>
      <c r="AB158" s="137"/>
      <c r="AC158" s="137"/>
    </row>
    <row r="159" spans="1:29">
      <c r="A159" s="1193">
        <v>41388</v>
      </c>
      <c r="B159" s="10">
        <v>1900</v>
      </c>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row>
    <row r="160" spans="1:29">
      <c r="A160" s="1193">
        <v>41381</v>
      </c>
      <c r="B160" s="10">
        <v>2100</v>
      </c>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c r="AA160" s="137"/>
      <c r="AB160" s="137"/>
      <c r="AC160" s="137"/>
    </row>
    <row r="161" spans="1:29">
      <c r="A161" s="1193">
        <v>41374</v>
      </c>
      <c r="B161" s="10">
        <v>2100</v>
      </c>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c r="AA161" s="137"/>
      <c r="AB161" s="137"/>
      <c r="AC161" s="137"/>
    </row>
    <row r="162" spans="1:29">
      <c r="A162" s="1193">
        <v>41367</v>
      </c>
      <c r="B162" s="10">
        <v>2100</v>
      </c>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row>
    <row r="163" spans="1:29">
      <c r="A163" s="1193">
        <v>41360</v>
      </c>
      <c r="B163" s="10">
        <v>2100</v>
      </c>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row>
    <row r="164" spans="1:29">
      <c r="A164" s="1193">
        <v>41353</v>
      </c>
      <c r="B164" s="10">
        <v>2100</v>
      </c>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c r="AA164" s="137"/>
      <c r="AB164" s="137"/>
      <c r="AC164" s="137"/>
    </row>
    <row r="165" spans="1:29">
      <c r="A165" s="1193">
        <v>41346</v>
      </c>
      <c r="B165" s="10">
        <v>2100</v>
      </c>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row>
    <row r="166" spans="1:29">
      <c r="A166" s="1193">
        <v>41339</v>
      </c>
      <c r="B166" s="10">
        <v>2100</v>
      </c>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row>
    <row r="167" spans="1:29">
      <c r="A167" s="1193">
        <v>41332</v>
      </c>
      <c r="B167" s="10">
        <v>2100</v>
      </c>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row>
    <row r="168" spans="1:29">
      <c r="A168" s="1193">
        <v>41325</v>
      </c>
      <c r="B168" s="10">
        <v>2050</v>
      </c>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row>
    <row r="169" spans="1:29">
      <c r="A169" s="1193">
        <v>41318</v>
      </c>
      <c r="B169" s="10">
        <v>2070</v>
      </c>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row>
    <row r="170" spans="1:29">
      <c r="A170" s="1193">
        <v>41311</v>
      </c>
      <c r="B170" s="10">
        <v>2050</v>
      </c>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c r="AA170" s="137"/>
      <c r="AB170" s="137"/>
      <c r="AC170" s="137"/>
    </row>
    <row r="171" spans="1:29">
      <c r="A171" s="1193">
        <v>41304</v>
      </c>
      <c r="B171" s="10">
        <v>2020</v>
      </c>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row>
    <row r="172" spans="1:29">
      <c r="A172" s="1193">
        <v>41297</v>
      </c>
      <c r="B172" s="10">
        <v>2020</v>
      </c>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c r="AA172" s="137"/>
      <c r="AB172" s="137"/>
      <c r="AC172" s="137"/>
    </row>
    <row r="173" spans="1:29">
      <c r="A173" s="1193">
        <v>41290</v>
      </c>
      <c r="B173" s="10">
        <v>2070</v>
      </c>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row>
    <row r="174" spans="1:29">
      <c r="A174" s="1193">
        <v>41283</v>
      </c>
      <c r="B174" s="10">
        <v>2070</v>
      </c>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c r="AA174" s="137"/>
      <c r="AB174" s="137"/>
      <c r="AC174" s="137"/>
    </row>
    <row r="175" spans="1:29">
      <c r="A175" s="1193">
        <v>41269</v>
      </c>
      <c r="B175" s="10">
        <v>2070</v>
      </c>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row>
    <row r="176" spans="1:29">
      <c r="A176" s="1193">
        <v>41262</v>
      </c>
      <c r="B176" s="10">
        <v>2080</v>
      </c>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row>
    <row r="177" spans="1:29">
      <c r="A177" s="1193">
        <v>41255</v>
      </c>
      <c r="B177" s="10">
        <v>2080</v>
      </c>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c r="AA177" s="137"/>
      <c r="AB177" s="137"/>
      <c r="AC177" s="137"/>
    </row>
    <row r="178" spans="1:29">
      <c r="A178" s="1193">
        <v>41248</v>
      </c>
      <c r="B178" s="10">
        <v>2070</v>
      </c>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c r="AA178" s="137"/>
      <c r="AB178" s="137"/>
      <c r="AC178" s="137"/>
    </row>
    <row r="179" spans="1:29">
      <c r="A179" s="1193">
        <v>41213</v>
      </c>
      <c r="B179" s="10">
        <v>1780</v>
      </c>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c r="AA179" s="137"/>
      <c r="AB179" s="137"/>
      <c r="AC179" s="137"/>
    </row>
    <row r="180" spans="1:29">
      <c r="A180" s="1193">
        <v>41206</v>
      </c>
      <c r="B180" s="10">
        <v>1610</v>
      </c>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c r="AA180" s="137"/>
      <c r="AB180" s="137"/>
      <c r="AC180" s="137"/>
    </row>
    <row r="181" spans="1:29">
      <c r="A181" s="1193">
        <v>41199</v>
      </c>
      <c r="B181" s="10">
        <v>1600</v>
      </c>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c r="AA181" s="137"/>
      <c r="AB181" s="137"/>
      <c r="AC181" s="137"/>
    </row>
    <row r="182" spans="1:29">
      <c r="A182" s="1193">
        <v>41192</v>
      </c>
      <c r="B182" s="10">
        <v>1580</v>
      </c>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row>
    <row r="183" spans="1:29">
      <c r="A183" s="1193">
        <v>41185</v>
      </c>
      <c r="B183" s="10">
        <v>1580</v>
      </c>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c r="AA183" s="137"/>
      <c r="AB183" s="137"/>
      <c r="AC183" s="137"/>
    </row>
    <row r="184" spans="1:29">
      <c r="A184" s="1193">
        <v>41178</v>
      </c>
      <c r="B184" s="10">
        <v>1580</v>
      </c>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c r="AA184" s="137"/>
      <c r="AB184" s="137"/>
      <c r="AC184" s="137"/>
    </row>
    <row r="185" spans="1:29">
      <c r="A185" s="1193">
        <v>41171</v>
      </c>
      <c r="B185" s="10">
        <v>1550</v>
      </c>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row>
    <row r="186" spans="1:29">
      <c r="A186" s="1193">
        <v>41164</v>
      </c>
      <c r="B186" s="10">
        <v>1550</v>
      </c>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c r="AA186" s="137"/>
      <c r="AB186" s="137"/>
      <c r="AC186" s="137"/>
    </row>
    <row r="187" spans="1:29">
      <c r="A187" s="1193">
        <v>41157</v>
      </c>
      <c r="B187" s="10">
        <v>1600</v>
      </c>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c r="AA187" s="137"/>
      <c r="AB187" s="137"/>
      <c r="AC187" s="137"/>
    </row>
    <row r="188" spans="1:29">
      <c r="A188" s="1193">
        <v>41150</v>
      </c>
      <c r="B188" s="10">
        <v>1620</v>
      </c>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row>
    <row r="189" spans="1:29">
      <c r="A189" s="1193">
        <v>41143</v>
      </c>
      <c r="B189" s="10">
        <v>1650</v>
      </c>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c r="AA189" s="137"/>
      <c r="AB189" s="137"/>
      <c r="AC189" s="137"/>
    </row>
    <row r="190" spans="1:29">
      <c r="A190" s="1193">
        <v>41136</v>
      </c>
      <c r="B190" s="10">
        <v>1660</v>
      </c>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c r="AA190" s="137"/>
      <c r="AB190" s="137"/>
      <c r="AC190" s="137"/>
    </row>
    <row r="191" spans="1:29">
      <c r="A191" s="1193">
        <v>41129</v>
      </c>
      <c r="B191" s="10">
        <v>1670</v>
      </c>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c r="AA191" s="137"/>
      <c r="AB191" s="137"/>
      <c r="AC191" s="137"/>
    </row>
    <row r="192" spans="1:29">
      <c r="A192" s="1193">
        <v>41122</v>
      </c>
      <c r="B192" s="10">
        <v>1680</v>
      </c>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c r="AA192" s="137"/>
      <c r="AB192" s="137"/>
      <c r="AC192" s="137"/>
    </row>
    <row r="193" spans="1:29">
      <c r="A193" s="1193">
        <v>41115</v>
      </c>
      <c r="B193" s="10">
        <v>1680</v>
      </c>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c r="AA193" s="137"/>
      <c r="AB193" s="137"/>
      <c r="AC193" s="137"/>
    </row>
    <row r="194" spans="1:29">
      <c r="A194" s="1193">
        <v>41108</v>
      </c>
      <c r="B194" s="10">
        <v>1680</v>
      </c>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row>
    <row r="195" spans="1:29">
      <c r="A195" s="1193">
        <v>41101</v>
      </c>
      <c r="B195" s="10">
        <v>1680</v>
      </c>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c r="AA195" s="137"/>
      <c r="AB195" s="137"/>
      <c r="AC195" s="137"/>
    </row>
    <row r="196" spans="1:29">
      <c r="A196" s="1193">
        <v>41094</v>
      </c>
      <c r="B196" s="10">
        <v>1680</v>
      </c>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c r="AA196" s="137"/>
      <c r="AB196" s="137"/>
      <c r="AC196" s="137"/>
    </row>
    <row r="197" spans="1:29">
      <c r="A197" s="1193">
        <v>41087</v>
      </c>
      <c r="B197" s="10">
        <v>1680</v>
      </c>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row>
    <row r="198" spans="1:29">
      <c r="A198" s="1193">
        <v>41080</v>
      </c>
      <c r="B198" s="10">
        <v>1630</v>
      </c>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row>
    <row r="199" spans="1:29">
      <c r="A199" s="1193">
        <v>41073</v>
      </c>
      <c r="B199" s="10">
        <v>1600</v>
      </c>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c r="AA199" s="137"/>
      <c r="AB199" s="137"/>
      <c r="AC199" s="137"/>
    </row>
    <row r="200" spans="1:29">
      <c r="A200" s="1193">
        <v>41066</v>
      </c>
      <c r="B200" s="10">
        <v>1580</v>
      </c>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row>
    <row r="201" spans="1:29">
      <c r="A201" s="1193">
        <v>41059</v>
      </c>
      <c r="B201" s="10">
        <v>1550</v>
      </c>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c r="AA201" s="137"/>
      <c r="AB201" s="137"/>
      <c r="AC201" s="137"/>
    </row>
    <row r="202" spans="1:29">
      <c r="A202" s="1193">
        <v>41052</v>
      </c>
      <c r="B202" s="10">
        <v>1530</v>
      </c>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row>
    <row r="203" spans="1:29">
      <c r="A203" s="1193">
        <v>41045</v>
      </c>
      <c r="B203" s="10">
        <v>1500</v>
      </c>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c r="AA203" s="137"/>
      <c r="AB203" s="137"/>
      <c r="AC203" s="137"/>
    </row>
    <row r="204" spans="1:29">
      <c r="A204" s="1193">
        <v>41038</v>
      </c>
      <c r="B204" s="10">
        <v>1480</v>
      </c>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row>
    <row r="205" spans="1:29">
      <c r="A205" s="1193">
        <v>41031</v>
      </c>
      <c r="B205" s="10">
        <v>1480</v>
      </c>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c r="AA205" s="137"/>
      <c r="AB205" s="137"/>
      <c r="AC205" s="137"/>
    </row>
    <row r="206" spans="1:29">
      <c r="A206" s="1193">
        <v>41024</v>
      </c>
      <c r="B206" s="10">
        <v>1450</v>
      </c>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c r="AA206" s="137"/>
      <c r="AB206" s="137"/>
      <c r="AC206" s="137"/>
    </row>
    <row r="207" spans="1:29">
      <c r="A207" s="1193">
        <v>41017</v>
      </c>
      <c r="B207" s="10">
        <v>1370</v>
      </c>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row>
    <row r="208" spans="1:29">
      <c r="A208" s="1193">
        <v>41010</v>
      </c>
      <c r="B208" s="10">
        <v>1350</v>
      </c>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137"/>
      <c r="AC208" s="137"/>
    </row>
    <row r="209" spans="1:29">
      <c r="A209" s="1193">
        <v>41003</v>
      </c>
      <c r="B209" s="10">
        <v>1330</v>
      </c>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c r="AB209" s="137"/>
      <c r="AC209" s="137"/>
    </row>
    <row r="210" spans="1:29">
      <c r="A210" s="1193">
        <v>40996</v>
      </c>
      <c r="B210" s="10">
        <v>1300</v>
      </c>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c r="AA210" s="137"/>
      <c r="AB210" s="137"/>
      <c r="AC210" s="137"/>
    </row>
    <row r="211" spans="1:29">
      <c r="A211" s="1193">
        <v>40989</v>
      </c>
      <c r="B211" s="10">
        <v>1280</v>
      </c>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c r="AA211" s="137"/>
      <c r="AB211" s="137"/>
      <c r="AC211" s="137"/>
    </row>
    <row r="212" spans="1:29">
      <c r="A212" s="1193">
        <v>40982</v>
      </c>
      <c r="B212" s="10">
        <v>1270</v>
      </c>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c r="AB212" s="137"/>
      <c r="AC212" s="137"/>
    </row>
    <row r="213" spans="1:29">
      <c r="A213" s="1193">
        <v>40975</v>
      </c>
      <c r="B213" s="10">
        <v>1260</v>
      </c>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c r="AA213" s="137"/>
      <c r="AB213" s="137"/>
      <c r="AC213" s="137"/>
    </row>
    <row r="214" spans="1:29">
      <c r="A214" s="1193">
        <v>40968</v>
      </c>
      <c r="B214" s="10">
        <v>1250</v>
      </c>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c r="AA214" s="137"/>
      <c r="AB214" s="137"/>
      <c r="AC214" s="137"/>
    </row>
    <row r="215" spans="1:29">
      <c r="A215" s="1193">
        <v>40961</v>
      </c>
      <c r="B215" s="10">
        <v>1230</v>
      </c>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c r="AA215" s="137"/>
      <c r="AB215" s="137"/>
      <c r="AC215" s="137"/>
    </row>
    <row r="216" spans="1:29">
      <c r="A216" s="1193">
        <v>40954</v>
      </c>
      <c r="B216" s="10">
        <v>1250</v>
      </c>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c r="AA216" s="137"/>
      <c r="AB216" s="137"/>
      <c r="AC216" s="137"/>
    </row>
    <row r="217" spans="1:29">
      <c r="A217" s="1193">
        <v>40947</v>
      </c>
      <c r="B217" s="10">
        <v>1250</v>
      </c>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c r="AA217" s="137"/>
      <c r="AB217" s="137"/>
      <c r="AC217" s="137"/>
    </row>
    <row r="218" spans="1:29">
      <c r="A218" s="1193">
        <v>40933</v>
      </c>
      <c r="B218" s="10">
        <v>1230</v>
      </c>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c r="AA218" s="137"/>
      <c r="AB218" s="137"/>
      <c r="AC218" s="137"/>
    </row>
    <row r="219" spans="1:29">
      <c r="A219" s="1193">
        <v>40926</v>
      </c>
      <c r="B219" s="10">
        <v>1230</v>
      </c>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c r="AA219" s="137"/>
      <c r="AB219" s="137"/>
      <c r="AC219" s="137"/>
    </row>
    <row r="220" spans="1:29">
      <c r="A220" s="1193">
        <v>40905</v>
      </c>
      <c r="B220" s="10">
        <v>1180</v>
      </c>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c r="AA220" s="137"/>
      <c r="AB220" s="137"/>
      <c r="AC220" s="137"/>
    </row>
    <row r="221" spans="1:29">
      <c r="A221" s="1193">
        <v>40891</v>
      </c>
      <c r="B221" s="10">
        <v>1180</v>
      </c>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c r="AA221" s="137"/>
      <c r="AB221" s="137"/>
      <c r="AC221" s="137"/>
    </row>
    <row r="222" spans="1:29">
      <c r="A222" s="1193">
        <v>40884</v>
      </c>
      <c r="B222" s="10">
        <v>1240</v>
      </c>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c r="AB222" s="137"/>
      <c r="AC222" s="137"/>
    </row>
    <row r="223" spans="1:29">
      <c r="A223" s="1193">
        <v>40877</v>
      </c>
      <c r="B223" s="10">
        <v>1260</v>
      </c>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c r="AB223" s="137"/>
      <c r="AC223" s="137"/>
    </row>
    <row r="224" spans="1:29">
      <c r="A224" s="1193">
        <v>40870</v>
      </c>
      <c r="B224" s="10">
        <v>1260</v>
      </c>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c r="AA224" s="137"/>
      <c r="AB224" s="137"/>
      <c r="AC224" s="137"/>
    </row>
    <row r="225" spans="1:29">
      <c r="A225" s="1193">
        <v>40863</v>
      </c>
      <c r="B225" s="10">
        <v>1280</v>
      </c>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c r="AA225" s="137"/>
      <c r="AB225" s="137"/>
      <c r="AC225" s="137"/>
    </row>
    <row r="226" spans="1:29">
      <c r="A226" s="1193">
        <v>40856</v>
      </c>
      <c r="B226" s="10">
        <v>1270</v>
      </c>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c r="AA226" s="137"/>
      <c r="AB226" s="137"/>
      <c r="AC226" s="137"/>
    </row>
    <row r="227" spans="1:29">
      <c r="A227" s="1193">
        <v>40849</v>
      </c>
      <c r="B227" s="10">
        <v>1270</v>
      </c>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c r="AA227" s="137"/>
      <c r="AB227" s="137"/>
      <c r="AC227" s="137"/>
    </row>
    <row r="228" spans="1:29">
      <c r="A228" s="1193">
        <v>40842</v>
      </c>
      <c r="B228" s="10">
        <v>1350</v>
      </c>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c r="AA228" s="137"/>
      <c r="AB228" s="137"/>
      <c r="AC228" s="137"/>
    </row>
    <row r="229" spans="1:29">
      <c r="A229" s="1193">
        <v>40814</v>
      </c>
      <c r="B229" s="10">
        <v>1280</v>
      </c>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c r="AA229" s="137"/>
      <c r="AB229" s="137"/>
      <c r="AC229" s="137"/>
    </row>
    <row r="230" spans="1:29">
      <c r="A230" s="1193">
        <v>40758</v>
      </c>
      <c r="B230" s="10">
        <v>1380</v>
      </c>
      <c r="E230" s="137"/>
      <c r="F230" s="137"/>
      <c r="G230" s="137"/>
      <c r="H230" s="137"/>
      <c r="I230" s="137"/>
      <c r="J230" s="137"/>
      <c r="K230" s="137"/>
      <c r="L230" s="137"/>
      <c r="M230" s="137"/>
      <c r="N230" s="137"/>
      <c r="O230" s="137"/>
      <c r="P230" s="137"/>
      <c r="Q230" s="137"/>
      <c r="R230" s="137"/>
      <c r="S230" s="137"/>
      <c r="T230" s="137"/>
      <c r="U230" s="137"/>
      <c r="V230" s="137"/>
      <c r="W230" s="137"/>
      <c r="X230" s="137"/>
      <c r="Y230" s="137"/>
      <c r="Z230" s="137"/>
      <c r="AA230" s="137"/>
      <c r="AB230" s="137"/>
      <c r="AC230" s="137"/>
    </row>
    <row r="231" spans="1:29">
      <c r="A231" s="1193">
        <v>40751</v>
      </c>
      <c r="B231" s="10">
        <v>1410</v>
      </c>
      <c r="E231" s="137"/>
      <c r="F231" s="137"/>
      <c r="G231" s="137"/>
      <c r="H231" s="137"/>
      <c r="I231" s="137"/>
      <c r="J231" s="137"/>
      <c r="K231" s="137"/>
      <c r="L231" s="137"/>
      <c r="M231" s="137"/>
      <c r="N231" s="137"/>
      <c r="O231" s="137"/>
      <c r="P231" s="137"/>
      <c r="Q231" s="137"/>
      <c r="R231" s="137"/>
      <c r="S231" s="137"/>
      <c r="T231" s="137"/>
      <c r="U231" s="137"/>
      <c r="V231" s="137"/>
      <c r="W231" s="137"/>
      <c r="X231" s="137"/>
      <c r="Y231" s="137"/>
      <c r="Z231" s="137"/>
      <c r="AA231" s="137"/>
      <c r="AB231" s="137"/>
      <c r="AC231" s="137"/>
    </row>
    <row r="232" spans="1:29">
      <c r="A232" s="1193">
        <v>40744</v>
      </c>
      <c r="B232" s="10">
        <v>1410</v>
      </c>
      <c r="E232" s="137"/>
      <c r="F232" s="137"/>
      <c r="G232" s="137"/>
      <c r="H232" s="137"/>
      <c r="I232" s="137"/>
      <c r="J232" s="137"/>
      <c r="K232" s="137"/>
      <c r="L232" s="137"/>
      <c r="M232" s="137"/>
      <c r="N232" s="137"/>
      <c r="O232" s="137"/>
      <c r="P232" s="137"/>
      <c r="Q232" s="137"/>
      <c r="R232" s="137"/>
      <c r="S232" s="137"/>
      <c r="T232" s="137"/>
      <c r="U232" s="137"/>
      <c r="V232" s="137"/>
      <c r="W232" s="137"/>
      <c r="X232" s="137"/>
      <c r="Y232" s="137"/>
      <c r="Z232" s="137"/>
      <c r="AA232" s="137"/>
      <c r="AB232" s="137"/>
      <c r="AC232" s="137"/>
    </row>
    <row r="233" spans="1:29">
      <c r="A233" s="1193">
        <v>40737</v>
      </c>
      <c r="B233" s="10">
        <v>1420</v>
      </c>
      <c r="E233" s="137"/>
      <c r="F233" s="137"/>
      <c r="G233" s="137"/>
      <c r="H233" s="137"/>
      <c r="I233" s="137"/>
      <c r="J233" s="137"/>
      <c r="K233" s="137"/>
      <c r="L233" s="137"/>
      <c r="M233" s="137"/>
      <c r="N233" s="137"/>
      <c r="O233" s="137"/>
      <c r="P233" s="137"/>
      <c r="Q233" s="137"/>
      <c r="R233" s="137"/>
      <c r="S233" s="137"/>
      <c r="T233" s="137"/>
      <c r="U233" s="137"/>
      <c r="V233" s="137"/>
      <c r="W233" s="137"/>
      <c r="X233" s="137"/>
      <c r="Y233" s="137"/>
      <c r="Z233" s="137"/>
      <c r="AA233" s="137"/>
      <c r="AB233" s="137"/>
      <c r="AC233" s="137"/>
    </row>
    <row r="234" spans="1:29">
      <c r="A234" s="1193">
        <v>40730</v>
      </c>
      <c r="B234" s="10">
        <v>1430</v>
      </c>
      <c r="E234" s="137"/>
      <c r="F234" s="137"/>
      <c r="G234" s="137"/>
      <c r="H234" s="137"/>
      <c r="I234" s="137"/>
      <c r="J234" s="137"/>
      <c r="K234" s="137"/>
      <c r="L234" s="137"/>
      <c r="M234" s="137"/>
      <c r="N234" s="137"/>
      <c r="O234" s="137"/>
      <c r="P234" s="137"/>
      <c r="Q234" s="137"/>
      <c r="R234" s="137"/>
      <c r="S234" s="137"/>
      <c r="T234" s="137"/>
      <c r="U234" s="137"/>
      <c r="V234" s="137"/>
      <c r="W234" s="137"/>
      <c r="X234" s="137"/>
      <c r="Y234" s="137"/>
      <c r="Z234" s="137"/>
      <c r="AA234" s="137"/>
      <c r="AB234" s="137"/>
      <c r="AC234" s="137"/>
    </row>
    <row r="235" spans="1:29">
      <c r="A235" s="1193">
        <v>40724</v>
      </c>
      <c r="B235" s="10">
        <v>1420</v>
      </c>
      <c r="E235" s="137"/>
      <c r="F235" s="137"/>
      <c r="G235" s="137"/>
      <c r="H235" s="137"/>
      <c r="I235" s="137"/>
      <c r="J235" s="137"/>
      <c r="K235" s="137"/>
      <c r="L235" s="137"/>
      <c r="M235" s="137"/>
      <c r="N235" s="137"/>
      <c r="O235" s="137"/>
      <c r="P235" s="137"/>
      <c r="Q235" s="137"/>
      <c r="R235" s="137"/>
      <c r="S235" s="137"/>
      <c r="T235" s="137"/>
      <c r="U235" s="137"/>
      <c r="V235" s="137"/>
      <c r="W235" s="137"/>
      <c r="X235" s="137"/>
      <c r="Y235" s="137"/>
      <c r="Z235" s="137"/>
      <c r="AA235" s="137"/>
      <c r="AB235" s="137"/>
      <c r="AC235" s="137"/>
    </row>
    <row r="236" spans="1:29">
      <c r="A236" s="1193">
        <v>40716</v>
      </c>
      <c r="B236" s="10">
        <v>1420</v>
      </c>
      <c r="E236" s="137"/>
      <c r="F236" s="137"/>
      <c r="G236" s="137"/>
      <c r="H236" s="137"/>
      <c r="I236" s="137"/>
      <c r="J236" s="137"/>
      <c r="K236" s="137"/>
      <c r="L236" s="137"/>
      <c r="M236" s="137"/>
      <c r="N236" s="137"/>
      <c r="O236" s="137"/>
      <c r="P236" s="137"/>
      <c r="Q236" s="137"/>
      <c r="R236" s="137"/>
      <c r="S236" s="137"/>
      <c r="T236" s="137"/>
      <c r="U236" s="137"/>
      <c r="V236" s="137"/>
      <c r="W236" s="137"/>
      <c r="X236" s="137"/>
      <c r="Y236" s="137"/>
      <c r="Z236" s="137"/>
      <c r="AA236" s="137"/>
      <c r="AB236" s="137"/>
      <c r="AC236" s="137"/>
    </row>
    <row r="237" spans="1:29">
      <c r="A237" s="1193">
        <v>40709</v>
      </c>
      <c r="B237" s="10">
        <v>1420</v>
      </c>
      <c r="E237" s="137"/>
      <c r="F237" s="137"/>
      <c r="G237" s="137"/>
      <c r="H237" s="137"/>
      <c r="I237" s="137"/>
      <c r="J237" s="137"/>
      <c r="K237" s="137"/>
      <c r="L237" s="137"/>
      <c r="M237" s="137"/>
      <c r="N237" s="137"/>
      <c r="O237" s="137"/>
      <c r="P237" s="137"/>
      <c r="Q237" s="137"/>
      <c r="R237" s="137"/>
      <c r="S237" s="137"/>
      <c r="T237" s="137"/>
      <c r="U237" s="137"/>
      <c r="V237" s="137"/>
      <c r="W237" s="137"/>
      <c r="X237" s="137"/>
      <c r="Y237" s="137"/>
      <c r="Z237" s="137"/>
      <c r="AA237" s="137"/>
      <c r="AB237" s="137"/>
      <c r="AC237" s="137"/>
    </row>
    <row r="238" spans="1:29">
      <c r="A238" s="1193">
        <v>40702</v>
      </c>
      <c r="B238" s="10">
        <v>1420</v>
      </c>
      <c r="E238" s="137"/>
      <c r="F238" s="137"/>
      <c r="G238" s="137"/>
      <c r="H238" s="137"/>
      <c r="I238" s="137"/>
      <c r="J238" s="137"/>
      <c r="K238" s="137"/>
      <c r="L238" s="137"/>
      <c r="M238" s="137"/>
      <c r="N238" s="137"/>
      <c r="O238" s="137"/>
      <c r="P238" s="137"/>
      <c r="Q238" s="137"/>
      <c r="R238" s="137"/>
      <c r="S238" s="137"/>
      <c r="T238" s="137"/>
      <c r="U238" s="137"/>
      <c r="V238" s="137"/>
      <c r="W238" s="137"/>
      <c r="X238" s="137"/>
      <c r="Y238" s="137"/>
      <c r="Z238" s="137"/>
      <c r="AA238" s="137"/>
      <c r="AB238" s="137"/>
      <c r="AC238" s="137"/>
    </row>
    <row r="239" spans="1:29">
      <c r="A239" s="1193">
        <v>40695</v>
      </c>
      <c r="B239" s="10">
        <v>1380</v>
      </c>
      <c r="E239" s="137"/>
      <c r="F239" s="137"/>
      <c r="G239" s="137"/>
      <c r="H239" s="137"/>
      <c r="I239" s="137"/>
      <c r="J239" s="137"/>
      <c r="K239" s="137"/>
      <c r="L239" s="137"/>
      <c r="M239" s="137"/>
      <c r="N239" s="137"/>
      <c r="O239" s="137"/>
      <c r="P239" s="137"/>
      <c r="Q239" s="137"/>
      <c r="R239" s="137"/>
      <c r="S239" s="137"/>
      <c r="T239" s="137"/>
      <c r="U239" s="137"/>
      <c r="V239" s="137"/>
      <c r="W239" s="137"/>
      <c r="X239" s="137"/>
      <c r="Y239" s="137"/>
      <c r="Z239" s="137"/>
      <c r="AA239" s="137"/>
      <c r="AB239" s="137"/>
      <c r="AC239" s="137"/>
    </row>
    <row r="240" spans="1:29">
      <c r="A240" s="1193">
        <v>40688</v>
      </c>
      <c r="B240" s="10">
        <v>1360</v>
      </c>
      <c r="E240" s="137"/>
      <c r="F240" s="137"/>
      <c r="G240" s="137"/>
      <c r="H240" s="137"/>
      <c r="I240" s="137"/>
      <c r="J240" s="137"/>
      <c r="K240" s="137"/>
      <c r="L240" s="137"/>
      <c r="M240" s="137"/>
      <c r="N240" s="137"/>
      <c r="O240" s="137"/>
      <c r="P240" s="137"/>
      <c r="Q240" s="137"/>
      <c r="R240" s="137"/>
      <c r="S240" s="137"/>
      <c r="T240" s="137"/>
      <c r="U240" s="137"/>
      <c r="V240" s="137"/>
      <c r="W240" s="137"/>
      <c r="X240" s="137"/>
      <c r="Y240" s="137"/>
      <c r="Z240" s="137"/>
      <c r="AA240" s="137"/>
      <c r="AB240" s="137"/>
      <c r="AC240" s="137"/>
    </row>
    <row r="241" spans="1:29">
      <c r="A241" s="1193">
        <v>40681</v>
      </c>
      <c r="B241" s="10">
        <v>1360</v>
      </c>
      <c r="E241" s="137"/>
      <c r="F241" s="137"/>
      <c r="G241" s="137"/>
      <c r="H241" s="137"/>
      <c r="I241" s="137"/>
      <c r="J241" s="137"/>
      <c r="K241" s="137"/>
      <c r="L241" s="137"/>
      <c r="M241" s="137"/>
      <c r="N241" s="137"/>
      <c r="O241" s="137"/>
      <c r="P241" s="137"/>
      <c r="Q241" s="137"/>
      <c r="R241" s="137"/>
      <c r="S241" s="137"/>
      <c r="T241" s="137"/>
      <c r="U241" s="137"/>
      <c r="V241" s="137"/>
      <c r="W241" s="137"/>
      <c r="X241" s="137"/>
      <c r="Y241" s="137"/>
      <c r="Z241" s="137"/>
      <c r="AA241" s="137"/>
      <c r="AB241" s="137"/>
      <c r="AC241" s="137"/>
    </row>
    <row r="242" spans="1:29">
      <c r="A242" s="1193">
        <v>40674</v>
      </c>
      <c r="B242" s="10">
        <v>1360</v>
      </c>
      <c r="E242" s="137"/>
      <c r="F242" s="137"/>
      <c r="G242" s="137"/>
      <c r="H242" s="137"/>
      <c r="I242" s="137"/>
      <c r="J242" s="137"/>
      <c r="K242" s="137"/>
      <c r="L242" s="137"/>
      <c r="M242" s="137"/>
      <c r="N242" s="137"/>
      <c r="O242" s="137"/>
      <c r="P242" s="137"/>
      <c r="Q242" s="137"/>
      <c r="R242" s="137"/>
      <c r="S242" s="137"/>
      <c r="T242" s="137"/>
      <c r="U242" s="137"/>
      <c r="V242" s="137"/>
      <c r="W242" s="137"/>
      <c r="X242" s="137"/>
      <c r="Y242" s="137"/>
      <c r="Z242" s="137"/>
      <c r="AA242" s="137"/>
      <c r="AB242" s="137"/>
      <c r="AC242" s="137"/>
    </row>
    <row r="243" spans="1:29">
      <c r="A243" s="1193">
        <v>40667</v>
      </c>
      <c r="B243" s="10">
        <v>1280</v>
      </c>
      <c r="E243" s="137"/>
      <c r="F243" s="137"/>
      <c r="G243" s="137"/>
      <c r="H243" s="137"/>
      <c r="I243" s="137"/>
      <c r="J243" s="137"/>
      <c r="K243" s="137"/>
      <c r="L243" s="137"/>
      <c r="M243" s="137"/>
      <c r="N243" s="137"/>
      <c r="O243" s="137"/>
      <c r="P243" s="137"/>
      <c r="Q243" s="137"/>
      <c r="R243" s="137"/>
      <c r="S243" s="137"/>
      <c r="T243" s="137"/>
      <c r="U243" s="137"/>
      <c r="V243" s="137"/>
      <c r="W243" s="137"/>
      <c r="X243" s="137"/>
      <c r="Y243" s="137"/>
      <c r="Z243" s="137"/>
      <c r="AA243" s="137"/>
      <c r="AB243" s="137"/>
      <c r="AC243" s="137"/>
    </row>
    <row r="244" spans="1:29">
      <c r="A244" s="1193">
        <v>40660</v>
      </c>
      <c r="B244" s="10">
        <v>1330</v>
      </c>
      <c r="E244" s="137"/>
      <c r="F244" s="137"/>
      <c r="G244" s="137"/>
      <c r="H244" s="137"/>
      <c r="I244" s="137"/>
      <c r="J244" s="137"/>
      <c r="K244" s="137"/>
      <c r="L244" s="137"/>
      <c r="M244" s="137"/>
      <c r="N244" s="137"/>
      <c r="O244" s="137"/>
      <c r="P244" s="137"/>
      <c r="Q244" s="137"/>
      <c r="R244" s="137"/>
      <c r="S244" s="137"/>
      <c r="T244" s="137"/>
      <c r="U244" s="137"/>
      <c r="V244" s="137"/>
      <c r="W244" s="137"/>
      <c r="X244" s="137"/>
      <c r="Y244" s="137"/>
      <c r="Z244" s="137"/>
      <c r="AA244" s="137"/>
      <c r="AB244" s="137"/>
      <c r="AC244" s="137"/>
    </row>
    <row r="245" spans="1:29">
      <c r="A245" s="1193">
        <v>40653</v>
      </c>
      <c r="B245" s="10">
        <v>1380</v>
      </c>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row>
    <row r="246" spans="1:29">
      <c r="A246" s="1193">
        <v>40646</v>
      </c>
      <c r="B246" s="10">
        <v>1400</v>
      </c>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row>
    <row r="247" spans="1:29">
      <c r="A247" s="1193">
        <v>40639</v>
      </c>
      <c r="B247" s="10">
        <v>1430</v>
      </c>
      <c r="E247" s="137"/>
      <c r="F247" s="137"/>
      <c r="G247" s="137"/>
      <c r="H247" s="137"/>
      <c r="I247" s="137"/>
      <c r="J247" s="137"/>
      <c r="K247" s="137"/>
      <c r="L247" s="137"/>
      <c r="M247" s="137"/>
      <c r="N247" s="137"/>
      <c r="O247" s="137"/>
      <c r="P247" s="137"/>
      <c r="Q247" s="137"/>
      <c r="R247" s="137"/>
      <c r="S247" s="137"/>
      <c r="T247" s="137"/>
      <c r="U247" s="137"/>
      <c r="V247" s="137"/>
      <c r="W247" s="137"/>
      <c r="X247" s="137"/>
      <c r="Y247" s="137"/>
      <c r="Z247" s="137"/>
      <c r="AA247" s="137"/>
      <c r="AB247" s="137"/>
      <c r="AC247" s="137"/>
    </row>
    <row r="248" spans="1:29">
      <c r="A248" s="1193">
        <v>40632</v>
      </c>
      <c r="B248" s="10">
        <v>1460</v>
      </c>
      <c r="E248" s="137"/>
      <c r="F248" s="137"/>
      <c r="G248" s="137"/>
      <c r="H248" s="137"/>
      <c r="I248" s="137"/>
      <c r="J248" s="137"/>
      <c r="K248" s="137"/>
      <c r="L248" s="137"/>
      <c r="M248" s="137"/>
      <c r="N248" s="137"/>
      <c r="O248" s="137"/>
      <c r="P248" s="137"/>
      <c r="Q248" s="137"/>
      <c r="R248" s="137"/>
      <c r="S248" s="137"/>
      <c r="T248" s="137"/>
      <c r="U248" s="137"/>
      <c r="V248" s="137"/>
      <c r="W248" s="137"/>
      <c r="X248" s="137"/>
      <c r="Y248" s="137"/>
      <c r="Z248" s="137"/>
      <c r="AA248" s="137"/>
      <c r="AB248" s="137"/>
      <c r="AC248" s="137"/>
    </row>
    <row r="249" spans="1:29">
      <c r="A249" s="1193">
        <v>40625</v>
      </c>
      <c r="B249" s="10">
        <v>1560</v>
      </c>
      <c r="E249" s="137"/>
      <c r="F249" s="137"/>
      <c r="G249" s="137"/>
      <c r="H249" s="137"/>
      <c r="I249" s="137"/>
      <c r="J249" s="137"/>
      <c r="K249" s="137"/>
      <c r="L249" s="137"/>
      <c r="M249" s="137"/>
      <c r="N249" s="137"/>
      <c r="O249" s="137"/>
      <c r="P249" s="137"/>
      <c r="Q249" s="137"/>
      <c r="R249" s="137"/>
      <c r="S249" s="137"/>
      <c r="T249" s="137"/>
      <c r="U249" s="137"/>
      <c r="V249" s="137"/>
      <c r="W249" s="137"/>
      <c r="X249" s="137"/>
      <c r="Y249" s="137"/>
      <c r="Z249" s="137"/>
      <c r="AA249" s="137"/>
      <c r="AB249" s="137"/>
      <c r="AC249" s="137"/>
    </row>
    <row r="250" spans="1:29">
      <c r="A250" s="1193">
        <v>40618</v>
      </c>
      <c r="B250" s="10">
        <v>1600</v>
      </c>
      <c r="E250" s="137"/>
      <c r="F250" s="137"/>
      <c r="G250" s="137"/>
      <c r="H250" s="137"/>
      <c r="I250" s="137"/>
      <c r="J250" s="137"/>
      <c r="K250" s="137"/>
      <c r="L250" s="137"/>
      <c r="M250" s="137"/>
      <c r="N250" s="137"/>
      <c r="O250" s="137"/>
      <c r="P250" s="137"/>
      <c r="Q250" s="137"/>
      <c r="R250" s="137"/>
      <c r="S250" s="137"/>
      <c r="T250" s="137"/>
      <c r="U250" s="137"/>
      <c r="V250" s="137"/>
      <c r="W250" s="137"/>
      <c r="X250" s="137"/>
      <c r="Y250" s="137"/>
      <c r="Z250" s="137"/>
      <c r="AA250" s="137"/>
      <c r="AB250" s="137"/>
      <c r="AC250" s="137"/>
    </row>
    <row r="251" spans="1:29">
      <c r="A251" s="1193">
        <v>40611</v>
      </c>
      <c r="B251" s="10">
        <v>1610</v>
      </c>
      <c r="E251" s="137"/>
      <c r="F251" s="137"/>
      <c r="G251" s="137"/>
      <c r="H251" s="137"/>
      <c r="I251" s="137"/>
      <c r="J251" s="137"/>
      <c r="K251" s="137"/>
      <c r="L251" s="137"/>
      <c r="M251" s="137"/>
      <c r="N251" s="137"/>
      <c r="O251" s="137"/>
      <c r="P251" s="137"/>
      <c r="Q251" s="137"/>
      <c r="R251" s="137"/>
      <c r="S251" s="137"/>
      <c r="T251" s="137"/>
      <c r="U251" s="137"/>
      <c r="V251" s="137"/>
      <c r="W251" s="137"/>
      <c r="X251" s="137"/>
      <c r="Y251" s="137"/>
      <c r="Z251" s="137"/>
      <c r="AA251" s="137"/>
      <c r="AB251" s="137"/>
      <c r="AC251" s="137"/>
    </row>
    <row r="252" spans="1:29">
      <c r="A252" s="1193">
        <v>40604</v>
      </c>
      <c r="B252" s="10">
        <v>1630</v>
      </c>
      <c r="E252" s="137"/>
      <c r="F252" s="137"/>
      <c r="G252" s="137"/>
      <c r="H252" s="137"/>
      <c r="I252" s="137"/>
      <c r="J252" s="137"/>
      <c r="K252" s="137"/>
      <c r="L252" s="137"/>
      <c r="M252" s="137"/>
      <c r="N252" s="137"/>
      <c r="O252" s="137"/>
      <c r="P252" s="137"/>
      <c r="Q252" s="137"/>
      <c r="R252" s="137"/>
      <c r="S252" s="137"/>
      <c r="T252" s="137"/>
      <c r="U252" s="137"/>
      <c r="V252" s="137"/>
      <c r="W252" s="137"/>
      <c r="X252" s="137"/>
      <c r="Y252" s="137"/>
      <c r="Z252" s="137"/>
      <c r="AA252" s="137"/>
      <c r="AB252" s="137"/>
      <c r="AC252" s="137"/>
    </row>
    <row r="253" spans="1:29">
      <c r="A253" s="1193">
        <v>40597</v>
      </c>
      <c r="B253" s="10">
        <v>1830</v>
      </c>
      <c r="E253" s="137"/>
      <c r="F253" s="137"/>
      <c r="G253" s="137"/>
      <c r="H253" s="137"/>
      <c r="I253" s="137"/>
      <c r="J253" s="137"/>
      <c r="K253" s="137"/>
      <c r="L253" s="137"/>
      <c r="M253" s="137"/>
      <c r="N253" s="137"/>
      <c r="O253" s="137"/>
      <c r="P253" s="137"/>
      <c r="Q253" s="137"/>
      <c r="R253" s="137"/>
      <c r="S253" s="137"/>
      <c r="T253" s="137"/>
      <c r="U253" s="137"/>
      <c r="V253" s="137"/>
      <c r="W253" s="137"/>
      <c r="X253" s="137"/>
      <c r="Y253" s="137"/>
      <c r="Z253" s="137"/>
      <c r="AA253" s="137"/>
      <c r="AB253" s="137"/>
      <c r="AC253" s="137"/>
    </row>
    <row r="254" spans="1:29">
      <c r="A254" s="1193">
        <v>40590</v>
      </c>
      <c r="B254" s="10">
        <v>1860</v>
      </c>
      <c r="E254" s="137"/>
      <c r="F254" s="137"/>
      <c r="G254" s="137"/>
      <c r="H254" s="137"/>
      <c r="I254" s="137"/>
      <c r="J254" s="137"/>
      <c r="K254" s="137"/>
      <c r="L254" s="137"/>
      <c r="M254" s="137"/>
      <c r="N254" s="137"/>
      <c r="O254" s="137"/>
      <c r="P254" s="137"/>
      <c r="Q254" s="137"/>
      <c r="R254" s="137"/>
      <c r="S254" s="137"/>
      <c r="T254" s="137"/>
      <c r="U254" s="137"/>
      <c r="V254" s="137"/>
      <c r="W254" s="137"/>
      <c r="X254" s="137"/>
      <c r="Y254" s="137"/>
      <c r="Z254" s="137"/>
      <c r="AA254" s="137"/>
      <c r="AB254" s="137"/>
      <c r="AC254" s="137"/>
    </row>
    <row r="255" spans="1:29">
      <c r="A255" s="1193">
        <v>40583</v>
      </c>
      <c r="B255" s="10">
        <v>1860</v>
      </c>
      <c r="E255" s="137"/>
      <c r="F255" s="137"/>
      <c r="G255" s="137"/>
      <c r="H255" s="137"/>
      <c r="I255" s="137"/>
      <c r="J255" s="137"/>
      <c r="K255" s="137"/>
      <c r="L255" s="137"/>
      <c r="M255" s="137"/>
      <c r="N255" s="137"/>
      <c r="O255" s="137"/>
      <c r="P255" s="137"/>
      <c r="Q255" s="137"/>
      <c r="R255" s="137"/>
      <c r="S255" s="137"/>
      <c r="T255" s="137"/>
      <c r="U255" s="137"/>
      <c r="V255" s="137"/>
      <c r="W255" s="137"/>
      <c r="X255" s="137"/>
      <c r="Y255" s="137"/>
      <c r="Z255" s="137"/>
      <c r="AA255" s="137"/>
      <c r="AB255" s="137"/>
      <c r="AC255" s="137"/>
    </row>
    <row r="256" spans="1:29">
      <c r="A256" s="1193">
        <v>40576</v>
      </c>
      <c r="B256" s="10">
        <v>1860</v>
      </c>
      <c r="E256" s="137"/>
      <c r="F256" s="137"/>
      <c r="G256" s="137"/>
      <c r="H256" s="137"/>
      <c r="I256" s="137"/>
      <c r="J256" s="137"/>
      <c r="K256" s="137"/>
      <c r="L256" s="137"/>
      <c r="M256" s="137"/>
      <c r="N256" s="137"/>
      <c r="O256" s="137"/>
      <c r="P256" s="137"/>
      <c r="Q256" s="137"/>
      <c r="R256" s="137"/>
      <c r="S256" s="137"/>
      <c r="T256" s="137"/>
      <c r="U256" s="137"/>
      <c r="V256" s="137"/>
      <c r="W256" s="137"/>
      <c r="X256" s="137"/>
      <c r="Y256" s="137"/>
      <c r="Z256" s="137"/>
      <c r="AA256" s="137"/>
      <c r="AB256" s="137"/>
      <c r="AC256" s="137"/>
    </row>
    <row r="257" spans="1:29">
      <c r="A257" s="1193">
        <v>40569</v>
      </c>
      <c r="B257" s="10">
        <v>1820</v>
      </c>
      <c r="E257" s="137"/>
      <c r="F257" s="137"/>
      <c r="G257" s="137"/>
      <c r="H257" s="137"/>
      <c r="I257" s="137"/>
      <c r="J257" s="137"/>
      <c r="K257" s="137"/>
      <c r="L257" s="137"/>
      <c r="M257" s="137"/>
      <c r="N257" s="137"/>
      <c r="O257" s="137"/>
      <c r="P257" s="137"/>
      <c r="Q257" s="137"/>
      <c r="R257" s="137"/>
      <c r="S257" s="137"/>
      <c r="T257" s="137"/>
      <c r="U257" s="137"/>
      <c r="V257" s="137"/>
      <c r="W257" s="137"/>
      <c r="X257" s="137"/>
      <c r="Y257" s="137"/>
      <c r="Z257" s="137"/>
      <c r="AA257" s="137"/>
      <c r="AB257" s="137"/>
      <c r="AC257" s="137"/>
    </row>
    <row r="258" spans="1:29">
      <c r="A258" s="1193">
        <v>40562</v>
      </c>
      <c r="B258" s="10">
        <v>1750</v>
      </c>
      <c r="E258" s="137"/>
      <c r="F258" s="137"/>
      <c r="G258" s="137"/>
      <c r="H258" s="137"/>
      <c r="I258" s="137"/>
      <c r="J258" s="137"/>
      <c r="K258" s="137"/>
      <c r="L258" s="137"/>
      <c r="M258" s="137"/>
      <c r="N258" s="137"/>
      <c r="O258" s="137"/>
      <c r="P258" s="137"/>
      <c r="Q258" s="137"/>
      <c r="R258" s="137"/>
      <c r="S258" s="137"/>
      <c r="T258" s="137"/>
      <c r="U258" s="137"/>
      <c r="V258" s="137"/>
      <c r="W258" s="137"/>
      <c r="X258" s="137"/>
      <c r="Y258" s="137"/>
      <c r="Z258" s="137"/>
      <c r="AA258" s="137"/>
      <c r="AB258" s="137"/>
      <c r="AC258" s="137"/>
    </row>
    <row r="259" spans="1:29">
      <c r="A259" s="1193">
        <v>40555</v>
      </c>
      <c r="B259" s="10">
        <v>1750</v>
      </c>
      <c r="E259" s="137"/>
      <c r="F259" s="137"/>
      <c r="G259" s="137"/>
      <c r="H259" s="137"/>
      <c r="I259" s="137"/>
      <c r="J259" s="137"/>
      <c r="K259" s="137"/>
      <c r="L259" s="137"/>
      <c r="M259" s="137"/>
      <c r="N259" s="137"/>
      <c r="O259" s="137"/>
      <c r="P259" s="137"/>
      <c r="Q259" s="137"/>
      <c r="R259" s="137"/>
      <c r="S259" s="137"/>
      <c r="T259" s="137"/>
      <c r="U259" s="137"/>
      <c r="V259" s="137"/>
      <c r="W259" s="137"/>
      <c r="X259" s="137"/>
      <c r="Y259" s="137"/>
      <c r="Z259" s="137"/>
      <c r="AA259" s="137"/>
      <c r="AB259" s="137"/>
      <c r="AC259" s="137"/>
    </row>
    <row r="260" spans="1:29">
      <c r="A260" s="1193">
        <v>40548</v>
      </c>
      <c r="B260" s="10">
        <v>1500</v>
      </c>
      <c r="E260" s="137"/>
      <c r="F260" s="137"/>
      <c r="G260" s="137"/>
      <c r="H260" s="137"/>
      <c r="I260" s="137"/>
      <c r="J260" s="137"/>
      <c r="K260" s="137"/>
      <c r="L260" s="137"/>
      <c r="M260" s="137"/>
      <c r="N260" s="137"/>
      <c r="O260" s="137"/>
      <c r="P260" s="137"/>
      <c r="Q260" s="137"/>
      <c r="R260" s="137"/>
      <c r="S260" s="137"/>
      <c r="T260" s="137"/>
      <c r="U260" s="137"/>
      <c r="V260" s="137"/>
      <c r="W260" s="137"/>
      <c r="X260" s="137"/>
      <c r="Y260" s="137"/>
      <c r="Z260" s="137"/>
      <c r="AA260" s="137"/>
      <c r="AB260" s="137"/>
      <c r="AC260" s="137"/>
    </row>
    <row r="261" spans="1:29">
      <c r="A261" s="1193">
        <v>40541</v>
      </c>
      <c r="B261" s="10">
        <v>1500</v>
      </c>
      <c r="E261" s="137"/>
      <c r="F261" s="137"/>
      <c r="G261" s="137"/>
      <c r="H261" s="137"/>
      <c r="I261" s="137"/>
      <c r="J261" s="137"/>
      <c r="K261" s="137"/>
      <c r="L261" s="137"/>
      <c r="M261" s="137"/>
      <c r="N261" s="137"/>
      <c r="O261" s="137"/>
      <c r="P261" s="137"/>
      <c r="Q261" s="137"/>
      <c r="R261" s="137"/>
      <c r="S261" s="137"/>
      <c r="T261" s="137"/>
      <c r="U261" s="137"/>
      <c r="V261" s="137"/>
      <c r="W261" s="137"/>
      <c r="X261" s="137"/>
      <c r="Y261" s="137"/>
      <c r="Z261" s="137"/>
      <c r="AA261" s="137"/>
      <c r="AB261" s="137"/>
      <c r="AC261" s="137"/>
    </row>
    <row r="262" spans="1:29">
      <c r="A262" s="1193">
        <v>40534</v>
      </c>
      <c r="B262" s="10">
        <v>1440</v>
      </c>
      <c r="E262" s="137"/>
      <c r="F262" s="137"/>
      <c r="G262" s="137"/>
      <c r="H262" s="137"/>
      <c r="I262" s="137"/>
      <c r="J262" s="137"/>
      <c r="K262" s="137"/>
      <c r="L262" s="137"/>
      <c r="M262" s="137"/>
      <c r="N262" s="137"/>
      <c r="O262" s="137"/>
      <c r="P262" s="137"/>
      <c r="Q262" s="137"/>
      <c r="R262" s="137"/>
      <c r="S262" s="137"/>
      <c r="T262" s="137"/>
      <c r="U262" s="137"/>
      <c r="V262" s="137"/>
      <c r="W262" s="137"/>
      <c r="X262" s="137"/>
      <c r="Y262" s="137"/>
      <c r="Z262" s="137"/>
      <c r="AA262" s="137"/>
      <c r="AB262" s="137"/>
      <c r="AC262" s="137"/>
    </row>
    <row r="263" spans="1:29">
      <c r="A263" s="1193">
        <v>40527</v>
      </c>
      <c r="B263" s="10">
        <v>1425</v>
      </c>
      <c r="E263" s="137"/>
      <c r="F263" s="137"/>
      <c r="G263" s="137"/>
      <c r="H263" s="137"/>
      <c r="I263" s="137"/>
      <c r="J263" s="137"/>
      <c r="K263" s="137"/>
      <c r="L263" s="137"/>
      <c r="M263" s="137"/>
      <c r="N263" s="137"/>
      <c r="O263" s="137"/>
      <c r="P263" s="137"/>
      <c r="Q263" s="137"/>
      <c r="R263" s="137"/>
      <c r="S263" s="137"/>
      <c r="T263" s="137"/>
      <c r="U263" s="137"/>
      <c r="V263" s="137"/>
      <c r="W263" s="137"/>
      <c r="X263" s="137"/>
      <c r="Y263" s="137"/>
      <c r="Z263" s="137"/>
      <c r="AA263" s="137"/>
      <c r="AB263" s="137"/>
      <c r="AC263" s="137"/>
    </row>
    <row r="264" spans="1:29">
      <c r="A264" s="1193">
        <v>40520</v>
      </c>
      <c r="B264" s="10">
        <v>1400</v>
      </c>
      <c r="E264" s="137"/>
      <c r="F264" s="137"/>
      <c r="G264" s="137"/>
      <c r="H264" s="137"/>
      <c r="I264" s="137"/>
      <c r="J264" s="137"/>
      <c r="K264" s="137"/>
      <c r="L264" s="137"/>
      <c r="M264" s="137"/>
      <c r="N264" s="137"/>
      <c r="O264" s="137"/>
      <c r="P264" s="137"/>
      <c r="Q264" s="137"/>
      <c r="R264" s="137"/>
      <c r="S264" s="137"/>
      <c r="T264" s="137"/>
      <c r="U264" s="137"/>
      <c r="V264" s="137"/>
      <c r="W264" s="137"/>
      <c r="X264" s="137"/>
      <c r="Y264" s="137"/>
      <c r="Z264" s="137"/>
      <c r="AA264" s="137"/>
      <c r="AB264" s="137"/>
      <c r="AC264" s="137"/>
    </row>
    <row r="265" spans="1:29">
      <c r="A265" s="1193">
        <v>40513</v>
      </c>
      <c r="B265" s="10">
        <v>1390</v>
      </c>
      <c r="E265" s="137"/>
      <c r="F265" s="137"/>
      <c r="G265" s="137"/>
      <c r="H265" s="137"/>
      <c r="I265" s="137"/>
      <c r="J265" s="137"/>
      <c r="K265" s="137"/>
      <c r="L265" s="137"/>
      <c r="M265" s="137"/>
      <c r="N265" s="137"/>
      <c r="O265" s="137"/>
      <c r="P265" s="137"/>
      <c r="Q265" s="137"/>
      <c r="R265" s="137"/>
      <c r="S265" s="137"/>
      <c r="T265" s="137"/>
      <c r="U265" s="137"/>
      <c r="V265" s="137"/>
      <c r="W265" s="137"/>
      <c r="X265" s="137"/>
      <c r="Y265" s="137"/>
      <c r="Z265" s="137"/>
      <c r="AA265" s="137"/>
      <c r="AB265" s="137"/>
      <c r="AC265" s="137"/>
    </row>
    <row r="266" spans="1:29">
      <c r="A266" s="1193">
        <v>40506</v>
      </c>
      <c r="B266" s="10">
        <v>1380</v>
      </c>
      <c r="E266" s="137"/>
      <c r="F266" s="137"/>
      <c r="G266" s="137"/>
      <c r="H266" s="137"/>
      <c r="I266" s="137"/>
      <c r="J266" s="137"/>
      <c r="K266" s="137"/>
      <c r="L266" s="137"/>
      <c r="M266" s="137"/>
      <c r="N266" s="137"/>
      <c r="O266" s="137"/>
      <c r="P266" s="137"/>
      <c r="Q266" s="137"/>
      <c r="R266" s="137"/>
      <c r="S266" s="137"/>
      <c r="T266" s="137"/>
      <c r="U266" s="137"/>
      <c r="V266" s="137"/>
      <c r="W266" s="137"/>
      <c r="X266" s="137"/>
      <c r="Y266" s="137"/>
      <c r="Z266" s="137"/>
      <c r="AA266" s="137"/>
      <c r="AB266" s="137"/>
      <c r="AC266" s="137"/>
    </row>
    <row r="267" spans="1:29">
      <c r="A267" s="1193">
        <v>40499</v>
      </c>
      <c r="B267" s="10">
        <v>1430</v>
      </c>
      <c r="E267" s="137"/>
      <c r="F267" s="137"/>
      <c r="G267" s="137"/>
      <c r="H267" s="137"/>
      <c r="I267" s="137"/>
      <c r="J267" s="137"/>
      <c r="K267" s="137"/>
      <c r="L267" s="137"/>
      <c r="M267" s="137"/>
      <c r="N267" s="137"/>
      <c r="O267" s="137"/>
      <c r="P267" s="137"/>
      <c r="Q267" s="137"/>
      <c r="R267" s="137"/>
      <c r="S267" s="137"/>
      <c r="T267" s="137"/>
      <c r="U267" s="137"/>
      <c r="V267" s="137"/>
      <c r="W267" s="137"/>
      <c r="X267" s="137"/>
      <c r="Y267" s="137"/>
      <c r="Z267" s="137"/>
      <c r="AA267" s="137"/>
      <c r="AB267" s="137"/>
      <c r="AC267" s="137"/>
    </row>
    <row r="268" spans="1:29">
      <c r="A268" s="1193">
        <v>40492</v>
      </c>
      <c r="B268" s="10">
        <v>1450</v>
      </c>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c r="AA268" s="137"/>
      <c r="AB268" s="137"/>
      <c r="AC268" s="137"/>
    </row>
    <row r="269" spans="1:29">
      <c r="A269" s="1193">
        <v>40478</v>
      </c>
      <c r="B269" s="10">
        <v>1430</v>
      </c>
      <c r="E269" s="137"/>
      <c r="F269" s="137"/>
      <c r="G269" s="137"/>
      <c r="H269" s="137"/>
      <c r="I269" s="137"/>
      <c r="J269" s="137"/>
      <c r="K269" s="137"/>
      <c r="L269" s="137"/>
      <c r="M269" s="137"/>
      <c r="N269" s="137"/>
      <c r="O269" s="137"/>
      <c r="P269" s="137"/>
      <c r="Q269" s="137"/>
      <c r="R269" s="137"/>
      <c r="S269" s="137"/>
      <c r="T269" s="137"/>
      <c r="U269" s="137"/>
      <c r="V269" s="137"/>
      <c r="W269" s="137"/>
      <c r="X269" s="137"/>
      <c r="Y269" s="137"/>
      <c r="Z269" s="137"/>
      <c r="AA269" s="137"/>
      <c r="AB269" s="137"/>
      <c r="AC269" s="137"/>
    </row>
    <row r="270" spans="1:29">
      <c r="A270" s="1193">
        <v>40471</v>
      </c>
      <c r="B270" s="10">
        <v>1480</v>
      </c>
      <c r="E270" s="137"/>
      <c r="F270" s="137"/>
      <c r="G270" s="137"/>
      <c r="H270" s="137"/>
      <c r="I270" s="137"/>
      <c r="J270" s="137"/>
      <c r="K270" s="137"/>
      <c r="L270" s="137"/>
      <c r="M270" s="137"/>
      <c r="N270" s="137"/>
      <c r="O270" s="137"/>
      <c r="P270" s="137"/>
      <c r="Q270" s="137"/>
      <c r="R270" s="137"/>
      <c r="S270" s="137"/>
      <c r="T270" s="137"/>
      <c r="U270" s="137"/>
      <c r="V270" s="137"/>
      <c r="W270" s="137"/>
      <c r="X270" s="137"/>
      <c r="Y270" s="137"/>
      <c r="Z270" s="137"/>
      <c r="AA270" s="137"/>
      <c r="AB270" s="137"/>
      <c r="AC270" s="137"/>
    </row>
    <row r="271" spans="1:29">
      <c r="A271" s="1193">
        <v>40464</v>
      </c>
      <c r="B271" s="10">
        <v>1480</v>
      </c>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c r="AA271" s="137"/>
      <c r="AB271" s="137"/>
      <c r="AC271" s="137"/>
    </row>
    <row r="272" spans="1:29">
      <c r="A272" s="1193">
        <v>40457</v>
      </c>
      <c r="B272" s="10">
        <v>1480</v>
      </c>
      <c r="E272" s="137"/>
      <c r="F272" s="137"/>
      <c r="G272" s="137"/>
      <c r="H272" s="137"/>
      <c r="I272" s="137"/>
      <c r="J272" s="137"/>
      <c r="K272" s="137"/>
      <c r="L272" s="137"/>
      <c r="M272" s="137"/>
      <c r="N272" s="137"/>
      <c r="O272" s="137"/>
      <c r="P272" s="137"/>
      <c r="Q272" s="137"/>
      <c r="R272" s="137"/>
      <c r="S272" s="137"/>
      <c r="T272" s="137"/>
      <c r="U272" s="137"/>
      <c r="V272" s="137"/>
      <c r="W272" s="137"/>
      <c r="X272" s="137"/>
      <c r="Y272" s="137"/>
      <c r="Z272" s="137"/>
      <c r="AA272" s="137"/>
      <c r="AB272" s="137"/>
      <c r="AC272" s="137"/>
    </row>
    <row r="273" spans="1:29">
      <c r="A273" s="1193">
        <v>40450</v>
      </c>
      <c r="B273" s="10">
        <v>1480</v>
      </c>
      <c r="E273" s="137"/>
      <c r="F273" s="137"/>
      <c r="G273" s="137"/>
      <c r="H273" s="137"/>
      <c r="I273" s="137"/>
      <c r="J273" s="137"/>
      <c r="K273" s="137"/>
      <c r="L273" s="137"/>
      <c r="M273" s="137"/>
      <c r="N273" s="137"/>
      <c r="O273" s="137"/>
      <c r="P273" s="137"/>
      <c r="Q273" s="137"/>
      <c r="R273" s="137"/>
      <c r="S273" s="137"/>
      <c r="T273" s="137"/>
      <c r="U273" s="137"/>
      <c r="V273" s="137"/>
      <c r="W273" s="137"/>
      <c r="X273" s="137"/>
      <c r="Y273" s="137"/>
      <c r="Z273" s="137"/>
      <c r="AA273" s="137"/>
      <c r="AB273" s="137"/>
      <c r="AC273" s="137"/>
    </row>
    <row r="274" spans="1:29">
      <c r="A274" s="1193">
        <v>40443</v>
      </c>
      <c r="B274" s="10">
        <v>1530</v>
      </c>
      <c r="E274" s="137"/>
      <c r="F274" s="137"/>
      <c r="G274" s="137"/>
      <c r="H274" s="137"/>
      <c r="I274" s="137"/>
      <c r="J274" s="137"/>
      <c r="K274" s="137"/>
      <c r="L274" s="137"/>
      <c r="M274" s="137"/>
      <c r="N274" s="137"/>
      <c r="O274" s="137"/>
      <c r="P274" s="137"/>
      <c r="Q274" s="137"/>
      <c r="R274" s="137"/>
      <c r="S274" s="137"/>
      <c r="T274" s="137"/>
      <c r="U274" s="137"/>
      <c r="V274" s="137"/>
      <c r="W274" s="137"/>
      <c r="X274" s="137"/>
      <c r="Y274" s="137"/>
      <c r="Z274" s="137"/>
      <c r="AA274" s="137"/>
      <c r="AB274" s="137"/>
      <c r="AC274" s="137"/>
    </row>
    <row r="275" spans="1:29">
      <c r="A275" s="1193">
        <v>40436</v>
      </c>
      <c r="B275" s="10">
        <v>1550</v>
      </c>
      <c r="E275" s="137"/>
      <c r="F275" s="137"/>
      <c r="G275" s="137"/>
      <c r="H275" s="137"/>
      <c r="I275" s="137"/>
      <c r="J275" s="137"/>
      <c r="K275" s="137"/>
      <c r="L275" s="137"/>
      <c r="M275" s="137"/>
      <c r="N275" s="137"/>
      <c r="O275" s="137"/>
      <c r="P275" s="137"/>
      <c r="Q275" s="137"/>
      <c r="R275" s="137"/>
      <c r="S275" s="137"/>
      <c r="T275" s="137"/>
      <c r="U275" s="137"/>
      <c r="V275" s="137"/>
      <c r="W275" s="137"/>
      <c r="X275" s="137"/>
      <c r="Y275" s="137"/>
      <c r="Z275" s="137"/>
      <c r="AA275" s="137"/>
      <c r="AB275" s="137"/>
      <c r="AC275" s="137"/>
    </row>
    <row r="276" spans="1:29">
      <c r="A276" s="1193">
        <v>40429</v>
      </c>
      <c r="B276" s="10">
        <v>1550</v>
      </c>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c r="AA276" s="137"/>
      <c r="AB276" s="137"/>
      <c r="AC276" s="137"/>
    </row>
    <row r="277" spans="1:29">
      <c r="A277" s="1193">
        <v>40422</v>
      </c>
      <c r="B277" s="10">
        <v>1520</v>
      </c>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c r="AA277" s="137"/>
      <c r="AB277" s="137"/>
      <c r="AC277" s="137"/>
    </row>
    <row r="278" spans="1:29">
      <c r="A278" s="1193">
        <v>40415</v>
      </c>
      <c r="B278" s="10">
        <v>1520</v>
      </c>
      <c r="E278" s="137"/>
      <c r="F278" s="137"/>
      <c r="G278" s="137"/>
      <c r="H278" s="137"/>
      <c r="I278" s="137"/>
      <c r="J278" s="137"/>
      <c r="K278" s="137"/>
      <c r="L278" s="137"/>
      <c r="M278" s="137"/>
      <c r="N278" s="137"/>
      <c r="O278" s="137"/>
      <c r="P278" s="137"/>
      <c r="Q278" s="137"/>
      <c r="R278" s="137"/>
      <c r="S278" s="137"/>
      <c r="T278" s="137"/>
      <c r="U278" s="137"/>
      <c r="V278" s="137"/>
      <c r="W278" s="137"/>
      <c r="X278" s="137"/>
      <c r="Y278" s="137"/>
      <c r="Z278" s="137"/>
      <c r="AA278" s="137"/>
      <c r="AB278" s="137"/>
      <c r="AC278" s="137"/>
    </row>
    <row r="279" spans="1:29">
      <c r="A279" s="1193">
        <v>40408</v>
      </c>
      <c r="B279" s="10">
        <v>1520</v>
      </c>
      <c r="E279" s="137"/>
      <c r="F279" s="137"/>
      <c r="G279" s="137"/>
      <c r="H279" s="137"/>
      <c r="I279" s="137"/>
      <c r="J279" s="137"/>
      <c r="K279" s="137"/>
      <c r="L279" s="137"/>
      <c r="M279" s="137"/>
      <c r="N279" s="137"/>
      <c r="O279" s="137"/>
      <c r="P279" s="137"/>
      <c r="Q279" s="137"/>
      <c r="R279" s="137"/>
      <c r="S279" s="137"/>
      <c r="T279" s="137"/>
      <c r="U279" s="137"/>
      <c r="V279" s="137"/>
      <c r="W279" s="137"/>
      <c r="X279" s="137"/>
      <c r="Y279" s="137"/>
      <c r="Z279" s="137"/>
      <c r="AA279" s="137"/>
      <c r="AB279" s="137"/>
      <c r="AC279" s="137"/>
    </row>
    <row r="280" spans="1:29">
      <c r="A280" s="1193">
        <v>40401</v>
      </c>
      <c r="B280" s="10">
        <v>1490</v>
      </c>
      <c r="E280" s="137"/>
      <c r="F280" s="137"/>
      <c r="G280" s="137"/>
      <c r="H280" s="137"/>
      <c r="I280" s="137"/>
      <c r="J280" s="137"/>
      <c r="K280" s="137"/>
      <c r="L280" s="137"/>
      <c r="M280" s="137"/>
      <c r="N280" s="137"/>
      <c r="O280" s="137"/>
      <c r="P280" s="137"/>
      <c r="Q280" s="137"/>
      <c r="R280" s="137"/>
      <c r="S280" s="137"/>
      <c r="T280" s="137"/>
      <c r="U280" s="137"/>
      <c r="V280" s="137"/>
      <c r="W280" s="137"/>
      <c r="X280" s="137"/>
      <c r="Y280" s="137"/>
      <c r="Z280" s="137"/>
      <c r="AA280" s="137"/>
      <c r="AB280" s="137"/>
      <c r="AC280" s="137"/>
    </row>
    <row r="281" spans="1:29">
      <c r="A281" s="1193">
        <v>40394</v>
      </c>
      <c r="B281" s="10">
        <v>1490</v>
      </c>
      <c r="E281" s="137"/>
      <c r="F281" s="137"/>
      <c r="G281" s="137"/>
      <c r="H281" s="137"/>
      <c r="I281" s="137"/>
      <c r="J281" s="137"/>
      <c r="K281" s="137"/>
      <c r="L281" s="137"/>
      <c r="M281" s="137"/>
      <c r="N281" s="137"/>
      <c r="O281" s="137"/>
      <c r="P281" s="137"/>
      <c r="Q281" s="137"/>
      <c r="R281" s="137"/>
      <c r="S281" s="137"/>
      <c r="T281" s="137"/>
      <c r="U281" s="137"/>
      <c r="V281" s="137"/>
      <c r="W281" s="137"/>
      <c r="X281" s="137"/>
      <c r="Y281" s="137"/>
      <c r="Z281" s="137"/>
      <c r="AA281" s="137"/>
      <c r="AB281" s="137"/>
      <c r="AC281" s="137"/>
    </row>
    <row r="282" spans="1:29">
      <c r="A282" s="1193">
        <v>40387</v>
      </c>
      <c r="B282" s="10">
        <v>1470</v>
      </c>
      <c r="E282" s="137"/>
      <c r="F282" s="137"/>
      <c r="G282" s="137"/>
      <c r="H282" s="137"/>
      <c r="I282" s="137"/>
      <c r="J282" s="137"/>
      <c r="K282" s="137"/>
      <c r="L282" s="137"/>
      <c r="M282" s="137"/>
      <c r="N282" s="137"/>
      <c r="O282" s="137"/>
      <c r="P282" s="137"/>
      <c r="Q282" s="137"/>
      <c r="R282" s="137"/>
      <c r="S282" s="137"/>
      <c r="T282" s="137"/>
      <c r="U282" s="137"/>
      <c r="V282" s="137"/>
      <c r="W282" s="137"/>
      <c r="X282" s="137"/>
      <c r="Y282" s="137"/>
      <c r="Z282" s="137"/>
      <c r="AA282" s="137"/>
      <c r="AB282" s="137"/>
      <c r="AC282" s="137"/>
    </row>
    <row r="283" spans="1:29">
      <c r="A283" s="1193">
        <v>40380</v>
      </c>
      <c r="B283" s="10">
        <v>1470</v>
      </c>
      <c r="E283" s="137"/>
      <c r="F283" s="137"/>
      <c r="G283" s="137"/>
      <c r="H283" s="137"/>
      <c r="I283" s="137"/>
      <c r="J283" s="137"/>
      <c r="K283" s="137"/>
      <c r="L283" s="137"/>
      <c r="M283" s="137"/>
      <c r="N283" s="137"/>
      <c r="O283" s="137"/>
      <c r="P283" s="137"/>
      <c r="Q283" s="137"/>
      <c r="R283" s="137"/>
      <c r="S283" s="137"/>
      <c r="T283" s="137"/>
      <c r="U283" s="137"/>
      <c r="V283" s="137"/>
      <c r="W283" s="137"/>
      <c r="X283" s="137"/>
      <c r="Y283" s="137"/>
      <c r="Z283" s="137"/>
      <c r="AA283" s="137"/>
      <c r="AB283" s="137"/>
      <c r="AC283" s="137"/>
    </row>
    <row r="284" spans="1:29">
      <c r="A284" s="1193">
        <v>40373</v>
      </c>
      <c r="B284" s="10">
        <v>1500</v>
      </c>
      <c r="E284" s="137"/>
      <c r="F284" s="137"/>
      <c r="G284" s="137"/>
      <c r="H284" s="137"/>
      <c r="I284" s="137"/>
      <c r="J284" s="137"/>
      <c r="K284" s="137"/>
      <c r="L284" s="137"/>
      <c r="M284" s="137"/>
      <c r="N284" s="137"/>
      <c r="O284" s="137"/>
      <c r="P284" s="137"/>
      <c r="Q284" s="137"/>
      <c r="R284" s="137"/>
      <c r="S284" s="137"/>
      <c r="T284" s="137"/>
      <c r="U284" s="137"/>
      <c r="V284" s="137"/>
      <c r="W284" s="137"/>
      <c r="X284" s="137"/>
      <c r="Y284" s="137"/>
      <c r="Z284" s="137"/>
      <c r="AA284" s="137"/>
      <c r="AB284" s="137"/>
      <c r="AC284" s="137"/>
    </row>
    <row r="285" spans="1:29">
      <c r="A285" s="1193">
        <v>40366</v>
      </c>
      <c r="B285" s="10">
        <v>1500</v>
      </c>
      <c r="E285" s="137"/>
      <c r="F285" s="137"/>
      <c r="G285" s="137"/>
      <c r="H285" s="137"/>
      <c r="I285" s="137"/>
      <c r="J285" s="137"/>
      <c r="K285" s="137"/>
      <c r="L285" s="137"/>
      <c r="M285" s="137"/>
      <c r="N285" s="137"/>
      <c r="O285" s="137"/>
      <c r="P285" s="137"/>
      <c r="Q285" s="137"/>
      <c r="R285" s="137"/>
      <c r="S285" s="137"/>
      <c r="T285" s="137"/>
      <c r="U285" s="137"/>
      <c r="V285" s="137"/>
      <c r="W285" s="137"/>
      <c r="X285" s="137"/>
      <c r="Y285" s="137"/>
      <c r="Z285" s="137"/>
      <c r="AA285" s="137"/>
      <c r="AB285" s="137"/>
      <c r="AC285" s="137"/>
    </row>
    <row r="286" spans="1:29">
      <c r="A286" s="1193">
        <v>40359</v>
      </c>
      <c r="B286" s="10">
        <v>1550</v>
      </c>
      <c r="E286" s="137"/>
      <c r="F286" s="137"/>
      <c r="G286" s="137"/>
      <c r="H286" s="137"/>
      <c r="I286" s="137"/>
      <c r="J286" s="137"/>
      <c r="K286" s="137"/>
      <c r="L286" s="137"/>
      <c r="M286" s="137"/>
      <c r="N286" s="137"/>
      <c r="O286" s="137"/>
      <c r="P286" s="137"/>
      <c r="Q286" s="137"/>
      <c r="R286" s="137"/>
      <c r="S286" s="137"/>
      <c r="T286" s="137"/>
      <c r="U286" s="137"/>
      <c r="V286" s="137"/>
      <c r="W286" s="137"/>
      <c r="X286" s="137"/>
      <c r="Y286" s="137"/>
      <c r="Z286" s="137"/>
      <c r="AA286" s="137"/>
      <c r="AB286" s="137"/>
      <c r="AC286" s="137"/>
    </row>
    <row r="287" spans="1:29">
      <c r="A287" s="1193">
        <v>40352</v>
      </c>
      <c r="B287" s="10">
        <v>1580</v>
      </c>
      <c r="E287" s="137"/>
      <c r="F287" s="137"/>
      <c r="G287" s="137"/>
      <c r="H287" s="137"/>
      <c r="I287" s="137"/>
      <c r="J287" s="137"/>
      <c r="K287" s="137"/>
      <c r="L287" s="137"/>
      <c r="M287" s="137"/>
      <c r="N287" s="137"/>
      <c r="O287" s="137"/>
      <c r="P287" s="137"/>
      <c r="Q287" s="137"/>
      <c r="R287" s="137"/>
      <c r="S287" s="137"/>
      <c r="T287" s="137"/>
      <c r="U287" s="137"/>
      <c r="V287" s="137"/>
      <c r="W287" s="137"/>
      <c r="X287" s="137"/>
      <c r="Y287" s="137"/>
      <c r="Z287" s="137"/>
      <c r="AA287" s="137"/>
      <c r="AB287" s="137"/>
      <c r="AC287" s="137"/>
    </row>
    <row r="288" spans="1:29">
      <c r="A288" s="1193">
        <v>40345</v>
      </c>
      <c r="B288" s="10">
        <v>1620</v>
      </c>
      <c r="E288" s="137"/>
      <c r="F288" s="137"/>
      <c r="G288" s="137"/>
      <c r="H288" s="137"/>
      <c r="I288" s="137"/>
      <c r="J288" s="137"/>
      <c r="K288" s="137"/>
      <c r="L288" s="137"/>
      <c r="M288" s="137"/>
      <c r="N288" s="137"/>
      <c r="O288" s="137"/>
      <c r="P288" s="137"/>
      <c r="Q288" s="137"/>
      <c r="R288" s="137"/>
      <c r="S288" s="137"/>
      <c r="T288" s="137"/>
      <c r="U288" s="137"/>
      <c r="V288" s="137"/>
      <c r="W288" s="137"/>
      <c r="X288" s="137"/>
      <c r="Y288" s="137"/>
      <c r="Z288" s="137"/>
      <c r="AA288" s="137"/>
      <c r="AB288" s="137"/>
      <c r="AC288" s="137"/>
    </row>
    <row r="289" spans="1:29">
      <c r="A289" s="1193">
        <v>40338</v>
      </c>
      <c r="B289" s="10">
        <v>1680</v>
      </c>
      <c r="E289" s="137"/>
      <c r="F289" s="137"/>
      <c r="G289" s="137"/>
      <c r="H289" s="137"/>
      <c r="I289" s="137"/>
      <c r="J289" s="137"/>
      <c r="K289" s="137"/>
      <c r="L289" s="137"/>
      <c r="M289" s="137"/>
      <c r="N289" s="137"/>
      <c r="O289" s="137"/>
      <c r="P289" s="137"/>
      <c r="Q289" s="137"/>
      <c r="R289" s="137"/>
      <c r="S289" s="137"/>
      <c r="T289" s="137"/>
      <c r="U289" s="137"/>
      <c r="V289" s="137"/>
      <c r="W289" s="137"/>
      <c r="X289" s="137"/>
      <c r="Y289" s="137"/>
      <c r="Z289" s="137"/>
      <c r="AA289" s="137"/>
      <c r="AB289" s="137"/>
      <c r="AC289" s="137"/>
    </row>
    <row r="290" spans="1:29">
      <c r="A290" s="1193">
        <v>40331</v>
      </c>
      <c r="B290" s="10">
        <v>1730</v>
      </c>
      <c r="E290" s="137"/>
      <c r="F290" s="137"/>
      <c r="G290" s="137"/>
      <c r="H290" s="137"/>
      <c r="I290" s="137"/>
      <c r="J290" s="137"/>
      <c r="K290" s="137"/>
      <c r="L290" s="137"/>
      <c r="M290" s="137"/>
      <c r="N290" s="137"/>
      <c r="O290" s="137"/>
      <c r="P290" s="137"/>
      <c r="Q290" s="137"/>
      <c r="R290" s="137"/>
      <c r="S290" s="137"/>
      <c r="T290" s="137"/>
      <c r="U290" s="137"/>
      <c r="V290" s="137"/>
      <c r="W290" s="137"/>
      <c r="X290" s="137"/>
      <c r="Y290" s="137"/>
      <c r="Z290" s="137"/>
      <c r="AA290" s="137"/>
      <c r="AB290" s="137"/>
      <c r="AC290" s="137"/>
    </row>
    <row r="291" spans="1:29">
      <c r="A291" s="1193">
        <v>40324</v>
      </c>
      <c r="B291" s="10">
        <v>1740</v>
      </c>
      <c r="E291" s="137"/>
      <c r="F291" s="137"/>
      <c r="G291" s="137"/>
      <c r="H291" s="137"/>
      <c r="I291" s="137"/>
      <c r="J291" s="137"/>
      <c r="K291" s="137"/>
      <c r="L291" s="137"/>
      <c r="M291" s="137"/>
      <c r="N291" s="137"/>
      <c r="O291" s="137"/>
      <c r="P291" s="137"/>
      <c r="Q291" s="137"/>
      <c r="R291" s="137"/>
      <c r="S291" s="137"/>
      <c r="T291" s="137"/>
      <c r="U291" s="137"/>
      <c r="V291" s="137"/>
      <c r="W291" s="137"/>
      <c r="X291" s="137"/>
      <c r="Y291" s="137"/>
      <c r="Z291" s="137"/>
      <c r="AA291" s="137"/>
      <c r="AB291" s="137"/>
      <c r="AC291" s="137"/>
    </row>
    <row r="292" spans="1:29">
      <c r="A292" s="1193">
        <v>40317</v>
      </c>
      <c r="B292" s="10">
        <v>1770</v>
      </c>
      <c r="E292" s="137"/>
      <c r="F292" s="137"/>
      <c r="G292" s="137"/>
      <c r="H292" s="137"/>
      <c r="I292" s="137"/>
      <c r="J292" s="137"/>
      <c r="K292" s="137"/>
      <c r="L292" s="137"/>
      <c r="M292" s="137"/>
      <c r="N292" s="137"/>
      <c r="O292" s="137"/>
      <c r="P292" s="137"/>
      <c r="Q292" s="137"/>
      <c r="R292" s="137"/>
      <c r="S292" s="137"/>
      <c r="T292" s="137"/>
      <c r="U292" s="137"/>
      <c r="V292" s="137"/>
      <c r="W292" s="137"/>
      <c r="X292" s="137"/>
      <c r="Y292" s="137"/>
      <c r="Z292" s="137"/>
      <c r="AA292" s="137"/>
      <c r="AB292" s="137"/>
      <c r="AC292" s="137"/>
    </row>
    <row r="293" spans="1:29">
      <c r="A293" s="1193">
        <v>40310</v>
      </c>
      <c r="B293" s="10">
        <v>1820</v>
      </c>
      <c r="E293" s="137"/>
      <c r="F293" s="137"/>
      <c r="G293" s="137"/>
      <c r="H293" s="137"/>
      <c r="I293" s="137"/>
      <c r="J293" s="137"/>
      <c r="K293" s="137"/>
      <c r="L293" s="137"/>
      <c r="M293" s="137"/>
      <c r="N293" s="137"/>
      <c r="O293" s="137"/>
      <c r="P293" s="137"/>
      <c r="Q293" s="137"/>
      <c r="R293" s="137"/>
      <c r="S293" s="137"/>
      <c r="T293" s="137"/>
      <c r="U293" s="137"/>
      <c r="V293" s="137"/>
      <c r="W293" s="137"/>
      <c r="X293" s="137"/>
      <c r="Y293" s="137"/>
      <c r="Z293" s="137"/>
      <c r="AA293" s="137"/>
      <c r="AB293" s="137"/>
      <c r="AC293" s="137"/>
    </row>
    <row r="294" spans="1:29">
      <c r="A294" s="1193">
        <v>40303</v>
      </c>
      <c r="B294" s="10">
        <v>1830</v>
      </c>
      <c r="E294" s="137"/>
      <c r="F294" s="137"/>
      <c r="G294" s="137"/>
      <c r="H294" s="137"/>
      <c r="I294" s="137"/>
      <c r="J294" s="137"/>
      <c r="K294" s="137"/>
      <c r="L294" s="137"/>
      <c r="M294" s="137"/>
      <c r="N294" s="137"/>
      <c r="O294" s="137"/>
      <c r="P294" s="137"/>
      <c r="Q294" s="137"/>
      <c r="R294" s="137"/>
      <c r="S294" s="137"/>
      <c r="T294" s="137"/>
      <c r="U294" s="137"/>
      <c r="V294" s="137"/>
      <c r="W294" s="137"/>
      <c r="X294" s="137"/>
      <c r="Y294" s="137"/>
      <c r="Z294" s="137"/>
      <c r="AA294" s="137"/>
      <c r="AB294" s="137"/>
      <c r="AC294" s="137"/>
    </row>
    <row r="295" spans="1:29">
      <c r="A295" s="1193">
        <v>40296</v>
      </c>
      <c r="B295" s="10">
        <v>1840</v>
      </c>
      <c r="E295" s="137"/>
      <c r="F295" s="137"/>
      <c r="G295" s="137"/>
      <c r="H295" s="137"/>
      <c r="I295" s="137"/>
      <c r="J295" s="137"/>
      <c r="K295" s="137"/>
      <c r="L295" s="137"/>
      <c r="M295" s="137"/>
      <c r="N295" s="137"/>
      <c r="O295" s="137"/>
      <c r="P295" s="137"/>
      <c r="Q295" s="137"/>
      <c r="R295" s="137"/>
      <c r="S295" s="137"/>
      <c r="T295" s="137"/>
      <c r="U295" s="137"/>
      <c r="V295" s="137"/>
      <c r="W295" s="137"/>
      <c r="X295" s="137"/>
      <c r="Y295" s="137"/>
      <c r="Z295" s="137"/>
      <c r="AA295" s="137"/>
      <c r="AB295" s="137"/>
      <c r="AC295" s="137"/>
    </row>
    <row r="296" spans="1:29">
      <c r="A296" s="1193">
        <v>40289</v>
      </c>
      <c r="B296" s="10">
        <v>1880</v>
      </c>
      <c r="E296" s="137"/>
      <c r="F296" s="137"/>
      <c r="G296" s="137"/>
      <c r="H296" s="137"/>
      <c r="I296" s="137"/>
      <c r="J296" s="137"/>
      <c r="K296" s="137"/>
      <c r="L296" s="137"/>
      <c r="M296" s="137"/>
      <c r="N296" s="137"/>
      <c r="O296" s="137"/>
      <c r="P296" s="137"/>
      <c r="Q296" s="137"/>
      <c r="R296" s="137"/>
      <c r="S296" s="137"/>
      <c r="T296" s="137"/>
      <c r="U296" s="137"/>
      <c r="V296" s="137"/>
      <c r="W296" s="137"/>
      <c r="X296" s="137"/>
      <c r="Y296" s="137"/>
      <c r="Z296" s="137"/>
      <c r="AA296" s="137"/>
      <c r="AB296" s="137"/>
      <c r="AC296" s="137"/>
    </row>
    <row r="297" spans="1:29">
      <c r="A297" s="1193">
        <v>40282</v>
      </c>
      <c r="B297" s="10">
        <v>2020</v>
      </c>
      <c r="E297" s="137"/>
      <c r="F297" s="137"/>
      <c r="G297" s="137"/>
      <c r="H297" s="137"/>
      <c r="I297" s="137"/>
      <c r="J297" s="137"/>
      <c r="K297" s="137"/>
      <c r="L297" s="137"/>
      <c r="M297" s="137"/>
      <c r="N297" s="137"/>
      <c r="O297" s="137"/>
      <c r="P297" s="137"/>
      <c r="Q297" s="137"/>
      <c r="R297" s="137"/>
      <c r="S297" s="137"/>
      <c r="T297" s="137"/>
      <c r="U297" s="137"/>
      <c r="V297" s="137"/>
      <c r="W297" s="137"/>
      <c r="X297" s="137"/>
      <c r="Y297" s="137"/>
      <c r="Z297" s="137"/>
      <c r="AA297" s="137"/>
      <c r="AB297" s="137"/>
      <c r="AC297" s="137"/>
    </row>
    <row r="298" spans="1:29">
      <c r="A298" s="1193">
        <v>40275</v>
      </c>
      <c r="B298" s="10">
        <v>2020</v>
      </c>
      <c r="E298" s="137"/>
      <c r="F298" s="137"/>
      <c r="G298" s="137"/>
      <c r="H298" s="137"/>
      <c r="I298" s="137"/>
      <c r="J298" s="137"/>
      <c r="K298" s="137"/>
      <c r="L298" s="137"/>
      <c r="M298" s="137"/>
      <c r="N298" s="137"/>
      <c r="O298" s="137"/>
      <c r="P298" s="137"/>
      <c r="Q298" s="137"/>
      <c r="R298" s="137"/>
      <c r="S298" s="137"/>
      <c r="T298" s="137"/>
      <c r="U298" s="137"/>
      <c r="V298" s="137"/>
      <c r="W298" s="137"/>
      <c r="X298" s="137"/>
      <c r="Y298" s="137"/>
      <c r="Z298" s="137"/>
      <c r="AA298" s="137"/>
      <c r="AB298" s="137"/>
      <c r="AC298" s="137"/>
    </row>
    <row r="299" spans="1:29">
      <c r="A299" s="1193">
        <v>40268</v>
      </c>
      <c r="B299" s="10">
        <v>2000</v>
      </c>
      <c r="E299" s="137"/>
      <c r="F299" s="137"/>
      <c r="G299" s="137"/>
      <c r="H299" s="137"/>
      <c r="I299" s="137"/>
      <c r="J299" s="137"/>
      <c r="K299" s="137"/>
      <c r="L299" s="137"/>
      <c r="M299" s="137"/>
      <c r="N299" s="137"/>
      <c r="O299" s="137"/>
      <c r="P299" s="137"/>
      <c r="Q299" s="137"/>
      <c r="R299" s="137"/>
      <c r="S299" s="137"/>
      <c r="T299" s="137"/>
      <c r="U299" s="137"/>
      <c r="V299" s="137"/>
      <c r="W299" s="137"/>
      <c r="X299" s="137"/>
      <c r="Y299" s="137"/>
      <c r="Z299" s="137"/>
      <c r="AA299" s="137"/>
      <c r="AB299" s="137"/>
      <c r="AC299" s="137"/>
    </row>
    <row r="300" spans="1:29">
      <c r="A300" s="1193">
        <v>40261</v>
      </c>
      <c r="B300" s="10">
        <v>1780</v>
      </c>
      <c r="E300" s="137"/>
      <c r="F300" s="137"/>
      <c r="G300" s="137"/>
      <c r="H300" s="137"/>
      <c r="I300" s="137"/>
      <c r="J300" s="137"/>
      <c r="K300" s="137"/>
      <c r="L300" s="137"/>
      <c r="M300" s="137"/>
      <c r="N300" s="137"/>
      <c r="O300" s="137"/>
      <c r="P300" s="137"/>
      <c r="Q300" s="137"/>
      <c r="R300" s="137"/>
      <c r="S300" s="137"/>
      <c r="T300" s="137"/>
      <c r="U300" s="137"/>
      <c r="V300" s="137"/>
      <c r="W300" s="137"/>
      <c r="X300" s="137"/>
      <c r="Y300" s="137"/>
      <c r="Z300" s="137"/>
      <c r="AA300" s="137"/>
      <c r="AB300" s="137"/>
      <c r="AC300" s="137"/>
    </row>
    <row r="301" spans="1:29">
      <c r="A301" s="1193">
        <v>40254</v>
      </c>
      <c r="B301" s="10">
        <v>1730</v>
      </c>
      <c r="E301" s="137"/>
      <c r="F301" s="137"/>
      <c r="G301" s="137"/>
      <c r="H301" s="137"/>
      <c r="I301" s="137"/>
      <c r="J301" s="137"/>
      <c r="K301" s="137"/>
      <c r="L301" s="137"/>
      <c r="M301" s="137"/>
      <c r="N301" s="137"/>
      <c r="O301" s="137"/>
      <c r="P301" s="137"/>
      <c r="Q301" s="137"/>
      <c r="R301" s="137"/>
      <c r="S301" s="137"/>
      <c r="T301" s="137"/>
      <c r="U301" s="137"/>
      <c r="V301" s="137"/>
      <c r="W301" s="137"/>
      <c r="X301" s="137"/>
      <c r="Y301" s="137"/>
      <c r="Z301" s="137"/>
      <c r="AA301" s="137"/>
      <c r="AB301" s="137"/>
      <c r="AC301" s="137"/>
    </row>
    <row r="302" spans="1:29">
      <c r="A302" s="1193">
        <v>40247</v>
      </c>
      <c r="B302" s="10">
        <v>1730</v>
      </c>
    </row>
    <row r="303" spans="1:29">
      <c r="A303" s="1193">
        <v>40240</v>
      </c>
      <c r="B303" s="10">
        <v>1730</v>
      </c>
    </row>
    <row r="304" spans="1:29">
      <c r="A304" s="1193">
        <v>40233</v>
      </c>
      <c r="B304" s="10">
        <v>1680</v>
      </c>
    </row>
    <row r="305" spans="1:2">
      <c r="A305" s="1193">
        <v>40226</v>
      </c>
      <c r="B305" s="10">
        <v>1680</v>
      </c>
    </row>
    <row r="306" spans="1:2">
      <c r="A306" s="1193">
        <v>40219</v>
      </c>
      <c r="B306" s="10">
        <v>1700</v>
      </c>
    </row>
    <row r="307" spans="1:2">
      <c r="A307" s="1193">
        <v>40212</v>
      </c>
      <c r="B307" s="10">
        <v>1700</v>
      </c>
    </row>
    <row r="308" spans="1:2">
      <c r="A308" s="1193">
        <v>40205</v>
      </c>
      <c r="B308" s="10">
        <v>1690</v>
      </c>
    </row>
    <row r="309" spans="1:2">
      <c r="A309" s="1193">
        <v>40198</v>
      </c>
      <c r="B309" s="10">
        <v>1690</v>
      </c>
    </row>
    <row r="310" spans="1:2">
      <c r="A310" s="1193">
        <v>40191</v>
      </c>
      <c r="B310" s="10">
        <v>1670</v>
      </c>
    </row>
    <row r="311" spans="1:2">
      <c r="A311" s="1193">
        <v>40184</v>
      </c>
      <c r="B311" s="10">
        <v>1670</v>
      </c>
    </row>
    <row r="312" spans="1:2">
      <c r="A312" s="1193">
        <v>40177</v>
      </c>
      <c r="B312" s="10">
        <v>1630</v>
      </c>
    </row>
    <row r="313" spans="1:2">
      <c r="A313" s="1193">
        <v>40163</v>
      </c>
      <c r="B313" s="10">
        <v>1630</v>
      </c>
    </row>
    <row r="314" spans="1:2">
      <c r="A314" s="1193">
        <v>40156</v>
      </c>
      <c r="B314" s="10">
        <v>1600</v>
      </c>
    </row>
    <row r="315" spans="1:2">
      <c r="A315" s="1193">
        <v>40149</v>
      </c>
      <c r="B315" s="10">
        <v>1520</v>
      </c>
    </row>
    <row r="316" spans="1:2">
      <c r="A316" s="1193">
        <v>40142</v>
      </c>
      <c r="B316" s="10">
        <v>1500</v>
      </c>
    </row>
    <row r="317" spans="1:2">
      <c r="A317" s="1193">
        <v>40135</v>
      </c>
      <c r="B317" s="10">
        <v>1460</v>
      </c>
    </row>
    <row r="318" spans="1:2">
      <c r="A318" s="1193">
        <v>40128</v>
      </c>
      <c r="B318" s="10">
        <v>1420</v>
      </c>
    </row>
    <row r="319" spans="1:2">
      <c r="A319" s="1193">
        <v>40121</v>
      </c>
      <c r="B319" s="10">
        <v>1390</v>
      </c>
    </row>
    <row r="320" spans="1:2">
      <c r="A320" s="1193">
        <v>40114</v>
      </c>
      <c r="B320" s="10">
        <v>1360</v>
      </c>
    </row>
    <row r="321" spans="1:2">
      <c r="A321" s="1193">
        <v>40107</v>
      </c>
      <c r="B321" s="10">
        <v>1320</v>
      </c>
    </row>
    <row r="322" spans="1:2">
      <c r="A322" s="1193">
        <v>40100</v>
      </c>
      <c r="B322" s="10">
        <v>1320</v>
      </c>
    </row>
    <row r="323" spans="1:2">
      <c r="A323" s="1193">
        <v>40093</v>
      </c>
      <c r="B323" s="10">
        <v>1310</v>
      </c>
    </row>
    <row r="324" spans="1:2">
      <c r="A324" s="1193">
        <v>40086</v>
      </c>
      <c r="B324" s="10">
        <v>1290</v>
      </c>
    </row>
    <row r="325" spans="1:2">
      <c r="A325" s="1193">
        <v>40079</v>
      </c>
      <c r="B325" s="10">
        <v>1270</v>
      </c>
    </row>
    <row r="326" spans="1:2">
      <c r="A326" s="1193">
        <v>40072</v>
      </c>
      <c r="B326" s="10">
        <v>1250</v>
      </c>
    </row>
    <row r="327" spans="1:2">
      <c r="A327" s="1193">
        <v>40065</v>
      </c>
      <c r="B327" s="10">
        <v>1220</v>
      </c>
    </row>
    <row r="328" spans="1:2">
      <c r="A328" s="1193">
        <v>40058</v>
      </c>
      <c r="B328" s="10">
        <v>1185</v>
      </c>
    </row>
    <row r="329" spans="1:2">
      <c r="A329" s="1193">
        <v>40051</v>
      </c>
      <c r="B329" s="10">
        <v>1170</v>
      </c>
    </row>
    <row r="330" spans="1:2">
      <c r="A330" s="1193">
        <v>40044</v>
      </c>
      <c r="B330" s="10">
        <v>1140</v>
      </c>
    </row>
    <row r="331" spans="1:2">
      <c r="A331" s="1193">
        <v>40037</v>
      </c>
      <c r="B331" s="10">
        <v>1130</v>
      </c>
    </row>
    <row r="332" spans="1:2">
      <c r="A332" s="1193">
        <v>40030</v>
      </c>
      <c r="B332" s="10">
        <v>1130</v>
      </c>
    </row>
    <row r="333" spans="1:2">
      <c r="A333" s="1193">
        <v>40023</v>
      </c>
      <c r="B333" s="10">
        <v>1100</v>
      </c>
    </row>
    <row r="334" spans="1:2">
      <c r="A334" s="1193">
        <v>40016</v>
      </c>
      <c r="B334" s="10">
        <v>1100</v>
      </c>
    </row>
    <row r="335" spans="1:2">
      <c r="A335" s="1193">
        <v>40009</v>
      </c>
      <c r="B335" s="10">
        <v>1080</v>
      </c>
    </row>
    <row r="336" spans="1:2">
      <c r="A336" s="1193">
        <v>40002</v>
      </c>
      <c r="B336" s="10">
        <v>1080</v>
      </c>
    </row>
    <row r="337" spans="1:2">
      <c r="A337" s="1193">
        <v>39995</v>
      </c>
      <c r="B337" s="10">
        <v>1070</v>
      </c>
    </row>
    <row r="338" spans="1:2">
      <c r="A338" s="1193">
        <v>39988</v>
      </c>
      <c r="B338" s="10">
        <v>1025</v>
      </c>
    </row>
    <row r="339" spans="1:2">
      <c r="A339" s="1193">
        <v>39981</v>
      </c>
      <c r="B339" s="10">
        <v>1020</v>
      </c>
    </row>
    <row r="340" spans="1:2">
      <c r="A340" s="1193">
        <v>39974</v>
      </c>
      <c r="B340" s="10">
        <v>1010</v>
      </c>
    </row>
    <row r="341" spans="1:2">
      <c r="A341" s="1193">
        <v>39967</v>
      </c>
      <c r="B341" s="10">
        <v>1000</v>
      </c>
    </row>
    <row r="342" spans="1:2">
      <c r="A342" s="1193">
        <v>39960</v>
      </c>
      <c r="B342" s="10">
        <v>990</v>
      </c>
    </row>
    <row r="343" spans="1:2">
      <c r="A343" s="1193">
        <v>39953</v>
      </c>
      <c r="B343" s="10">
        <v>980</v>
      </c>
    </row>
    <row r="344" spans="1:2">
      <c r="A344" s="1193">
        <v>39939</v>
      </c>
      <c r="B344" s="10">
        <v>940</v>
      </c>
    </row>
    <row r="345" spans="1:2">
      <c r="A345" s="1193">
        <v>39925</v>
      </c>
      <c r="B345" s="10">
        <v>930</v>
      </c>
    </row>
    <row r="346" spans="1:2">
      <c r="A346" s="1193">
        <v>39918</v>
      </c>
      <c r="B346" s="10">
        <v>920</v>
      </c>
    </row>
    <row r="347" spans="1:2">
      <c r="A347" s="1193">
        <v>39911</v>
      </c>
      <c r="B347" s="10">
        <v>920</v>
      </c>
    </row>
    <row r="348" spans="1:2">
      <c r="A348" s="1193">
        <v>39904</v>
      </c>
      <c r="B348" s="10">
        <v>930</v>
      </c>
    </row>
    <row r="349" spans="1:2">
      <c r="A349" s="1193">
        <v>39897</v>
      </c>
      <c r="B349" s="10">
        <v>925</v>
      </c>
    </row>
    <row r="350" spans="1:2">
      <c r="A350" s="1193">
        <v>39883</v>
      </c>
      <c r="B350" s="10">
        <v>925</v>
      </c>
    </row>
    <row r="351" spans="1:2">
      <c r="A351" s="1193">
        <v>39876</v>
      </c>
      <c r="B351" s="10">
        <v>930</v>
      </c>
    </row>
    <row r="352" spans="1:2">
      <c r="A352" s="1193">
        <v>39869</v>
      </c>
      <c r="B352" s="10">
        <v>930</v>
      </c>
    </row>
    <row r="353" spans="1:2">
      <c r="A353" s="1193">
        <v>39862</v>
      </c>
      <c r="B353" s="10">
        <v>930</v>
      </c>
    </row>
    <row r="354" spans="1:2">
      <c r="A354" s="1193">
        <v>39855</v>
      </c>
      <c r="B354" s="10">
        <v>930</v>
      </c>
    </row>
    <row r="355" spans="1:2">
      <c r="A355" s="1193">
        <v>39848</v>
      </c>
      <c r="B355" s="10">
        <v>925</v>
      </c>
    </row>
    <row r="356" spans="1:2">
      <c r="A356" s="1193">
        <v>39841</v>
      </c>
      <c r="B356" s="10">
        <v>920</v>
      </c>
    </row>
    <row r="357" spans="1:2">
      <c r="A357" s="1193">
        <v>39834</v>
      </c>
      <c r="B357" s="10">
        <v>905</v>
      </c>
    </row>
    <row r="358" spans="1:2">
      <c r="A358" s="1193">
        <v>39827</v>
      </c>
      <c r="B358" s="10">
        <v>905</v>
      </c>
    </row>
    <row r="359" spans="1:2">
      <c r="A359" s="1193">
        <v>39820</v>
      </c>
      <c r="B359" s="10">
        <v>885</v>
      </c>
    </row>
    <row r="360" spans="1:2">
      <c r="A360" s="1193">
        <v>39806</v>
      </c>
      <c r="B360" s="10">
        <v>890</v>
      </c>
    </row>
    <row r="361" spans="1:2">
      <c r="A361" s="1193">
        <v>39799</v>
      </c>
      <c r="B361" s="10">
        <v>890</v>
      </c>
    </row>
    <row r="362" spans="1:2">
      <c r="A362" s="1193">
        <v>39792</v>
      </c>
      <c r="B362" s="10">
        <v>890</v>
      </c>
    </row>
    <row r="363" spans="1:2">
      <c r="A363" s="1193">
        <v>39785</v>
      </c>
      <c r="B363" s="10">
        <v>880</v>
      </c>
    </row>
    <row r="364" spans="1:2">
      <c r="A364" s="1193">
        <v>39778</v>
      </c>
      <c r="B364" s="10">
        <v>880</v>
      </c>
    </row>
    <row r="365" spans="1:2">
      <c r="A365" s="1193">
        <v>39771</v>
      </c>
      <c r="B365" s="10">
        <v>875</v>
      </c>
    </row>
    <row r="366" spans="1:2">
      <c r="A366" s="1193">
        <v>39764</v>
      </c>
      <c r="B366" s="10">
        <v>865</v>
      </c>
    </row>
    <row r="367" spans="1:2">
      <c r="A367" s="1193">
        <v>39757</v>
      </c>
      <c r="B367" s="10">
        <v>870</v>
      </c>
    </row>
    <row r="368" spans="1:2">
      <c r="A368" s="1193">
        <v>39750</v>
      </c>
      <c r="B368" s="10">
        <v>900</v>
      </c>
    </row>
    <row r="369" spans="1:2">
      <c r="A369" s="1193">
        <v>39743</v>
      </c>
      <c r="B369" s="10">
        <v>910</v>
      </c>
    </row>
    <row r="370" spans="1:2">
      <c r="A370" s="1193">
        <v>39736</v>
      </c>
      <c r="B370" s="10">
        <v>920</v>
      </c>
    </row>
    <row r="371" spans="1:2">
      <c r="A371" s="1193">
        <v>39729</v>
      </c>
      <c r="B371" s="10">
        <v>920</v>
      </c>
    </row>
    <row r="372" spans="1:2">
      <c r="A372" s="1193">
        <v>39722</v>
      </c>
      <c r="B372" s="10">
        <v>940</v>
      </c>
    </row>
    <row r="373" spans="1:2">
      <c r="A373" s="1193">
        <v>39715</v>
      </c>
      <c r="B373" s="10">
        <v>960</v>
      </c>
    </row>
    <row r="374" spans="1:2">
      <c r="A374" s="1193">
        <v>39708</v>
      </c>
      <c r="B374" s="10">
        <v>960</v>
      </c>
    </row>
    <row r="375" spans="1:2">
      <c r="A375" s="1193">
        <v>39701</v>
      </c>
      <c r="B375" s="10">
        <v>960</v>
      </c>
    </row>
    <row r="376" spans="1:2">
      <c r="A376" s="1193">
        <v>39694</v>
      </c>
      <c r="B376" s="10">
        <v>980</v>
      </c>
    </row>
    <row r="377" spans="1:2">
      <c r="A377" s="1193">
        <v>39687</v>
      </c>
      <c r="B377" s="10">
        <v>1030</v>
      </c>
    </row>
    <row r="378" spans="1:2">
      <c r="A378" s="1193">
        <v>39680</v>
      </c>
      <c r="B378" s="10">
        <v>1060</v>
      </c>
    </row>
    <row r="379" spans="1:2">
      <c r="A379" s="1193">
        <v>39673</v>
      </c>
      <c r="B379" s="10">
        <v>1080</v>
      </c>
    </row>
    <row r="380" spans="1:2">
      <c r="A380" s="1193">
        <v>39666</v>
      </c>
      <c r="B380" s="10">
        <v>1090</v>
      </c>
    </row>
    <row r="381" spans="1:2">
      <c r="A381" s="1193">
        <v>39659</v>
      </c>
      <c r="B381" s="10">
        <v>1100</v>
      </c>
    </row>
    <row r="382" spans="1:2">
      <c r="A382" s="1193">
        <v>39652</v>
      </c>
      <c r="B382" s="10">
        <v>1100</v>
      </c>
    </row>
    <row r="383" spans="1:2">
      <c r="A383" s="1193">
        <v>39645</v>
      </c>
      <c r="B383" s="10">
        <v>1110</v>
      </c>
    </row>
    <row r="384" spans="1:2">
      <c r="A384" s="1193">
        <v>39638</v>
      </c>
      <c r="B384" s="10">
        <v>1110</v>
      </c>
    </row>
    <row r="385" spans="1:2">
      <c r="A385" s="1193">
        <v>39630</v>
      </c>
      <c r="B385" s="10">
        <v>1110</v>
      </c>
    </row>
    <row r="386" spans="1:2">
      <c r="A386" s="1193">
        <v>39624</v>
      </c>
      <c r="B386" s="10">
        <v>1000</v>
      </c>
    </row>
    <row r="387" spans="1:2">
      <c r="A387" s="1193">
        <v>39617</v>
      </c>
      <c r="B387" s="10">
        <v>1070</v>
      </c>
    </row>
    <row r="388" spans="1:2">
      <c r="A388" s="1193">
        <v>39610</v>
      </c>
      <c r="B388" s="10">
        <v>1070</v>
      </c>
    </row>
    <row r="389" spans="1:2">
      <c r="A389" s="1193">
        <v>39603</v>
      </c>
      <c r="B389" s="10">
        <v>1075</v>
      </c>
    </row>
    <row r="390" spans="1:2">
      <c r="A390" s="1193">
        <v>39596</v>
      </c>
      <c r="B390" s="10">
        <v>1085</v>
      </c>
    </row>
    <row r="391" spans="1:2">
      <c r="A391" s="1193">
        <v>39589</v>
      </c>
      <c r="B391" s="10">
        <v>1100</v>
      </c>
    </row>
    <row r="392" spans="1:2">
      <c r="A392" s="1193">
        <v>39582</v>
      </c>
      <c r="B392" s="10">
        <v>1100</v>
      </c>
    </row>
    <row r="393" spans="1:2">
      <c r="A393" s="1193">
        <v>39575</v>
      </c>
      <c r="B393" s="10">
        <v>1100</v>
      </c>
    </row>
    <row r="394" spans="1:2">
      <c r="A394" s="1193">
        <v>39568</v>
      </c>
      <c r="B394" s="10">
        <v>1120</v>
      </c>
    </row>
    <row r="395" spans="1:2">
      <c r="A395" s="1193">
        <v>39561</v>
      </c>
      <c r="B395" s="10">
        <v>1080</v>
      </c>
    </row>
    <row r="396" spans="1:2">
      <c r="A396" s="1193">
        <v>39554</v>
      </c>
      <c r="B396" s="10">
        <v>1060</v>
      </c>
    </row>
    <row r="397" spans="1:2">
      <c r="A397" s="1193">
        <v>39547</v>
      </c>
      <c r="B397" s="10">
        <v>1060</v>
      </c>
    </row>
    <row r="398" spans="1:2">
      <c r="A398" s="1193">
        <v>39540</v>
      </c>
      <c r="B398" s="10">
        <v>1040</v>
      </c>
    </row>
    <row r="399" spans="1:2">
      <c r="A399" s="1193">
        <v>39526</v>
      </c>
      <c r="B399" s="10">
        <v>1030</v>
      </c>
    </row>
    <row r="400" spans="1:2">
      <c r="A400" s="1193">
        <v>39519</v>
      </c>
      <c r="B400" s="10">
        <v>1030</v>
      </c>
    </row>
    <row r="401" spans="1:2">
      <c r="A401" s="1193">
        <v>39512</v>
      </c>
      <c r="B401" s="10">
        <v>1020</v>
      </c>
    </row>
    <row r="402" spans="1:2">
      <c r="A402" s="1193">
        <v>39498</v>
      </c>
      <c r="B402" s="10">
        <v>980</v>
      </c>
    </row>
    <row r="403" spans="1:2">
      <c r="A403" s="1193">
        <v>39491</v>
      </c>
      <c r="B403" s="10">
        <v>980</v>
      </c>
    </row>
    <row r="404" spans="1:2">
      <c r="A404" s="1193">
        <v>39484</v>
      </c>
      <c r="B404" s="10">
        <v>975</v>
      </c>
    </row>
    <row r="405" spans="1:2">
      <c r="A405" s="1193">
        <v>39477</v>
      </c>
      <c r="B405" s="10">
        <v>975</v>
      </c>
    </row>
    <row r="406" spans="1:2">
      <c r="A406" s="1193">
        <v>39470</v>
      </c>
      <c r="B406" s="10">
        <v>955</v>
      </c>
    </row>
    <row r="407" spans="1:2">
      <c r="A407" s="1193">
        <v>39463</v>
      </c>
      <c r="B407" s="10">
        <v>935</v>
      </c>
    </row>
    <row r="408" spans="1:2">
      <c r="A408" s="1193">
        <v>39456</v>
      </c>
      <c r="B408" s="10">
        <v>925</v>
      </c>
    </row>
    <row r="409" spans="1:2">
      <c r="A409" s="1193">
        <v>39449</v>
      </c>
      <c r="B409" s="10">
        <v>925</v>
      </c>
    </row>
    <row r="410" spans="1:2">
      <c r="A410" s="1193">
        <v>39442</v>
      </c>
      <c r="B410" s="10">
        <v>925</v>
      </c>
    </row>
    <row r="411" spans="1:2">
      <c r="A411" s="1193">
        <v>39435</v>
      </c>
      <c r="B411" s="10">
        <v>925</v>
      </c>
    </row>
    <row r="412" spans="1:2">
      <c r="A412" s="1193">
        <v>39428</v>
      </c>
      <c r="B412" s="10">
        <v>925</v>
      </c>
    </row>
    <row r="413" spans="1:2">
      <c r="A413" s="1193">
        <v>39421</v>
      </c>
      <c r="B413" s="10">
        <v>920</v>
      </c>
    </row>
    <row r="414" spans="1:2">
      <c r="A414" s="1193">
        <v>39414</v>
      </c>
      <c r="B414" s="10">
        <v>920</v>
      </c>
    </row>
    <row r="415" spans="1:2">
      <c r="A415" s="1193">
        <v>39407</v>
      </c>
      <c r="B415" s="10">
        <v>900</v>
      </c>
    </row>
    <row r="416" spans="1:2">
      <c r="A416" s="1193">
        <v>39400</v>
      </c>
      <c r="B416" s="10">
        <v>900</v>
      </c>
    </row>
    <row r="417" spans="1:2">
      <c r="A417" s="1193">
        <v>39393</v>
      </c>
      <c r="B417" s="10">
        <v>890</v>
      </c>
    </row>
    <row r="418" spans="1:2">
      <c r="A418" s="1193">
        <v>39386</v>
      </c>
      <c r="B418" s="10">
        <v>890</v>
      </c>
    </row>
    <row r="419" spans="1:2">
      <c r="A419" s="1193">
        <v>39379</v>
      </c>
      <c r="B419" s="10">
        <v>900</v>
      </c>
    </row>
    <row r="420" spans="1:2">
      <c r="A420" s="1193">
        <v>39372</v>
      </c>
      <c r="B420" s="10">
        <v>910</v>
      </c>
    </row>
    <row r="421" spans="1:2">
      <c r="A421" s="1193">
        <v>39365</v>
      </c>
      <c r="B421" s="10">
        <v>920</v>
      </c>
    </row>
    <row r="422" spans="1:2">
      <c r="A422" s="1193">
        <v>39358</v>
      </c>
      <c r="B422" s="10">
        <v>920</v>
      </c>
    </row>
    <row r="423" spans="1:2">
      <c r="A423" s="1193">
        <v>39351</v>
      </c>
      <c r="B423" s="10">
        <v>920</v>
      </c>
    </row>
    <row r="424" spans="1:2">
      <c r="A424" s="1193">
        <v>39344</v>
      </c>
      <c r="B424" s="10">
        <v>920</v>
      </c>
    </row>
    <row r="425" spans="1:2">
      <c r="A425" s="1193">
        <v>39337</v>
      </c>
      <c r="B425" s="10">
        <v>930</v>
      </c>
    </row>
    <row r="426" spans="1:2">
      <c r="A426" s="1193">
        <v>39330</v>
      </c>
      <c r="B426" s="10">
        <v>930</v>
      </c>
    </row>
    <row r="427" spans="1:2">
      <c r="A427" s="1193">
        <v>39323</v>
      </c>
      <c r="B427" s="10">
        <v>930</v>
      </c>
    </row>
    <row r="428" spans="1:2">
      <c r="A428" s="1193">
        <v>39316</v>
      </c>
      <c r="B428" s="10">
        <v>930</v>
      </c>
    </row>
    <row r="429" spans="1:2">
      <c r="A429" s="1193">
        <v>39309</v>
      </c>
      <c r="B429" s="10">
        <v>930</v>
      </c>
    </row>
    <row r="430" spans="1:2">
      <c r="A430" s="1193">
        <v>39302</v>
      </c>
      <c r="B430" s="10">
        <v>870</v>
      </c>
    </row>
    <row r="431" spans="1:2">
      <c r="A431" s="1193">
        <v>39295</v>
      </c>
      <c r="B431" s="10">
        <v>890</v>
      </c>
    </row>
    <row r="432" spans="1:2">
      <c r="A432" s="1193">
        <v>39288</v>
      </c>
      <c r="B432" s="10">
        <v>890</v>
      </c>
    </row>
    <row r="433" spans="1:2">
      <c r="A433" s="1193">
        <v>39281</v>
      </c>
      <c r="B433" s="10">
        <v>900</v>
      </c>
    </row>
    <row r="434" spans="1:2">
      <c r="A434" s="1193">
        <v>39274</v>
      </c>
      <c r="B434" s="10">
        <v>920</v>
      </c>
    </row>
    <row r="435" spans="1:2">
      <c r="A435" s="1193">
        <v>39267</v>
      </c>
      <c r="B435" s="10">
        <v>950</v>
      </c>
    </row>
    <row r="436" spans="1:2">
      <c r="A436" s="1193">
        <v>39260</v>
      </c>
      <c r="B436" s="10">
        <v>1000</v>
      </c>
    </row>
    <row r="437" spans="1:2">
      <c r="A437" s="1193">
        <v>39253</v>
      </c>
      <c r="B437" s="10">
        <v>1030</v>
      </c>
    </row>
    <row r="438" spans="1:2">
      <c r="A438" s="1193">
        <v>39246</v>
      </c>
      <c r="B438" s="10">
        <v>1070</v>
      </c>
    </row>
    <row r="439" spans="1:2">
      <c r="A439" s="1193">
        <v>39239</v>
      </c>
      <c r="B439" s="10">
        <v>1080</v>
      </c>
    </row>
    <row r="440" spans="1:2">
      <c r="A440" s="1193">
        <v>39232</v>
      </c>
      <c r="B440" s="10">
        <v>1125</v>
      </c>
    </row>
    <row r="441" spans="1:2">
      <c r="A441" s="1193">
        <v>39225</v>
      </c>
      <c r="B441" s="10">
        <v>1140</v>
      </c>
    </row>
    <row r="442" spans="1:2">
      <c r="A442" s="1193">
        <v>39218</v>
      </c>
      <c r="B442" s="10">
        <v>1140</v>
      </c>
    </row>
    <row r="443" spans="1:2">
      <c r="A443" s="1193">
        <v>39211</v>
      </c>
      <c r="B443" s="10">
        <v>1150</v>
      </c>
    </row>
    <row r="444" spans="1:2">
      <c r="A444" s="1193">
        <v>39204</v>
      </c>
      <c r="B444" s="10">
        <v>1180</v>
      </c>
    </row>
    <row r="445" spans="1:2">
      <c r="A445" s="1193">
        <v>39197</v>
      </c>
      <c r="B445" s="10">
        <v>1180</v>
      </c>
    </row>
    <row r="446" spans="1:2">
      <c r="A446" s="1193">
        <v>39190</v>
      </c>
      <c r="B446" s="10">
        <v>1195</v>
      </c>
    </row>
    <row r="447" spans="1:2">
      <c r="A447" s="1193">
        <v>39183</v>
      </c>
      <c r="B447" s="10">
        <v>1200</v>
      </c>
    </row>
    <row r="448" spans="1:2">
      <c r="A448" s="1193">
        <v>39176</v>
      </c>
      <c r="B448" s="10">
        <v>1200</v>
      </c>
    </row>
    <row r="449" spans="1:2">
      <c r="A449" s="1193">
        <v>39169</v>
      </c>
      <c r="B449" s="10">
        <v>1200</v>
      </c>
    </row>
    <row r="450" spans="1:2">
      <c r="A450" s="1193">
        <v>39162</v>
      </c>
      <c r="B450" s="10">
        <v>1190</v>
      </c>
    </row>
    <row r="451" spans="1:2">
      <c r="A451" s="1193">
        <v>39155</v>
      </c>
      <c r="B451" s="10">
        <v>1200</v>
      </c>
    </row>
    <row r="452" spans="1:2">
      <c r="A452" s="1193">
        <v>39148</v>
      </c>
      <c r="B452" s="10">
        <v>1200</v>
      </c>
    </row>
    <row r="453" spans="1:2">
      <c r="A453" s="1193">
        <v>39141</v>
      </c>
      <c r="B453" s="10">
        <v>1200</v>
      </c>
    </row>
    <row r="454" spans="1:2">
      <c r="A454" s="1193">
        <v>39134</v>
      </c>
      <c r="B454" s="10">
        <v>1200</v>
      </c>
    </row>
    <row r="455" spans="1:2">
      <c r="A455" s="1193">
        <v>39127</v>
      </c>
      <c r="B455" s="10">
        <v>1200</v>
      </c>
    </row>
    <row r="456" spans="1:2">
      <c r="A456" s="1193">
        <v>39120</v>
      </c>
      <c r="B456" s="10">
        <v>1200</v>
      </c>
    </row>
    <row r="457" spans="1:2">
      <c r="A457" s="1193">
        <v>39113</v>
      </c>
      <c r="B457" s="10">
        <v>1190</v>
      </c>
    </row>
    <row r="458" spans="1:2">
      <c r="A458" s="1193">
        <v>39106</v>
      </c>
      <c r="B458" s="10">
        <v>1180</v>
      </c>
    </row>
    <row r="459" spans="1:2">
      <c r="A459" s="1193">
        <v>39099</v>
      </c>
      <c r="B459" s="10">
        <v>1160</v>
      </c>
    </row>
    <row r="460" spans="1:2">
      <c r="A460" s="1193">
        <v>39092</v>
      </c>
      <c r="B460" s="10">
        <v>1155</v>
      </c>
    </row>
    <row r="461" spans="1:2">
      <c r="A461" s="1193">
        <v>39085</v>
      </c>
      <c r="B461" s="10">
        <v>1130</v>
      </c>
    </row>
    <row r="462" spans="1:2">
      <c r="A462" s="1193">
        <v>39078</v>
      </c>
      <c r="B462" s="10">
        <v>1130</v>
      </c>
    </row>
    <row r="463" spans="1:2">
      <c r="A463" s="1193">
        <v>39071</v>
      </c>
      <c r="B463" s="10">
        <v>1130</v>
      </c>
    </row>
    <row r="464" spans="1:2">
      <c r="A464" s="1193">
        <v>39064</v>
      </c>
      <c r="B464" s="10">
        <v>1120</v>
      </c>
    </row>
    <row r="465" spans="1:2">
      <c r="A465" s="1193">
        <v>39050</v>
      </c>
      <c r="B465" s="10">
        <v>1140</v>
      </c>
    </row>
    <row r="466" spans="1:2">
      <c r="A466" s="1193">
        <v>39043</v>
      </c>
      <c r="B466" s="10">
        <v>1150</v>
      </c>
    </row>
    <row r="467" spans="1:2">
      <c r="A467" s="1193">
        <v>39036</v>
      </c>
      <c r="B467" s="10">
        <v>1150</v>
      </c>
    </row>
    <row r="468" spans="1:2">
      <c r="A468" s="1193">
        <v>39029</v>
      </c>
      <c r="B468" s="10">
        <v>1135</v>
      </c>
    </row>
    <row r="469" spans="1:2">
      <c r="A469" s="1193">
        <v>39021</v>
      </c>
      <c r="B469" s="10">
        <v>1135</v>
      </c>
    </row>
    <row r="470" spans="1:2">
      <c r="A470" s="1193">
        <v>39015</v>
      </c>
      <c r="B470" s="10">
        <v>1130</v>
      </c>
    </row>
    <row r="471" spans="1:2">
      <c r="A471" s="1193">
        <v>39008</v>
      </c>
      <c r="B471" s="10">
        <v>1130</v>
      </c>
    </row>
    <row r="472" spans="1:2">
      <c r="A472" s="1193">
        <v>39001</v>
      </c>
      <c r="B472" s="10">
        <v>1100</v>
      </c>
    </row>
    <row r="473" spans="1:2">
      <c r="A473" s="1193">
        <v>38994</v>
      </c>
      <c r="B473" s="10">
        <v>1100</v>
      </c>
    </row>
    <row r="474" spans="1:2">
      <c r="A474" s="1193">
        <v>38987</v>
      </c>
      <c r="B474" s="10">
        <v>1100</v>
      </c>
    </row>
    <row r="475" spans="1:2">
      <c r="A475" s="1193">
        <v>38980</v>
      </c>
      <c r="B475" s="10">
        <v>1080</v>
      </c>
    </row>
    <row r="476" spans="1:2">
      <c r="A476" s="1193">
        <v>38973</v>
      </c>
      <c r="B476" s="10">
        <v>1080</v>
      </c>
    </row>
    <row r="477" spans="1:2">
      <c r="A477" s="1193">
        <v>38966</v>
      </c>
      <c r="B477" s="10">
        <v>1100</v>
      </c>
    </row>
    <row r="478" spans="1:2">
      <c r="A478" s="1193">
        <v>38958</v>
      </c>
      <c r="B478" s="10">
        <v>1120</v>
      </c>
    </row>
    <row r="479" spans="1:2">
      <c r="A479" s="1193">
        <v>38952</v>
      </c>
      <c r="B479" s="10">
        <v>1130</v>
      </c>
    </row>
    <row r="480" spans="1:2">
      <c r="A480" s="1193">
        <v>38945</v>
      </c>
      <c r="B480" s="10">
        <v>1150</v>
      </c>
    </row>
    <row r="481" spans="1:2">
      <c r="A481" s="1193">
        <v>38938</v>
      </c>
      <c r="B481" s="10">
        <v>1250</v>
      </c>
    </row>
    <row r="482" spans="1:2">
      <c r="A482" s="1193">
        <v>38931</v>
      </c>
      <c r="B482" s="10">
        <v>1280</v>
      </c>
    </row>
    <row r="483" spans="1:2">
      <c r="A483" s="1193">
        <v>38924</v>
      </c>
      <c r="B483" s="10">
        <v>1280</v>
      </c>
    </row>
    <row r="484" spans="1:2">
      <c r="A484" s="1193">
        <v>38917</v>
      </c>
      <c r="B484" s="10">
        <v>1300</v>
      </c>
    </row>
    <row r="485" spans="1:2">
      <c r="A485" s="1193">
        <v>38903</v>
      </c>
      <c r="B485" s="10">
        <v>1370</v>
      </c>
    </row>
    <row r="486" spans="1:2">
      <c r="A486" s="1193">
        <v>38896</v>
      </c>
      <c r="B486" s="10">
        <v>1380</v>
      </c>
    </row>
    <row r="487" spans="1:2">
      <c r="A487" s="1193">
        <v>38889</v>
      </c>
      <c r="B487" s="10">
        <v>1380</v>
      </c>
    </row>
    <row r="488" spans="1:2">
      <c r="A488" s="1193">
        <v>38882</v>
      </c>
      <c r="B488" s="10">
        <v>1400</v>
      </c>
    </row>
    <row r="489" spans="1:2">
      <c r="A489" s="1193">
        <v>38875</v>
      </c>
      <c r="B489" s="10">
        <v>1380</v>
      </c>
    </row>
    <row r="490" spans="1:2">
      <c r="A490" s="1193">
        <v>38868</v>
      </c>
      <c r="B490" s="10">
        <v>1380</v>
      </c>
    </row>
    <row r="491" spans="1:2">
      <c r="A491" s="1193">
        <v>38861</v>
      </c>
      <c r="B491" s="10">
        <v>1330</v>
      </c>
    </row>
    <row r="492" spans="1:2">
      <c r="A492" s="1193">
        <v>38854</v>
      </c>
      <c r="B492" s="10">
        <v>1180</v>
      </c>
    </row>
    <row r="493" spans="1:2">
      <c r="A493" s="1193">
        <v>38847</v>
      </c>
      <c r="B493" s="10">
        <v>1130</v>
      </c>
    </row>
  </sheetData>
  <mergeCells count="1">
    <mergeCell ref="F4:G4"/>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D1:DB190"/>
  <sheetViews>
    <sheetView showGridLines="0" topLeftCell="D1" zoomScale="75" zoomScaleNormal="75" zoomScalePageLayoutView="75" workbookViewId="0">
      <selection activeCell="M13" sqref="M13"/>
    </sheetView>
  </sheetViews>
  <sheetFormatPr baseColWidth="10" defaultRowHeight="15" x14ac:dyDescent="0"/>
  <cols>
    <col min="1" max="3" width="0" style="39" hidden="1" customWidth="1"/>
    <col min="4" max="4" width="41.6640625" bestFit="1" customWidth="1"/>
    <col min="5" max="11" width="10.83203125" style="18" hidden="1" customWidth="1"/>
    <col min="12" max="15" width="13" style="18" customWidth="1"/>
    <col min="16" max="30" width="13" customWidth="1"/>
    <col min="31" max="32" width="13" style="39" customWidth="1"/>
    <col min="33" max="35" width="10.83203125" style="39"/>
    <col min="36" max="36" width="8.83203125" style="39" customWidth="1"/>
    <col min="37" max="41" width="10.83203125" style="39"/>
    <col min="42" max="42" width="6.6640625" style="39" customWidth="1"/>
    <col min="43" max="43" width="2" style="39" customWidth="1"/>
    <col min="44" max="44" width="4" style="39" customWidth="1"/>
    <col min="45" max="45" width="5.6640625" style="39" customWidth="1"/>
    <col min="46" max="46" width="6.83203125" style="39" customWidth="1"/>
    <col min="47" max="47" width="1.6640625" style="39" customWidth="1"/>
    <col min="48" max="48" width="2.1640625" style="39" customWidth="1"/>
    <col min="49" max="49" width="6.83203125" style="39" customWidth="1"/>
    <col min="50" max="50" width="23.1640625" style="39" customWidth="1"/>
    <col min="51" max="53" width="10.83203125" style="39"/>
    <col min="54" max="54" width="0.33203125" style="39" customWidth="1"/>
    <col min="55" max="55" width="8" style="39" customWidth="1"/>
    <col min="56" max="56" width="10.83203125" style="39"/>
    <col min="57" max="57" width="7.5" style="39" customWidth="1"/>
    <col min="58" max="58" width="7.83203125" style="39" customWidth="1"/>
    <col min="59" max="59" width="5.33203125" style="39" customWidth="1"/>
    <col min="60" max="62" width="10.83203125" style="39"/>
    <col min="63" max="63" width="1.83203125" style="39" customWidth="1"/>
    <col min="64" max="64" width="10.83203125" style="39"/>
    <col min="65" max="65" width="5.33203125" style="39" customWidth="1"/>
    <col min="66" max="66" width="8.33203125" style="39" customWidth="1"/>
    <col min="67" max="67" width="7.6640625" style="39" customWidth="1"/>
    <col min="68" max="68" width="0.5" style="39" customWidth="1"/>
    <col min="69" max="69" width="10.83203125" style="39"/>
    <col min="70" max="70" width="5.33203125" style="39" customWidth="1"/>
    <col min="71" max="71" width="10.83203125" style="39"/>
    <col min="72" max="72" width="2.83203125" style="39" customWidth="1"/>
    <col min="73" max="73" width="3" style="39" customWidth="1"/>
    <col min="74" max="76" width="10.83203125" style="39"/>
    <col min="77" max="77" width="1.6640625" style="39" customWidth="1"/>
    <col min="78" max="81" width="10.83203125" style="39"/>
    <col min="82" max="82" width="9.5" style="39" customWidth="1"/>
    <col min="83" max="85" width="10.83203125" style="39"/>
    <col min="86" max="86" width="4.33203125" style="39" customWidth="1"/>
    <col min="87" max="88" width="10.83203125" style="39"/>
    <col min="89" max="89" width="2.1640625" style="39" customWidth="1"/>
    <col min="90" max="16384" width="10.83203125" style="39"/>
  </cols>
  <sheetData>
    <row r="1" spans="4:87" ht="20">
      <c r="AK1" s="1210" t="s">
        <v>1653</v>
      </c>
      <c r="AR1" s="1210" t="s">
        <v>1652</v>
      </c>
      <c r="AY1" s="1210" t="s">
        <v>1654</v>
      </c>
      <c r="BF1" s="1210" t="s">
        <v>1712</v>
      </c>
      <c r="BG1" s="160"/>
      <c r="BH1" s="160"/>
      <c r="BI1" s="160"/>
      <c r="BJ1" s="811"/>
      <c r="BK1" s="811"/>
      <c r="BL1" s="811"/>
      <c r="BM1" s="811"/>
    </row>
    <row r="2" spans="4:87">
      <c r="BF2" s="336"/>
      <c r="BG2" s="336"/>
      <c r="BH2" s="336"/>
      <c r="BI2" s="336"/>
      <c r="BJ2" s="1217"/>
      <c r="BK2" s="1217"/>
      <c r="BL2" s="1217"/>
      <c r="BM2" s="1217"/>
      <c r="BN2" s="1217"/>
      <c r="BO2" s="1217"/>
      <c r="BP2" s="1217"/>
      <c r="BQ2" s="1217"/>
      <c r="BR2" s="1097"/>
      <c r="BS2" s="620"/>
      <c r="BT2" s="620"/>
      <c r="BU2" s="620"/>
      <c r="BV2" s="620"/>
      <c r="BW2" s="620"/>
      <c r="BX2" s="620"/>
      <c r="BY2" s="620"/>
      <c r="BZ2" s="620"/>
      <c r="CA2" s="620"/>
      <c r="CB2" s="620"/>
      <c r="CC2" s="620"/>
      <c r="CD2" s="620"/>
      <c r="CE2" s="620"/>
      <c r="CF2" s="620"/>
      <c r="CG2" s="620"/>
    </row>
    <row r="3" spans="4:87" ht="16" thickBot="1">
      <c r="BF3" s="169"/>
      <c r="BG3" s="169"/>
      <c r="BH3" s="169"/>
      <c r="BI3" s="169"/>
      <c r="BJ3" s="807"/>
      <c r="BK3" s="807"/>
      <c r="BL3" s="807"/>
      <c r="BM3" s="807"/>
      <c r="BN3" s="807"/>
      <c r="BO3" s="807"/>
      <c r="BP3" s="807"/>
      <c r="BQ3" s="807"/>
      <c r="BR3" s="807"/>
      <c r="BS3" s="807"/>
      <c r="BT3" s="807"/>
      <c r="BU3" s="807"/>
      <c r="BV3" s="807"/>
      <c r="BW3" s="807"/>
      <c r="BX3" s="807"/>
      <c r="BY3" s="807"/>
      <c r="BZ3" s="807"/>
      <c r="CA3" s="807"/>
      <c r="CB3" s="807"/>
      <c r="CC3" s="807"/>
      <c r="CD3" s="807"/>
      <c r="CE3" s="807"/>
      <c r="CF3" s="807"/>
      <c r="CG3" s="1213"/>
    </row>
    <row r="4" spans="4:87" ht="16" thickBot="1">
      <c r="D4" s="1929" t="s">
        <v>1571</v>
      </c>
      <c r="E4" s="1930"/>
      <c r="F4" s="1930"/>
      <c r="G4" s="1930"/>
      <c r="H4" s="1930"/>
      <c r="I4" s="1930"/>
      <c r="J4" s="1930"/>
      <c r="K4" s="1930"/>
      <c r="L4" s="1930"/>
      <c r="M4" s="1930"/>
      <c r="N4" s="1930"/>
      <c r="O4" s="1930"/>
      <c r="P4" s="1930"/>
      <c r="Q4" s="1930"/>
      <c r="R4" s="1930"/>
      <c r="S4" s="1930"/>
      <c r="T4" s="1930"/>
      <c r="U4" s="1930"/>
      <c r="V4" s="1930"/>
      <c r="W4" s="1930"/>
      <c r="X4" s="1930"/>
      <c r="Y4" s="1930"/>
      <c r="Z4" s="1930"/>
      <c r="AA4" s="1930"/>
      <c r="AB4" s="1930"/>
      <c r="AC4" s="1930"/>
      <c r="AD4" s="1930"/>
      <c r="AE4" s="1930"/>
      <c r="AF4" s="1931"/>
      <c r="BF4" s="241"/>
      <c r="BG4" s="241"/>
      <c r="BH4" s="241"/>
      <c r="BI4" s="241"/>
      <c r="BJ4" s="1023"/>
      <c r="BK4" s="1023"/>
      <c r="BL4" s="1023"/>
      <c r="BM4" s="1023"/>
      <c r="BN4" s="241"/>
      <c r="BO4" s="241"/>
      <c r="BP4" s="241"/>
      <c r="BQ4" s="241"/>
      <c r="BR4" s="248"/>
      <c r="BS4" s="248"/>
      <c r="BT4" s="248"/>
      <c r="BU4" s="248"/>
      <c r="BV4" s="248"/>
      <c r="BW4" s="248"/>
      <c r="BX4" s="248"/>
      <c r="BY4" s="248"/>
      <c r="BZ4" s="248"/>
      <c r="CA4" s="248"/>
      <c r="CB4" s="248"/>
      <c r="CC4" s="248"/>
      <c r="CD4" s="248"/>
      <c r="CE4" s="248"/>
      <c r="CF4" s="248"/>
      <c r="CG4" s="1213"/>
    </row>
    <row r="5" spans="4:87" ht="16" thickBot="1">
      <c r="D5" s="689"/>
      <c r="E5" s="690"/>
      <c r="F5" s="690"/>
      <c r="G5" s="690"/>
      <c r="H5" s="1020"/>
      <c r="I5" s="1020"/>
      <c r="J5" s="1020"/>
      <c r="K5" s="1020"/>
      <c r="L5" s="1021"/>
      <c r="M5" s="1021"/>
      <c r="N5" s="1021"/>
      <c r="O5" s="1021"/>
      <c r="P5" s="1022"/>
      <c r="Q5" s="1022"/>
      <c r="R5" s="1022"/>
      <c r="S5" s="1022"/>
      <c r="T5" s="1022"/>
      <c r="U5" s="1022"/>
      <c r="V5" s="1022"/>
      <c r="W5" s="1022"/>
      <c r="X5" s="1022"/>
      <c r="Y5" s="1022"/>
      <c r="Z5" s="1022"/>
      <c r="AA5" s="780"/>
      <c r="AB5" s="780"/>
      <c r="AC5" s="780"/>
      <c r="AD5" s="780"/>
      <c r="AE5" s="778"/>
      <c r="AF5" s="779"/>
      <c r="BF5" s="241"/>
      <c r="BG5" s="241"/>
      <c r="BH5" s="241"/>
      <c r="BI5" s="241"/>
      <c r="BJ5" s="1023"/>
      <c r="BK5" s="1023"/>
      <c r="BL5" s="1023"/>
      <c r="BM5" s="1023"/>
      <c r="BN5" s="241"/>
      <c r="BO5" s="241"/>
      <c r="BP5" s="241"/>
      <c r="BQ5" s="241"/>
      <c r="BR5" s="241"/>
      <c r="BS5" s="241"/>
      <c r="BT5" s="241"/>
      <c r="BU5" s="241"/>
      <c r="BV5" s="241"/>
      <c r="BW5" s="241"/>
      <c r="BX5" s="241"/>
      <c r="BY5" s="241"/>
      <c r="BZ5" s="241"/>
      <c r="CA5" s="241"/>
      <c r="CB5" s="241"/>
      <c r="CC5" s="241"/>
      <c r="CD5" s="241"/>
      <c r="CE5" s="241"/>
      <c r="CF5" s="241"/>
      <c r="CG5" s="1213"/>
    </row>
    <row r="6" spans="4:87" ht="16" thickBot="1">
      <c r="D6" s="691" t="s">
        <v>1158</v>
      </c>
      <c r="E6" s="416"/>
      <c r="F6" s="416"/>
      <c r="G6" s="416"/>
      <c r="H6" s="416"/>
      <c r="I6" s="416"/>
      <c r="J6" s="416"/>
      <c r="K6" s="416"/>
      <c r="L6" s="403" t="s">
        <v>20</v>
      </c>
      <c r="M6" s="403" t="s">
        <v>21</v>
      </c>
      <c r="N6" s="403" t="s">
        <v>22</v>
      </c>
      <c r="O6" s="403" t="s">
        <v>23</v>
      </c>
      <c r="P6" s="404" t="s">
        <v>24</v>
      </c>
      <c r="Q6" s="404" t="s">
        <v>25</v>
      </c>
      <c r="R6" s="404" t="s">
        <v>26</v>
      </c>
      <c r="S6" s="404" t="s">
        <v>27</v>
      </c>
      <c r="T6" s="404" t="s">
        <v>712</v>
      </c>
      <c r="U6" s="404" t="s">
        <v>713</v>
      </c>
      <c r="V6" s="404" t="s">
        <v>714</v>
      </c>
      <c r="W6" s="404" t="s">
        <v>715</v>
      </c>
      <c r="X6" s="404" t="s">
        <v>716</v>
      </c>
      <c r="Y6" s="404" t="s">
        <v>717</v>
      </c>
      <c r="Z6" s="404" t="s">
        <v>718</v>
      </c>
      <c r="AA6" s="404" t="s">
        <v>719</v>
      </c>
      <c r="AB6" s="404" t="s">
        <v>720</v>
      </c>
      <c r="AC6" s="404" t="s">
        <v>721</v>
      </c>
      <c r="AD6" s="404" t="s">
        <v>722</v>
      </c>
      <c r="AE6" s="765" t="s">
        <v>1445</v>
      </c>
      <c r="AF6" s="766" t="s">
        <v>1446</v>
      </c>
      <c r="BF6" s="169"/>
      <c r="BG6" s="169"/>
      <c r="BH6" s="169"/>
      <c r="BI6" s="169"/>
      <c r="BJ6" s="807"/>
      <c r="BK6" s="807"/>
      <c r="BL6" s="807"/>
      <c r="BM6" s="807"/>
      <c r="BN6" s="807"/>
      <c r="BO6" s="807"/>
      <c r="BP6" s="807"/>
      <c r="BQ6" s="807"/>
      <c r="BR6" s="807"/>
      <c r="BS6" s="807"/>
      <c r="BT6" s="807"/>
      <c r="BU6" s="807"/>
      <c r="BV6" s="807"/>
      <c r="BW6" s="807"/>
      <c r="BX6" s="807"/>
      <c r="BY6" s="807"/>
      <c r="BZ6" s="807"/>
      <c r="CA6" s="807"/>
      <c r="CB6" s="807"/>
      <c r="CC6" s="807"/>
      <c r="CD6" s="807"/>
      <c r="CE6" s="807"/>
      <c r="CF6" s="807"/>
      <c r="CG6" s="1213"/>
    </row>
    <row r="7" spans="4:87" s="50" customFormat="1">
      <c r="D7" s="1228" t="s">
        <v>1151</v>
      </c>
      <c r="E7" s="190"/>
      <c r="F7" s="190"/>
      <c r="G7" s="190"/>
      <c r="H7" s="1390">
        <v>13037</v>
      </c>
      <c r="I7" s="1390">
        <v>12960</v>
      </c>
      <c r="J7" s="1390">
        <v>12870</v>
      </c>
      <c r="K7" s="1390">
        <v>12913</v>
      </c>
      <c r="L7" s="1390">
        <v>14447</v>
      </c>
      <c r="M7" s="1390">
        <v>13508</v>
      </c>
      <c r="N7" s="1390">
        <f>N9*N16</f>
        <v>13500</v>
      </c>
      <c r="O7" s="1390">
        <f t="shared" ref="O7:AD7" si="0">O9*O16</f>
        <v>21368.32</v>
      </c>
      <c r="P7" s="1390">
        <f t="shared" si="0"/>
        <v>26052.656400000003</v>
      </c>
      <c r="Q7" s="1390">
        <f t="shared" si="0"/>
        <v>27007.920468000004</v>
      </c>
      <c r="R7" s="1390">
        <f t="shared" si="0"/>
        <v>27990.974036160005</v>
      </c>
      <c r="S7" s="1390">
        <f t="shared" si="0"/>
        <v>29002.546578859208</v>
      </c>
      <c r="T7" s="1390">
        <f t="shared" si="0"/>
        <v>30043.385633651913</v>
      </c>
      <c r="U7" s="1390">
        <f t="shared" si="0"/>
        <v>30644.253346324949</v>
      </c>
      <c r="V7" s="1390">
        <f t="shared" si="0"/>
        <v>31257.13841325145</v>
      </c>
      <c r="W7" s="1390">
        <f t="shared" si="0"/>
        <v>31882.281181516475</v>
      </c>
      <c r="X7" s="1390">
        <f t="shared" si="0"/>
        <v>32519.926805146806</v>
      </c>
      <c r="Y7" s="1390">
        <f t="shared" si="0"/>
        <v>33170.325341249743</v>
      </c>
      <c r="Z7" s="1390">
        <f t="shared" si="0"/>
        <v>33833.731848074734</v>
      </c>
      <c r="AA7" s="1390">
        <f t="shared" si="0"/>
        <v>34510.406485036227</v>
      </c>
      <c r="AB7" s="1390">
        <f t="shared" si="0"/>
        <v>35200.614614736951</v>
      </c>
      <c r="AC7" s="1390">
        <f t="shared" si="0"/>
        <v>35904.626907031692</v>
      </c>
      <c r="AD7" s="1390">
        <f t="shared" si="0"/>
        <v>36622.719445172326</v>
      </c>
      <c r="AE7" s="1391">
        <f>(O7/L7)^(1/3)-1</f>
        <v>0.13936857069989173</v>
      </c>
      <c r="AF7" s="1392">
        <f>(T7/P7)^(1/4)-1</f>
        <v>3.6273077215340788E-2</v>
      </c>
      <c r="BF7" s="1393"/>
      <c r="BG7" s="1393"/>
      <c r="BH7" s="1393"/>
      <c r="BI7" s="1393"/>
      <c r="BJ7" s="1394"/>
      <c r="BK7" s="1394"/>
      <c r="BL7" s="1394"/>
      <c r="BM7" s="1394"/>
      <c r="BN7" s="1393"/>
      <c r="BO7" s="1393"/>
      <c r="BP7" s="1395"/>
      <c r="BQ7" s="1395"/>
      <c r="BR7" s="1395"/>
      <c r="BS7" s="1395"/>
      <c r="BT7" s="1395"/>
      <c r="BU7" s="1395"/>
      <c r="BV7" s="1395"/>
      <c r="BW7" s="1395"/>
      <c r="BX7" s="1395"/>
      <c r="BY7" s="1395"/>
      <c r="BZ7" s="1395"/>
      <c r="CA7" s="1395"/>
      <c r="CB7" s="1395"/>
      <c r="CC7" s="1395"/>
      <c r="CD7" s="1395"/>
      <c r="CE7" s="1395"/>
      <c r="CF7" s="1395"/>
      <c r="CG7" s="1396"/>
    </row>
    <row r="8" spans="4:87" s="1403" customFormat="1" ht="14">
      <c r="D8" s="1401" t="s">
        <v>832</v>
      </c>
      <c r="E8" s="1402"/>
      <c r="F8" s="1402"/>
      <c r="G8" s="1402"/>
      <c r="H8" s="1402"/>
      <c r="I8" s="1402"/>
      <c r="J8" s="1402"/>
      <c r="K8" s="1402"/>
      <c r="L8" s="1402">
        <f>(L7/K7)-1</f>
        <v>0.11879501277782079</v>
      </c>
      <c r="M8" s="1402">
        <f t="shared" ref="M8:AD8" si="1">(M7/L7)-1</f>
        <v>-6.4996192981241818E-2</v>
      </c>
      <c r="N8" s="1402">
        <f t="shared" si="1"/>
        <v>-5.9224163458693191E-4</v>
      </c>
      <c r="O8" s="1402">
        <f t="shared" si="1"/>
        <v>0.58283851851851853</v>
      </c>
      <c r="P8" s="1402">
        <f t="shared" si="1"/>
        <v>0.21921875000000024</v>
      </c>
      <c r="Q8" s="1402">
        <f t="shared" si="1"/>
        <v>3.6666666666666625E-2</v>
      </c>
      <c r="R8" s="1402">
        <f t="shared" si="1"/>
        <v>3.6398713826366613E-2</v>
      </c>
      <c r="S8" s="1402">
        <f t="shared" si="1"/>
        <v>3.6139240506329218E-2</v>
      </c>
      <c r="T8" s="1402">
        <f t="shared" si="1"/>
        <v>3.5887850467289706E-2</v>
      </c>
      <c r="U8" s="1402">
        <f t="shared" si="1"/>
        <v>2.0000000000000018E-2</v>
      </c>
      <c r="V8" s="1402">
        <f t="shared" si="1"/>
        <v>2.0000000000000018E-2</v>
      </c>
      <c r="W8" s="1402">
        <f t="shared" si="1"/>
        <v>1.9999999999999796E-2</v>
      </c>
      <c r="X8" s="1402">
        <f t="shared" si="1"/>
        <v>2.0000000000000018E-2</v>
      </c>
      <c r="Y8" s="1402">
        <f t="shared" si="1"/>
        <v>2.0000000000000018E-2</v>
      </c>
      <c r="Z8" s="1402">
        <f t="shared" si="1"/>
        <v>1.9999999999999796E-2</v>
      </c>
      <c r="AA8" s="1402">
        <f t="shared" si="1"/>
        <v>2.0000000000000018E-2</v>
      </c>
      <c r="AB8" s="1402">
        <f t="shared" si="1"/>
        <v>2.0000000000000018E-2</v>
      </c>
      <c r="AC8" s="1402">
        <f t="shared" si="1"/>
        <v>2.0000000000000018E-2</v>
      </c>
      <c r="AD8" s="1402">
        <f t="shared" si="1"/>
        <v>2.0000000000000018E-2</v>
      </c>
      <c r="AE8" s="785"/>
      <c r="AF8" s="786"/>
      <c r="BF8" s="1402"/>
      <c r="BG8" s="1402"/>
      <c r="BH8" s="1402"/>
      <c r="BI8" s="1402"/>
      <c r="BJ8" s="1038"/>
      <c r="BK8" s="1038"/>
      <c r="BL8" s="1038"/>
      <c r="BM8" s="1038"/>
      <c r="BN8" s="1402"/>
      <c r="BO8" s="1402"/>
      <c r="BP8" s="1402"/>
      <c r="BQ8" s="1402"/>
      <c r="BR8" s="1402"/>
      <c r="BS8" s="1402"/>
      <c r="BT8" s="1402"/>
      <c r="BU8" s="1402"/>
      <c r="BV8" s="1402"/>
      <c r="BW8" s="1402"/>
      <c r="BX8" s="1402"/>
      <c r="BY8" s="1402"/>
      <c r="BZ8" s="1402"/>
      <c r="CA8" s="1402"/>
      <c r="CB8" s="1402"/>
      <c r="CC8" s="1402"/>
      <c r="CD8" s="1402"/>
      <c r="CE8" s="1402"/>
      <c r="CF8" s="1402"/>
      <c r="CG8" s="1213"/>
    </row>
    <row r="9" spans="4:87" s="1403" customFormat="1" ht="14">
      <c r="D9" s="1401" t="s">
        <v>1152</v>
      </c>
      <c r="E9" s="1402"/>
      <c r="F9" s="1402"/>
      <c r="G9" s="1402"/>
      <c r="H9" s="1038"/>
      <c r="I9" s="1038"/>
      <c r="J9" s="1038"/>
      <c r="K9" s="1038"/>
      <c r="L9" s="1402">
        <f>L7/L16</f>
        <v>0.14361548784730852</v>
      </c>
      <c r="M9" s="1402">
        <f t="shared" ref="M9" si="2">M7/M16</f>
        <v>0.15008888888888888</v>
      </c>
      <c r="N9" s="1402">
        <v>0.15</v>
      </c>
      <c r="O9" s="1402">
        <v>0.25600000000000001</v>
      </c>
      <c r="P9" s="1402">
        <f>O9+5%</f>
        <v>0.30599999999999999</v>
      </c>
      <c r="Q9" s="1402">
        <f>P9+0.5%</f>
        <v>0.311</v>
      </c>
      <c r="R9" s="1402">
        <f>Q9+0.5%</f>
        <v>0.316</v>
      </c>
      <c r="S9" s="1402">
        <f>R9+0.5%</f>
        <v>0.32100000000000001</v>
      </c>
      <c r="T9" s="1402">
        <f>S9+0.5%</f>
        <v>0.32600000000000001</v>
      </c>
      <c r="U9" s="1402">
        <f>T9</f>
        <v>0.32600000000000001</v>
      </c>
      <c r="V9" s="1402">
        <f t="shared" ref="V9:AD9" si="3">U9</f>
        <v>0.32600000000000001</v>
      </c>
      <c r="W9" s="1402">
        <f t="shared" si="3"/>
        <v>0.32600000000000001</v>
      </c>
      <c r="X9" s="1402">
        <f t="shared" si="3"/>
        <v>0.32600000000000001</v>
      </c>
      <c r="Y9" s="1402">
        <f t="shared" si="3"/>
        <v>0.32600000000000001</v>
      </c>
      <c r="Z9" s="1402">
        <f t="shared" si="3"/>
        <v>0.32600000000000001</v>
      </c>
      <c r="AA9" s="1402">
        <f t="shared" si="3"/>
        <v>0.32600000000000001</v>
      </c>
      <c r="AB9" s="1402">
        <f t="shared" si="3"/>
        <v>0.32600000000000001</v>
      </c>
      <c r="AC9" s="1402">
        <f t="shared" si="3"/>
        <v>0.32600000000000001</v>
      </c>
      <c r="AD9" s="1402">
        <f t="shared" si="3"/>
        <v>0.32600000000000001</v>
      </c>
      <c r="AE9" s="785"/>
      <c r="AF9" s="786"/>
      <c r="BF9" s="443" t="s">
        <v>1649</v>
      </c>
      <c r="BG9" s="1404"/>
      <c r="BH9" s="1404"/>
      <c r="BI9" s="1404"/>
      <c r="BJ9" s="1405"/>
      <c r="BK9" s="1405"/>
      <c r="BL9" s="1405"/>
      <c r="BM9" s="1405"/>
    </row>
    <row r="10" spans="4:87" s="50" customFormat="1">
      <c r="D10" s="1228" t="s">
        <v>1153</v>
      </c>
      <c r="E10" s="190"/>
      <c r="F10" s="190"/>
      <c r="G10" s="190"/>
      <c r="H10" s="190"/>
      <c r="I10" s="190"/>
      <c r="J10" s="190"/>
      <c r="K10" s="190"/>
      <c r="L10" s="1390">
        <v>15731</v>
      </c>
      <c r="M10" s="1390">
        <v>16215</v>
      </c>
      <c r="N10" s="1390">
        <f>N12*N16</f>
        <v>16200</v>
      </c>
      <c r="O10" s="1390">
        <f t="shared" ref="O10:AD10" si="4">O12*O16</f>
        <v>15024.599999999999</v>
      </c>
      <c r="P10" s="1390">
        <f t="shared" si="4"/>
        <v>15325.092000000001</v>
      </c>
      <c r="Q10" s="1390">
        <f t="shared" si="4"/>
        <v>15631.593840000001</v>
      </c>
      <c r="R10" s="1390">
        <f t="shared" si="4"/>
        <v>15944.225716800001</v>
      </c>
      <c r="S10" s="1390">
        <f t="shared" si="4"/>
        <v>16263.110231136003</v>
      </c>
      <c r="T10" s="1390">
        <f t="shared" si="4"/>
        <v>16588.372435758723</v>
      </c>
      <c r="U10" s="1390">
        <f t="shared" si="4"/>
        <v>16920.139884473898</v>
      </c>
      <c r="V10" s="1390">
        <f t="shared" si="4"/>
        <v>17258.542682163374</v>
      </c>
      <c r="W10" s="1390">
        <f t="shared" si="4"/>
        <v>17603.713535806641</v>
      </c>
      <c r="X10" s="1390">
        <f t="shared" si="4"/>
        <v>17955.787806522774</v>
      </c>
      <c r="Y10" s="1390">
        <f t="shared" si="4"/>
        <v>18314.903562653231</v>
      </c>
      <c r="Z10" s="1390">
        <f t="shared" si="4"/>
        <v>18681.201633906294</v>
      </c>
      <c r="AA10" s="1390">
        <f t="shared" si="4"/>
        <v>19054.82566658442</v>
      </c>
      <c r="AB10" s="1390">
        <f t="shared" si="4"/>
        <v>19435.92217991611</v>
      </c>
      <c r="AC10" s="1390">
        <f t="shared" si="4"/>
        <v>19824.640623514431</v>
      </c>
      <c r="AD10" s="1390">
        <f t="shared" si="4"/>
        <v>20221.133435984717</v>
      </c>
      <c r="AE10" s="1398">
        <f t="shared" ref="AE10:AE48" si="5">(O10/L10)^(1/3)-1</f>
        <v>-1.5198134699704435E-2</v>
      </c>
      <c r="AF10" s="1399">
        <f>(T10/P10)^(1/4)-1</f>
        <v>2.0000000000000018E-2</v>
      </c>
    </row>
    <row r="11" spans="4:87" s="1403" customFormat="1" ht="14">
      <c r="D11" s="1401" t="s">
        <v>832</v>
      </c>
      <c r="E11" s="1402"/>
      <c r="F11" s="1402"/>
      <c r="G11" s="1402"/>
      <c r="H11" s="1402"/>
      <c r="I11" s="1402"/>
      <c r="J11" s="1402"/>
      <c r="K11" s="1402"/>
      <c r="L11" s="1402"/>
      <c r="M11" s="1402">
        <f t="shared" ref="M11:AD11" si="6">(M10/L10)-1</f>
        <v>3.0767274807704581E-2</v>
      </c>
      <c r="N11" s="1402">
        <f t="shared" si="6"/>
        <v>-9.2506938020353591E-4</v>
      </c>
      <c r="O11" s="1402">
        <f t="shared" si="6"/>
        <v>-7.2555555555555595E-2</v>
      </c>
      <c r="P11" s="1402">
        <f t="shared" si="6"/>
        <v>2.000000000000024E-2</v>
      </c>
      <c r="Q11" s="1402">
        <f t="shared" si="6"/>
        <v>2.0000000000000018E-2</v>
      </c>
      <c r="R11" s="1402">
        <f t="shared" si="6"/>
        <v>2.0000000000000018E-2</v>
      </c>
      <c r="S11" s="1402">
        <f t="shared" si="6"/>
        <v>2.0000000000000018E-2</v>
      </c>
      <c r="T11" s="1402">
        <f t="shared" si="6"/>
        <v>2.0000000000000018E-2</v>
      </c>
      <c r="U11" s="1402">
        <f t="shared" si="6"/>
        <v>2.0000000000000018E-2</v>
      </c>
      <c r="V11" s="1402">
        <f t="shared" si="6"/>
        <v>1.9999999999999796E-2</v>
      </c>
      <c r="W11" s="1402">
        <f t="shared" si="6"/>
        <v>2.0000000000000018E-2</v>
      </c>
      <c r="X11" s="1402">
        <f t="shared" si="6"/>
        <v>2.0000000000000018E-2</v>
      </c>
      <c r="Y11" s="1402">
        <f t="shared" si="6"/>
        <v>2.0000000000000018E-2</v>
      </c>
      <c r="Z11" s="1402">
        <f t="shared" si="6"/>
        <v>1.9999999999999796E-2</v>
      </c>
      <c r="AA11" s="1402">
        <f t="shared" si="6"/>
        <v>2.0000000000000018E-2</v>
      </c>
      <c r="AB11" s="1402">
        <f t="shared" si="6"/>
        <v>2.0000000000000018E-2</v>
      </c>
      <c r="AC11" s="1402">
        <f t="shared" si="6"/>
        <v>2.0000000000000018E-2</v>
      </c>
      <c r="AD11" s="1402">
        <f t="shared" si="6"/>
        <v>1.9999999999999796E-2</v>
      </c>
      <c r="AE11" s="782"/>
      <c r="AF11" s="781"/>
    </row>
    <row r="12" spans="4:87" s="1403" customFormat="1" ht="14">
      <c r="D12" s="1401" t="s">
        <v>1152</v>
      </c>
      <c r="E12" s="1402"/>
      <c r="F12" s="1402"/>
      <c r="G12" s="1402"/>
      <c r="H12" s="1402"/>
      <c r="I12" s="1402"/>
      <c r="J12" s="1402"/>
      <c r="K12" s="1402"/>
      <c r="L12" s="1402">
        <f>L10/L16</f>
        <v>0.15637954172672597</v>
      </c>
      <c r="M12" s="1402">
        <f t="shared" ref="M12" si="7">M10/M16</f>
        <v>0.18016666666666667</v>
      </c>
      <c r="N12" s="1402">
        <v>0.18</v>
      </c>
      <c r="O12" s="1402">
        <v>0.18</v>
      </c>
      <c r="P12" s="1402">
        <f>O12</f>
        <v>0.18</v>
      </c>
      <c r="Q12" s="1402">
        <f>P12</f>
        <v>0.18</v>
      </c>
      <c r="R12" s="1402">
        <f t="shared" ref="R12:AD12" si="8">Q12</f>
        <v>0.18</v>
      </c>
      <c r="S12" s="1402">
        <f t="shared" si="8"/>
        <v>0.18</v>
      </c>
      <c r="T12" s="1402">
        <f t="shared" si="8"/>
        <v>0.18</v>
      </c>
      <c r="U12" s="1402">
        <f t="shared" si="8"/>
        <v>0.18</v>
      </c>
      <c r="V12" s="1402">
        <f t="shared" si="8"/>
        <v>0.18</v>
      </c>
      <c r="W12" s="1402">
        <f t="shared" si="8"/>
        <v>0.18</v>
      </c>
      <c r="X12" s="1402">
        <f t="shared" si="8"/>
        <v>0.18</v>
      </c>
      <c r="Y12" s="1402">
        <f t="shared" si="8"/>
        <v>0.18</v>
      </c>
      <c r="Z12" s="1402">
        <f t="shared" si="8"/>
        <v>0.18</v>
      </c>
      <c r="AA12" s="1402">
        <f t="shared" si="8"/>
        <v>0.18</v>
      </c>
      <c r="AB12" s="1402">
        <f t="shared" si="8"/>
        <v>0.18</v>
      </c>
      <c r="AC12" s="1402">
        <f t="shared" si="8"/>
        <v>0.18</v>
      </c>
      <c r="AD12" s="1402">
        <f t="shared" si="8"/>
        <v>0.18</v>
      </c>
      <c r="AE12" s="782"/>
      <c r="AF12" s="781"/>
      <c r="BJ12" s="1336"/>
      <c r="BK12" s="1406"/>
      <c r="BL12" s="1406"/>
      <c r="BM12" s="1406"/>
      <c r="BN12" s="1406"/>
      <c r="BO12" s="1406"/>
      <c r="BP12" s="1406"/>
      <c r="BQ12" s="1406"/>
      <c r="BR12" s="1406"/>
      <c r="BS12" s="1407"/>
      <c r="BT12" s="1408"/>
      <c r="BU12" s="1408"/>
      <c r="BV12" s="1408"/>
      <c r="BW12" s="1408"/>
      <c r="BX12" s="1408"/>
      <c r="BY12" s="1408"/>
      <c r="BZ12" s="1408"/>
      <c r="CA12" s="1408"/>
      <c r="CB12" s="1408"/>
      <c r="CC12" s="1408"/>
      <c r="CD12" s="1408"/>
      <c r="CE12" s="1408"/>
      <c r="CF12" s="1408"/>
      <c r="CG12" s="1408"/>
      <c r="CH12" s="1408"/>
      <c r="CI12" s="1408"/>
    </row>
    <row r="13" spans="4:87" s="50" customFormat="1">
      <c r="D13" s="1228" t="s">
        <v>1154</v>
      </c>
      <c r="E13" s="190"/>
      <c r="F13" s="190"/>
      <c r="G13" s="190"/>
      <c r="H13" s="190"/>
      <c r="I13" s="190"/>
      <c r="J13" s="190"/>
      <c r="K13" s="190"/>
      <c r="L13" s="1390">
        <v>70417</v>
      </c>
      <c r="M13" s="1390">
        <v>60277</v>
      </c>
      <c r="N13" s="1390">
        <f>N15*N16</f>
        <v>60299.999999999993</v>
      </c>
      <c r="O13" s="1390">
        <f t="shared" ref="O13:AD13" si="9">O15*O16</f>
        <v>47077.08</v>
      </c>
      <c r="P13" s="1390">
        <f t="shared" si="9"/>
        <v>43761.651600000005</v>
      </c>
      <c r="Q13" s="1390">
        <f t="shared" si="9"/>
        <v>44202.673692000018</v>
      </c>
      <c r="R13" s="1390">
        <f t="shared" si="9"/>
        <v>44643.832007040008</v>
      </c>
      <c r="S13" s="1390">
        <f t="shared" si="9"/>
        <v>45084.955585204814</v>
      </c>
      <c r="T13" s="1390">
        <f t="shared" si="9"/>
        <v>45525.866573693384</v>
      </c>
      <c r="U13" s="1390">
        <f t="shared" si="9"/>
        <v>46436.383905167248</v>
      </c>
      <c r="V13" s="1390">
        <f t="shared" si="9"/>
        <v>47365.111583270591</v>
      </c>
      <c r="W13" s="1390">
        <f t="shared" si="9"/>
        <v>48312.413814936001</v>
      </c>
      <c r="X13" s="1390">
        <f t="shared" si="9"/>
        <v>49278.662091234721</v>
      </c>
      <c r="Y13" s="1390">
        <f t="shared" si="9"/>
        <v>50264.235333059412</v>
      </c>
      <c r="Z13" s="1390">
        <f t="shared" si="9"/>
        <v>51269.520039720606</v>
      </c>
      <c r="AA13" s="1390">
        <f t="shared" si="9"/>
        <v>52294.910440515014</v>
      </c>
      <c r="AB13" s="1390">
        <f t="shared" si="9"/>
        <v>53340.808649325314</v>
      </c>
      <c r="AC13" s="1390">
        <f t="shared" si="9"/>
        <v>54407.624822311816</v>
      </c>
      <c r="AD13" s="1390">
        <f t="shared" si="9"/>
        <v>55495.777318758053</v>
      </c>
      <c r="AE13" s="1398">
        <f t="shared" si="5"/>
        <v>-0.12559895845717506</v>
      </c>
      <c r="AF13" s="1399">
        <f>(T13/P13)^(1/4)-1</f>
        <v>9.9296654190634825E-3</v>
      </c>
      <c r="BF13" s="336"/>
      <c r="BG13" s="336"/>
      <c r="BH13" s="336"/>
      <c r="BI13" s="336"/>
      <c r="BJ13" s="1217"/>
      <c r="BK13" s="1217"/>
      <c r="BL13" s="1217"/>
      <c r="BM13" s="1217"/>
      <c r="BN13" s="1217"/>
      <c r="BO13" s="1217"/>
      <c r="BP13" s="1217"/>
      <c r="BQ13" s="1217"/>
      <c r="BR13" s="1097"/>
      <c r="BS13" s="1382"/>
      <c r="BT13" s="1382"/>
      <c r="BU13" s="1382"/>
      <c r="BV13" s="1382"/>
      <c r="BW13" s="1382"/>
      <c r="BX13" s="1382"/>
      <c r="BY13" s="1382"/>
      <c r="BZ13" s="1382"/>
      <c r="CA13" s="1382"/>
      <c r="CB13" s="1382"/>
      <c r="CC13" s="1382"/>
      <c r="CD13" s="1382"/>
      <c r="CE13" s="1382"/>
      <c r="CF13" s="1382"/>
      <c r="CG13" s="1382"/>
      <c r="CH13" s="1382"/>
      <c r="CI13" s="1396"/>
    </row>
    <row r="14" spans="4:87" s="1403" customFormat="1" ht="14">
      <c r="D14" s="1401" t="s">
        <v>832</v>
      </c>
      <c r="E14" s="1402"/>
      <c r="F14" s="1402"/>
      <c r="G14" s="1402"/>
      <c r="H14" s="1402"/>
      <c r="I14" s="1402"/>
      <c r="J14" s="1402"/>
      <c r="K14" s="1402"/>
      <c r="L14" s="1402"/>
      <c r="M14" s="1402">
        <f t="shared" ref="M14:AD14" si="10">(M13/L13)-1</f>
        <v>-0.14399931834642199</v>
      </c>
      <c r="N14" s="1402">
        <f t="shared" si="10"/>
        <v>3.8157174378272707E-4</v>
      </c>
      <c r="O14" s="1402">
        <f t="shared" si="10"/>
        <v>-0.21928557213930333</v>
      </c>
      <c r="P14" s="1402">
        <f t="shared" si="10"/>
        <v>-7.0425531914893535E-2</v>
      </c>
      <c r="Q14" s="1402">
        <f t="shared" si="10"/>
        <v>1.0077821011673427E-2</v>
      </c>
      <c r="R14" s="1402">
        <f t="shared" si="10"/>
        <v>9.980353634577277E-3</v>
      </c>
      <c r="S14" s="1402">
        <f t="shared" si="10"/>
        <v>9.8809523809524347E-3</v>
      </c>
      <c r="T14" s="1402">
        <f t="shared" si="10"/>
        <v>9.7795591182363584E-3</v>
      </c>
      <c r="U14" s="1402">
        <f t="shared" si="10"/>
        <v>2.0000000000000018E-2</v>
      </c>
      <c r="V14" s="1402">
        <f t="shared" si="10"/>
        <v>2.0000000000000018E-2</v>
      </c>
      <c r="W14" s="1402">
        <f t="shared" si="10"/>
        <v>2.0000000000000018E-2</v>
      </c>
      <c r="X14" s="1402">
        <f t="shared" si="10"/>
        <v>2.0000000000000018E-2</v>
      </c>
      <c r="Y14" s="1402">
        <f t="shared" si="10"/>
        <v>2.0000000000000018E-2</v>
      </c>
      <c r="Z14" s="1402">
        <f t="shared" si="10"/>
        <v>2.0000000000000018E-2</v>
      </c>
      <c r="AA14" s="1402">
        <f t="shared" si="10"/>
        <v>2.0000000000000018E-2</v>
      </c>
      <c r="AB14" s="1402">
        <f t="shared" si="10"/>
        <v>2.0000000000000018E-2</v>
      </c>
      <c r="AC14" s="1402">
        <f t="shared" si="10"/>
        <v>2.0000000000000018E-2</v>
      </c>
      <c r="AD14" s="1402">
        <f t="shared" si="10"/>
        <v>2.0000000000000018E-2</v>
      </c>
      <c r="AE14" s="782"/>
      <c r="AF14" s="781"/>
      <c r="BF14" s="169"/>
      <c r="BG14" s="169"/>
      <c r="BH14" s="169"/>
      <c r="BI14" s="169"/>
      <c r="BJ14" s="807"/>
      <c r="BK14" s="807"/>
      <c r="BL14" s="807"/>
      <c r="BM14" s="807"/>
      <c r="BN14" s="807"/>
      <c r="BO14" s="807"/>
      <c r="BP14" s="807"/>
      <c r="BQ14" s="807"/>
      <c r="BR14" s="807"/>
      <c r="BS14" s="807"/>
      <c r="BT14" s="807"/>
      <c r="BU14" s="807"/>
      <c r="BV14" s="807"/>
      <c r="BW14" s="807"/>
      <c r="BX14" s="807"/>
      <c r="BY14" s="807"/>
      <c r="BZ14" s="807"/>
      <c r="CA14" s="807"/>
      <c r="CB14" s="807"/>
      <c r="CC14" s="807"/>
      <c r="CD14" s="807"/>
      <c r="CE14" s="807"/>
      <c r="CF14" s="807"/>
      <c r="CG14" s="1213"/>
      <c r="CH14" s="1213"/>
      <c r="CI14" s="1213"/>
    </row>
    <row r="15" spans="4:87" s="1403" customFormat="1" thickBot="1">
      <c r="D15" s="1401" t="s">
        <v>1152</v>
      </c>
      <c r="E15" s="1402"/>
      <c r="F15" s="1402"/>
      <c r="G15" s="1402"/>
      <c r="H15" s="1402"/>
      <c r="I15" s="1402"/>
      <c r="J15" s="1402"/>
      <c r="K15" s="1402"/>
      <c r="L15" s="1402">
        <f>L13/L16</f>
        <v>0.70000497042596554</v>
      </c>
      <c r="M15" s="1402">
        <f t="shared" ref="M15" si="11">M13/M16</f>
        <v>0.66974444444444448</v>
      </c>
      <c r="N15" s="1402">
        <f>1-N9-N12</f>
        <v>0.66999999999999993</v>
      </c>
      <c r="O15" s="1402">
        <f t="shared" ref="O15:AD15" si="12">1-O9-O12</f>
        <v>0.56400000000000006</v>
      </c>
      <c r="P15" s="1402">
        <f t="shared" si="12"/>
        <v>0.51400000000000001</v>
      </c>
      <c r="Q15" s="1402">
        <f t="shared" si="12"/>
        <v>0.50900000000000012</v>
      </c>
      <c r="R15" s="1402">
        <f t="shared" si="12"/>
        <v>0.504</v>
      </c>
      <c r="S15" s="1402">
        <f t="shared" si="12"/>
        <v>0.49900000000000005</v>
      </c>
      <c r="T15" s="1402">
        <f t="shared" si="12"/>
        <v>0.49399999999999994</v>
      </c>
      <c r="U15" s="1402">
        <f t="shared" si="12"/>
        <v>0.49399999999999994</v>
      </c>
      <c r="V15" s="1402">
        <f t="shared" si="12"/>
        <v>0.49399999999999994</v>
      </c>
      <c r="W15" s="1402">
        <f t="shared" si="12"/>
        <v>0.49399999999999994</v>
      </c>
      <c r="X15" s="1402">
        <f t="shared" si="12"/>
        <v>0.49399999999999994</v>
      </c>
      <c r="Y15" s="1402">
        <f t="shared" si="12"/>
        <v>0.49399999999999994</v>
      </c>
      <c r="Z15" s="1402">
        <f t="shared" si="12"/>
        <v>0.49399999999999994</v>
      </c>
      <c r="AA15" s="1402">
        <f t="shared" si="12"/>
        <v>0.49399999999999994</v>
      </c>
      <c r="AB15" s="1402">
        <f t="shared" si="12"/>
        <v>0.49399999999999994</v>
      </c>
      <c r="AC15" s="1402">
        <f t="shared" si="12"/>
        <v>0.49399999999999994</v>
      </c>
      <c r="AD15" s="1402">
        <f t="shared" si="12"/>
        <v>0.49399999999999994</v>
      </c>
      <c r="AE15" s="782"/>
      <c r="AF15" s="781"/>
      <c r="BF15" s="1402"/>
      <c r="BG15" s="1402"/>
      <c r="BH15" s="1402"/>
      <c r="BI15" s="1402"/>
      <c r="BJ15" s="1038"/>
      <c r="BK15" s="1038"/>
      <c r="BL15" s="1038"/>
      <c r="BM15" s="1038"/>
      <c r="BN15" s="1402"/>
      <c r="BO15" s="1402"/>
      <c r="BP15" s="1402"/>
      <c r="BQ15" s="1402"/>
      <c r="BR15" s="1409"/>
      <c r="BS15" s="1409"/>
      <c r="BT15" s="1409"/>
      <c r="BU15" s="1409"/>
      <c r="BV15" s="1409"/>
      <c r="BW15" s="1409"/>
      <c r="BX15" s="1409"/>
      <c r="BY15" s="1409"/>
      <c r="BZ15" s="1409"/>
      <c r="CA15" s="1409"/>
      <c r="CB15" s="1409"/>
      <c r="CC15" s="1409"/>
      <c r="CD15" s="1409"/>
      <c r="CE15" s="1409"/>
      <c r="CF15" s="1409"/>
      <c r="CG15" s="1213"/>
      <c r="CH15" s="1213"/>
      <c r="CI15" s="1213"/>
    </row>
    <row r="16" spans="4:87" s="20" customFormat="1" ht="16" thickBot="1">
      <c r="D16" s="172" t="s">
        <v>103</v>
      </c>
      <c r="E16" s="174"/>
      <c r="F16" s="174"/>
      <c r="G16" s="174"/>
      <c r="H16" s="174">
        <v>90776</v>
      </c>
      <c r="I16" s="174">
        <v>90000</v>
      </c>
      <c r="J16" s="174">
        <v>90000</v>
      </c>
      <c r="K16" s="174">
        <v>90000</v>
      </c>
      <c r="L16" s="843">
        <f>SUM(L7,L10,L13)</f>
        <v>100595</v>
      </c>
      <c r="M16" s="843">
        <f t="shared" ref="M16" si="13">SUM(M7,M10,M13)</f>
        <v>90000</v>
      </c>
      <c r="N16" s="843">
        <v>90000</v>
      </c>
      <c r="O16" s="843">
        <v>83470</v>
      </c>
      <c r="P16" s="843">
        <f>O16*(1+P17)</f>
        <v>85139.400000000009</v>
      </c>
      <c r="Q16" s="843">
        <f t="shared" ref="Q16:AD16" si="14">P16*(1+Q17)</f>
        <v>86842.188000000009</v>
      </c>
      <c r="R16" s="843">
        <f t="shared" si="14"/>
        <v>88579.031760000013</v>
      </c>
      <c r="S16" s="843">
        <f t="shared" si="14"/>
        <v>90350.61239520002</v>
      </c>
      <c r="T16" s="843">
        <f t="shared" si="14"/>
        <v>92157.62464310402</v>
      </c>
      <c r="U16" s="843">
        <f t="shared" si="14"/>
        <v>94000.777135966098</v>
      </c>
      <c r="V16" s="843">
        <f t="shared" si="14"/>
        <v>95880.792678685422</v>
      </c>
      <c r="W16" s="843">
        <f t="shared" si="14"/>
        <v>97798.408532259127</v>
      </c>
      <c r="X16" s="843">
        <f t="shared" si="14"/>
        <v>99754.376702904308</v>
      </c>
      <c r="Y16" s="843">
        <f t="shared" si="14"/>
        <v>101749.46423696239</v>
      </c>
      <c r="Z16" s="843">
        <f t="shared" si="14"/>
        <v>103784.45352170164</v>
      </c>
      <c r="AA16" s="843">
        <f t="shared" si="14"/>
        <v>105860.14259213567</v>
      </c>
      <c r="AB16" s="843">
        <f t="shared" si="14"/>
        <v>107977.34544397838</v>
      </c>
      <c r="AC16" s="843">
        <f t="shared" si="14"/>
        <v>110136.89235285795</v>
      </c>
      <c r="AD16" s="843">
        <f t="shared" si="14"/>
        <v>112339.6301999151</v>
      </c>
      <c r="AE16" s="1398">
        <f t="shared" si="5"/>
        <v>-6.0309853642287026E-2</v>
      </c>
      <c r="AF16" s="1399">
        <f>(T16/P16)^(1/4)-1</f>
        <v>2.0000000000000018E-2</v>
      </c>
      <c r="AG16" s="124"/>
      <c r="BF16" s="1393"/>
      <c r="BG16" s="1393"/>
      <c r="BH16" s="1393"/>
      <c r="BI16" s="1393"/>
      <c r="BJ16" s="1394"/>
      <c r="BK16" s="1394"/>
      <c r="BL16" s="1394"/>
      <c r="BM16" s="1394"/>
      <c r="BN16" s="1393"/>
      <c r="BO16" s="1393"/>
      <c r="BP16" s="1393"/>
      <c r="BQ16" s="1393"/>
      <c r="BR16" s="1393"/>
      <c r="BS16" s="1393"/>
      <c r="BT16" s="1393"/>
      <c r="BU16" s="1393"/>
      <c r="BV16" s="1393"/>
      <c r="BW16" s="1393"/>
      <c r="BX16" s="1393"/>
      <c r="BY16" s="1393"/>
      <c r="BZ16" s="1393"/>
      <c r="CA16" s="1393"/>
      <c r="CB16" s="1393"/>
      <c r="CC16" s="1393"/>
      <c r="CD16" s="1393"/>
      <c r="CE16" s="1393"/>
      <c r="CF16" s="1393"/>
      <c r="CG16" s="1396"/>
      <c r="CH16" s="1396"/>
      <c r="CI16" s="1396"/>
    </row>
    <row r="17" spans="4:87" s="1403" customFormat="1" thickBot="1">
      <c r="D17" s="1401" t="s">
        <v>832</v>
      </c>
      <c r="E17" s="1402"/>
      <c r="F17" s="1402"/>
      <c r="G17" s="1402"/>
      <c r="H17" s="1402"/>
      <c r="I17" s="1402"/>
      <c r="J17" s="1402"/>
      <c r="K17" s="1402"/>
      <c r="L17" s="1410">
        <f>(L16/K16)-1</f>
        <v>0.11772222222222228</v>
      </c>
      <c r="M17" s="1410">
        <f t="shared" ref="M17:O17" si="15">(M16/L16)-1</f>
        <v>-0.10532332620905616</v>
      </c>
      <c r="N17" s="1410">
        <f t="shared" si="15"/>
        <v>0</v>
      </c>
      <c r="O17" s="1410">
        <f t="shared" si="15"/>
        <v>-7.2555555555555595E-2</v>
      </c>
      <c r="P17" s="1410">
        <v>0.02</v>
      </c>
      <c r="Q17" s="1410">
        <f>P17</f>
        <v>0.02</v>
      </c>
      <c r="R17" s="1410">
        <f>Q17</f>
        <v>0.02</v>
      </c>
      <c r="S17" s="1410">
        <f>R17</f>
        <v>0.02</v>
      </c>
      <c r="T17" s="1410">
        <f t="shared" ref="T17:AD17" si="16">S17</f>
        <v>0.02</v>
      </c>
      <c r="U17" s="1410">
        <f t="shared" si="16"/>
        <v>0.02</v>
      </c>
      <c r="V17" s="1410">
        <f t="shared" si="16"/>
        <v>0.02</v>
      </c>
      <c r="W17" s="1410">
        <f t="shared" si="16"/>
        <v>0.02</v>
      </c>
      <c r="X17" s="1410">
        <f t="shared" si="16"/>
        <v>0.02</v>
      </c>
      <c r="Y17" s="1410">
        <f t="shared" si="16"/>
        <v>0.02</v>
      </c>
      <c r="Z17" s="1410">
        <f t="shared" si="16"/>
        <v>0.02</v>
      </c>
      <c r="AA17" s="1410">
        <f t="shared" si="16"/>
        <v>0.02</v>
      </c>
      <c r="AB17" s="1410">
        <f t="shared" si="16"/>
        <v>0.02</v>
      </c>
      <c r="AC17" s="1410">
        <f t="shared" si="16"/>
        <v>0.02</v>
      </c>
      <c r="AD17" s="1410">
        <f t="shared" si="16"/>
        <v>0.02</v>
      </c>
      <c r="AE17" s="782"/>
      <c r="AF17" s="781"/>
      <c r="BF17" s="169"/>
      <c r="BG17" s="169"/>
      <c r="BH17" s="169"/>
      <c r="BI17" s="169"/>
      <c r="BJ17" s="807"/>
      <c r="BK17" s="807"/>
      <c r="BL17" s="807"/>
      <c r="BM17" s="807"/>
      <c r="BN17" s="807"/>
      <c r="BO17" s="807"/>
      <c r="BP17" s="807"/>
      <c r="BQ17" s="807"/>
      <c r="BR17" s="807"/>
      <c r="BS17" s="807"/>
      <c r="BT17" s="807"/>
      <c r="BU17" s="807"/>
      <c r="BV17" s="807"/>
      <c r="BW17" s="807"/>
      <c r="BX17" s="807"/>
      <c r="BY17" s="807"/>
      <c r="BZ17" s="807"/>
      <c r="CA17" s="807"/>
      <c r="CB17" s="807"/>
      <c r="CC17" s="807"/>
      <c r="CD17" s="807"/>
      <c r="CE17" s="807"/>
      <c r="CF17" s="807"/>
      <c r="CG17" s="1213"/>
      <c r="CH17" s="1213"/>
      <c r="CI17" s="1213"/>
    </row>
    <row r="18" spans="4:87" s="420" customFormat="1" ht="16" thickBot="1">
      <c r="D18" s="685" t="s">
        <v>1155</v>
      </c>
      <c r="E18" s="380"/>
      <c r="F18" s="380"/>
      <c r="G18" s="380"/>
      <c r="H18" s="380"/>
      <c r="I18" s="380"/>
      <c r="J18" s="380"/>
      <c r="K18" s="380"/>
      <c r="L18" s="1024">
        <f>SUM(L7,L10)</f>
        <v>30178</v>
      </c>
      <c r="M18" s="1024">
        <f t="shared" ref="M18:AD18" si="17">SUM(M7,M10)</f>
        <v>29723</v>
      </c>
      <c r="N18" s="1024">
        <f t="shared" si="17"/>
        <v>29700</v>
      </c>
      <c r="O18" s="1024">
        <f t="shared" si="17"/>
        <v>36392.92</v>
      </c>
      <c r="P18" s="1024">
        <f>SUM(P7,P10)</f>
        <v>41377.748400000004</v>
      </c>
      <c r="Q18" s="1024">
        <f t="shared" si="17"/>
        <v>42639.514308000005</v>
      </c>
      <c r="R18" s="1024">
        <f t="shared" si="17"/>
        <v>43935.199752960005</v>
      </c>
      <c r="S18" s="1024">
        <f t="shared" si="17"/>
        <v>45265.656809995213</v>
      </c>
      <c r="T18" s="1024">
        <f t="shared" si="17"/>
        <v>46631.758069410636</v>
      </c>
      <c r="U18" s="1024">
        <f t="shared" si="17"/>
        <v>47564.393230798843</v>
      </c>
      <c r="V18" s="1024">
        <f t="shared" si="17"/>
        <v>48515.681095414824</v>
      </c>
      <c r="W18" s="1024">
        <f t="shared" si="17"/>
        <v>49485.994717323119</v>
      </c>
      <c r="X18" s="1024">
        <f t="shared" si="17"/>
        <v>50475.71461166958</v>
      </c>
      <c r="Y18" s="1024">
        <f t="shared" si="17"/>
        <v>51485.228903902971</v>
      </c>
      <c r="Z18" s="1024">
        <f t="shared" si="17"/>
        <v>52514.933481981032</v>
      </c>
      <c r="AA18" s="1024">
        <f t="shared" si="17"/>
        <v>53565.232151620643</v>
      </c>
      <c r="AB18" s="1024">
        <f t="shared" si="17"/>
        <v>54636.53679465306</v>
      </c>
      <c r="AC18" s="1024">
        <f t="shared" si="17"/>
        <v>55729.267530546123</v>
      </c>
      <c r="AD18" s="1024">
        <f t="shared" si="17"/>
        <v>56843.852881157043</v>
      </c>
      <c r="AE18" s="1398">
        <f t="shared" si="5"/>
        <v>6.440968174620898E-2</v>
      </c>
      <c r="AF18" s="1399">
        <f t="shared" ref="AF18:AF50" si="18">(T18/P18)^(1/4)-1</f>
        <v>3.0335666176579457E-2</v>
      </c>
      <c r="BF18" s="1393"/>
      <c r="BG18" s="1393"/>
      <c r="BH18" s="1393"/>
      <c r="BI18" s="1393"/>
      <c r="BJ18" s="1394"/>
      <c r="BK18" s="1394"/>
      <c r="BL18" s="1394"/>
      <c r="BM18" s="1394"/>
      <c r="BN18" s="1393"/>
      <c r="BO18" s="1393"/>
      <c r="BP18" s="1395"/>
      <c r="BQ18" s="1395"/>
      <c r="BR18" s="1395"/>
      <c r="BS18" s="1395"/>
      <c r="BT18" s="1395"/>
      <c r="BU18" s="1395"/>
      <c r="BV18" s="1395"/>
      <c r="BW18" s="1395"/>
      <c r="BX18" s="1395"/>
      <c r="BY18" s="1395"/>
      <c r="BZ18" s="1395"/>
      <c r="CA18" s="1395"/>
      <c r="CB18" s="1395"/>
      <c r="CC18" s="1395"/>
      <c r="CD18" s="1395"/>
      <c r="CE18" s="1395"/>
      <c r="CF18" s="1395"/>
      <c r="CG18" s="1396"/>
      <c r="CH18" s="1396"/>
      <c r="CI18" s="1396"/>
    </row>
    <row r="19" spans="4:87" s="1403" customFormat="1" ht="14">
      <c r="D19" s="1401" t="s">
        <v>832</v>
      </c>
      <c r="E19" s="1402"/>
      <c r="F19" s="1402"/>
      <c r="G19" s="1402"/>
      <c r="H19" s="1402"/>
      <c r="I19" s="1402"/>
      <c r="J19" s="1402"/>
      <c r="K19" s="1402"/>
      <c r="L19" s="1410"/>
      <c r="M19" s="1410">
        <f t="shared" ref="M19:AD19" si="19">M18/L18-1</f>
        <v>-1.5077208562529032E-2</v>
      </c>
      <c r="N19" s="1410">
        <f t="shared" si="19"/>
        <v>-7.7381152642730378E-4</v>
      </c>
      <c r="O19" s="1410">
        <f t="shared" si="19"/>
        <v>0.22535084175084164</v>
      </c>
      <c r="P19" s="1410">
        <f t="shared" si="19"/>
        <v>0.13697247706422044</v>
      </c>
      <c r="Q19" s="1410">
        <f t="shared" si="19"/>
        <v>3.0493827160493758E-2</v>
      </c>
      <c r="R19" s="1410">
        <f t="shared" si="19"/>
        <v>3.0386965376782094E-2</v>
      </c>
      <c r="S19" s="1410">
        <f t="shared" si="19"/>
        <v>3.0282258064516343E-2</v>
      </c>
      <c r="T19" s="1410">
        <f t="shared" si="19"/>
        <v>3.0179640718562828E-2</v>
      </c>
      <c r="U19" s="1410">
        <f t="shared" si="19"/>
        <v>1.9999999999999796E-2</v>
      </c>
      <c r="V19" s="1410">
        <f t="shared" si="19"/>
        <v>2.0000000000000018E-2</v>
      </c>
      <c r="W19" s="1410">
        <f t="shared" si="19"/>
        <v>2.0000000000000018E-2</v>
      </c>
      <c r="X19" s="1410">
        <f t="shared" si="19"/>
        <v>2.0000000000000018E-2</v>
      </c>
      <c r="Y19" s="1410">
        <f t="shared" si="19"/>
        <v>2.0000000000000018E-2</v>
      </c>
      <c r="Z19" s="1410">
        <f t="shared" si="19"/>
        <v>2.0000000000000018E-2</v>
      </c>
      <c r="AA19" s="1410">
        <f t="shared" si="19"/>
        <v>1.9999999999999796E-2</v>
      </c>
      <c r="AB19" s="1410">
        <f t="shared" si="19"/>
        <v>2.0000000000000018E-2</v>
      </c>
      <c r="AC19" s="1410">
        <f t="shared" si="19"/>
        <v>2.0000000000000018E-2</v>
      </c>
      <c r="AD19" s="1410">
        <f t="shared" si="19"/>
        <v>2.0000000000000018E-2</v>
      </c>
      <c r="AE19" s="782"/>
      <c r="AF19" s="781"/>
      <c r="AK19" s="443" t="s">
        <v>1639</v>
      </c>
      <c r="AR19" s="443" t="s">
        <v>1639</v>
      </c>
      <c r="AY19" s="443" t="s">
        <v>1639</v>
      </c>
      <c r="BF19" s="1402"/>
      <c r="BG19" s="1402"/>
      <c r="BH19" s="1402"/>
      <c r="BI19" s="1402"/>
      <c r="BJ19" s="1038"/>
      <c r="BK19" s="1038"/>
      <c r="BL19" s="1038"/>
      <c r="BM19" s="1038"/>
      <c r="BN19" s="1402"/>
      <c r="BO19" s="1402"/>
      <c r="BP19" s="1402"/>
      <c r="BQ19" s="1402"/>
      <c r="BR19" s="1402"/>
      <c r="BS19" s="1402"/>
      <c r="BT19" s="1402"/>
      <c r="BU19" s="1402"/>
      <c r="BV19" s="1402"/>
      <c r="BW19" s="1402"/>
      <c r="BX19" s="1402"/>
      <c r="BY19" s="1402"/>
      <c r="BZ19" s="1402"/>
      <c r="CA19" s="1402"/>
      <c r="CB19" s="1402"/>
      <c r="CC19" s="1402"/>
      <c r="CD19" s="1402"/>
      <c r="CE19" s="1402"/>
      <c r="CF19" s="1402"/>
      <c r="CG19" s="1213"/>
      <c r="CH19" s="1213"/>
      <c r="CI19" s="1213"/>
    </row>
    <row r="20" spans="4:87" s="1403" customFormat="1" thickBot="1">
      <c r="D20" s="1009" t="s">
        <v>1152</v>
      </c>
      <c r="E20" s="1411"/>
      <c r="F20" s="1411"/>
      <c r="G20" s="1411"/>
      <c r="H20" s="1411"/>
      <c r="I20" s="1411"/>
      <c r="J20" s="1411"/>
      <c r="K20" s="1411"/>
      <c r="L20" s="1412">
        <f>L18/L16</f>
        <v>0.29999502957403451</v>
      </c>
      <c r="M20" s="1412">
        <f t="shared" ref="M20:AD20" si="20">M18/M16</f>
        <v>0.33025555555555558</v>
      </c>
      <c r="N20" s="1412">
        <f t="shared" si="20"/>
        <v>0.33</v>
      </c>
      <c r="O20" s="1412">
        <f t="shared" si="20"/>
        <v>0.436</v>
      </c>
      <c r="P20" s="1412">
        <f t="shared" si="20"/>
        <v>0.48599999999999999</v>
      </c>
      <c r="Q20" s="1412">
        <f t="shared" si="20"/>
        <v>0.49099999999999999</v>
      </c>
      <c r="R20" s="1412">
        <f t="shared" si="20"/>
        <v>0.496</v>
      </c>
      <c r="S20" s="1412">
        <f t="shared" si="20"/>
        <v>0.501</v>
      </c>
      <c r="T20" s="1412">
        <f t="shared" si="20"/>
        <v>0.50600000000000001</v>
      </c>
      <c r="U20" s="1412">
        <f t="shared" si="20"/>
        <v>0.50600000000000001</v>
      </c>
      <c r="V20" s="1412">
        <f t="shared" si="20"/>
        <v>0.50600000000000001</v>
      </c>
      <c r="W20" s="1412">
        <f t="shared" si="20"/>
        <v>0.50600000000000001</v>
      </c>
      <c r="X20" s="1412">
        <f t="shared" si="20"/>
        <v>0.50600000000000001</v>
      </c>
      <c r="Y20" s="1412">
        <f t="shared" si="20"/>
        <v>0.50600000000000001</v>
      </c>
      <c r="Z20" s="1412">
        <f t="shared" si="20"/>
        <v>0.50600000000000001</v>
      </c>
      <c r="AA20" s="1412">
        <f t="shared" si="20"/>
        <v>0.50599999999999989</v>
      </c>
      <c r="AB20" s="1412">
        <f t="shared" si="20"/>
        <v>0.50600000000000001</v>
      </c>
      <c r="AC20" s="1412">
        <f t="shared" si="20"/>
        <v>0.50600000000000001</v>
      </c>
      <c r="AD20" s="1412">
        <f t="shared" si="20"/>
        <v>0.50600000000000001</v>
      </c>
      <c r="AE20" s="783"/>
      <c r="AF20" s="784"/>
      <c r="BF20" s="443" t="s">
        <v>1658</v>
      </c>
      <c r="BG20" s="1402"/>
      <c r="BH20" s="1402"/>
      <c r="BI20" s="1402"/>
      <c r="BJ20" s="1402"/>
      <c r="BK20" s="1038"/>
      <c r="BL20" s="1038"/>
      <c r="BM20" s="1038"/>
      <c r="BN20" s="1038"/>
      <c r="BO20" s="1402"/>
      <c r="BP20" s="1402"/>
      <c r="BQ20" s="1409"/>
      <c r="BR20" s="1409"/>
      <c r="BS20" s="1409"/>
      <c r="BT20" s="1409"/>
      <c r="BU20" s="1409"/>
      <c r="BV20" s="1409"/>
      <c r="BW20" s="1409"/>
      <c r="BX20" s="1409"/>
      <c r="BY20" s="1409"/>
      <c r="BZ20" s="1409"/>
      <c r="CA20" s="1409"/>
      <c r="CB20" s="1409"/>
      <c r="CC20" s="1409"/>
      <c r="CD20" s="1409"/>
      <c r="CE20" s="1409"/>
      <c r="CF20" s="1409"/>
      <c r="CG20" s="1409"/>
      <c r="CH20" s="1213"/>
      <c r="CI20" s="1213"/>
    </row>
    <row r="21" spans="4:87" s="164" customFormat="1" thickBot="1">
      <c r="D21" s="520"/>
      <c r="E21" s="241"/>
      <c r="F21" s="241"/>
      <c r="G21" s="241"/>
      <c r="H21" s="241"/>
      <c r="I21" s="241"/>
      <c r="J21" s="241"/>
      <c r="K21" s="241"/>
      <c r="L21" s="241"/>
      <c r="M21" s="241"/>
      <c r="N21" s="241"/>
      <c r="O21" s="241"/>
      <c r="AE21" s="455"/>
      <c r="AF21" s="641"/>
      <c r="BG21" s="241"/>
      <c r="BH21" s="241"/>
      <c r="BI21" s="241"/>
      <c r="BJ21" s="241"/>
      <c r="BK21" s="1023"/>
      <c r="BL21" s="1023"/>
      <c r="BM21" s="1023"/>
      <c r="BN21" s="1023"/>
      <c r="BO21" s="241"/>
      <c r="BP21" s="241"/>
      <c r="BQ21" s="241"/>
      <c r="BR21" s="241"/>
      <c r="BS21" s="241"/>
      <c r="BT21" s="241"/>
      <c r="BU21" s="241"/>
      <c r="BV21" s="241"/>
      <c r="BW21" s="241"/>
      <c r="BX21" s="241"/>
      <c r="BY21" s="241"/>
      <c r="BZ21" s="241"/>
      <c r="CA21" s="241"/>
      <c r="CB21" s="241"/>
      <c r="CC21" s="241"/>
      <c r="CD21" s="241"/>
      <c r="CE21" s="241"/>
      <c r="CF21" s="241"/>
      <c r="CG21" s="241"/>
      <c r="CH21" s="1213"/>
      <c r="CI21" s="1213"/>
    </row>
    <row r="22" spans="4:87" ht="16" thickBot="1">
      <c r="D22" s="691" t="s">
        <v>1157</v>
      </c>
      <c r="E22" s="416"/>
      <c r="F22" s="416"/>
      <c r="G22" s="416"/>
      <c r="H22" s="416"/>
      <c r="I22" s="416"/>
      <c r="J22" s="416"/>
      <c r="K22" s="416"/>
      <c r="L22" s="403" t="s">
        <v>20</v>
      </c>
      <c r="M22" s="403" t="s">
        <v>21</v>
      </c>
      <c r="N22" s="403" t="s">
        <v>22</v>
      </c>
      <c r="O22" s="403" t="s">
        <v>23</v>
      </c>
      <c r="P22" s="404" t="s">
        <v>24</v>
      </c>
      <c r="Q22" s="404" t="s">
        <v>25</v>
      </c>
      <c r="R22" s="404" t="s">
        <v>26</v>
      </c>
      <c r="S22" s="404" t="s">
        <v>27</v>
      </c>
      <c r="T22" s="404" t="s">
        <v>712</v>
      </c>
      <c r="U22" s="404" t="s">
        <v>713</v>
      </c>
      <c r="V22" s="404" t="s">
        <v>714</v>
      </c>
      <c r="W22" s="404" t="s">
        <v>715</v>
      </c>
      <c r="X22" s="404" t="s">
        <v>716</v>
      </c>
      <c r="Y22" s="404" t="s">
        <v>717</v>
      </c>
      <c r="Z22" s="404" t="s">
        <v>718</v>
      </c>
      <c r="AA22" s="404" t="s">
        <v>719</v>
      </c>
      <c r="AB22" s="404" t="s">
        <v>720</v>
      </c>
      <c r="AC22" s="404" t="s">
        <v>721</v>
      </c>
      <c r="AD22" s="404" t="s">
        <v>722</v>
      </c>
      <c r="AE22" s="765" t="s">
        <v>1445</v>
      </c>
      <c r="AF22" s="766" t="s">
        <v>1446</v>
      </c>
      <c r="BG22" s="169"/>
      <c r="BH22" s="169"/>
      <c r="BI22" s="169"/>
      <c r="BJ22" s="169"/>
      <c r="BK22" s="807"/>
      <c r="BL22" s="807"/>
      <c r="BM22" s="807"/>
      <c r="BN22" s="807"/>
      <c r="BO22" s="807"/>
      <c r="BP22" s="807"/>
      <c r="BQ22" s="807"/>
      <c r="BR22" s="807"/>
      <c r="BS22" s="807"/>
      <c r="BT22" s="807"/>
      <c r="BU22" s="807"/>
      <c r="BV22" s="807"/>
      <c r="BW22" s="807"/>
      <c r="BX22" s="807"/>
      <c r="BY22" s="807"/>
      <c r="BZ22" s="807"/>
      <c r="CA22" s="807"/>
      <c r="CB22" s="807"/>
      <c r="CC22" s="807"/>
      <c r="CD22" s="807"/>
      <c r="CE22" s="807"/>
      <c r="CF22" s="807"/>
      <c r="CG22" s="807"/>
      <c r="CH22" s="1213"/>
      <c r="CI22" s="1213"/>
    </row>
    <row r="23" spans="4:87" s="50" customFormat="1" ht="20">
      <c r="D23" s="874" t="s">
        <v>1151</v>
      </c>
      <c r="E23" s="190"/>
      <c r="F23" s="190"/>
      <c r="G23" s="190"/>
      <c r="H23" s="190"/>
      <c r="I23" s="190">
        <v>1581</v>
      </c>
      <c r="J23" s="190">
        <v>2575</v>
      </c>
      <c r="K23" s="190">
        <v>4994</v>
      </c>
      <c r="L23" s="1390">
        <v>9912</v>
      </c>
      <c r="M23" s="1390">
        <v>7975</v>
      </c>
      <c r="N23" s="1390">
        <v>6240</v>
      </c>
      <c r="O23" s="1390">
        <v>5200</v>
      </c>
      <c r="P23" s="1390">
        <f>P25*P32</f>
        <v>5277.9999999999991</v>
      </c>
      <c r="Q23" s="1390">
        <f t="shared" ref="Q23:AD23" si="21">Q25*Q32</f>
        <v>5357.1699999999983</v>
      </c>
      <c r="R23" s="1390">
        <f t="shared" si="21"/>
        <v>5437.527549999998</v>
      </c>
      <c r="S23" s="1390">
        <f t="shared" si="21"/>
        <v>5519.0904632499969</v>
      </c>
      <c r="T23" s="1390">
        <f t="shared" si="21"/>
        <v>5601.8768201987468</v>
      </c>
      <c r="U23" s="1390">
        <f t="shared" si="21"/>
        <v>5685.9049725017276</v>
      </c>
      <c r="V23" s="1390">
        <f t="shared" si="21"/>
        <v>5771.1935470892522</v>
      </c>
      <c r="W23" s="1390">
        <f t="shared" si="21"/>
        <v>5857.7614502955903</v>
      </c>
      <c r="X23" s="1390">
        <f t="shared" si="21"/>
        <v>5945.6278720500241</v>
      </c>
      <c r="Y23" s="1390">
        <f t="shared" si="21"/>
        <v>6034.8122901307734</v>
      </c>
      <c r="Z23" s="1390">
        <f t="shared" si="21"/>
        <v>6125.3344744827345</v>
      </c>
      <c r="AA23" s="1390">
        <f t="shared" si="21"/>
        <v>6217.2144915999743</v>
      </c>
      <c r="AB23" s="1390">
        <f t="shared" si="21"/>
        <v>6310.4727089739736</v>
      </c>
      <c r="AC23" s="1390">
        <f t="shared" si="21"/>
        <v>6405.1297996085832</v>
      </c>
      <c r="AD23" s="1390">
        <f t="shared" si="21"/>
        <v>6501.2067466027111</v>
      </c>
      <c r="AE23" s="1391">
        <f t="shared" si="5"/>
        <v>-0.1934820886428581</v>
      </c>
      <c r="AF23" s="1392">
        <f t="shared" si="18"/>
        <v>1.4999999999999902E-2</v>
      </c>
      <c r="AK23" s="1210" t="s">
        <v>1783</v>
      </c>
      <c r="AL23" s="20"/>
      <c r="AM23" s="20"/>
      <c r="AN23" s="20"/>
      <c r="AO23" s="20"/>
      <c r="AP23" s="20"/>
      <c r="AQ23" s="20"/>
      <c r="AR23" s="20"/>
      <c r="AS23" s="1211"/>
      <c r="AT23" s="1211"/>
      <c r="AU23" s="1211"/>
      <c r="AV23" s="1211"/>
      <c r="AX23" s="1210" t="s">
        <v>1784</v>
      </c>
      <c r="AY23" s="20"/>
      <c r="AZ23" s="20"/>
      <c r="BA23" s="20"/>
      <c r="BB23" s="20"/>
      <c r="BC23" s="20"/>
      <c r="BD23" s="20"/>
      <c r="BG23" s="1393"/>
      <c r="BH23" s="1210" t="s">
        <v>1785</v>
      </c>
      <c r="BI23" s="1393"/>
      <c r="BJ23" s="1393"/>
      <c r="BK23" s="1394"/>
      <c r="BL23" s="1394"/>
      <c r="BM23" s="1394"/>
      <c r="BN23" s="1394"/>
      <c r="BO23" s="1393"/>
      <c r="BP23" s="1393"/>
      <c r="BQ23" s="1395"/>
      <c r="BR23" s="1395"/>
      <c r="BS23" s="1395"/>
      <c r="BT23" s="1395"/>
      <c r="BU23" s="1395"/>
      <c r="BV23" s="1395"/>
      <c r="BW23" s="1395"/>
      <c r="BX23" s="1395"/>
      <c r="BY23" s="1395"/>
      <c r="BZ23" s="1395"/>
      <c r="CA23" s="1395"/>
      <c r="CB23" s="1395"/>
      <c r="CC23" s="1395"/>
      <c r="CD23" s="1395"/>
      <c r="CE23" s="1395"/>
      <c r="CF23" s="1395"/>
      <c r="CG23" s="1395"/>
      <c r="CH23" s="1396"/>
      <c r="CI23" s="1396"/>
    </row>
    <row r="24" spans="4:87" s="1403" customFormat="1" ht="14">
      <c r="D24" s="1418" t="s">
        <v>832</v>
      </c>
      <c r="E24" s="1402"/>
      <c r="F24" s="1402"/>
      <c r="G24" s="1402"/>
      <c r="H24" s="1402"/>
      <c r="I24" s="1402"/>
      <c r="J24" s="1402"/>
      <c r="K24" s="1402"/>
      <c r="L24" s="1410">
        <f>(L23/K23)-1</f>
        <v>0.98478173808570291</v>
      </c>
      <c r="M24" s="1410">
        <f t="shared" ref="M24" si="22">(M23/L23)-1</f>
        <v>-0.19541969330104925</v>
      </c>
      <c r="N24" s="1410">
        <f t="shared" ref="N24" si="23">(N23/M23)-1</f>
        <v>-0.21755485893416926</v>
      </c>
      <c r="O24" s="1410">
        <f t="shared" ref="O24" si="24">(O23/N23)-1</f>
        <v>-0.16666666666666663</v>
      </c>
      <c r="P24" s="1410">
        <f t="shared" ref="P24" si="25">(P23/O23)-1</f>
        <v>1.4999999999999902E-2</v>
      </c>
      <c r="Q24" s="1410">
        <f t="shared" ref="Q24" si="26">(Q23/P23)-1</f>
        <v>1.4999999999999902E-2</v>
      </c>
      <c r="R24" s="1410">
        <f t="shared" ref="R24" si="27">(R23/Q23)-1</f>
        <v>1.4999999999999902E-2</v>
      </c>
      <c r="S24" s="1410">
        <f t="shared" ref="S24" si="28">(S23/R23)-1</f>
        <v>1.4999999999999902E-2</v>
      </c>
      <c r="T24" s="1410">
        <f t="shared" ref="T24" si="29">(T23/S23)-1</f>
        <v>1.4999999999999902E-2</v>
      </c>
      <c r="U24" s="1402">
        <f t="shared" ref="U24" si="30">(U23/T23)-1</f>
        <v>1.4999999999999902E-2</v>
      </c>
      <c r="V24" s="1402">
        <f t="shared" ref="V24" si="31">(V23/U23)-1</f>
        <v>1.499999999999968E-2</v>
      </c>
      <c r="W24" s="1402">
        <f t="shared" ref="W24" si="32">(W23/V23)-1</f>
        <v>1.4999999999999902E-2</v>
      </c>
      <c r="X24" s="1402">
        <f t="shared" ref="X24" si="33">(X23/W23)-1</f>
        <v>1.4999999999999902E-2</v>
      </c>
      <c r="Y24" s="1402">
        <f t="shared" ref="Y24" si="34">(Y23/X23)-1</f>
        <v>1.4999999999999902E-2</v>
      </c>
      <c r="Z24" s="1402">
        <f t="shared" ref="Z24" si="35">(Z23/Y23)-1</f>
        <v>1.4999999999999902E-2</v>
      </c>
      <c r="AA24" s="1402">
        <f t="shared" ref="AA24" si="36">(AA23/Z23)-1</f>
        <v>1.499999999999968E-2</v>
      </c>
      <c r="AB24" s="1402">
        <f t="shared" ref="AB24" si="37">(AB23/AA23)-1</f>
        <v>1.4999999999999902E-2</v>
      </c>
      <c r="AC24" s="1402">
        <f t="shared" ref="AC24" si="38">(AC23/AB23)-1</f>
        <v>1.4999999999999902E-2</v>
      </c>
      <c r="AD24" s="1402">
        <f t="shared" ref="AD24" si="39">(AD23/AC23)-1</f>
        <v>1.4999999999999902E-2</v>
      </c>
      <c r="AE24" s="782"/>
      <c r="AF24" s="781"/>
      <c r="AX24" s="235"/>
      <c r="AY24" s="169"/>
      <c r="AZ24" s="169"/>
      <c r="BA24" s="169"/>
      <c r="BB24" s="169"/>
      <c r="BC24" s="169"/>
      <c r="BD24" s="169"/>
      <c r="BE24" s="169"/>
      <c r="BF24" s="617"/>
      <c r="BG24" s="1402"/>
      <c r="BH24" s="1402"/>
      <c r="BI24" s="1402"/>
      <c r="BJ24" s="1402"/>
      <c r="BK24" s="1038"/>
      <c r="BL24" s="1038"/>
      <c r="BM24" s="1038"/>
      <c r="BN24" s="1038"/>
      <c r="BO24" s="1402"/>
      <c r="BP24" s="1402"/>
      <c r="BQ24" s="1402"/>
      <c r="BR24" s="1402"/>
      <c r="BS24" s="1402"/>
      <c r="BT24" s="1402"/>
      <c r="BU24" s="1402"/>
      <c r="BV24" s="1402"/>
      <c r="BW24" s="1402"/>
      <c r="BX24" s="1402"/>
      <c r="BY24" s="1402"/>
      <c r="BZ24" s="1402"/>
      <c r="CA24" s="1402"/>
      <c r="CB24" s="1402"/>
      <c r="CC24" s="1402"/>
      <c r="CD24" s="1402"/>
      <c r="CE24" s="1402"/>
      <c r="CF24" s="1402"/>
      <c r="CG24" s="1402"/>
      <c r="CH24" s="1213"/>
      <c r="CI24" s="1213"/>
    </row>
    <row r="25" spans="4:87" s="1403" customFormat="1" ht="14">
      <c r="D25" s="1418" t="s">
        <v>1152</v>
      </c>
      <c r="E25" s="1402"/>
      <c r="F25" s="1402"/>
      <c r="G25" s="1402"/>
      <c r="H25" s="1402"/>
      <c r="I25" s="1402"/>
      <c r="J25" s="1402"/>
      <c r="K25" s="1402"/>
      <c r="L25" s="1410">
        <f>L23/L32</f>
        <v>0.31974193548387098</v>
      </c>
      <c r="M25" s="1410">
        <f t="shared" ref="M25" si="40">M23/M32</f>
        <v>0.31900000000000001</v>
      </c>
      <c r="N25" s="1410">
        <f>N23/N32</f>
        <v>0.20799999999999999</v>
      </c>
      <c r="O25" s="1410">
        <f>O23/O32</f>
        <v>0.20799999999999999</v>
      </c>
      <c r="P25" s="1402">
        <f>O25</f>
        <v>0.20799999999999999</v>
      </c>
      <c r="Q25" s="1410">
        <f t="shared" ref="Q25:AD25" si="41">P25</f>
        <v>0.20799999999999999</v>
      </c>
      <c r="R25" s="1410">
        <f t="shared" si="41"/>
        <v>0.20799999999999999</v>
      </c>
      <c r="S25" s="1410">
        <f t="shared" si="41"/>
        <v>0.20799999999999999</v>
      </c>
      <c r="T25" s="1410">
        <f t="shared" si="41"/>
        <v>0.20799999999999999</v>
      </c>
      <c r="U25" s="1402">
        <f t="shared" si="41"/>
        <v>0.20799999999999999</v>
      </c>
      <c r="V25" s="1402">
        <f t="shared" si="41"/>
        <v>0.20799999999999999</v>
      </c>
      <c r="W25" s="1402">
        <f t="shared" si="41"/>
        <v>0.20799999999999999</v>
      </c>
      <c r="X25" s="1402">
        <f t="shared" si="41"/>
        <v>0.20799999999999999</v>
      </c>
      <c r="Y25" s="1402">
        <f t="shared" si="41"/>
        <v>0.20799999999999999</v>
      </c>
      <c r="Z25" s="1402">
        <f t="shared" si="41"/>
        <v>0.20799999999999999</v>
      </c>
      <c r="AA25" s="1402">
        <f t="shared" si="41"/>
        <v>0.20799999999999999</v>
      </c>
      <c r="AB25" s="1402">
        <f t="shared" si="41"/>
        <v>0.20799999999999999</v>
      </c>
      <c r="AC25" s="1402">
        <f t="shared" si="41"/>
        <v>0.20799999999999999</v>
      </c>
      <c r="AD25" s="1402">
        <f t="shared" si="41"/>
        <v>0.20799999999999999</v>
      </c>
      <c r="AE25" s="782"/>
      <c r="AF25" s="781"/>
      <c r="AK25" s="446"/>
      <c r="AL25" s="446"/>
      <c r="AM25" s="446"/>
      <c r="AN25" s="446"/>
      <c r="AO25" s="446"/>
      <c r="AP25" s="446"/>
      <c r="AQ25" s="446"/>
      <c r="AR25" s="446"/>
      <c r="AS25" s="1404"/>
      <c r="AT25" s="1404"/>
      <c r="AU25" s="1404"/>
      <c r="AV25" s="1404"/>
      <c r="AW25" s="1419"/>
      <c r="AX25" s="169"/>
      <c r="AY25" s="169"/>
      <c r="AZ25" s="169"/>
      <c r="BA25" s="169"/>
      <c r="BB25" s="169"/>
      <c r="BC25" s="169"/>
      <c r="BD25" s="169"/>
      <c r="BE25" s="169"/>
      <c r="BF25" s="807"/>
      <c r="BG25" s="169"/>
      <c r="BH25" s="169"/>
      <c r="BI25" s="169"/>
      <c r="BJ25" s="169"/>
      <c r="BK25" s="807"/>
      <c r="BL25" s="807"/>
      <c r="BM25" s="807"/>
      <c r="BN25" s="807"/>
      <c r="BO25" s="807"/>
      <c r="BP25" s="807"/>
      <c r="BQ25" s="807"/>
      <c r="BR25" s="807"/>
      <c r="BS25" s="807"/>
      <c r="BT25" s="807"/>
      <c r="BU25" s="807"/>
      <c r="BV25" s="807"/>
      <c r="BW25" s="807"/>
      <c r="BX25" s="807"/>
      <c r="BY25" s="807"/>
      <c r="BZ25" s="807"/>
      <c r="CA25" s="807"/>
      <c r="CB25" s="807"/>
      <c r="CC25" s="807"/>
      <c r="CD25" s="807"/>
      <c r="CE25" s="807"/>
      <c r="CF25" s="807"/>
      <c r="CG25" s="807"/>
      <c r="CH25" s="1213"/>
      <c r="CI25" s="1213"/>
    </row>
    <row r="26" spans="4:87" s="50" customFormat="1">
      <c r="D26" s="874" t="s">
        <v>1153</v>
      </c>
      <c r="E26" s="190"/>
      <c r="F26" s="190"/>
      <c r="G26" s="190"/>
      <c r="H26" s="190"/>
      <c r="I26" s="190"/>
      <c r="J26" s="190"/>
      <c r="K26" s="190"/>
      <c r="L26" s="1390">
        <v>7066</v>
      </c>
      <c r="M26" s="1390">
        <v>4149</v>
      </c>
      <c r="N26" s="1390">
        <v>9120</v>
      </c>
      <c r="O26" s="1390">
        <v>7600</v>
      </c>
      <c r="P26" s="1390">
        <f>P28*P32</f>
        <v>7840.8749999999991</v>
      </c>
      <c r="Q26" s="1390">
        <f t="shared" ref="Q26:AD26" si="42">Q28*Q32</f>
        <v>8087.2662499999979</v>
      </c>
      <c r="R26" s="1390">
        <f t="shared" si="42"/>
        <v>8208.5752437499978</v>
      </c>
      <c r="S26" s="1390">
        <f t="shared" si="42"/>
        <v>8331.7038724062459</v>
      </c>
      <c r="T26" s="1390">
        <f t="shared" si="42"/>
        <v>8456.6794304923387</v>
      </c>
      <c r="U26" s="1390">
        <f t="shared" si="42"/>
        <v>8583.5296219497232</v>
      </c>
      <c r="V26" s="1390">
        <f t="shared" si="42"/>
        <v>8712.2825662789674</v>
      </c>
      <c r="W26" s="1390">
        <f t="shared" si="42"/>
        <v>8842.966804773152</v>
      </c>
      <c r="X26" s="1390">
        <f t="shared" si="42"/>
        <v>8975.6113068447485</v>
      </c>
      <c r="Y26" s="1390">
        <f t="shared" si="42"/>
        <v>9110.2454764474187</v>
      </c>
      <c r="Z26" s="1390">
        <f t="shared" si="42"/>
        <v>9246.8991585941276</v>
      </c>
      <c r="AA26" s="1390">
        <f t="shared" si="42"/>
        <v>9385.6026459730383</v>
      </c>
      <c r="AB26" s="1390">
        <f t="shared" si="42"/>
        <v>9526.3866856626337</v>
      </c>
      <c r="AC26" s="1390">
        <f t="shared" si="42"/>
        <v>9669.2824859475732</v>
      </c>
      <c r="AD26" s="1390">
        <f t="shared" si="42"/>
        <v>9814.3217232367842</v>
      </c>
      <c r="AE26" s="1398">
        <f t="shared" si="5"/>
        <v>2.4581837686904695E-2</v>
      </c>
      <c r="AF26" s="1399">
        <f t="shared" si="18"/>
        <v>1.9081304673823851E-2</v>
      </c>
      <c r="AK26" s="1414"/>
      <c r="AL26" s="1414"/>
      <c r="AM26" s="1414"/>
      <c r="AN26" s="1414"/>
      <c r="AO26" s="1413"/>
      <c r="AP26" s="1413"/>
      <c r="AQ26" s="1413"/>
      <c r="AR26" s="1413"/>
      <c r="AS26" s="1413"/>
      <c r="AT26" s="1413"/>
      <c r="AU26" s="1413"/>
      <c r="AV26" s="1413"/>
      <c r="AW26" s="1415"/>
      <c r="AX26" s="1393"/>
      <c r="AY26" s="1393"/>
      <c r="AZ26" s="1393"/>
      <c r="BA26" s="1393"/>
      <c r="BB26" s="1393"/>
      <c r="BC26" s="1393"/>
      <c r="BD26" s="1393"/>
      <c r="BE26" s="1393"/>
      <c r="BF26" s="1400"/>
      <c r="BG26" s="1393"/>
      <c r="BH26" s="1393"/>
      <c r="BI26" s="1393"/>
      <c r="BJ26" s="1393"/>
      <c r="BK26" s="1394"/>
      <c r="BL26" s="1394"/>
      <c r="BM26" s="1394"/>
      <c r="BN26" s="1394"/>
      <c r="BO26" s="1393"/>
      <c r="BP26" s="1393"/>
      <c r="BQ26" s="1395"/>
      <c r="BR26" s="1395"/>
      <c r="BS26" s="1395"/>
      <c r="BT26" s="1395"/>
      <c r="BU26" s="1395"/>
      <c r="BV26" s="1395"/>
      <c r="BW26" s="1395"/>
      <c r="BX26" s="1395"/>
      <c r="BY26" s="1395"/>
      <c r="BZ26" s="1395"/>
      <c r="CA26" s="1395"/>
      <c r="CB26" s="1395"/>
      <c r="CC26" s="1395"/>
      <c r="CD26" s="1395"/>
      <c r="CE26" s="1395"/>
      <c r="CF26" s="1395"/>
      <c r="CG26" s="1395"/>
      <c r="CH26" s="1396"/>
      <c r="CI26" s="1396"/>
    </row>
    <row r="27" spans="4:87" s="1403" customFormat="1" ht="14">
      <c r="D27" s="1418" t="s">
        <v>832</v>
      </c>
      <c r="E27" s="1402"/>
      <c r="F27" s="1402"/>
      <c r="G27" s="1402"/>
      <c r="H27" s="1402"/>
      <c r="I27" s="1402"/>
      <c r="J27" s="1402"/>
      <c r="K27" s="1402"/>
      <c r="L27" s="1402"/>
      <c r="M27" s="1402">
        <f t="shared" ref="M27" si="43">(M26/L26)-1</f>
        <v>-0.41282196433625817</v>
      </c>
      <c r="N27" s="1402">
        <f t="shared" ref="N27" si="44">(N26/M26)-1</f>
        <v>1.1981200289226321</v>
      </c>
      <c r="O27" s="1402">
        <f t="shared" ref="O27" si="45">(O26/N26)-1</f>
        <v>-0.16666666666666663</v>
      </c>
      <c r="P27" s="1402">
        <f t="shared" ref="P27" si="46">(P26/O26)-1</f>
        <v>3.1694078947368309E-2</v>
      </c>
      <c r="Q27" s="1402">
        <f t="shared" ref="Q27" si="47">(Q26/P26)-1</f>
        <v>3.1423948220064668E-2</v>
      </c>
      <c r="R27" s="1402">
        <f t="shared" ref="R27" si="48">(R26/Q26)-1</f>
        <v>1.4999999999999902E-2</v>
      </c>
      <c r="S27" s="1402">
        <f t="shared" ref="S27" si="49">(S26/R26)-1</f>
        <v>1.499999999999968E-2</v>
      </c>
      <c r="T27" s="1402">
        <f t="shared" ref="T27" si="50">(T26/S26)-1</f>
        <v>1.4999999999999902E-2</v>
      </c>
      <c r="U27" s="1402">
        <f t="shared" ref="U27" si="51">(U26/T26)-1</f>
        <v>1.4999999999999902E-2</v>
      </c>
      <c r="V27" s="1402">
        <f t="shared" ref="V27" si="52">(V26/U26)-1</f>
        <v>1.4999999999999902E-2</v>
      </c>
      <c r="W27" s="1402">
        <f t="shared" ref="W27" si="53">(W26/V26)-1</f>
        <v>1.5000000000000124E-2</v>
      </c>
      <c r="X27" s="1402">
        <f t="shared" ref="X27" si="54">(X26/W26)-1</f>
        <v>1.4999999999999902E-2</v>
      </c>
      <c r="Y27" s="1402">
        <f t="shared" ref="Y27" si="55">(Y26/X26)-1</f>
        <v>1.4999999999999902E-2</v>
      </c>
      <c r="Z27" s="1402">
        <f t="shared" ref="Z27" si="56">(Z26/Y26)-1</f>
        <v>1.499999999999968E-2</v>
      </c>
      <c r="AA27" s="1402">
        <f t="shared" ref="AA27" si="57">(AA26/Z26)-1</f>
        <v>1.4999999999999902E-2</v>
      </c>
      <c r="AB27" s="1402">
        <f t="shared" ref="AB27" si="58">(AB26/AA26)-1</f>
        <v>1.4999999999999902E-2</v>
      </c>
      <c r="AC27" s="1402">
        <f t="shared" ref="AC27" si="59">(AC26/AB26)-1</f>
        <v>1.4999999999999902E-2</v>
      </c>
      <c r="AD27" s="1402">
        <f t="shared" ref="AD27" si="60">(AD26/AC26)-1</f>
        <v>1.499999999999968E-2</v>
      </c>
      <c r="AE27" s="782"/>
      <c r="AF27" s="781"/>
      <c r="AO27" s="1419"/>
      <c r="AP27" s="1419"/>
      <c r="AQ27" s="1419"/>
      <c r="AR27" s="1419"/>
      <c r="AX27" s="1402"/>
      <c r="AY27" s="1402"/>
      <c r="AZ27" s="1402"/>
      <c r="BA27" s="1402"/>
      <c r="BB27" s="1402"/>
      <c r="BC27" s="1402"/>
      <c r="BD27" s="1402"/>
      <c r="BE27" s="1402"/>
      <c r="BF27" s="1410"/>
      <c r="BG27" s="1402"/>
      <c r="BH27" s="1402"/>
      <c r="BI27" s="1402"/>
      <c r="BJ27" s="1402"/>
      <c r="BK27" s="1038"/>
      <c r="BL27" s="1038"/>
      <c r="BM27" s="1038"/>
      <c r="BN27" s="1038"/>
      <c r="BO27" s="1402"/>
      <c r="BP27" s="1402"/>
      <c r="BQ27" s="1402"/>
      <c r="BR27" s="1402"/>
      <c r="BS27" s="1402"/>
      <c r="BT27" s="1402"/>
      <c r="BU27" s="1402"/>
      <c r="BV27" s="1402"/>
      <c r="BW27" s="1402"/>
      <c r="BX27" s="1402"/>
      <c r="BY27" s="1402"/>
      <c r="BZ27" s="1402"/>
      <c r="CA27" s="1402"/>
      <c r="CB27" s="1402"/>
      <c r="CC27" s="1402"/>
      <c r="CD27" s="1402"/>
      <c r="CE27" s="1402"/>
      <c r="CF27" s="1402"/>
      <c r="CG27" s="1402"/>
      <c r="CH27" s="1213"/>
      <c r="CI27" s="1213"/>
    </row>
    <row r="28" spans="4:87" s="1403" customFormat="1" ht="14">
      <c r="D28" s="1418" t="s">
        <v>1152</v>
      </c>
      <c r="E28" s="1402"/>
      <c r="F28" s="1402"/>
      <c r="G28" s="1402"/>
      <c r="H28" s="1402"/>
      <c r="I28" s="1402"/>
      <c r="J28" s="1402"/>
      <c r="K28" s="1402"/>
      <c r="L28" s="1402">
        <f>L26/L32</f>
        <v>0.22793548387096774</v>
      </c>
      <c r="M28" s="1402">
        <f>M26/M32</f>
        <v>0.16596</v>
      </c>
      <c r="N28" s="1402">
        <f>N26/N32</f>
        <v>0.30399999999999999</v>
      </c>
      <c r="O28" s="1402">
        <f>O26/O32</f>
        <v>0.30399999999999999</v>
      </c>
      <c r="P28" s="1402">
        <f>O28+0.5%</f>
        <v>0.309</v>
      </c>
      <c r="Q28" s="1402">
        <f>P28+0.5%</f>
        <v>0.314</v>
      </c>
      <c r="R28" s="1402">
        <f t="shared" ref="R28:AD28" si="61">Q28</f>
        <v>0.314</v>
      </c>
      <c r="S28" s="1402">
        <f t="shared" si="61"/>
        <v>0.314</v>
      </c>
      <c r="T28" s="1402">
        <f t="shared" si="61"/>
        <v>0.314</v>
      </c>
      <c r="U28" s="1402">
        <f t="shared" si="61"/>
        <v>0.314</v>
      </c>
      <c r="V28" s="1402">
        <f t="shared" si="61"/>
        <v>0.314</v>
      </c>
      <c r="W28" s="1402">
        <f t="shared" si="61"/>
        <v>0.314</v>
      </c>
      <c r="X28" s="1402">
        <f t="shared" si="61"/>
        <v>0.314</v>
      </c>
      <c r="Y28" s="1402">
        <f t="shared" si="61"/>
        <v>0.314</v>
      </c>
      <c r="Z28" s="1402">
        <f t="shared" si="61"/>
        <v>0.314</v>
      </c>
      <c r="AA28" s="1402">
        <f t="shared" si="61"/>
        <v>0.314</v>
      </c>
      <c r="AB28" s="1402">
        <f t="shared" si="61"/>
        <v>0.314</v>
      </c>
      <c r="AC28" s="1402">
        <f t="shared" si="61"/>
        <v>0.314</v>
      </c>
      <c r="AD28" s="1402">
        <f t="shared" si="61"/>
        <v>0.314</v>
      </c>
      <c r="AE28" s="782"/>
      <c r="AF28" s="781"/>
      <c r="AO28" s="1419"/>
      <c r="AP28" s="1419"/>
      <c r="AQ28" s="1419"/>
      <c r="AR28" s="1419"/>
      <c r="AX28" s="169"/>
      <c r="AY28" s="169"/>
      <c r="AZ28" s="169"/>
      <c r="BA28" s="169"/>
      <c r="BB28" s="169"/>
      <c r="BC28" s="169"/>
      <c r="BD28" s="169"/>
      <c r="BE28" s="169"/>
      <c r="BF28" s="807"/>
      <c r="BG28" s="235"/>
      <c r="BH28" s="235"/>
      <c r="BI28" s="235"/>
      <c r="BJ28" s="235"/>
      <c r="BK28" s="816"/>
      <c r="BL28" s="816"/>
      <c r="BM28" s="816"/>
      <c r="BN28" s="816"/>
      <c r="BO28" s="816"/>
      <c r="BP28" s="816"/>
      <c r="BQ28" s="816"/>
      <c r="BR28" s="816"/>
      <c r="BS28" s="816"/>
      <c r="BT28" s="816"/>
      <c r="BU28" s="816"/>
      <c r="BV28" s="816"/>
      <c r="BW28" s="816"/>
      <c r="BX28" s="816"/>
      <c r="BY28" s="816"/>
      <c r="BZ28" s="816"/>
      <c r="CA28" s="816"/>
      <c r="CB28" s="816"/>
      <c r="CC28" s="816"/>
      <c r="CD28" s="816"/>
      <c r="CE28" s="816"/>
      <c r="CF28" s="816"/>
      <c r="CG28" s="816"/>
      <c r="CH28" s="1213"/>
      <c r="CI28" s="1213"/>
    </row>
    <row r="29" spans="4:87" s="50" customFormat="1">
      <c r="D29" s="874" t="s">
        <v>1154</v>
      </c>
      <c r="E29" s="190"/>
      <c r="F29" s="190"/>
      <c r="G29" s="190"/>
      <c r="H29" s="1390"/>
      <c r="I29" s="1390"/>
      <c r="J29" s="1390"/>
      <c r="K29" s="1390"/>
      <c r="L29" s="1390">
        <v>14022</v>
      </c>
      <c r="M29" s="1390">
        <v>12876</v>
      </c>
      <c r="N29" s="1390">
        <v>14640</v>
      </c>
      <c r="O29" s="1390">
        <f>O32-O26-O23</f>
        <v>12200</v>
      </c>
      <c r="P29" s="1390">
        <f>P31*P32</f>
        <v>12256.125</v>
      </c>
      <c r="Q29" s="1390">
        <f t="shared" ref="Q29:AD29" si="62">Q31*Q32</f>
        <v>12311.188749999998</v>
      </c>
      <c r="R29" s="1390">
        <f t="shared" si="62"/>
        <v>12495.856581249996</v>
      </c>
      <c r="S29" s="1390">
        <f t="shared" si="62"/>
        <v>12683.294429968744</v>
      </c>
      <c r="T29" s="1390">
        <f t="shared" si="62"/>
        <v>12873.543846418275</v>
      </c>
      <c r="U29" s="1390">
        <f t="shared" si="62"/>
        <v>13066.647004114548</v>
      </c>
      <c r="V29" s="1390">
        <f t="shared" si="62"/>
        <v>13262.646709176264</v>
      </c>
      <c r="W29" s="1390">
        <f t="shared" si="62"/>
        <v>13461.586409813906</v>
      </c>
      <c r="X29" s="1390">
        <f t="shared" si="62"/>
        <v>13663.510205961114</v>
      </c>
      <c r="Y29" s="1390">
        <f t="shared" si="62"/>
        <v>13868.462859050529</v>
      </c>
      <c r="Z29" s="1390">
        <f t="shared" si="62"/>
        <v>14076.489801936286</v>
      </c>
      <c r="AA29" s="1390">
        <f t="shared" si="62"/>
        <v>14287.637148965328</v>
      </c>
      <c r="AB29" s="1390">
        <f t="shared" si="62"/>
        <v>14501.951706199807</v>
      </c>
      <c r="AC29" s="1390">
        <f t="shared" si="62"/>
        <v>14719.480981792804</v>
      </c>
      <c r="AD29" s="1390">
        <f t="shared" si="62"/>
        <v>14940.273196519693</v>
      </c>
      <c r="AE29" s="1398">
        <f t="shared" si="5"/>
        <v>-4.5337296571722918E-2</v>
      </c>
      <c r="AF29" s="1399">
        <f t="shared" si="18"/>
        <v>1.2362929136545908E-2</v>
      </c>
      <c r="AO29" s="1415"/>
      <c r="AP29" s="1415"/>
      <c r="AQ29" s="1415"/>
      <c r="AR29" s="1415"/>
      <c r="AS29" s="1415"/>
      <c r="AT29" s="1415"/>
      <c r="AU29" s="1415"/>
      <c r="AV29" s="1415"/>
      <c r="AW29" s="1415"/>
      <c r="AX29" s="1393"/>
      <c r="AY29" s="1393"/>
      <c r="AZ29" s="1393"/>
      <c r="BA29" s="1393"/>
      <c r="BB29" s="1393"/>
      <c r="BC29" s="1393"/>
      <c r="BD29" s="1393"/>
      <c r="BE29" s="1393"/>
      <c r="BF29" s="1393"/>
      <c r="BG29" s="1393"/>
      <c r="BH29" s="1393"/>
      <c r="BI29" s="1393"/>
      <c r="BJ29" s="1393"/>
      <c r="BK29" s="1394"/>
      <c r="BL29" s="1394"/>
      <c r="BM29" s="1394"/>
      <c r="BN29" s="1394"/>
      <c r="BO29" s="1393"/>
      <c r="BP29" s="1393"/>
      <c r="BQ29" s="1395"/>
      <c r="BR29" s="1395"/>
      <c r="BS29" s="1395"/>
      <c r="BT29" s="1395"/>
      <c r="BU29" s="1395"/>
      <c r="BV29" s="1395"/>
      <c r="BW29" s="1395"/>
      <c r="BX29" s="1395"/>
      <c r="BY29" s="1395"/>
      <c r="BZ29" s="1395"/>
      <c r="CA29" s="1395"/>
      <c r="CB29" s="1395"/>
      <c r="CC29" s="1395"/>
      <c r="CD29" s="1395"/>
      <c r="CE29" s="1395"/>
      <c r="CF29" s="1395"/>
      <c r="CG29" s="1395"/>
      <c r="CH29" s="1416"/>
      <c r="CI29" s="1416"/>
    </row>
    <row r="30" spans="4:87" s="1403" customFormat="1" ht="14">
      <c r="D30" s="1418" t="s">
        <v>832</v>
      </c>
      <c r="E30" s="1402"/>
      <c r="F30" s="1402"/>
      <c r="G30" s="1402"/>
      <c r="H30" s="1402"/>
      <c r="I30" s="1402"/>
      <c r="J30" s="1402"/>
      <c r="K30" s="1402"/>
      <c r="L30" s="1402"/>
      <c r="M30" s="1402">
        <f t="shared" ref="M30" si="63">(M29/L29)-1</f>
        <v>-8.1728712023962369E-2</v>
      </c>
      <c r="N30" s="1402">
        <f t="shared" ref="N30" si="64">(N29/M29)-1</f>
        <v>0.13699906803355089</v>
      </c>
      <c r="O30" s="1402">
        <f t="shared" ref="O30" si="65">(O29/N29)-1</f>
        <v>-0.16666666666666663</v>
      </c>
      <c r="P30" s="1402">
        <f t="shared" ref="P30" si="66">(P29/O29)-1</f>
        <v>4.6004098360654666E-3</v>
      </c>
      <c r="Q30" s="1402">
        <f t="shared" ref="Q30" si="67">(Q29/P29)-1</f>
        <v>4.4927536231882392E-3</v>
      </c>
      <c r="R30" s="1402">
        <f t="shared" ref="R30" si="68">(R29/Q29)-1</f>
        <v>1.4999999999999902E-2</v>
      </c>
      <c r="S30" s="1402">
        <f t="shared" ref="S30" si="69">(S29/R29)-1</f>
        <v>1.4999999999999902E-2</v>
      </c>
      <c r="T30" s="1402">
        <f t="shared" ref="T30" si="70">(T29/S29)-1</f>
        <v>1.4999999999999902E-2</v>
      </c>
      <c r="U30" s="1402">
        <f t="shared" ref="U30" si="71">(U29/T29)-1</f>
        <v>1.4999999999999902E-2</v>
      </c>
      <c r="V30" s="1402">
        <f t="shared" ref="V30" si="72">(V29/U29)-1</f>
        <v>1.4999999999999902E-2</v>
      </c>
      <c r="W30" s="1402">
        <f t="shared" ref="W30" si="73">(W29/V29)-1</f>
        <v>1.4999999999999902E-2</v>
      </c>
      <c r="X30" s="1402">
        <f t="shared" ref="X30" si="74">(X29/W29)-1</f>
        <v>1.4999999999999902E-2</v>
      </c>
      <c r="Y30" s="1402">
        <f t="shared" ref="Y30" si="75">(Y29/X29)-1</f>
        <v>1.4999999999999902E-2</v>
      </c>
      <c r="Z30" s="1402">
        <f t="shared" ref="Z30" si="76">(Z29/Y29)-1</f>
        <v>1.4999999999999902E-2</v>
      </c>
      <c r="AA30" s="1402">
        <f t="shared" ref="AA30" si="77">(AA29/Z29)-1</f>
        <v>1.4999999999999902E-2</v>
      </c>
      <c r="AB30" s="1402">
        <f t="shared" ref="AB30" si="78">(AB29/AA29)-1</f>
        <v>1.4999999999999902E-2</v>
      </c>
      <c r="AC30" s="1402">
        <f t="shared" ref="AC30" si="79">(AC29/AB29)-1</f>
        <v>1.4999999999999902E-2</v>
      </c>
      <c r="AD30" s="1402">
        <f t="shared" ref="AD30" si="80">(AD29/AC29)-1</f>
        <v>1.4999999999999902E-2</v>
      </c>
      <c r="AE30" s="782"/>
      <c r="AF30" s="781"/>
      <c r="AK30" s="707"/>
      <c r="AL30" s="707"/>
      <c r="AM30" s="707"/>
      <c r="AN30" s="707"/>
      <c r="AO30" s="811"/>
      <c r="AP30" s="811"/>
      <c r="AQ30" s="811"/>
      <c r="AR30" s="811"/>
      <c r="AS30" s="707"/>
      <c r="AT30" s="707"/>
      <c r="AU30" s="707"/>
      <c r="AV30" s="707"/>
      <c r="AX30" s="1402"/>
      <c r="AY30" s="1402"/>
      <c r="AZ30" s="1402"/>
      <c r="BA30" s="1402"/>
      <c r="BB30" s="1402"/>
      <c r="BC30" s="1402"/>
      <c r="BD30" s="1402"/>
      <c r="BE30" s="1402"/>
      <c r="BF30" s="1402"/>
      <c r="BG30" s="1402"/>
      <c r="BH30" s="1402"/>
      <c r="BI30" s="1402"/>
      <c r="BJ30" s="1402"/>
      <c r="BK30" s="1038"/>
      <c r="BL30" s="1038"/>
      <c r="BM30" s="1038"/>
      <c r="BN30" s="1038"/>
      <c r="BO30" s="1402"/>
      <c r="BP30" s="1402"/>
      <c r="BQ30" s="1402"/>
      <c r="BR30" s="1402"/>
      <c r="BS30" s="1402"/>
      <c r="BT30" s="1402"/>
      <c r="BU30" s="1402"/>
      <c r="BV30" s="1402"/>
      <c r="BW30" s="1402"/>
      <c r="BX30" s="1402"/>
      <c r="BY30" s="1402"/>
      <c r="BZ30" s="1402"/>
      <c r="CA30" s="1402"/>
      <c r="CB30" s="1402"/>
      <c r="CC30" s="1402"/>
      <c r="CD30" s="1402"/>
      <c r="CE30" s="1402"/>
      <c r="CF30" s="1402"/>
      <c r="CG30" s="1402"/>
      <c r="CH30" s="1213"/>
      <c r="CI30" s="1213"/>
    </row>
    <row r="31" spans="4:87" s="1403" customFormat="1" thickBot="1">
      <c r="D31" s="1418" t="s">
        <v>1152</v>
      </c>
      <c r="E31" s="1402"/>
      <c r="F31" s="1402"/>
      <c r="G31" s="1402"/>
      <c r="H31" s="1402"/>
      <c r="I31" s="1402"/>
      <c r="J31" s="1402"/>
      <c r="K31" s="1402"/>
      <c r="L31" s="1402">
        <f>L29/L39</f>
        <v>0.23725888324873096</v>
      </c>
      <c r="M31" s="1402">
        <f t="shared" ref="M31:N31" si="81">1-M28-M25</f>
        <v>0.51503999999999994</v>
      </c>
      <c r="N31" s="1402">
        <f t="shared" si="81"/>
        <v>0.48799999999999999</v>
      </c>
      <c r="O31" s="1402">
        <f>1-O28-O25</f>
        <v>0.48799999999999999</v>
      </c>
      <c r="P31" s="1402">
        <f>1-P25-P28</f>
        <v>0.48300000000000004</v>
      </c>
      <c r="Q31" s="1402">
        <f t="shared" ref="Q31:AD31" si="82">1-Q25-Q28</f>
        <v>0.47800000000000004</v>
      </c>
      <c r="R31" s="1402">
        <f t="shared" si="82"/>
        <v>0.47800000000000004</v>
      </c>
      <c r="S31" s="1402">
        <f t="shared" si="82"/>
        <v>0.47800000000000004</v>
      </c>
      <c r="T31" s="1402">
        <f t="shared" si="82"/>
        <v>0.47800000000000004</v>
      </c>
      <c r="U31" s="1402">
        <f t="shared" si="82"/>
        <v>0.47800000000000004</v>
      </c>
      <c r="V31" s="1402">
        <f t="shared" si="82"/>
        <v>0.47800000000000004</v>
      </c>
      <c r="W31" s="1402">
        <f t="shared" si="82"/>
        <v>0.47800000000000004</v>
      </c>
      <c r="X31" s="1402">
        <f t="shared" si="82"/>
        <v>0.47800000000000004</v>
      </c>
      <c r="Y31" s="1402">
        <f t="shared" si="82"/>
        <v>0.47800000000000004</v>
      </c>
      <c r="Z31" s="1402">
        <f t="shared" si="82"/>
        <v>0.47800000000000004</v>
      </c>
      <c r="AA31" s="1402">
        <f t="shared" si="82"/>
        <v>0.47800000000000004</v>
      </c>
      <c r="AB31" s="1402">
        <f t="shared" si="82"/>
        <v>0.47800000000000004</v>
      </c>
      <c r="AC31" s="1402">
        <f t="shared" si="82"/>
        <v>0.47800000000000004</v>
      </c>
      <c r="AD31" s="1402">
        <f t="shared" si="82"/>
        <v>0.47800000000000004</v>
      </c>
      <c r="AE31" s="782"/>
      <c r="AF31" s="781"/>
      <c r="AO31" s="1419"/>
      <c r="AP31" s="1419"/>
      <c r="AQ31" s="1419"/>
      <c r="AR31" s="1419"/>
      <c r="AX31" s="169"/>
      <c r="AY31" s="169"/>
      <c r="AZ31" s="169"/>
      <c r="BA31" s="169"/>
      <c r="BB31" s="807"/>
      <c r="BC31" s="807"/>
      <c r="BD31" s="807"/>
      <c r="BE31" s="807"/>
      <c r="BF31" s="807"/>
      <c r="BG31" s="169"/>
      <c r="BH31" s="169"/>
      <c r="BI31" s="169"/>
      <c r="BJ31" s="169"/>
      <c r="BK31" s="807"/>
      <c r="BL31" s="807"/>
      <c r="BM31" s="807"/>
      <c r="BN31" s="807"/>
      <c r="BO31" s="807"/>
      <c r="BP31" s="807"/>
      <c r="BQ31" s="807"/>
      <c r="BR31" s="807"/>
      <c r="BS31" s="807"/>
      <c r="BT31" s="807"/>
      <c r="BU31" s="807"/>
      <c r="BV31" s="807"/>
      <c r="BW31" s="807"/>
      <c r="BX31" s="807"/>
      <c r="BY31" s="807"/>
      <c r="BZ31" s="807"/>
      <c r="CA31" s="807"/>
      <c r="CB31" s="807"/>
      <c r="CC31" s="807"/>
      <c r="CD31" s="807"/>
      <c r="CE31" s="807"/>
      <c r="CF31" s="807"/>
      <c r="CG31" s="807"/>
      <c r="CH31" s="1213"/>
      <c r="CI31" s="1213"/>
    </row>
    <row r="32" spans="4:87" s="20" customFormat="1" ht="16" thickBot="1">
      <c r="D32" s="691" t="s">
        <v>103</v>
      </c>
      <c r="E32" s="174"/>
      <c r="F32" s="174"/>
      <c r="G32" s="174"/>
      <c r="H32" s="843">
        <v>17000</v>
      </c>
      <c r="I32" s="843">
        <v>17000</v>
      </c>
      <c r="J32" s="843">
        <v>25000</v>
      </c>
      <c r="K32" s="843">
        <v>25000</v>
      </c>
      <c r="L32" s="843">
        <v>31000</v>
      </c>
      <c r="M32" s="843">
        <v>25000</v>
      </c>
      <c r="N32" s="843">
        <v>30000</v>
      </c>
      <c r="O32" s="843">
        <v>25000</v>
      </c>
      <c r="P32" s="843">
        <f>O32*(1+P33)</f>
        <v>25374.999999999996</v>
      </c>
      <c r="Q32" s="843">
        <f t="shared" ref="Q32:AD32" si="83">P32*(1+Q33)</f>
        <v>25755.624999999993</v>
      </c>
      <c r="R32" s="843">
        <f t="shared" si="83"/>
        <v>26141.959374999991</v>
      </c>
      <c r="S32" s="843">
        <f t="shared" si="83"/>
        <v>26534.088765624987</v>
      </c>
      <c r="T32" s="843">
        <f t="shared" si="83"/>
        <v>26932.10009710936</v>
      </c>
      <c r="U32" s="843">
        <f t="shared" si="83"/>
        <v>27336.081598565997</v>
      </c>
      <c r="V32" s="843">
        <f t="shared" si="83"/>
        <v>27746.122822544483</v>
      </c>
      <c r="W32" s="843">
        <f t="shared" si="83"/>
        <v>28162.314664882648</v>
      </c>
      <c r="X32" s="843">
        <f t="shared" si="83"/>
        <v>28584.749384855884</v>
      </c>
      <c r="Y32" s="843">
        <f t="shared" si="83"/>
        <v>29013.52062562872</v>
      </c>
      <c r="Z32" s="843">
        <f t="shared" si="83"/>
        <v>29448.723435013148</v>
      </c>
      <c r="AA32" s="843">
        <f t="shared" si="83"/>
        <v>29890.454286538341</v>
      </c>
      <c r="AB32" s="843">
        <f t="shared" si="83"/>
        <v>30338.811100836414</v>
      </c>
      <c r="AC32" s="843">
        <f t="shared" si="83"/>
        <v>30793.893267348958</v>
      </c>
      <c r="AD32" s="843">
        <f t="shared" si="83"/>
        <v>31255.801666359188</v>
      </c>
      <c r="AE32" s="1398">
        <f t="shared" si="5"/>
        <v>-6.919343378939391E-2</v>
      </c>
      <c r="AF32" s="1399">
        <f t="shared" si="18"/>
        <v>1.4999999999999902E-2</v>
      </c>
      <c r="AK32" s="1414"/>
      <c r="AL32" s="1414"/>
      <c r="AM32" s="1414"/>
      <c r="AN32" s="1414"/>
      <c r="AO32" s="1413"/>
      <c r="AP32" s="1413"/>
      <c r="AQ32" s="1413"/>
      <c r="AR32" s="1413"/>
      <c r="AS32" s="1413"/>
      <c r="AT32" s="1413"/>
      <c r="AU32" s="1413"/>
      <c r="AV32" s="1413"/>
      <c r="AW32" s="1211"/>
      <c r="AX32" s="1393"/>
      <c r="AY32" s="1393"/>
      <c r="AZ32" s="1393"/>
      <c r="BA32" s="1393"/>
      <c r="BB32" s="1393"/>
      <c r="BC32" s="1393"/>
      <c r="BD32" s="1393"/>
      <c r="BE32" s="1393"/>
      <c r="BF32" s="1393"/>
      <c r="BG32" s="1393"/>
      <c r="BH32" s="1393"/>
      <c r="BI32" s="1393"/>
      <c r="BJ32" s="1393"/>
      <c r="BK32" s="1394"/>
      <c r="BL32" s="1394"/>
      <c r="BM32" s="1394"/>
      <c r="BN32" s="1394"/>
      <c r="BO32" s="1393"/>
      <c r="BP32" s="1393"/>
      <c r="BQ32" s="1393"/>
      <c r="BR32" s="1393"/>
      <c r="BS32" s="1393"/>
      <c r="BT32" s="1393"/>
      <c r="BU32" s="1393"/>
      <c r="BV32" s="1393"/>
      <c r="BW32" s="1393"/>
      <c r="BX32" s="1393"/>
      <c r="BY32" s="1393"/>
      <c r="BZ32" s="1393"/>
      <c r="CA32" s="1393"/>
      <c r="CB32" s="1393"/>
      <c r="CC32" s="1393"/>
      <c r="CD32" s="1393"/>
      <c r="CE32" s="1393"/>
      <c r="CF32" s="1393"/>
      <c r="CG32" s="1393"/>
      <c r="CH32" s="1396"/>
      <c r="CI32" s="1396"/>
    </row>
    <row r="33" spans="4:87" s="1403" customFormat="1" thickBot="1">
      <c r="D33" s="1418" t="s">
        <v>832</v>
      </c>
      <c r="E33" s="1402"/>
      <c r="F33" s="1402"/>
      <c r="G33" s="1402"/>
      <c r="H33" s="1038"/>
      <c r="I33" s="1038"/>
      <c r="J33" s="1038"/>
      <c r="K33" s="1038"/>
      <c r="L33" s="1402">
        <f>(L32/K32)-1</f>
        <v>0.24</v>
      </c>
      <c r="M33" s="1402">
        <f t="shared" ref="M33" si="84">(M32/L32)-1</f>
        <v>-0.19354838709677424</v>
      </c>
      <c r="N33" s="1402">
        <f t="shared" ref="N33" si="85">(N32/M32)-1</f>
        <v>0.19999999999999996</v>
      </c>
      <c r="O33" s="1402">
        <f t="shared" ref="O33" si="86">(O32/N32)-1</f>
        <v>-0.16666666666666663</v>
      </c>
      <c r="P33" s="1402">
        <v>1.4999999999999999E-2</v>
      </c>
      <c r="Q33" s="1402">
        <f>P33</f>
        <v>1.4999999999999999E-2</v>
      </c>
      <c r="R33" s="1402">
        <f>Q33</f>
        <v>1.4999999999999999E-2</v>
      </c>
      <c r="S33" s="1402">
        <f>R33</f>
        <v>1.4999999999999999E-2</v>
      </c>
      <c r="T33" s="1402">
        <f t="shared" ref="T33:AD33" si="87">S33</f>
        <v>1.4999999999999999E-2</v>
      </c>
      <c r="U33" s="1402">
        <f t="shared" si="87"/>
        <v>1.4999999999999999E-2</v>
      </c>
      <c r="V33" s="1402">
        <f t="shared" si="87"/>
        <v>1.4999999999999999E-2</v>
      </c>
      <c r="W33" s="1402">
        <f t="shared" si="87"/>
        <v>1.4999999999999999E-2</v>
      </c>
      <c r="X33" s="1402">
        <f t="shared" si="87"/>
        <v>1.4999999999999999E-2</v>
      </c>
      <c r="Y33" s="1402">
        <f t="shared" si="87"/>
        <v>1.4999999999999999E-2</v>
      </c>
      <c r="Z33" s="1402">
        <f t="shared" si="87"/>
        <v>1.4999999999999999E-2</v>
      </c>
      <c r="AA33" s="1402">
        <f t="shared" si="87"/>
        <v>1.4999999999999999E-2</v>
      </c>
      <c r="AB33" s="1402">
        <f t="shared" si="87"/>
        <v>1.4999999999999999E-2</v>
      </c>
      <c r="AC33" s="1402">
        <f t="shared" si="87"/>
        <v>1.4999999999999999E-2</v>
      </c>
      <c r="AD33" s="1402">
        <f t="shared" si="87"/>
        <v>1.4999999999999999E-2</v>
      </c>
      <c r="AE33" s="782"/>
      <c r="AF33" s="781"/>
      <c r="AK33" s="707"/>
      <c r="AL33" s="707"/>
      <c r="AM33" s="707"/>
      <c r="AN33" s="707"/>
      <c r="AO33" s="811"/>
      <c r="AP33" s="811"/>
      <c r="AQ33" s="811"/>
      <c r="AR33" s="811"/>
      <c r="AS33" s="707"/>
      <c r="AT33" s="707"/>
      <c r="AU33" s="707"/>
      <c r="AV33" s="707"/>
      <c r="AX33" s="1402"/>
      <c r="AY33" s="1402"/>
      <c r="AZ33" s="1402"/>
      <c r="BA33" s="1402"/>
      <c r="BB33" s="1402"/>
      <c r="BC33" s="1402"/>
      <c r="BD33" s="1402"/>
      <c r="BE33" s="1402"/>
      <c r="BF33" s="1402"/>
      <c r="BG33" s="1402"/>
      <c r="BH33" s="1402"/>
      <c r="BI33" s="1402"/>
      <c r="BJ33" s="1402"/>
      <c r="BK33" s="1038"/>
      <c r="BL33" s="1038"/>
      <c r="BM33" s="1038"/>
      <c r="BN33" s="1038"/>
      <c r="BO33" s="1402"/>
      <c r="BP33" s="1402"/>
      <c r="BQ33" s="1402"/>
      <c r="BR33" s="1402"/>
      <c r="BS33" s="1402"/>
      <c r="BT33" s="1402"/>
      <c r="BU33" s="1402"/>
      <c r="BV33" s="1402"/>
      <c r="BW33" s="1402"/>
      <c r="BX33" s="1402"/>
      <c r="BY33" s="1402"/>
      <c r="BZ33" s="1402"/>
      <c r="CA33" s="1402"/>
      <c r="CB33" s="1402"/>
      <c r="CC33" s="1402"/>
      <c r="CD33" s="1402"/>
      <c r="CE33" s="1402"/>
      <c r="CF33" s="1402"/>
      <c r="CG33" s="1402"/>
      <c r="CH33" s="1213"/>
      <c r="CI33" s="1213"/>
    </row>
    <row r="34" spans="4:87" s="420" customFormat="1" ht="16" thickBot="1">
      <c r="D34" s="693" t="s">
        <v>1155</v>
      </c>
      <c r="E34" s="380"/>
      <c r="F34" s="380"/>
      <c r="G34" s="380"/>
      <c r="H34" s="1024"/>
      <c r="I34" s="1024"/>
      <c r="J34" s="1024"/>
      <c r="K34" s="1024"/>
      <c r="L34" s="1024">
        <f>SUM(L23,L26)</f>
        <v>16978</v>
      </c>
      <c r="M34" s="1024">
        <f t="shared" ref="M34:AD34" si="88">SUM(M23,M26)</f>
        <v>12124</v>
      </c>
      <c r="N34" s="1024">
        <f t="shared" si="88"/>
        <v>15360</v>
      </c>
      <c r="O34" s="1024">
        <f t="shared" si="88"/>
        <v>12800</v>
      </c>
      <c r="P34" s="1024">
        <f t="shared" si="88"/>
        <v>13118.874999999998</v>
      </c>
      <c r="Q34" s="1024">
        <f t="shared" si="88"/>
        <v>13444.436249999995</v>
      </c>
      <c r="R34" s="1024">
        <f t="shared" si="88"/>
        <v>13646.102793749997</v>
      </c>
      <c r="S34" s="1024">
        <f t="shared" si="88"/>
        <v>13850.794335656243</v>
      </c>
      <c r="T34" s="1024">
        <f t="shared" si="88"/>
        <v>14058.556250691086</v>
      </c>
      <c r="U34" s="1024">
        <f t="shared" si="88"/>
        <v>14269.43459445145</v>
      </c>
      <c r="V34" s="1024">
        <f t="shared" si="88"/>
        <v>14483.476113368219</v>
      </c>
      <c r="W34" s="1024">
        <f t="shared" si="88"/>
        <v>14700.728255068741</v>
      </c>
      <c r="X34" s="1024">
        <f t="shared" si="88"/>
        <v>14921.239178894772</v>
      </c>
      <c r="Y34" s="1024">
        <f t="shared" si="88"/>
        <v>15145.057766578193</v>
      </c>
      <c r="Z34" s="1024">
        <f t="shared" si="88"/>
        <v>15372.233633076863</v>
      </c>
      <c r="AA34" s="1024">
        <f t="shared" si="88"/>
        <v>15602.817137573013</v>
      </c>
      <c r="AB34" s="1024">
        <f t="shared" si="88"/>
        <v>15836.859394636607</v>
      </c>
      <c r="AC34" s="1024">
        <f t="shared" si="88"/>
        <v>16074.412285556156</v>
      </c>
      <c r="AD34" s="1024">
        <f t="shared" si="88"/>
        <v>16315.528469839495</v>
      </c>
      <c r="AE34" s="1398">
        <f t="shared" si="5"/>
        <v>-8.9860813646199578E-2</v>
      </c>
      <c r="AF34" s="1399">
        <f t="shared" si="18"/>
        <v>1.7445211646608172E-2</v>
      </c>
      <c r="AK34" s="1397"/>
      <c r="AL34" s="1397"/>
      <c r="AM34" s="1397"/>
      <c r="AN34" s="1397"/>
      <c r="AO34" s="1397"/>
      <c r="AP34" s="1397"/>
      <c r="AQ34" s="1397"/>
      <c r="AR34" s="1397"/>
      <c r="AS34" s="1397"/>
      <c r="AT34" s="1397"/>
      <c r="AU34" s="1397"/>
      <c r="AV34" s="1397"/>
      <c r="AW34" s="1212"/>
      <c r="AX34" s="109"/>
      <c r="AY34" s="109"/>
      <c r="AZ34" s="109"/>
      <c r="BA34" s="109"/>
      <c r="BB34" s="919"/>
      <c r="BC34" s="919"/>
      <c r="BD34" s="919"/>
      <c r="BE34" s="919"/>
      <c r="BF34" s="919"/>
      <c r="BG34" s="109"/>
      <c r="BH34" s="109"/>
      <c r="BI34" s="109"/>
      <c r="BJ34" s="109"/>
      <c r="BK34" s="919"/>
      <c r="BL34" s="919"/>
      <c r="BM34" s="919"/>
      <c r="BN34" s="919"/>
      <c r="BO34" s="919"/>
      <c r="BP34" s="919"/>
      <c r="BQ34" s="919"/>
      <c r="BR34" s="919"/>
      <c r="BS34" s="919"/>
      <c r="BT34" s="919"/>
      <c r="BU34" s="919"/>
      <c r="BV34" s="919"/>
      <c r="BW34" s="919"/>
      <c r="BX34" s="919"/>
      <c r="BY34" s="919"/>
      <c r="BZ34" s="919"/>
      <c r="CA34" s="919"/>
      <c r="CB34" s="919"/>
      <c r="CC34" s="919"/>
      <c r="CD34" s="919"/>
      <c r="CE34" s="919"/>
      <c r="CF34" s="919"/>
      <c r="CG34" s="919"/>
      <c r="CH34" s="1396"/>
      <c r="CI34" s="1396"/>
    </row>
    <row r="35" spans="4:87" s="1403" customFormat="1" ht="14">
      <c r="D35" s="1418" t="s">
        <v>832</v>
      </c>
      <c r="E35" s="1402"/>
      <c r="F35" s="1402"/>
      <c r="G35" s="1402"/>
      <c r="H35" s="1038"/>
      <c r="I35" s="1038"/>
      <c r="J35" s="1038"/>
      <c r="K35" s="1038"/>
      <c r="L35" s="1402"/>
      <c r="M35" s="1402">
        <f t="shared" ref="M35" si="89">M34/L34-1</f>
        <v>-0.28589939922252328</v>
      </c>
      <c r="N35" s="1402">
        <f t="shared" ref="N35" si="90">N34/M34-1</f>
        <v>0.26690861101946561</v>
      </c>
      <c r="O35" s="1402">
        <v>0.09</v>
      </c>
      <c r="P35" s="1402">
        <f t="shared" ref="P35" si="91">P34/O34-1</f>
        <v>2.4912109374999769E-2</v>
      </c>
      <c r="Q35" s="1402">
        <f t="shared" ref="Q35" si="92">Q34/P34-1</f>
        <v>2.4816247582204909E-2</v>
      </c>
      <c r="R35" s="1402">
        <f t="shared" ref="R35" si="93">R34/Q34-1</f>
        <v>1.5000000000000124E-2</v>
      </c>
      <c r="S35" s="1402">
        <f t="shared" ref="S35" si="94">S34/R34-1</f>
        <v>1.499999999999968E-2</v>
      </c>
      <c r="T35" s="1402">
        <f t="shared" ref="T35" si="95">T34/S34-1</f>
        <v>1.4999999999999902E-2</v>
      </c>
      <c r="U35" s="1402">
        <f t="shared" ref="U35" si="96">U34/T34-1</f>
        <v>1.499999999999968E-2</v>
      </c>
      <c r="V35" s="1402">
        <f t="shared" ref="V35" si="97">V34/U34-1</f>
        <v>1.4999999999999902E-2</v>
      </c>
      <c r="W35" s="1402">
        <f t="shared" ref="W35" si="98">W34/V34-1</f>
        <v>1.4999999999999902E-2</v>
      </c>
      <c r="X35" s="1402">
        <f t="shared" ref="X35" si="99">X34/W34-1</f>
        <v>1.4999999999999902E-2</v>
      </c>
      <c r="Y35" s="1402">
        <f t="shared" ref="Y35" si="100">Y34/X34-1</f>
        <v>1.4999999999999902E-2</v>
      </c>
      <c r="Z35" s="1402">
        <f t="shared" ref="Z35" si="101">Z34/Y34-1</f>
        <v>1.4999999999999902E-2</v>
      </c>
      <c r="AA35" s="1402">
        <f t="shared" ref="AA35" si="102">AA34/Z34-1</f>
        <v>1.499999999999968E-2</v>
      </c>
      <c r="AB35" s="1402">
        <f t="shared" ref="AB35" si="103">AB34/AA34-1</f>
        <v>1.4999999999999902E-2</v>
      </c>
      <c r="AC35" s="1402">
        <f t="shared" ref="AC35" si="104">AC34/AB34-1</f>
        <v>1.4999999999999902E-2</v>
      </c>
      <c r="AD35" s="1402">
        <f t="shared" ref="AD35" si="105">AD34/AC34-1</f>
        <v>1.499999999999968E-2</v>
      </c>
      <c r="AE35" s="782"/>
      <c r="AF35" s="781"/>
      <c r="AK35" s="443" t="s">
        <v>1658</v>
      </c>
      <c r="AW35" s="1419"/>
      <c r="AX35" s="443" t="s">
        <v>1658</v>
      </c>
      <c r="AY35" s="1402"/>
      <c r="AZ35" s="1402"/>
      <c r="BA35" s="1402"/>
      <c r="BB35" s="1038"/>
      <c r="BC35" s="1038"/>
      <c r="BD35" s="1038"/>
      <c r="BE35" s="1038"/>
      <c r="BF35" s="1402"/>
      <c r="BH35" s="443" t="s">
        <v>1658</v>
      </c>
      <c r="BI35" s="1402"/>
      <c r="BJ35" s="1402"/>
      <c r="BK35" s="1038"/>
      <c r="BL35" s="1038"/>
      <c r="BM35" s="1038"/>
      <c r="BN35" s="1038"/>
      <c r="BO35" s="1402"/>
      <c r="BP35" s="1402"/>
      <c r="BQ35" s="1402"/>
      <c r="BR35" s="1402"/>
      <c r="BS35" s="1402"/>
      <c r="BT35" s="1402"/>
      <c r="BU35" s="1402"/>
      <c r="BV35" s="1402"/>
      <c r="BW35" s="1402"/>
      <c r="BX35" s="1402"/>
      <c r="BY35" s="1402"/>
      <c r="BZ35" s="1402"/>
      <c r="CA35" s="1402"/>
      <c r="CB35" s="1402"/>
      <c r="CC35" s="1402"/>
      <c r="CD35" s="1402"/>
      <c r="CE35" s="1402"/>
      <c r="CF35" s="1402"/>
      <c r="CG35" s="1402"/>
      <c r="CH35" s="1213"/>
      <c r="CI35" s="1213"/>
    </row>
    <row r="36" spans="4:87" s="1403" customFormat="1" thickBot="1">
      <c r="D36" s="1420" t="s">
        <v>1152</v>
      </c>
      <c r="E36" s="1411"/>
      <c r="F36" s="1411"/>
      <c r="G36" s="1411"/>
      <c r="H36" s="1411"/>
      <c r="I36" s="1411"/>
      <c r="J36" s="1411"/>
      <c r="K36" s="1411"/>
      <c r="L36" s="1411">
        <f>L34/L32</f>
        <v>0.54767741935483871</v>
      </c>
      <c r="M36" s="1411">
        <f t="shared" ref="M36:AD36" si="106">M34/M32</f>
        <v>0.48496</v>
      </c>
      <c r="N36" s="1411">
        <f t="shared" si="106"/>
        <v>0.51200000000000001</v>
      </c>
      <c r="O36" s="1411">
        <f t="shared" si="106"/>
        <v>0.51200000000000001</v>
      </c>
      <c r="P36" s="1411">
        <f t="shared" si="106"/>
        <v>0.51700000000000002</v>
      </c>
      <c r="Q36" s="1411">
        <f t="shared" si="106"/>
        <v>0.52199999999999991</v>
      </c>
      <c r="R36" s="1411">
        <f t="shared" si="106"/>
        <v>0.52200000000000002</v>
      </c>
      <c r="S36" s="1411">
        <f t="shared" si="106"/>
        <v>0.52200000000000002</v>
      </c>
      <c r="T36" s="1411">
        <f t="shared" si="106"/>
        <v>0.52200000000000002</v>
      </c>
      <c r="U36" s="1411">
        <f t="shared" si="106"/>
        <v>0.52200000000000002</v>
      </c>
      <c r="V36" s="1411">
        <f t="shared" si="106"/>
        <v>0.52199999999999991</v>
      </c>
      <c r="W36" s="1411">
        <f t="shared" si="106"/>
        <v>0.52200000000000002</v>
      </c>
      <c r="X36" s="1411">
        <f t="shared" si="106"/>
        <v>0.52200000000000002</v>
      </c>
      <c r="Y36" s="1411">
        <f t="shared" si="106"/>
        <v>0.52200000000000002</v>
      </c>
      <c r="Z36" s="1411">
        <f t="shared" si="106"/>
        <v>0.52200000000000002</v>
      </c>
      <c r="AA36" s="1411">
        <f t="shared" si="106"/>
        <v>0.52199999999999991</v>
      </c>
      <c r="AB36" s="1411">
        <f t="shared" si="106"/>
        <v>0.52200000000000002</v>
      </c>
      <c r="AC36" s="1411">
        <f t="shared" si="106"/>
        <v>0.52200000000000002</v>
      </c>
      <c r="AD36" s="1411">
        <f t="shared" si="106"/>
        <v>0.52200000000000002</v>
      </c>
      <c r="AE36" s="783"/>
      <c r="AF36" s="784"/>
      <c r="AX36" s="245"/>
      <c r="AY36" s="244"/>
      <c r="AZ36" s="244"/>
      <c r="BA36" s="244"/>
      <c r="BB36" s="913"/>
      <c r="BC36" s="913"/>
      <c r="BD36" s="913"/>
      <c r="BE36" s="913"/>
      <c r="BF36" s="913"/>
      <c r="BG36" s="245"/>
      <c r="BH36" s="244"/>
      <c r="BI36" s="244"/>
      <c r="BJ36" s="244"/>
      <c r="BK36" s="913"/>
      <c r="BL36" s="913"/>
      <c r="BM36" s="913"/>
      <c r="BN36" s="913"/>
      <c r="BO36" s="913"/>
      <c r="BP36" s="913"/>
      <c r="BQ36" s="913"/>
      <c r="BR36" s="913"/>
      <c r="BS36" s="913"/>
      <c r="BT36" s="913"/>
      <c r="BU36" s="913"/>
      <c r="BV36" s="913"/>
      <c r="BW36" s="913"/>
      <c r="BX36" s="913"/>
      <c r="BY36" s="913"/>
      <c r="BZ36" s="913"/>
      <c r="CA36" s="913"/>
      <c r="CB36" s="913"/>
      <c r="CC36" s="913"/>
      <c r="CD36" s="913"/>
      <c r="CE36" s="913"/>
      <c r="CF36" s="913"/>
      <c r="CG36" s="913"/>
      <c r="CH36" s="1213"/>
      <c r="CI36" s="1213"/>
    </row>
    <row r="37" spans="4:87" s="164" customFormat="1" thickBot="1">
      <c r="D37" s="520"/>
      <c r="E37" s="241"/>
      <c r="F37" s="241"/>
      <c r="G37" s="241"/>
      <c r="H37" s="1023"/>
      <c r="I37" s="1023"/>
      <c r="J37" s="1023"/>
      <c r="K37" s="1023"/>
      <c r="L37" s="1023"/>
      <c r="M37" s="1023"/>
      <c r="N37" s="1023"/>
      <c r="O37" s="1023"/>
      <c r="P37" s="1025"/>
      <c r="Q37" s="1025"/>
      <c r="R37" s="1025"/>
      <c r="S37" s="1025"/>
      <c r="T37" s="1025"/>
      <c r="U37" s="1025"/>
      <c r="V37" s="1025"/>
      <c r="W37" s="1025"/>
      <c r="X37" s="1025"/>
      <c r="Y37" s="1025"/>
      <c r="Z37" s="1025"/>
      <c r="AE37" s="455"/>
      <c r="AF37" s="641"/>
      <c r="AX37" s="241"/>
      <c r="AY37" s="241"/>
      <c r="AZ37" s="241"/>
      <c r="BA37" s="241"/>
      <c r="BB37" s="1023"/>
      <c r="BC37" s="1023"/>
      <c r="BD37" s="1023"/>
      <c r="BE37" s="1023"/>
      <c r="BF37" s="241"/>
      <c r="BG37" s="241"/>
      <c r="BH37" s="241"/>
      <c r="BI37" s="241"/>
      <c r="BJ37" s="241"/>
      <c r="BK37" s="1023"/>
      <c r="BL37" s="1023"/>
      <c r="BM37" s="1023"/>
      <c r="BN37" s="1023"/>
      <c r="BO37" s="241"/>
      <c r="BP37" s="241"/>
      <c r="BQ37" s="241"/>
      <c r="BR37" s="241"/>
      <c r="BS37" s="241"/>
      <c r="BT37" s="241"/>
      <c r="BU37" s="241"/>
      <c r="BV37" s="241"/>
      <c r="BW37" s="241"/>
      <c r="BX37" s="241"/>
      <c r="BY37" s="241"/>
      <c r="BZ37" s="241"/>
      <c r="CA37" s="241"/>
      <c r="CB37" s="241"/>
      <c r="CC37" s="241"/>
      <c r="CD37" s="241"/>
      <c r="CE37" s="241"/>
      <c r="CF37" s="241"/>
      <c r="CG37" s="241"/>
      <c r="CH37" s="1213"/>
      <c r="CI37" s="1213"/>
    </row>
    <row r="38" spans="4:87" ht="16" thickBot="1">
      <c r="D38" s="691" t="s">
        <v>1159</v>
      </c>
      <c r="E38" s="1421"/>
      <c r="F38" s="1421"/>
      <c r="G38" s="1421"/>
      <c r="H38" s="1421"/>
      <c r="I38" s="1421"/>
      <c r="J38" s="1421"/>
      <c r="K38" s="1421"/>
      <c r="L38" s="403" t="s">
        <v>20</v>
      </c>
      <c r="M38" s="403" t="s">
        <v>21</v>
      </c>
      <c r="N38" s="403" t="s">
        <v>22</v>
      </c>
      <c r="O38" s="403" t="s">
        <v>23</v>
      </c>
      <c r="P38" s="404" t="s">
        <v>24</v>
      </c>
      <c r="Q38" s="404" t="s">
        <v>25</v>
      </c>
      <c r="R38" s="404" t="s">
        <v>26</v>
      </c>
      <c r="S38" s="404" t="s">
        <v>27</v>
      </c>
      <c r="T38" s="404" t="s">
        <v>712</v>
      </c>
      <c r="U38" s="404" t="s">
        <v>713</v>
      </c>
      <c r="V38" s="404" t="s">
        <v>714</v>
      </c>
      <c r="W38" s="404" t="s">
        <v>715</v>
      </c>
      <c r="X38" s="404" t="s">
        <v>716</v>
      </c>
      <c r="Y38" s="404" t="s">
        <v>717</v>
      </c>
      <c r="Z38" s="404" t="s">
        <v>718</v>
      </c>
      <c r="AA38" s="404" t="s">
        <v>719</v>
      </c>
      <c r="AB38" s="404" t="s">
        <v>720</v>
      </c>
      <c r="AC38" s="404" t="s">
        <v>721</v>
      </c>
      <c r="AD38" s="404" t="s">
        <v>722</v>
      </c>
      <c r="AE38" s="1379" t="s">
        <v>1445</v>
      </c>
      <c r="AF38" s="1380" t="s">
        <v>1446</v>
      </c>
      <c r="AW38" s="1088"/>
      <c r="AX38" s="241"/>
      <c r="AY38" s="241"/>
      <c r="AZ38" s="241"/>
      <c r="BA38" s="241"/>
      <c r="BB38" s="241"/>
      <c r="BC38" s="241"/>
      <c r="BD38" s="241"/>
      <c r="BE38" s="241"/>
      <c r="BF38" s="241"/>
      <c r="BG38" s="241"/>
      <c r="BH38" s="241"/>
      <c r="BI38" s="241"/>
      <c r="BJ38" s="241"/>
      <c r="BK38" s="1023"/>
      <c r="BL38" s="1023"/>
      <c r="BM38" s="1023"/>
      <c r="BN38" s="1023"/>
      <c r="BO38" s="241"/>
      <c r="BP38" s="241"/>
      <c r="BQ38" s="241"/>
      <c r="BR38" s="241"/>
      <c r="BS38" s="241"/>
      <c r="BT38" s="241"/>
      <c r="BU38" s="241"/>
      <c r="BV38" s="241"/>
      <c r="BW38" s="241"/>
      <c r="BX38" s="241"/>
      <c r="BY38" s="241"/>
      <c r="BZ38" s="241"/>
      <c r="CA38" s="241"/>
      <c r="CB38" s="241"/>
      <c r="CC38" s="241"/>
      <c r="CD38" s="241"/>
      <c r="CE38" s="241"/>
      <c r="CF38" s="241"/>
      <c r="CG38" s="241"/>
      <c r="CH38" s="1213"/>
      <c r="CI38" s="1213"/>
    </row>
    <row r="39" spans="4:87" s="160" customFormat="1">
      <c r="D39" s="874" t="s">
        <v>1151</v>
      </c>
      <c r="E39" s="190"/>
      <c r="F39" s="190"/>
      <c r="G39" s="190"/>
      <c r="H39" s="190"/>
      <c r="I39" s="190">
        <v>95665</v>
      </c>
      <c r="J39" s="190">
        <v>95265</v>
      </c>
      <c r="K39" s="190">
        <v>65569</v>
      </c>
      <c r="L39" s="1390">
        <v>59100</v>
      </c>
      <c r="M39" s="1390">
        <v>77766</v>
      </c>
      <c r="N39" s="1390">
        <v>160001</v>
      </c>
      <c r="O39" s="1390">
        <v>211170</v>
      </c>
      <c r="P39" s="1390">
        <f>P41*P48</f>
        <v>215393.4</v>
      </c>
      <c r="Q39" s="1390">
        <f t="shared" ref="Q39:AD39" si="107">Q41*Q48</f>
        <v>219701.26800000001</v>
      </c>
      <c r="R39" s="1390">
        <f t="shared" si="107"/>
        <v>224095.29336000001</v>
      </c>
      <c r="S39" s="1390">
        <f t="shared" si="107"/>
        <v>228577.19922720004</v>
      </c>
      <c r="T39" s="1390">
        <f t="shared" si="107"/>
        <v>233148.74321174403</v>
      </c>
      <c r="U39" s="1390">
        <f t="shared" si="107"/>
        <v>237811.71807597892</v>
      </c>
      <c r="V39" s="1390">
        <f t="shared" si="107"/>
        <v>242567.95243749852</v>
      </c>
      <c r="W39" s="1390">
        <f t="shared" si="107"/>
        <v>247419.31148624848</v>
      </c>
      <c r="X39" s="1390">
        <f t="shared" si="107"/>
        <v>252367.69771597345</v>
      </c>
      <c r="Y39" s="1390">
        <f t="shared" si="107"/>
        <v>257415.05167029289</v>
      </c>
      <c r="Z39" s="1390">
        <f t="shared" si="107"/>
        <v>262563.35270369879</v>
      </c>
      <c r="AA39" s="1390">
        <f t="shared" si="107"/>
        <v>267814.61975777277</v>
      </c>
      <c r="AB39" s="1390">
        <f t="shared" si="107"/>
        <v>273170.91215292824</v>
      </c>
      <c r="AC39" s="1390">
        <f t="shared" si="107"/>
        <v>278634.33039598685</v>
      </c>
      <c r="AD39" s="1390">
        <f t="shared" si="107"/>
        <v>284207.01700390654</v>
      </c>
      <c r="AE39" s="1391">
        <f t="shared" si="5"/>
        <v>0.5287914540544707</v>
      </c>
      <c r="AF39" s="1392">
        <f t="shared" si="18"/>
        <v>2.0000000000000018E-2</v>
      </c>
      <c r="AW39" s="707"/>
      <c r="AX39" s="164"/>
      <c r="AY39" s="241"/>
      <c r="AZ39" s="241"/>
      <c r="BA39" s="241"/>
      <c r="BB39" s="1023"/>
      <c r="BC39" s="1023"/>
      <c r="BD39" s="1023"/>
      <c r="BE39" s="1023"/>
      <c r="BF39" s="241"/>
      <c r="BG39" s="241"/>
      <c r="BH39" s="241"/>
      <c r="BI39" s="241"/>
      <c r="BJ39" s="241"/>
      <c r="BK39" s="241"/>
      <c r="BL39" s="241"/>
      <c r="BM39" s="241"/>
      <c r="BN39" s="241"/>
      <c r="BO39" s="241"/>
      <c r="BP39" s="241"/>
      <c r="BQ39" s="241"/>
      <c r="BR39" s="241"/>
      <c r="BS39" s="241"/>
      <c r="BT39" s="241"/>
      <c r="BU39" s="241"/>
      <c r="BV39" s="241"/>
      <c r="BW39" s="241"/>
      <c r="BX39" s="241"/>
      <c r="BY39" s="1214"/>
      <c r="BZ39" s="1214"/>
    </row>
    <row r="40" spans="4:87" s="1403" customFormat="1" ht="20">
      <c r="D40" s="1418" t="s">
        <v>832</v>
      </c>
      <c r="E40" s="1402"/>
      <c r="F40" s="1402"/>
      <c r="G40" s="1402"/>
      <c r="H40" s="1402"/>
      <c r="I40" s="1402"/>
      <c r="J40" s="1402"/>
      <c r="K40" s="1402"/>
      <c r="L40" s="1402">
        <f>(L39/K39)-1</f>
        <v>-9.865942747334866E-2</v>
      </c>
      <c r="M40" s="1402">
        <f t="shared" ref="M40" si="108">(M39/L39)-1</f>
        <v>0.31583756345177671</v>
      </c>
      <c r="N40" s="1402">
        <f t="shared" ref="N40" si="109">(N39/M39)-1</f>
        <v>1.0574672736157189</v>
      </c>
      <c r="O40" s="1402">
        <f t="shared" ref="O40" si="110">(O39/N39)-1</f>
        <v>0.31980425122342981</v>
      </c>
      <c r="P40" s="1402">
        <f t="shared" ref="P40" si="111">(P39/O39)-1</f>
        <v>2.0000000000000018E-2</v>
      </c>
      <c r="Q40" s="1402">
        <f t="shared" ref="Q40" si="112">(Q39/P39)-1</f>
        <v>2.0000000000000018E-2</v>
      </c>
      <c r="R40" s="1402">
        <f t="shared" ref="R40" si="113">(R39/Q39)-1</f>
        <v>2.0000000000000018E-2</v>
      </c>
      <c r="S40" s="1402">
        <f t="shared" ref="S40" si="114">(S39/R39)-1</f>
        <v>2.0000000000000018E-2</v>
      </c>
      <c r="T40" s="1402">
        <f t="shared" ref="T40" si="115">(T39/S39)-1</f>
        <v>2.0000000000000018E-2</v>
      </c>
      <c r="U40" s="1402">
        <f t="shared" ref="U40" si="116">(U39/T39)-1</f>
        <v>2.0000000000000018E-2</v>
      </c>
      <c r="V40" s="1402">
        <f t="shared" ref="V40" si="117">(V39/U39)-1</f>
        <v>2.0000000000000018E-2</v>
      </c>
      <c r="W40" s="1402">
        <f t="shared" ref="W40" si="118">(W39/V39)-1</f>
        <v>2.0000000000000018E-2</v>
      </c>
      <c r="X40" s="1402">
        <f t="shared" ref="X40" si="119">(X39/W39)-1</f>
        <v>2.0000000000000018E-2</v>
      </c>
      <c r="Y40" s="1402">
        <f t="shared" ref="Y40" si="120">(Y39/X39)-1</f>
        <v>1.9999999999999796E-2</v>
      </c>
      <c r="Z40" s="1402">
        <f t="shared" ref="Z40" si="121">(Z39/Y39)-1</f>
        <v>2.000000000000024E-2</v>
      </c>
      <c r="AA40" s="1402">
        <f t="shared" ref="AA40" si="122">(AA39/Z39)-1</f>
        <v>2.0000000000000018E-2</v>
      </c>
      <c r="AB40" s="1402">
        <f t="shared" ref="AB40" si="123">(AB39/AA39)-1</f>
        <v>2.0000000000000018E-2</v>
      </c>
      <c r="AC40" s="1402">
        <f t="shared" ref="AC40" si="124">(AC39/AB39)-1</f>
        <v>2.000000000000024E-2</v>
      </c>
      <c r="AD40" s="1402">
        <f t="shared" ref="AD40" si="125">(AD39/AC39)-1</f>
        <v>1.9999999999999796E-2</v>
      </c>
      <c r="AE40" s="782"/>
      <c r="AF40" s="781"/>
      <c r="AK40" s="1210" t="s">
        <v>1786</v>
      </c>
      <c r="AL40" s="1423"/>
      <c r="AM40" s="1423"/>
      <c r="AN40" s="1423"/>
      <c r="AX40" s="160"/>
      <c r="AY40" s="169"/>
      <c r="AZ40" s="169"/>
      <c r="BA40" s="169"/>
      <c r="BB40" s="169"/>
      <c r="BC40" s="169"/>
      <c r="BD40" s="169"/>
      <c r="BE40" s="169"/>
      <c r="BF40" s="807"/>
      <c r="BG40" s="807"/>
      <c r="BH40" s="807"/>
      <c r="BI40" s="807"/>
      <c r="BJ40" s="807"/>
      <c r="BK40" s="807"/>
      <c r="BL40" s="807"/>
      <c r="BM40" s="807"/>
      <c r="BN40" s="807"/>
      <c r="BO40" s="807"/>
      <c r="BP40" s="807"/>
      <c r="BQ40" s="807"/>
      <c r="BR40" s="807"/>
      <c r="BS40" s="807"/>
      <c r="BT40" s="807"/>
      <c r="BU40" s="807"/>
      <c r="BV40" s="807"/>
      <c r="BW40" s="807"/>
      <c r="BX40" s="807"/>
      <c r="BY40" s="1213"/>
      <c r="BZ40" s="1213"/>
    </row>
    <row r="41" spans="4:87" s="1403" customFormat="1" ht="14">
      <c r="D41" s="1418" t="s">
        <v>1152</v>
      </c>
      <c r="E41" s="1402"/>
      <c r="F41" s="1402"/>
      <c r="G41" s="1402"/>
      <c r="H41" s="1038"/>
      <c r="I41" s="1038"/>
      <c r="J41" s="1038"/>
      <c r="K41" s="1038"/>
      <c r="L41" s="1402">
        <f>L39/L48</f>
        <v>0.16757970669298036</v>
      </c>
      <c r="M41" s="1402">
        <f t="shared" ref="M41:O41" si="126">M39/M48</f>
        <v>0.17281333333333335</v>
      </c>
      <c r="N41" s="1402">
        <f t="shared" si="126"/>
        <v>0.35555777777777775</v>
      </c>
      <c r="O41" s="1402">
        <f t="shared" si="126"/>
        <v>0.46926666666666667</v>
      </c>
      <c r="P41" s="1402">
        <f>O41</f>
        <v>0.46926666666666667</v>
      </c>
      <c r="Q41" s="1402">
        <f t="shared" ref="Q41:AD41" si="127">P41</f>
        <v>0.46926666666666667</v>
      </c>
      <c r="R41" s="1402">
        <f t="shared" si="127"/>
        <v>0.46926666666666667</v>
      </c>
      <c r="S41" s="1402">
        <f t="shared" si="127"/>
        <v>0.46926666666666667</v>
      </c>
      <c r="T41" s="1402">
        <f t="shared" si="127"/>
        <v>0.46926666666666667</v>
      </c>
      <c r="U41" s="1402">
        <f t="shared" si="127"/>
        <v>0.46926666666666667</v>
      </c>
      <c r="V41" s="1402">
        <f t="shared" si="127"/>
        <v>0.46926666666666667</v>
      </c>
      <c r="W41" s="1402">
        <f t="shared" si="127"/>
        <v>0.46926666666666667</v>
      </c>
      <c r="X41" s="1402">
        <f t="shared" si="127"/>
        <v>0.46926666666666667</v>
      </c>
      <c r="Y41" s="1402">
        <f t="shared" si="127"/>
        <v>0.46926666666666667</v>
      </c>
      <c r="Z41" s="1402">
        <f t="shared" si="127"/>
        <v>0.46926666666666667</v>
      </c>
      <c r="AA41" s="1402">
        <f t="shared" si="127"/>
        <v>0.46926666666666667</v>
      </c>
      <c r="AB41" s="1402">
        <f t="shared" si="127"/>
        <v>0.46926666666666667</v>
      </c>
      <c r="AC41" s="1402">
        <f t="shared" si="127"/>
        <v>0.46926666666666667</v>
      </c>
      <c r="AD41" s="1402">
        <f t="shared" si="127"/>
        <v>0.46926666666666667</v>
      </c>
      <c r="AE41" s="782"/>
      <c r="AF41" s="781"/>
      <c r="AW41" s="1419"/>
      <c r="AY41" s="1402"/>
      <c r="AZ41" s="1402"/>
      <c r="BA41" s="1402"/>
      <c r="BB41" s="1402"/>
      <c r="BC41" s="1402"/>
      <c r="BD41" s="1402"/>
      <c r="BE41" s="1402"/>
      <c r="BF41" s="1402"/>
      <c r="BG41" s="1402"/>
      <c r="BH41" s="1402"/>
      <c r="BI41" s="1402"/>
      <c r="BJ41" s="1402"/>
      <c r="BK41" s="1402"/>
      <c r="BL41" s="1402"/>
      <c r="BM41" s="1402"/>
      <c r="BN41" s="1402"/>
      <c r="BO41" s="1402"/>
      <c r="BP41" s="1402"/>
      <c r="BQ41" s="1402"/>
      <c r="BR41" s="1402"/>
      <c r="BS41" s="1402"/>
      <c r="BT41" s="1402"/>
      <c r="BU41" s="1402"/>
      <c r="BV41" s="1402"/>
      <c r="BW41" s="1402"/>
      <c r="BX41" s="1402"/>
      <c r="BY41" s="1213"/>
      <c r="BZ41" s="1213"/>
    </row>
    <row r="42" spans="4:87" s="160" customFormat="1">
      <c r="D42" s="874" t="s">
        <v>1153</v>
      </c>
      <c r="E42" s="190"/>
      <c r="F42" s="190"/>
      <c r="G42" s="190"/>
      <c r="H42" s="1390"/>
      <c r="I42" s="1390"/>
      <c r="J42" s="1390"/>
      <c r="K42" s="1390"/>
      <c r="L42" s="1390">
        <v>59624</v>
      </c>
      <c r="M42" s="1390">
        <v>88256</v>
      </c>
      <c r="N42" s="1390">
        <v>108000</v>
      </c>
      <c r="O42" s="1390">
        <v>110250</v>
      </c>
      <c r="P42" s="1390">
        <f>P44*P48</f>
        <v>117045</v>
      </c>
      <c r="Q42" s="1390">
        <f t="shared" ref="Q42:AD42" si="128">Q44*Q48</f>
        <v>124067.70000000001</v>
      </c>
      <c r="R42" s="1390">
        <f t="shared" si="128"/>
        <v>126549.05400000002</v>
      </c>
      <c r="S42" s="1390">
        <f t="shared" si="128"/>
        <v>129080.03508000003</v>
      </c>
      <c r="T42" s="1390">
        <f t="shared" si="128"/>
        <v>131661.63578160002</v>
      </c>
      <c r="U42" s="1390">
        <f t="shared" si="128"/>
        <v>134294.86849723203</v>
      </c>
      <c r="V42" s="1390">
        <f t="shared" si="128"/>
        <v>136980.76586717667</v>
      </c>
      <c r="W42" s="1390">
        <f t="shared" si="128"/>
        <v>139720.3811845202</v>
      </c>
      <c r="X42" s="1390">
        <f t="shared" si="128"/>
        <v>142514.78880821061</v>
      </c>
      <c r="Y42" s="1390">
        <f t="shared" si="128"/>
        <v>145365.08458437482</v>
      </c>
      <c r="Z42" s="1390">
        <f t="shared" si="128"/>
        <v>148272.38627606232</v>
      </c>
      <c r="AA42" s="1390">
        <f t="shared" si="128"/>
        <v>151237.83400158357</v>
      </c>
      <c r="AB42" s="1390">
        <f t="shared" si="128"/>
        <v>154262.59068161526</v>
      </c>
      <c r="AC42" s="1390">
        <f t="shared" si="128"/>
        <v>157347.84249524758</v>
      </c>
      <c r="AD42" s="1390">
        <f t="shared" si="128"/>
        <v>160494.79934515251</v>
      </c>
      <c r="AE42" s="1398">
        <f t="shared" si="5"/>
        <v>0.22739918330017006</v>
      </c>
      <c r="AF42" s="1399">
        <f t="shared" si="18"/>
        <v>2.9856217156048581E-2</v>
      </c>
      <c r="AW42" s="707"/>
      <c r="AX42" s="164"/>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1213"/>
      <c r="BZ42" s="1213"/>
    </row>
    <row r="43" spans="4:87" s="1403" customFormat="1" ht="14">
      <c r="D43" s="1418" t="s">
        <v>832</v>
      </c>
      <c r="E43" s="1402"/>
      <c r="F43" s="1402"/>
      <c r="G43" s="1402"/>
      <c r="H43" s="1038"/>
      <c r="I43" s="1038"/>
      <c r="J43" s="1038"/>
      <c r="K43" s="1038"/>
      <c r="L43" s="1402"/>
      <c r="M43" s="1402">
        <f t="shared" ref="M43" si="129">(M42/L42)-1</f>
        <v>0.48020931168656911</v>
      </c>
      <c r="N43" s="1402">
        <f t="shared" ref="N43" si="130">(N42/M42)-1</f>
        <v>0.22371283538796227</v>
      </c>
      <c r="O43" s="1402">
        <f t="shared" ref="O43" si="131">(O42/N42)-1</f>
        <v>2.0833333333333259E-2</v>
      </c>
      <c r="P43" s="1402">
        <f t="shared" ref="P43" si="132">(P42/O42)-1</f>
        <v>6.1632653061224563E-2</v>
      </c>
      <c r="Q43" s="1402">
        <f t="shared" ref="Q43" si="133">(Q42/P42)-1</f>
        <v>6.0000000000000053E-2</v>
      </c>
      <c r="R43" s="1402">
        <f t="shared" ref="R43" si="134">(R42/Q42)-1</f>
        <v>2.0000000000000018E-2</v>
      </c>
      <c r="S43" s="1402">
        <f t="shared" ref="S43" si="135">(S42/R42)-1</f>
        <v>2.0000000000000018E-2</v>
      </c>
      <c r="T43" s="1402">
        <f t="shared" ref="T43" si="136">(T42/S42)-1</f>
        <v>2.0000000000000018E-2</v>
      </c>
      <c r="U43" s="1402">
        <f t="shared" ref="U43" si="137">(U42/T42)-1</f>
        <v>2.0000000000000018E-2</v>
      </c>
      <c r="V43" s="1402">
        <f t="shared" ref="V43" si="138">(V42/U42)-1</f>
        <v>2.0000000000000018E-2</v>
      </c>
      <c r="W43" s="1402">
        <f t="shared" ref="W43" si="139">(W42/V42)-1</f>
        <v>2.0000000000000018E-2</v>
      </c>
      <c r="X43" s="1402">
        <f t="shared" ref="X43" si="140">(X42/W42)-1</f>
        <v>2.0000000000000018E-2</v>
      </c>
      <c r="Y43" s="1402">
        <f t="shared" ref="Y43" si="141">(Y42/X42)-1</f>
        <v>2.0000000000000018E-2</v>
      </c>
      <c r="Z43" s="1402">
        <f t="shared" ref="Z43" si="142">(Z42/Y42)-1</f>
        <v>2.0000000000000018E-2</v>
      </c>
      <c r="AA43" s="1402">
        <f t="shared" ref="AA43" si="143">(AA42/Z42)-1</f>
        <v>2.0000000000000018E-2</v>
      </c>
      <c r="AB43" s="1402">
        <f t="shared" ref="AB43" si="144">(AB42/AA42)-1</f>
        <v>2.0000000000000018E-2</v>
      </c>
      <c r="AC43" s="1402">
        <f t="shared" ref="AC43" si="145">(AC42/AB42)-1</f>
        <v>2.0000000000000018E-2</v>
      </c>
      <c r="AD43" s="1402">
        <f t="shared" ref="AD43" si="146">(AD42/AC42)-1</f>
        <v>1.9999999999999796E-2</v>
      </c>
      <c r="AE43" s="782"/>
      <c r="AF43" s="781"/>
      <c r="AX43" s="160"/>
      <c r="AY43" s="169"/>
      <c r="AZ43" s="169"/>
      <c r="BA43" s="169"/>
      <c r="BB43" s="169"/>
      <c r="BC43" s="169"/>
      <c r="BD43" s="169"/>
      <c r="BE43" s="169"/>
      <c r="BF43" s="807"/>
      <c r="BG43" s="807"/>
      <c r="BH43" s="807"/>
      <c r="BI43" s="807"/>
      <c r="BJ43" s="807"/>
      <c r="BK43" s="807"/>
      <c r="BL43" s="807"/>
      <c r="BM43" s="807"/>
      <c r="BN43" s="807"/>
      <c r="BO43" s="807"/>
      <c r="BP43" s="807"/>
      <c r="BQ43" s="807"/>
      <c r="BR43" s="807"/>
      <c r="BS43" s="807"/>
      <c r="BT43" s="807"/>
      <c r="BU43" s="807"/>
      <c r="BV43" s="807"/>
      <c r="BW43" s="807"/>
      <c r="BX43" s="807"/>
      <c r="BY43" s="1213"/>
      <c r="BZ43" s="1213"/>
    </row>
    <row r="44" spans="4:87" s="1403" customFormat="1" ht="14">
      <c r="D44" s="1418" t="s">
        <v>1152</v>
      </c>
      <c r="E44" s="1402"/>
      <c r="F44" s="1402"/>
      <c r="G44" s="1402"/>
      <c r="H44" s="1038"/>
      <c r="I44" s="1038"/>
      <c r="J44" s="1038"/>
      <c r="K44" s="1038"/>
      <c r="L44" s="1402">
        <f>L42/L48</f>
        <v>0.16906552338176414</v>
      </c>
      <c r="M44" s="1402">
        <f>M42/M48</f>
        <v>0.19612444444444443</v>
      </c>
      <c r="N44" s="1402">
        <f t="shared" ref="N44:O44" si="147">N42/N48</f>
        <v>0.24</v>
      </c>
      <c r="O44" s="1402">
        <f t="shared" si="147"/>
        <v>0.245</v>
      </c>
      <c r="P44" s="1402">
        <f>O44+1%</f>
        <v>0.255</v>
      </c>
      <c r="Q44" s="1402">
        <f>P44+1%</f>
        <v>0.26500000000000001</v>
      </c>
      <c r="R44" s="1402">
        <f t="shared" ref="R44:AD44" si="148">Q44</f>
        <v>0.26500000000000001</v>
      </c>
      <c r="S44" s="1402">
        <f t="shared" si="148"/>
        <v>0.26500000000000001</v>
      </c>
      <c r="T44" s="1402">
        <f t="shared" si="148"/>
        <v>0.26500000000000001</v>
      </c>
      <c r="U44" s="1402">
        <f t="shared" si="148"/>
        <v>0.26500000000000001</v>
      </c>
      <c r="V44" s="1402">
        <f t="shared" si="148"/>
        <v>0.26500000000000001</v>
      </c>
      <c r="W44" s="1402">
        <f t="shared" si="148"/>
        <v>0.26500000000000001</v>
      </c>
      <c r="X44" s="1402">
        <f t="shared" si="148"/>
        <v>0.26500000000000001</v>
      </c>
      <c r="Y44" s="1402">
        <f t="shared" si="148"/>
        <v>0.26500000000000001</v>
      </c>
      <c r="Z44" s="1402">
        <f t="shared" si="148"/>
        <v>0.26500000000000001</v>
      </c>
      <c r="AA44" s="1402">
        <f t="shared" si="148"/>
        <v>0.26500000000000001</v>
      </c>
      <c r="AB44" s="1402">
        <f t="shared" si="148"/>
        <v>0.26500000000000001</v>
      </c>
      <c r="AC44" s="1402">
        <f t="shared" si="148"/>
        <v>0.26500000000000001</v>
      </c>
      <c r="AD44" s="1402">
        <f t="shared" si="148"/>
        <v>0.26500000000000001</v>
      </c>
      <c r="AE44" s="782"/>
      <c r="AF44" s="781"/>
      <c r="AY44" s="1402"/>
      <c r="AZ44" s="1402"/>
      <c r="BA44" s="1402"/>
      <c r="BB44" s="1402"/>
      <c r="BC44" s="1402"/>
      <c r="BD44" s="1402"/>
      <c r="BE44" s="1402"/>
      <c r="BF44" s="1402"/>
      <c r="BG44" s="1402"/>
      <c r="BH44" s="1402"/>
      <c r="BI44" s="1402"/>
      <c r="BJ44" s="1402"/>
      <c r="BK44" s="1402"/>
      <c r="BL44" s="1402"/>
      <c r="BM44" s="1402"/>
      <c r="BN44" s="1402"/>
      <c r="BO44" s="1402"/>
      <c r="BP44" s="1402"/>
      <c r="BQ44" s="1402"/>
      <c r="BR44" s="1402"/>
      <c r="BS44" s="1402"/>
      <c r="BT44" s="1402"/>
      <c r="BU44" s="1402"/>
      <c r="BV44" s="1402"/>
      <c r="BW44" s="1402"/>
      <c r="BX44" s="1402"/>
      <c r="BY44" s="1213"/>
      <c r="BZ44" s="1213"/>
    </row>
    <row r="45" spans="4:87" s="160" customFormat="1">
      <c r="D45" s="874" t="s">
        <v>1154</v>
      </c>
      <c r="E45" s="190"/>
      <c r="F45" s="190"/>
      <c r="G45" s="190"/>
      <c r="H45" s="1390"/>
      <c r="I45" s="1390"/>
      <c r="J45" s="1390"/>
      <c r="K45" s="1390"/>
      <c r="L45" s="1390">
        <v>233944</v>
      </c>
      <c r="M45" s="1390">
        <v>283978</v>
      </c>
      <c r="N45" s="1390">
        <v>181999</v>
      </c>
      <c r="O45" s="1390">
        <v>128580</v>
      </c>
      <c r="P45" s="1390">
        <f>P47*P48</f>
        <v>126561.59999999998</v>
      </c>
      <c r="Q45" s="1390">
        <f t="shared" ref="Q45:AD45" si="149">Q47*Q48</f>
        <v>124411.03199999996</v>
      </c>
      <c r="R45" s="1390">
        <f t="shared" si="149"/>
        <v>126899.25263999998</v>
      </c>
      <c r="S45" s="1390">
        <f t="shared" si="149"/>
        <v>129437.23769279999</v>
      </c>
      <c r="T45" s="1390">
        <f t="shared" si="149"/>
        <v>132025.98244665598</v>
      </c>
      <c r="U45" s="1390">
        <f t="shared" si="149"/>
        <v>134666.50209558909</v>
      </c>
      <c r="V45" s="1390">
        <f t="shared" si="149"/>
        <v>137359.8321375009</v>
      </c>
      <c r="W45" s="1390">
        <f t="shared" si="149"/>
        <v>140107.02878025093</v>
      </c>
      <c r="X45" s="1390">
        <f t="shared" si="149"/>
        <v>142909.16935585593</v>
      </c>
      <c r="Y45" s="1390">
        <f t="shared" si="149"/>
        <v>145767.35274297305</v>
      </c>
      <c r="Z45" s="1390">
        <f t="shared" si="149"/>
        <v>148682.69979783252</v>
      </c>
      <c r="AA45" s="1390">
        <f t="shared" si="149"/>
        <v>151656.35379378917</v>
      </c>
      <c r="AB45" s="1390">
        <f t="shared" si="149"/>
        <v>154689.48086966496</v>
      </c>
      <c r="AC45" s="1390">
        <f t="shared" si="149"/>
        <v>157783.27048705827</v>
      </c>
      <c r="AD45" s="1390">
        <f t="shared" si="149"/>
        <v>160938.93589679943</v>
      </c>
      <c r="AE45" s="1398">
        <f t="shared" si="5"/>
        <v>-0.1808681048215699</v>
      </c>
      <c r="AF45" s="1399">
        <f t="shared" si="18"/>
        <v>1.0623430594646655E-2</v>
      </c>
      <c r="AX45" s="164"/>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1213"/>
      <c r="BZ45" s="1213"/>
    </row>
    <row r="46" spans="4:87" s="1403" customFormat="1" ht="14">
      <c r="D46" s="1418" t="s">
        <v>832</v>
      </c>
      <c r="E46" s="1402"/>
      <c r="F46" s="1402"/>
      <c r="G46" s="1402"/>
      <c r="H46" s="1038"/>
      <c r="I46" s="1038"/>
      <c r="J46" s="1038"/>
      <c r="K46" s="1038"/>
      <c r="L46" s="1402"/>
      <c r="M46" s="1402">
        <f t="shared" ref="M46" si="150">(M45/L45)-1</f>
        <v>0.21387169579044563</v>
      </c>
      <c r="N46" s="1402">
        <f t="shared" ref="N46" si="151">(N45/M45)-1</f>
        <v>-0.35910880420314251</v>
      </c>
      <c r="O46" s="1402">
        <f t="shared" ref="O46" si="152">(O45/N45)-1</f>
        <v>-0.29351260171759186</v>
      </c>
      <c r="P46" s="1402">
        <f t="shared" ref="P46" si="153">(P45/O45)-1</f>
        <v>-1.5697620158656278E-2</v>
      </c>
      <c r="Q46" s="1402">
        <f t="shared" ref="Q46" si="154">(Q45/P45)-1</f>
        <v>-1.6992263056092916E-2</v>
      </c>
      <c r="R46" s="1402">
        <f t="shared" ref="R46" si="155">(R45/Q45)-1</f>
        <v>2.0000000000000018E-2</v>
      </c>
      <c r="S46" s="1402">
        <f t="shared" ref="S46" si="156">(S45/R45)-1</f>
        <v>2.0000000000000018E-2</v>
      </c>
      <c r="T46" s="1402">
        <f t="shared" ref="T46" si="157">(T45/S45)-1</f>
        <v>2.0000000000000018E-2</v>
      </c>
      <c r="U46" s="1402">
        <f t="shared" ref="U46" si="158">(U45/T45)-1</f>
        <v>2.0000000000000018E-2</v>
      </c>
      <c r="V46" s="1402">
        <f t="shared" ref="V46" si="159">(V45/U45)-1</f>
        <v>2.000000000000024E-2</v>
      </c>
      <c r="W46" s="1402">
        <f t="shared" ref="W46" si="160">(W45/V45)-1</f>
        <v>2.0000000000000018E-2</v>
      </c>
      <c r="X46" s="1402">
        <f t="shared" ref="X46" si="161">(X45/W45)-1</f>
        <v>2.0000000000000018E-2</v>
      </c>
      <c r="Y46" s="1402">
        <f t="shared" ref="Y46" si="162">(Y45/X45)-1</f>
        <v>2.0000000000000018E-2</v>
      </c>
      <c r="Z46" s="1402">
        <f t="shared" ref="Z46" si="163">(Z45/Y45)-1</f>
        <v>2.0000000000000018E-2</v>
      </c>
      <c r="AA46" s="1402">
        <f t="shared" ref="AA46" si="164">(AA45/Z45)-1</f>
        <v>2.0000000000000018E-2</v>
      </c>
      <c r="AB46" s="1402">
        <f t="shared" ref="AB46" si="165">(AB45/AA45)-1</f>
        <v>2.0000000000000018E-2</v>
      </c>
      <c r="AC46" s="1402">
        <f t="shared" ref="AC46" si="166">(AC45/AB45)-1</f>
        <v>2.0000000000000018E-2</v>
      </c>
      <c r="AD46" s="1402">
        <f t="shared" ref="AD46" si="167">(AD45/AC45)-1</f>
        <v>2.0000000000000018E-2</v>
      </c>
      <c r="AE46" s="782"/>
      <c r="AF46" s="781"/>
      <c r="AX46" s="124"/>
      <c r="AY46" s="235"/>
      <c r="AZ46" s="235"/>
      <c r="BA46" s="235"/>
      <c r="BB46" s="235"/>
      <c r="BC46" s="235"/>
      <c r="BD46" s="235"/>
      <c r="BE46" s="235"/>
      <c r="BF46" s="816"/>
      <c r="BG46" s="816"/>
      <c r="BH46" s="816"/>
      <c r="BI46" s="816"/>
      <c r="BJ46" s="816"/>
      <c r="BK46" s="816"/>
      <c r="BL46" s="816"/>
      <c r="BM46" s="816"/>
      <c r="BN46" s="816"/>
      <c r="BO46" s="816"/>
      <c r="BP46" s="816"/>
      <c r="BQ46" s="816"/>
      <c r="BR46" s="816"/>
      <c r="BS46" s="816"/>
      <c r="BT46" s="816"/>
      <c r="BU46" s="816"/>
      <c r="BV46" s="816"/>
      <c r="BW46" s="816"/>
      <c r="BX46" s="816"/>
      <c r="BY46" s="1213"/>
      <c r="BZ46" s="1213"/>
    </row>
    <row r="47" spans="4:87" s="1403" customFormat="1" thickBot="1">
      <c r="D47" s="1418" t="s">
        <v>1152</v>
      </c>
      <c r="E47" s="1402"/>
      <c r="F47" s="1402"/>
      <c r="G47" s="1402"/>
      <c r="H47" s="1038"/>
      <c r="I47" s="1038"/>
      <c r="J47" s="1038"/>
      <c r="K47" s="1038"/>
      <c r="L47" s="1402">
        <f>L45/L48</f>
        <v>0.66335476992525544</v>
      </c>
      <c r="M47" s="1402">
        <f>M45/M48</f>
        <v>0.63106222222222219</v>
      </c>
      <c r="N47" s="1402">
        <f t="shared" ref="N47:O47" si="168">N45/N48</f>
        <v>0.4044422222222222</v>
      </c>
      <c r="O47" s="1402">
        <f t="shared" si="168"/>
        <v>0.28573333333333334</v>
      </c>
      <c r="P47" s="1402">
        <f>1-P41-P44</f>
        <v>0.27573333333333327</v>
      </c>
      <c r="Q47" s="1402">
        <f t="shared" ref="Q47:AD47" si="169">1-Q41-Q44</f>
        <v>0.26573333333333327</v>
      </c>
      <c r="R47" s="1402">
        <f t="shared" si="169"/>
        <v>0.26573333333333327</v>
      </c>
      <c r="S47" s="1402">
        <f t="shared" si="169"/>
        <v>0.26573333333333327</v>
      </c>
      <c r="T47" s="1402">
        <f t="shared" si="169"/>
        <v>0.26573333333333327</v>
      </c>
      <c r="U47" s="1402">
        <f t="shared" si="169"/>
        <v>0.26573333333333327</v>
      </c>
      <c r="V47" s="1402">
        <f t="shared" si="169"/>
        <v>0.26573333333333327</v>
      </c>
      <c r="W47" s="1402">
        <f t="shared" si="169"/>
        <v>0.26573333333333327</v>
      </c>
      <c r="X47" s="1402">
        <f t="shared" si="169"/>
        <v>0.26573333333333327</v>
      </c>
      <c r="Y47" s="1402">
        <f t="shared" si="169"/>
        <v>0.26573333333333327</v>
      </c>
      <c r="Z47" s="1402">
        <f t="shared" si="169"/>
        <v>0.26573333333333327</v>
      </c>
      <c r="AA47" s="1402">
        <f t="shared" si="169"/>
        <v>0.26573333333333327</v>
      </c>
      <c r="AB47" s="1402">
        <f t="shared" si="169"/>
        <v>0.26573333333333327</v>
      </c>
      <c r="AC47" s="1402">
        <f t="shared" si="169"/>
        <v>0.26573333333333327</v>
      </c>
      <c r="AD47" s="1402">
        <f t="shared" si="169"/>
        <v>0.26573333333333327</v>
      </c>
      <c r="AE47" s="782"/>
      <c r="AF47" s="781"/>
      <c r="AY47" s="1402"/>
      <c r="AZ47" s="1402"/>
      <c r="BA47" s="1402"/>
      <c r="BB47" s="1402"/>
      <c r="BC47" s="1402"/>
      <c r="BD47" s="1402"/>
      <c r="BE47" s="1402"/>
      <c r="BF47" s="1410"/>
      <c r="BG47" s="1410"/>
      <c r="BH47" s="1410"/>
      <c r="BI47" s="1410"/>
      <c r="BJ47" s="1410"/>
      <c r="BK47" s="1410"/>
      <c r="BL47" s="1410"/>
      <c r="BM47" s="1410"/>
      <c r="BN47" s="1410"/>
      <c r="BO47" s="1410"/>
      <c r="BP47" s="1410"/>
      <c r="BQ47" s="1410"/>
      <c r="BR47" s="1410"/>
      <c r="BS47" s="1410"/>
      <c r="BT47" s="1410"/>
      <c r="BU47" s="1410"/>
      <c r="BV47" s="1410"/>
      <c r="BW47" s="1410"/>
      <c r="BX47" s="1410"/>
      <c r="BY47" s="1213"/>
      <c r="BZ47" s="1213"/>
    </row>
    <row r="48" spans="4:87" s="20" customFormat="1" ht="16" thickBot="1">
      <c r="D48" s="691" t="s">
        <v>103</v>
      </c>
      <c r="E48" s="174"/>
      <c r="F48" s="174"/>
      <c r="G48" s="174"/>
      <c r="H48" s="843">
        <v>517500</v>
      </c>
      <c r="I48" s="843">
        <v>569437</v>
      </c>
      <c r="J48" s="843">
        <v>573183</v>
      </c>
      <c r="K48" s="843">
        <v>390290</v>
      </c>
      <c r="L48" s="843">
        <v>352668</v>
      </c>
      <c r="M48" s="843">
        <v>450000</v>
      </c>
      <c r="N48" s="843">
        <v>450000</v>
      </c>
      <c r="O48" s="843">
        <v>450000</v>
      </c>
      <c r="P48" s="843">
        <f>O48*(1+P49)</f>
        <v>459000</v>
      </c>
      <c r="Q48" s="843">
        <f t="shared" ref="Q48" si="170">P48*(1+Q49)</f>
        <v>468180</v>
      </c>
      <c r="R48" s="843">
        <f t="shared" ref="R48" si="171">Q48*(1+R49)</f>
        <v>477543.60000000003</v>
      </c>
      <c r="S48" s="843">
        <f t="shared" ref="S48" si="172">R48*(1+S49)</f>
        <v>487094.47200000007</v>
      </c>
      <c r="T48" s="843">
        <f t="shared" ref="T48" si="173">S48*(1+T49)</f>
        <v>496836.36144000007</v>
      </c>
      <c r="U48" s="843">
        <f t="shared" ref="U48" si="174">T48*(1+U49)</f>
        <v>506773.08866880008</v>
      </c>
      <c r="V48" s="843">
        <f t="shared" ref="V48" si="175">U48*(1+V49)</f>
        <v>516908.55044217611</v>
      </c>
      <c r="W48" s="843">
        <f t="shared" ref="W48" si="176">V48*(1+W49)</f>
        <v>527246.72145101964</v>
      </c>
      <c r="X48" s="843">
        <f t="shared" ref="X48" si="177">W48*(1+X49)</f>
        <v>537791.65588004002</v>
      </c>
      <c r="Y48" s="843">
        <f t="shared" ref="Y48" si="178">X48*(1+Y49)</f>
        <v>548547.48899764079</v>
      </c>
      <c r="Z48" s="843">
        <f t="shared" ref="Z48" si="179">Y48*(1+Z49)</f>
        <v>559518.43877759366</v>
      </c>
      <c r="AA48" s="843">
        <f t="shared" ref="AA48" si="180">Z48*(1+AA49)</f>
        <v>570708.80755314557</v>
      </c>
      <c r="AB48" s="843">
        <f t="shared" ref="AB48" si="181">AA48*(1+AB49)</f>
        <v>582122.98370420851</v>
      </c>
      <c r="AC48" s="843">
        <f t="shared" ref="AC48" si="182">AB48*(1+AC49)</f>
        <v>593765.44337829272</v>
      </c>
      <c r="AD48" s="843">
        <f t="shared" ref="AD48" si="183">AC48*(1+AD49)</f>
        <v>605640.75224585854</v>
      </c>
      <c r="AE48" s="1398">
        <f t="shared" si="5"/>
        <v>8.4631349741793871E-2</v>
      </c>
      <c r="AF48" s="1399">
        <f t="shared" si="18"/>
        <v>2.0000000000000018E-2</v>
      </c>
      <c r="AX48" s="1215"/>
      <c r="AY48" s="242"/>
      <c r="AZ48" s="242"/>
      <c r="BA48" s="242"/>
      <c r="BB48" s="242"/>
      <c r="BC48" s="242"/>
      <c r="BD48" s="242"/>
      <c r="BE48" s="242"/>
      <c r="BF48" s="1216"/>
      <c r="BG48" s="1216"/>
      <c r="BH48" s="1216"/>
      <c r="BI48" s="1216"/>
      <c r="BJ48" s="1216"/>
      <c r="BK48" s="1216"/>
      <c r="BL48" s="1216"/>
      <c r="BM48" s="1216"/>
      <c r="BN48" s="1216"/>
      <c r="BO48" s="1216"/>
      <c r="BP48" s="1216"/>
      <c r="BQ48" s="1216"/>
      <c r="BR48" s="1216"/>
      <c r="BS48" s="1216"/>
      <c r="BT48" s="1216"/>
      <c r="BU48" s="1216"/>
      <c r="BV48" s="1216"/>
      <c r="BW48" s="1216"/>
      <c r="BX48" s="1216"/>
      <c r="BY48" s="1213"/>
      <c r="BZ48" s="1213"/>
    </row>
    <row r="49" spans="4:106" s="1403" customFormat="1" thickBot="1">
      <c r="D49" s="1418" t="s">
        <v>832</v>
      </c>
      <c r="E49" s="1402"/>
      <c r="F49" s="1402"/>
      <c r="G49" s="1402"/>
      <c r="H49" s="1038"/>
      <c r="I49" s="1038"/>
      <c r="J49" s="1038"/>
      <c r="K49" s="1038"/>
      <c r="L49" s="1402">
        <f>(L48/K48)-1</f>
        <v>-9.6394988342002108E-2</v>
      </c>
      <c r="M49" s="1402">
        <f t="shared" ref="M49" si="184">(M48/L48)-1</f>
        <v>0.27598761441355601</v>
      </c>
      <c r="N49" s="1402">
        <f t="shared" ref="N49" si="185">(N48/M48)-1</f>
        <v>0</v>
      </c>
      <c r="O49" s="1402">
        <f t="shared" ref="O49" si="186">(O48/N48)-1</f>
        <v>0</v>
      </c>
      <c r="P49" s="1402">
        <v>0.02</v>
      </c>
      <c r="Q49" s="1402">
        <f>P49</f>
        <v>0.02</v>
      </c>
      <c r="R49" s="1402">
        <f>Q49</f>
        <v>0.02</v>
      </c>
      <c r="S49" s="1402">
        <f>R49</f>
        <v>0.02</v>
      </c>
      <c r="T49" s="1402">
        <f t="shared" ref="T49:AD49" si="187">S49</f>
        <v>0.02</v>
      </c>
      <c r="U49" s="1402">
        <f t="shared" si="187"/>
        <v>0.02</v>
      </c>
      <c r="V49" s="1402">
        <f t="shared" si="187"/>
        <v>0.02</v>
      </c>
      <c r="W49" s="1402">
        <f t="shared" si="187"/>
        <v>0.02</v>
      </c>
      <c r="X49" s="1402">
        <f t="shared" si="187"/>
        <v>0.02</v>
      </c>
      <c r="Y49" s="1402">
        <f t="shared" si="187"/>
        <v>0.02</v>
      </c>
      <c r="Z49" s="1402">
        <f t="shared" si="187"/>
        <v>0.02</v>
      </c>
      <c r="AA49" s="1402">
        <f t="shared" si="187"/>
        <v>0.02</v>
      </c>
      <c r="AB49" s="1402">
        <f t="shared" si="187"/>
        <v>0.02</v>
      </c>
      <c r="AC49" s="1402">
        <f t="shared" si="187"/>
        <v>0.02</v>
      </c>
      <c r="AD49" s="1402">
        <f t="shared" si="187"/>
        <v>0.02</v>
      </c>
      <c r="AE49" s="782"/>
      <c r="AF49" s="781"/>
      <c r="AY49" s="1402"/>
      <c r="AZ49" s="1402"/>
      <c r="BA49" s="1402"/>
      <c r="BB49" s="1402"/>
      <c r="BC49" s="1402"/>
      <c r="BD49" s="1402"/>
      <c r="BE49" s="1402"/>
      <c r="BF49" s="1410"/>
      <c r="BG49" s="1410"/>
      <c r="BH49" s="1410"/>
      <c r="BI49" s="1410"/>
      <c r="BJ49" s="1410"/>
      <c r="BK49" s="1410"/>
      <c r="BL49" s="1410"/>
      <c r="BM49" s="1410"/>
      <c r="BN49" s="1410"/>
      <c r="BO49" s="1410"/>
      <c r="BP49" s="1410"/>
      <c r="BQ49" s="1410"/>
      <c r="BR49" s="1410"/>
      <c r="BS49" s="1410"/>
      <c r="BT49" s="1410"/>
      <c r="BU49" s="1410"/>
      <c r="BV49" s="1410"/>
      <c r="BW49" s="1410"/>
      <c r="BX49" s="1410"/>
      <c r="BY49" s="1213"/>
      <c r="BZ49" s="1213"/>
    </row>
    <row r="50" spans="4:106" s="420" customFormat="1" ht="16" thickBot="1">
      <c r="D50" s="693" t="s">
        <v>1155</v>
      </c>
      <c r="E50" s="380"/>
      <c r="F50" s="380"/>
      <c r="G50" s="380"/>
      <c r="H50" s="1024"/>
      <c r="I50" s="1024"/>
      <c r="J50" s="1024"/>
      <c r="K50" s="1024"/>
      <c r="L50" s="1024">
        <f>SUM(L39,L42)</f>
        <v>118724</v>
      </c>
      <c r="M50" s="1024">
        <f t="shared" ref="M50:AD50" si="188">SUM(M39,M42)</f>
        <v>166022</v>
      </c>
      <c r="N50" s="1024">
        <f t="shared" si="188"/>
        <v>268001</v>
      </c>
      <c r="O50" s="1024">
        <f t="shared" si="188"/>
        <v>321420</v>
      </c>
      <c r="P50" s="1024">
        <f t="shared" si="188"/>
        <v>332438.40000000002</v>
      </c>
      <c r="Q50" s="1024">
        <f t="shared" si="188"/>
        <v>343768.96799999999</v>
      </c>
      <c r="R50" s="1024">
        <f t="shared" si="188"/>
        <v>350644.34736000001</v>
      </c>
      <c r="S50" s="1024">
        <f t="shared" si="188"/>
        <v>357657.23430720007</v>
      </c>
      <c r="T50" s="1024">
        <f t="shared" si="188"/>
        <v>364810.37899334403</v>
      </c>
      <c r="U50" s="1024">
        <f t="shared" si="188"/>
        <v>372106.58657321095</v>
      </c>
      <c r="V50" s="1024">
        <f t="shared" si="188"/>
        <v>379548.71830467519</v>
      </c>
      <c r="W50" s="1024">
        <f t="shared" si="188"/>
        <v>387139.69267076871</v>
      </c>
      <c r="X50" s="1024">
        <f t="shared" si="188"/>
        <v>394882.48652418406</v>
      </c>
      <c r="Y50" s="1024">
        <f t="shared" si="188"/>
        <v>402780.13625466771</v>
      </c>
      <c r="Z50" s="1024">
        <f t="shared" si="188"/>
        <v>410835.73897976114</v>
      </c>
      <c r="AA50" s="1024">
        <f t="shared" si="188"/>
        <v>419052.45375935634</v>
      </c>
      <c r="AB50" s="1024">
        <f t="shared" si="188"/>
        <v>427433.50283454347</v>
      </c>
      <c r="AC50" s="1024">
        <f t="shared" si="188"/>
        <v>435982.1728912344</v>
      </c>
      <c r="AD50" s="1024">
        <f t="shared" si="188"/>
        <v>444701.81634905905</v>
      </c>
      <c r="AE50" s="1398">
        <f>(O50/L50)^(1/3)-1</f>
        <v>0.39372832218443365</v>
      </c>
      <c r="AF50" s="1399">
        <f t="shared" si="18"/>
        <v>2.3502718606870143E-2</v>
      </c>
      <c r="AX50" s="164"/>
      <c r="AY50" s="241"/>
      <c r="AZ50" s="241"/>
      <c r="BA50" s="241"/>
      <c r="BB50" s="241"/>
      <c r="BC50" s="241"/>
      <c r="BD50" s="241"/>
      <c r="BE50" s="241"/>
      <c r="BF50" s="692"/>
      <c r="BG50" s="692"/>
      <c r="BH50" s="692"/>
      <c r="BI50" s="692"/>
      <c r="BJ50" s="692"/>
      <c r="BK50" s="692"/>
      <c r="BL50" s="692"/>
      <c r="BM50" s="692"/>
      <c r="BN50" s="692"/>
      <c r="BO50" s="692"/>
      <c r="BP50" s="692"/>
      <c r="BQ50" s="692"/>
      <c r="BR50" s="692"/>
      <c r="BS50" s="692"/>
      <c r="BT50" s="692"/>
      <c r="BU50" s="692"/>
      <c r="BV50" s="692"/>
      <c r="BW50" s="692"/>
      <c r="BX50" s="692"/>
      <c r="BY50" s="1213"/>
      <c r="BZ50" s="1213"/>
    </row>
    <row r="51" spans="4:106" s="1403" customFormat="1" ht="14">
      <c r="D51" s="1418" t="s">
        <v>832</v>
      </c>
      <c r="E51" s="1402"/>
      <c r="F51" s="1402"/>
      <c r="G51" s="1402"/>
      <c r="H51" s="1038"/>
      <c r="I51" s="1038"/>
      <c r="J51" s="1038"/>
      <c r="K51" s="1038"/>
      <c r="L51" s="1402"/>
      <c r="M51" s="1402">
        <f t="shared" ref="M51" si="189">M50/L50-1</f>
        <v>0.39838617297260881</v>
      </c>
      <c r="N51" s="1402">
        <f t="shared" ref="N51" si="190">N50/M50-1</f>
        <v>0.61424991868547552</v>
      </c>
      <c r="O51" s="1402">
        <f t="shared" ref="O51" si="191">O50/N50-1</f>
        <v>0.19932388311983917</v>
      </c>
      <c r="P51" s="1402">
        <f t="shared" ref="P51" si="192">P50/O50-1</f>
        <v>3.4280380810155053E-2</v>
      </c>
      <c r="Q51" s="1402">
        <f t="shared" ref="Q51" si="193">Q50/P50-1</f>
        <v>3.4083210603829128E-2</v>
      </c>
      <c r="R51" s="1402">
        <f t="shared" ref="R51" si="194">R50/Q50-1</f>
        <v>2.0000000000000018E-2</v>
      </c>
      <c r="S51" s="1402">
        <f t="shared" ref="S51" si="195">S50/R50-1</f>
        <v>2.000000000000024E-2</v>
      </c>
      <c r="T51" s="1402">
        <f t="shared" ref="T51" si="196">T50/S50-1</f>
        <v>1.9999999999999796E-2</v>
      </c>
      <c r="U51" s="1402">
        <f t="shared" ref="U51" si="197">U50/T50-1</f>
        <v>2.0000000000000018E-2</v>
      </c>
      <c r="V51" s="1402">
        <f t="shared" ref="V51" si="198">V50/U50-1</f>
        <v>2.0000000000000018E-2</v>
      </c>
      <c r="W51" s="1402">
        <f t="shared" ref="W51" si="199">W50/V50-1</f>
        <v>2.0000000000000018E-2</v>
      </c>
      <c r="X51" s="1402">
        <f t="shared" ref="X51" si="200">X50/W50-1</f>
        <v>2.0000000000000018E-2</v>
      </c>
      <c r="Y51" s="1402">
        <f t="shared" ref="Y51" si="201">Y50/X50-1</f>
        <v>2.0000000000000018E-2</v>
      </c>
      <c r="Z51" s="1402">
        <f t="shared" ref="Z51" si="202">Z50/Y50-1</f>
        <v>2.000000000000024E-2</v>
      </c>
      <c r="AA51" s="1402">
        <f t="shared" ref="AA51" si="203">AA50/Z50-1</f>
        <v>2.0000000000000018E-2</v>
      </c>
      <c r="AB51" s="1402">
        <f t="shared" ref="AB51" si="204">AB50/AA50-1</f>
        <v>2.0000000000000018E-2</v>
      </c>
      <c r="AC51" s="1402">
        <f t="shared" ref="AC51" si="205">AC50/AB50-1</f>
        <v>2.000000000000024E-2</v>
      </c>
      <c r="AD51" s="1402">
        <f t="shared" ref="AD51" si="206">AD50/AC50-1</f>
        <v>2.0000000000000018E-2</v>
      </c>
      <c r="AE51" s="782"/>
      <c r="AF51" s="781"/>
    </row>
    <row r="52" spans="4:106" s="1403" customFormat="1" thickBot="1">
      <c r="D52" s="1420" t="s">
        <v>1152</v>
      </c>
      <c r="E52" s="1411"/>
      <c r="F52" s="1411"/>
      <c r="G52" s="1411"/>
      <c r="H52" s="1422"/>
      <c r="I52" s="1422"/>
      <c r="J52" s="1422"/>
      <c r="K52" s="1422"/>
      <c r="L52" s="1411">
        <f>L50/L48</f>
        <v>0.33664523007474451</v>
      </c>
      <c r="M52" s="1411">
        <f t="shared" ref="M52:AD52" si="207">M50/M48</f>
        <v>0.36893777777777775</v>
      </c>
      <c r="N52" s="1411">
        <f t="shared" si="207"/>
        <v>0.59555777777777774</v>
      </c>
      <c r="O52" s="1411">
        <f t="shared" si="207"/>
        <v>0.71426666666666672</v>
      </c>
      <c r="P52" s="1411">
        <f t="shared" si="207"/>
        <v>0.72426666666666673</v>
      </c>
      <c r="Q52" s="1411">
        <f t="shared" si="207"/>
        <v>0.73426666666666662</v>
      </c>
      <c r="R52" s="1411">
        <f t="shared" si="207"/>
        <v>0.73426666666666662</v>
      </c>
      <c r="S52" s="1411">
        <f t="shared" si="207"/>
        <v>0.73426666666666673</v>
      </c>
      <c r="T52" s="1411">
        <f t="shared" si="207"/>
        <v>0.73426666666666662</v>
      </c>
      <c r="U52" s="1411">
        <f t="shared" si="207"/>
        <v>0.73426666666666673</v>
      </c>
      <c r="V52" s="1411">
        <f t="shared" si="207"/>
        <v>0.73426666666666673</v>
      </c>
      <c r="W52" s="1411">
        <f t="shared" si="207"/>
        <v>0.73426666666666673</v>
      </c>
      <c r="X52" s="1411">
        <f t="shared" si="207"/>
        <v>0.73426666666666662</v>
      </c>
      <c r="Y52" s="1411">
        <f t="shared" si="207"/>
        <v>0.73426666666666662</v>
      </c>
      <c r="Z52" s="1411">
        <f t="shared" si="207"/>
        <v>0.73426666666666673</v>
      </c>
      <c r="AA52" s="1411">
        <f t="shared" si="207"/>
        <v>0.73426666666666662</v>
      </c>
      <c r="AB52" s="1411">
        <f t="shared" si="207"/>
        <v>0.73426666666666662</v>
      </c>
      <c r="AC52" s="1411">
        <f t="shared" si="207"/>
        <v>0.73426666666666662</v>
      </c>
      <c r="AD52" s="1411">
        <f t="shared" si="207"/>
        <v>0.73426666666666662</v>
      </c>
      <c r="AE52" s="783"/>
      <c r="AF52" s="784"/>
    </row>
    <row r="53" spans="4:106" s="164" customFormat="1" ht="21" thickBot="1">
      <c r="D53" s="520"/>
      <c r="E53" s="241"/>
      <c r="F53" s="241"/>
      <c r="G53" s="241"/>
      <c r="H53" s="1023"/>
      <c r="I53" s="1023"/>
      <c r="J53" s="1023"/>
      <c r="K53" s="1023"/>
      <c r="L53" s="1023"/>
      <c r="M53" s="1023"/>
      <c r="N53" s="1023"/>
      <c r="O53" s="1023"/>
      <c r="P53" s="1025"/>
      <c r="AF53" s="162"/>
      <c r="AK53" s="1210" t="s">
        <v>1659</v>
      </c>
      <c r="AS53" s="1210" t="s">
        <v>1714</v>
      </c>
      <c r="BA53" s="1210" t="s">
        <v>1713</v>
      </c>
      <c r="BM53" s="1210" t="s">
        <v>1790</v>
      </c>
      <c r="BN53" s="1794"/>
      <c r="BO53" s="1794"/>
      <c r="BP53" s="1794"/>
      <c r="BQ53" s="1794"/>
      <c r="BR53" s="1794"/>
      <c r="BS53" s="1794"/>
      <c r="BT53" s="1794"/>
      <c r="BU53" s="1794"/>
      <c r="BV53" s="1794"/>
      <c r="BW53" s="1794"/>
      <c r="BX53" s="1794"/>
      <c r="BY53" s="1794"/>
      <c r="BZ53" s="1210" t="s">
        <v>1791</v>
      </c>
      <c r="CA53" s="1794"/>
      <c r="CB53" s="1794"/>
      <c r="CC53" s="1794"/>
      <c r="CD53" s="1794"/>
    </row>
    <row r="54" spans="4:106" s="50" customFormat="1" ht="16" thickBot="1">
      <c r="D54" s="722" t="s">
        <v>1156</v>
      </c>
      <c r="E54" s="731"/>
      <c r="F54" s="731"/>
      <c r="G54" s="731"/>
      <c r="H54" s="1026"/>
      <c r="I54" s="1026"/>
      <c r="J54" s="1026"/>
      <c r="K54" s="1026"/>
      <c r="L54" s="1027" t="s">
        <v>20</v>
      </c>
      <c r="M54" s="1027" t="s">
        <v>21</v>
      </c>
      <c r="N54" s="1027" t="s">
        <v>22</v>
      </c>
      <c r="O54" s="1027" t="s">
        <v>23</v>
      </c>
      <c r="P54" s="1028" t="s">
        <v>24</v>
      </c>
      <c r="Q54" s="404" t="s">
        <v>25</v>
      </c>
      <c r="R54" s="404" t="s">
        <v>26</v>
      </c>
      <c r="S54" s="404" t="s">
        <v>27</v>
      </c>
      <c r="T54" s="1380" t="s">
        <v>712</v>
      </c>
      <c r="U54" s="404" t="s">
        <v>713</v>
      </c>
      <c r="V54" s="404" t="s">
        <v>714</v>
      </c>
      <c r="W54" s="404" t="s">
        <v>715</v>
      </c>
      <c r="X54" s="404" t="s">
        <v>716</v>
      </c>
      <c r="Y54" s="404" t="s">
        <v>717</v>
      </c>
      <c r="Z54" s="404" t="s">
        <v>718</v>
      </c>
      <c r="AA54" s="404" t="s">
        <v>719</v>
      </c>
      <c r="AB54" s="404" t="s">
        <v>720</v>
      </c>
      <c r="AC54" s="404" t="s">
        <v>721</v>
      </c>
      <c r="AD54" s="404" t="s">
        <v>722</v>
      </c>
      <c r="AE54" s="1379" t="s">
        <v>1445</v>
      </c>
      <c r="AF54" s="1380" t="s">
        <v>1446</v>
      </c>
      <c r="BA54" s="336"/>
      <c r="BB54" s="336"/>
      <c r="BC54" s="336"/>
      <c r="BD54" s="336"/>
      <c r="BE54" s="1217"/>
      <c r="BF54" s="1217"/>
      <c r="BG54" s="1217"/>
      <c r="BH54" s="1217"/>
      <c r="BI54" s="1217"/>
      <c r="BJ54" s="1217"/>
      <c r="BK54" s="1217"/>
      <c r="BL54" s="1217"/>
      <c r="BM54" s="242"/>
      <c r="BN54" s="243"/>
      <c r="BO54" s="243"/>
      <c r="BP54" s="243"/>
      <c r="BQ54" s="852"/>
      <c r="BR54" s="852"/>
      <c r="BS54" s="852"/>
      <c r="BT54" s="852"/>
      <c r="BU54" s="1217"/>
      <c r="BV54" s="1217"/>
      <c r="BW54" s="1217"/>
      <c r="BX54" s="1217"/>
      <c r="BY54" s="1097"/>
      <c r="BZ54" s="242"/>
      <c r="CA54" s="243"/>
      <c r="CB54" s="243"/>
      <c r="CC54" s="243"/>
      <c r="CD54" s="243"/>
      <c r="CE54" s="243"/>
      <c r="CF54" s="243"/>
      <c r="CG54" s="243"/>
      <c r="CH54" s="336"/>
      <c r="CI54" s="336"/>
      <c r="CJ54" s="336"/>
      <c r="CK54" s="336"/>
      <c r="CL54" s="1382"/>
      <c r="CM54" s="1382"/>
      <c r="CN54" s="1382"/>
      <c r="CO54" s="1382"/>
      <c r="CP54" s="1382"/>
      <c r="CQ54" s="1382"/>
      <c r="CR54" s="1382"/>
      <c r="CS54" s="1382"/>
      <c r="CT54" s="1382"/>
      <c r="CU54" s="1382"/>
      <c r="CV54" s="1382"/>
      <c r="CW54" s="1382"/>
      <c r="CX54" s="1382"/>
      <c r="CY54" s="1382"/>
      <c r="CZ54" s="1382"/>
      <c r="DA54" s="1382"/>
      <c r="DB54" s="1382"/>
    </row>
    <row r="55" spans="4:106" s="50" customFormat="1">
      <c r="D55" s="874" t="s">
        <v>1151</v>
      </c>
      <c r="E55" s="190"/>
      <c r="F55" s="190"/>
      <c r="G55" s="190"/>
      <c r="H55" s="1390"/>
      <c r="I55" s="1390">
        <v>498</v>
      </c>
      <c r="J55" s="1390">
        <v>348</v>
      </c>
      <c r="K55" s="1390">
        <v>325</v>
      </c>
      <c r="L55" s="1390">
        <v>327</v>
      </c>
      <c r="M55" s="1390">
        <v>328</v>
      </c>
      <c r="N55" s="1390">
        <v>288</v>
      </c>
      <c r="O55" s="1390">
        <v>238</v>
      </c>
      <c r="P55" s="1390">
        <f>P57*P64</f>
        <v>254.184</v>
      </c>
      <c r="Q55" s="1390">
        <f t="shared" ref="Q55:AD55" si="208">Q57*Q64</f>
        <v>256.72584000000001</v>
      </c>
      <c r="R55" s="1390">
        <f t="shared" si="208"/>
        <v>259.29309840000002</v>
      </c>
      <c r="S55" s="1390">
        <f t="shared" si="208"/>
        <v>261.88602938400004</v>
      </c>
      <c r="T55" s="1426">
        <f t="shared" si="208"/>
        <v>264.50488967784003</v>
      </c>
      <c r="U55" s="1390">
        <f t="shared" si="208"/>
        <v>265.8274141262292</v>
      </c>
      <c r="V55" s="1390">
        <f t="shared" si="208"/>
        <v>267.15655119686033</v>
      </c>
      <c r="W55" s="1390">
        <f t="shared" si="208"/>
        <v>268.4923339528446</v>
      </c>
      <c r="X55" s="1390">
        <f t="shared" si="208"/>
        <v>269.83479562260879</v>
      </c>
      <c r="Y55" s="1390">
        <f t="shared" si="208"/>
        <v>271.18396960072181</v>
      </c>
      <c r="Z55" s="1390">
        <f t="shared" si="208"/>
        <v>272.53988944872543</v>
      </c>
      <c r="AA55" s="1390">
        <f t="shared" si="208"/>
        <v>273.90258889596902</v>
      </c>
      <c r="AB55" s="1390">
        <f t="shared" si="208"/>
        <v>275.27210184044878</v>
      </c>
      <c r="AC55" s="1390">
        <f t="shared" si="208"/>
        <v>276.64846234965103</v>
      </c>
      <c r="AD55" s="1390">
        <f t="shared" si="208"/>
        <v>278.03170466139926</v>
      </c>
      <c r="AE55" s="1391">
        <f>(O55/L55)^(1/3)-1</f>
        <v>-0.10048225582358261</v>
      </c>
      <c r="AF55" s="1392">
        <f>(T55/P55)^(1/4)-1</f>
        <v>1.0000000000000009E-2</v>
      </c>
      <c r="BA55" s="190"/>
      <c r="BB55" s="190"/>
      <c r="BC55" s="190"/>
      <c r="BD55" s="190"/>
      <c r="BE55" s="1390"/>
      <c r="BF55" s="1390"/>
      <c r="BG55" s="1390"/>
      <c r="BH55" s="1390"/>
      <c r="BI55" s="1390"/>
      <c r="BJ55" s="1390"/>
      <c r="BK55" s="1390"/>
      <c r="BL55" s="1390"/>
      <c r="BM55" s="190"/>
      <c r="BN55" s="190"/>
      <c r="BO55" s="190"/>
      <c r="BP55" s="190"/>
      <c r="BQ55" s="1390"/>
      <c r="BR55" s="1390"/>
      <c r="BS55" s="1390"/>
      <c r="BT55" s="1390"/>
      <c r="BU55" s="1390"/>
      <c r="BV55" s="1390"/>
      <c r="BW55" s="1390"/>
      <c r="BX55" s="1390"/>
      <c r="BY55" s="1390"/>
      <c r="BZ55" s="190"/>
      <c r="CA55" s="190"/>
      <c r="CB55" s="190"/>
      <c r="CC55" s="190"/>
      <c r="CD55" s="190"/>
      <c r="CE55" s="190"/>
      <c r="CF55" s="190"/>
      <c r="CG55" s="190"/>
      <c r="CH55" s="1390"/>
      <c r="CI55" s="1390"/>
      <c r="CJ55" s="1390"/>
      <c r="CK55" s="1390"/>
      <c r="CL55" s="1390"/>
      <c r="CM55" s="1390"/>
      <c r="CN55" s="1390"/>
      <c r="CO55" s="1390"/>
      <c r="CP55" s="1390"/>
      <c r="CQ55" s="1390"/>
      <c r="CR55" s="1390"/>
      <c r="CS55" s="1390"/>
      <c r="CT55" s="1390"/>
      <c r="CU55" s="1390"/>
      <c r="CV55" s="1390"/>
      <c r="CW55" s="1390"/>
      <c r="CX55" s="1390"/>
      <c r="CY55" s="1390"/>
      <c r="CZ55" s="1390"/>
      <c r="DA55" s="1396"/>
      <c r="DB55" s="1396"/>
    </row>
    <row r="56" spans="4:106" s="1403" customFormat="1" ht="14">
      <c r="D56" s="1418" t="s">
        <v>832</v>
      </c>
      <c r="E56" s="1402"/>
      <c r="F56" s="1402"/>
      <c r="G56" s="1402"/>
      <c r="H56" s="1038"/>
      <c r="I56" s="1038"/>
      <c r="J56" s="1038"/>
      <c r="K56" s="1038"/>
      <c r="L56" s="1402">
        <f t="shared" ref="L56:AD56" si="209">(L55/K55)-1</f>
        <v>6.1538461538461764E-3</v>
      </c>
      <c r="M56" s="1402">
        <f t="shared" si="209"/>
        <v>3.0581039755350758E-3</v>
      </c>
      <c r="N56" s="1402">
        <f t="shared" si="209"/>
        <v>-0.12195121951219512</v>
      </c>
      <c r="O56" s="1402">
        <f t="shared" si="209"/>
        <v>-0.17361111111111116</v>
      </c>
      <c r="P56" s="1402">
        <f t="shared" si="209"/>
        <v>6.800000000000006E-2</v>
      </c>
      <c r="Q56" s="1402">
        <f t="shared" si="209"/>
        <v>1.0000000000000009E-2</v>
      </c>
      <c r="R56" s="1402">
        <f t="shared" si="209"/>
        <v>1.0000000000000009E-2</v>
      </c>
      <c r="S56" s="1402">
        <f t="shared" si="209"/>
        <v>1.0000000000000009E-2</v>
      </c>
      <c r="T56" s="1402">
        <f t="shared" si="209"/>
        <v>1.0000000000000009E-2</v>
      </c>
      <c r="U56" s="1402">
        <f t="shared" si="209"/>
        <v>4.9999999999998934E-3</v>
      </c>
      <c r="V56" s="1402">
        <f t="shared" si="209"/>
        <v>4.9999999999998934E-3</v>
      </c>
      <c r="W56" s="1402">
        <f t="shared" si="209"/>
        <v>4.9999999999998934E-3</v>
      </c>
      <c r="X56" s="1402">
        <f t="shared" si="209"/>
        <v>4.9999999999998934E-3</v>
      </c>
      <c r="Y56" s="1402">
        <f t="shared" si="209"/>
        <v>4.9999999999998934E-3</v>
      </c>
      <c r="Z56" s="1402">
        <f t="shared" si="209"/>
        <v>5.0000000000001155E-3</v>
      </c>
      <c r="AA56" s="1402">
        <f t="shared" si="209"/>
        <v>4.9999999999998934E-3</v>
      </c>
      <c r="AB56" s="1402">
        <f t="shared" si="209"/>
        <v>4.9999999999996714E-3</v>
      </c>
      <c r="AC56" s="1402">
        <f t="shared" si="209"/>
        <v>4.9999999999998934E-3</v>
      </c>
      <c r="AD56" s="1402">
        <f t="shared" si="209"/>
        <v>4.9999999999998934E-3</v>
      </c>
      <c r="AE56" s="1298"/>
      <c r="AF56" s="1299"/>
      <c r="BA56" s="1402"/>
      <c r="BB56" s="1402"/>
      <c r="BC56" s="1402"/>
      <c r="BD56" s="1402"/>
      <c r="BE56" s="1038"/>
      <c r="BF56" s="1038"/>
      <c r="BG56" s="1038"/>
      <c r="BH56" s="1038"/>
      <c r="BI56" s="1402"/>
      <c r="BJ56" s="1402"/>
      <c r="BK56" s="1402"/>
      <c r="BL56" s="1402"/>
      <c r="BM56" s="1402"/>
      <c r="BN56" s="1402"/>
      <c r="BO56" s="1402"/>
      <c r="BP56" s="1402"/>
      <c r="BQ56" s="1038"/>
      <c r="BR56" s="1038"/>
      <c r="BS56" s="1038"/>
      <c r="BT56" s="1038"/>
      <c r="BU56" s="1402"/>
      <c r="BV56" s="1402"/>
      <c r="BW56" s="1402"/>
      <c r="BX56" s="1402"/>
      <c r="BY56" s="1402"/>
      <c r="BZ56" s="1402"/>
      <c r="CA56" s="1402"/>
      <c r="CB56" s="1402"/>
      <c r="CC56" s="1402"/>
      <c r="CD56" s="1402"/>
      <c r="CE56" s="1402"/>
      <c r="CF56" s="1402"/>
      <c r="CG56" s="1402"/>
      <c r="CH56" s="1402"/>
      <c r="CI56" s="1402"/>
      <c r="CJ56" s="1402"/>
      <c r="CK56" s="1402"/>
      <c r="CL56" s="1402"/>
      <c r="CM56" s="1402"/>
      <c r="CN56" s="1402"/>
      <c r="CO56" s="1402"/>
      <c r="CP56" s="1402"/>
      <c r="CQ56" s="1402"/>
      <c r="CR56" s="1402"/>
      <c r="CS56" s="1402"/>
      <c r="CT56" s="1402"/>
      <c r="CU56" s="1402"/>
      <c r="CV56" s="1402"/>
      <c r="CW56" s="1402"/>
      <c r="CX56" s="1402"/>
      <c r="CY56" s="1402"/>
      <c r="CZ56" s="1402"/>
      <c r="DA56" s="1300"/>
      <c r="DB56" s="1300"/>
    </row>
    <row r="57" spans="4:106" s="1403" customFormat="1" ht="14">
      <c r="D57" s="1418" t="s">
        <v>1152</v>
      </c>
      <c r="E57" s="1402"/>
      <c r="F57" s="1402"/>
      <c r="G57" s="1402"/>
      <c r="H57" s="1038"/>
      <c r="I57" s="1038"/>
      <c r="J57" s="1038"/>
      <c r="K57" s="1038"/>
      <c r="L57" s="1402">
        <f>L55/L64</f>
        <v>0.13484536082474227</v>
      </c>
      <c r="M57" s="1402">
        <f>M55/M64</f>
        <v>0.13486842105263158</v>
      </c>
      <c r="N57" s="1402">
        <f>N55/N64</f>
        <v>0.13290263036455929</v>
      </c>
      <c r="O57" s="1402">
        <f>O55/O64</f>
        <v>0.13214880621876735</v>
      </c>
      <c r="P57" s="1402">
        <f>O57</f>
        <v>0.13214880621876735</v>
      </c>
      <c r="Q57" s="1402">
        <f>P57</f>
        <v>0.13214880621876735</v>
      </c>
      <c r="R57" s="1402">
        <f t="shared" ref="R57:T57" si="210">Q57</f>
        <v>0.13214880621876735</v>
      </c>
      <c r="S57" s="1402">
        <f t="shared" si="210"/>
        <v>0.13214880621876735</v>
      </c>
      <c r="T57" s="1402">
        <f t="shared" si="210"/>
        <v>0.13214880621876735</v>
      </c>
      <c r="U57" s="1402">
        <f t="shared" ref="U57:AD57" si="211">T57</f>
        <v>0.13214880621876735</v>
      </c>
      <c r="V57" s="1402">
        <f t="shared" si="211"/>
        <v>0.13214880621876735</v>
      </c>
      <c r="W57" s="1402">
        <f t="shared" si="211"/>
        <v>0.13214880621876735</v>
      </c>
      <c r="X57" s="1402">
        <f t="shared" si="211"/>
        <v>0.13214880621876735</v>
      </c>
      <c r="Y57" s="1402">
        <f t="shared" si="211"/>
        <v>0.13214880621876735</v>
      </c>
      <c r="Z57" s="1402">
        <f t="shared" si="211"/>
        <v>0.13214880621876735</v>
      </c>
      <c r="AA57" s="1402">
        <f t="shared" si="211"/>
        <v>0.13214880621876735</v>
      </c>
      <c r="AB57" s="1402">
        <f t="shared" si="211"/>
        <v>0.13214880621876735</v>
      </c>
      <c r="AC57" s="1402">
        <f t="shared" si="211"/>
        <v>0.13214880621876735</v>
      </c>
      <c r="AD57" s="1402">
        <f t="shared" si="211"/>
        <v>0.13214880621876735</v>
      </c>
      <c r="AE57" s="1298"/>
      <c r="AF57" s="1299"/>
      <c r="BA57" s="1402"/>
      <c r="BB57" s="1402"/>
      <c r="BC57" s="1402"/>
      <c r="BD57" s="1402"/>
      <c r="BE57" s="1038"/>
      <c r="BF57" s="1038"/>
      <c r="BG57" s="1038"/>
      <c r="BH57" s="1038"/>
      <c r="BI57" s="1402"/>
      <c r="BJ57" s="1402"/>
      <c r="BK57" s="1402"/>
      <c r="BL57" s="1402"/>
      <c r="BM57" s="1402"/>
      <c r="BN57" s="1402"/>
      <c r="BO57" s="1402"/>
      <c r="BP57" s="1402"/>
      <c r="BQ57" s="1038"/>
      <c r="BR57" s="1038"/>
      <c r="BS57" s="1038"/>
      <c r="BT57" s="1038"/>
      <c r="BU57" s="1402"/>
      <c r="BV57" s="1402"/>
      <c r="BW57" s="1402"/>
      <c r="BX57" s="1402"/>
      <c r="BY57" s="1402"/>
      <c r="BZ57" s="1402"/>
      <c r="CA57" s="1402"/>
      <c r="CB57" s="1402"/>
      <c r="CC57" s="1402"/>
      <c r="CD57" s="1402"/>
      <c r="CE57" s="1402"/>
      <c r="CF57" s="1402"/>
      <c r="CG57" s="1402"/>
      <c r="CH57" s="1402"/>
      <c r="CI57" s="1402"/>
      <c r="CJ57" s="1402"/>
      <c r="CK57" s="1402"/>
      <c r="CL57" s="1402"/>
      <c r="CM57" s="1402"/>
      <c r="CN57" s="1402"/>
      <c r="CO57" s="1402"/>
      <c r="CP57" s="1402"/>
      <c r="CQ57" s="1402"/>
      <c r="CR57" s="1402"/>
      <c r="CS57" s="1402"/>
      <c r="CT57" s="1402"/>
      <c r="CU57" s="1402"/>
      <c r="CV57" s="1402"/>
      <c r="CW57" s="1402"/>
      <c r="CX57" s="1402"/>
      <c r="CY57" s="1402"/>
      <c r="CZ57" s="1402"/>
      <c r="DA57" s="1300"/>
      <c r="DB57" s="1300"/>
    </row>
    <row r="58" spans="4:106" s="50" customFormat="1">
      <c r="D58" s="874" t="s">
        <v>1153</v>
      </c>
      <c r="E58" s="190"/>
      <c r="F58" s="190"/>
      <c r="G58" s="190"/>
      <c r="H58" s="1390"/>
      <c r="I58" s="1390"/>
      <c r="J58" s="1390"/>
      <c r="K58" s="1390"/>
      <c r="L58" s="1390">
        <v>201</v>
      </c>
      <c r="M58" s="1390">
        <v>180</v>
      </c>
      <c r="N58" s="1390">
        <v>324</v>
      </c>
      <c r="O58" s="1390">
        <v>208</v>
      </c>
      <c r="P58" s="1390">
        <f>P60*P64</f>
        <v>222.14400000000001</v>
      </c>
      <c r="Q58" s="1390">
        <f t="shared" ref="Q58:AD58" si="212">Q60*Q64</f>
        <v>224.36544000000001</v>
      </c>
      <c r="R58" s="1390">
        <f t="shared" si="212"/>
        <v>226.6090944</v>
      </c>
      <c r="S58" s="1390">
        <f t="shared" si="212"/>
        <v>228.87518534400002</v>
      </c>
      <c r="T58" s="1390">
        <f t="shared" si="212"/>
        <v>231.16393719744002</v>
      </c>
      <c r="U58" s="1390">
        <f t="shared" si="212"/>
        <v>232.3197568834272</v>
      </c>
      <c r="V58" s="1390">
        <f t="shared" si="212"/>
        <v>233.48135566784433</v>
      </c>
      <c r="W58" s="1390">
        <f t="shared" si="212"/>
        <v>234.64876244618353</v>
      </c>
      <c r="X58" s="1390">
        <f t="shared" si="212"/>
        <v>235.82200625841443</v>
      </c>
      <c r="Y58" s="1390">
        <f t="shared" si="212"/>
        <v>237.00111628970646</v>
      </c>
      <c r="Z58" s="1390">
        <f t="shared" si="212"/>
        <v>238.18612187115497</v>
      </c>
      <c r="AA58" s="1390">
        <f t="shared" si="212"/>
        <v>239.37705248051071</v>
      </c>
      <c r="AB58" s="1390">
        <f t="shared" si="212"/>
        <v>240.57393774291324</v>
      </c>
      <c r="AC58" s="1390">
        <f t="shared" si="212"/>
        <v>241.77680743162779</v>
      </c>
      <c r="AD58" s="1390">
        <f t="shared" si="212"/>
        <v>242.98569146878589</v>
      </c>
      <c r="AE58" s="1398">
        <f>(O58/L58)^(1/3)-1</f>
        <v>1.1476411678730258E-2</v>
      </c>
      <c r="AF58" s="1399">
        <f>(T58/P58)^(1/4)-1</f>
        <v>1.0000000000000009E-2</v>
      </c>
      <c r="BA58" s="190"/>
      <c r="BB58" s="190"/>
      <c r="BC58" s="190"/>
      <c r="BD58" s="190"/>
      <c r="BE58" s="1390"/>
      <c r="BF58" s="1390"/>
      <c r="BG58" s="1390"/>
      <c r="BH58" s="1390"/>
      <c r="BI58" s="1390"/>
      <c r="BJ58" s="1390"/>
      <c r="BK58" s="1390"/>
      <c r="BL58" s="1390"/>
      <c r="BM58" s="190"/>
      <c r="BN58" s="190"/>
      <c r="BO58" s="190"/>
      <c r="BP58" s="190"/>
      <c r="BQ58" s="1390"/>
      <c r="BR58" s="1390"/>
      <c r="BS58" s="1390"/>
      <c r="BT58" s="1390"/>
      <c r="BU58" s="1390"/>
      <c r="BV58" s="1390"/>
      <c r="BW58" s="1390"/>
      <c r="BX58" s="1390"/>
      <c r="BY58" s="1390"/>
      <c r="BZ58" s="190"/>
      <c r="CA58" s="190"/>
      <c r="CB58" s="190"/>
      <c r="CC58" s="190"/>
      <c r="CD58" s="1390"/>
      <c r="CE58" s="1390"/>
      <c r="CF58" s="1390"/>
      <c r="CG58" s="1390"/>
      <c r="CH58" s="1390"/>
      <c r="CI58" s="1390"/>
      <c r="CJ58" s="1390"/>
      <c r="CK58" s="1390"/>
      <c r="CL58" s="1390"/>
      <c r="CM58" s="1390"/>
      <c r="CN58" s="1390"/>
      <c r="CO58" s="1390"/>
      <c r="CP58" s="1390"/>
      <c r="CQ58" s="1390"/>
      <c r="CR58" s="1390"/>
      <c r="CS58" s="1390"/>
      <c r="CT58" s="1390"/>
      <c r="CU58" s="1390"/>
      <c r="CV58" s="1390"/>
      <c r="CW58" s="1390"/>
      <c r="CX58" s="1390"/>
      <c r="CY58" s="1390"/>
      <c r="CZ58" s="1390"/>
      <c r="DA58" s="1396"/>
      <c r="DB58" s="1396"/>
    </row>
    <row r="59" spans="4:106" s="1403" customFormat="1" ht="14">
      <c r="D59" s="1418" t="s">
        <v>832</v>
      </c>
      <c r="E59" s="1402"/>
      <c r="F59" s="1402"/>
      <c r="G59" s="1402"/>
      <c r="H59" s="1038"/>
      <c r="I59" s="1038"/>
      <c r="J59" s="1038"/>
      <c r="K59" s="1038"/>
      <c r="L59" s="1402"/>
      <c r="M59" s="1402">
        <f t="shared" ref="M59" si="213">(M58/L58)-1</f>
        <v>-0.10447761194029848</v>
      </c>
      <c r="N59" s="1402">
        <f t="shared" ref="N59" si="214">(N58/M58)-1</f>
        <v>0.8</v>
      </c>
      <c r="O59" s="1402">
        <f t="shared" ref="O59" si="215">(O58/N58)-1</f>
        <v>-0.35802469135802473</v>
      </c>
      <c r="P59" s="1402">
        <f t="shared" ref="P59" si="216">(P58/O58)-1</f>
        <v>6.800000000000006E-2</v>
      </c>
      <c r="Q59" s="1402">
        <f t="shared" ref="Q59" si="217">(Q58/P58)-1</f>
        <v>1.0000000000000009E-2</v>
      </c>
      <c r="R59" s="1402">
        <f t="shared" ref="R59" si="218">(R58/Q58)-1</f>
        <v>1.0000000000000009E-2</v>
      </c>
      <c r="S59" s="1402">
        <f t="shared" ref="S59" si="219">(S58/R58)-1</f>
        <v>1.0000000000000009E-2</v>
      </c>
      <c r="T59" s="1402">
        <f t="shared" ref="T59" si="220">(T58/S58)-1</f>
        <v>1.0000000000000009E-2</v>
      </c>
      <c r="U59" s="1402">
        <f t="shared" ref="U59" si="221">(U58/T58)-1</f>
        <v>4.9999999999998934E-3</v>
      </c>
      <c r="V59" s="1402">
        <f t="shared" ref="V59" si="222">(V58/U58)-1</f>
        <v>4.9999999999998934E-3</v>
      </c>
      <c r="W59" s="1402">
        <f t="shared" ref="W59" si="223">(W58/V58)-1</f>
        <v>4.9999999999998934E-3</v>
      </c>
      <c r="X59" s="1402">
        <f t="shared" ref="X59" si="224">(X58/W58)-1</f>
        <v>4.9999999999998934E-3</v>
      </c>
      <c r="Y59" s="1402">
        <f t="shared" ref="Y59" si="225">(Y58/X58)-1</f>
        <v>4.9999999999998934E-3</v>
      </c>
      <c r="Z59" s="1402">
        <f t="shared" ref="Z59" si="226">(Z58/Y58)-1</f>
        <v>4.9999999999998934E-3</v>
      </c>
      <c r="AA59" s="1402">
        <f t="shared" ref="AA59" si="227">(AA58/Z58)-1</f>
        <v>4.9999999999998934E-3</v>
      </c>
      <c r="AB59" s="1402">
        <f t="shared" ref="AB59" si="228">(AB58/AA58)-1</f>
        <v>4.9999999999998934E-3</v>
      </c>
      <c r="AC59" s="1402">
        <f t="shared" ref="AC59" si="229">(AC58/AB58)-1</f>
        <v>4.9999999999998934E-3</v>
      </c>
      <c r="AD59" s="1402">
        <f t="shared" ref="AD59" si="230">(AD58/AC58)-1</f>
        <v>4.9999999999998934E-3</v>
      </c>
      <c r="AE59" s="1298"/>
      <c r="AF59" s="1299"/>
      <c r="BA59" s="1402"/>
      <c r="BB59" s="1402"/>
      <c r="BC59" s="1402"/>
      <c r="BD59" s="1402"/>
      <c r="BE59" s="1038"/>
      <c r="BF59" s="1038"/>
      <c r="BG59" s="1038"/>
      <c r="BH59" s="1038"/>
      <c r="BI59" s="1402"/>
      <c r="BJ59" s="1402"/>
      <c r="BK59" s="1409"/>
      <c r="BL59" s="1409"/>
      <c r="BM59" s="1402"/>
      <c r="BN59" s="1402"/>
      <c r="BO59" s="1402"/>
      <c r="BP59" s="1402"/>
      <c r="BQ59" s="1038"/>
      <c r="BR59" s="1038"/>
      <c r="BS59" s="1038"/>
      <c r="BT59" s="1038"/>
      <c r="BU59" s="1402"/>
      <c r="BV59" s="1402"/>
      <c r="BW59" s="1402"/>
      <c r="BX59" s="1402"/>
      <c r="BY59" s="1402"/>
      <c r="BZ59" s="1402"/>
      <c r="CA59" s="1402"/>
      <c r="CB59" s="1402"/>
      <c r="CC59" s="1402"/>
      <c r="CD59" s="1402"/>
      <c r="CE59" s="1402"/>
      <c r="CF59" s="1402"/>
      <c r="CG59" s="1402"/>
      <c r="CH59" s="1402"/>
      <c r="CI59" s="1402"/>
      <c r="CJ59" s="1402"/>
      <c r="CK59" s="1402"/>
      <c r="CL59" s="1402"/>
      <c r="CM59" s="1402"/>
      <c r="CN59" s="1402"/>
      <c r="CO59" s="1402"/>
      <c r="CP59" s="1402"/>
      <c r="CQ59" s="1402"/>
      <c r="CR59" s="1402"/>
      <c r="CS59" s="1402"/>
      <c r="CT59" s="1402"/>
      <c r="CU59" s="1402"/>
      <c r="CV59" s="1402"/>
      <c r="CW59" s="1402"/>
      <c r="CX59" s="1402"/>
      <c r="CY59" s="1402"/>
      <c r="CZ59" s="1402"/>
      <c r="DA59" s="1300"/>
      <c r="DB59" s="1300"/>
    </row>
    <row r="60" spans="4:106" s="1403" customFormat="1" ht="14">
      <c r="D60" s="1418" t="s">
        <v>1152</v>
      </c>
      <c r="E60" s="1402"/>
      <c r="F60" s="1402"/>
      <c r="G60" s="1402"/>
      <c r="H60" s="1038"/>
      <c r="I60" s="1038"/>
      <c r="J60" s="1038"/>
      <c r="K60" s="1038"/>
      <c r="L60" s="1402">
        <f>L58/L64</f>
        <v>8.2886597938144332E-2</v>
      </c>
      <c r="M60" s="1402">
        <f t="shared" ref="M60:O60" si="231">M58/M64</f>
        <v>7.4013157894736836E-2</v>
      </c>
      <c r="N60" s="1402">
        <f t="shared" si="231"/>
        <v>0.1495154591601292</v>
      </c>
      <c r="O60" s="1402">
        <f t="shared" si="231"/>
        <v>0.11549139367018323</v>
      </c>
      <c r="P60" s="1402">
        <f>O60</f>
        <v>0.11549139367018323</v>
      </c>
      <c r="Q60" s="1402">
        <f t="shared" ref="Q60:AD60" si="232">P60</f>
        <v>0.11549139367018323</v>
      </c>
      <c r="R60" s="1402">
        <f t="shared" si="232"/>
        <v>0.11549139367018323</v>
      </c>
      <c r="S60" s="1402">
        <f t="shared" si="232"/>
        <v>0.11549139367018323</v>
      </c>
      <c r="T60" s="1402">
        <f t="shared" si="232"/>
        <v>0.11549139367018323</v>
      </c>
      <c r="U60" s="1402">
        <f t="shared" si="232"/>
        <v>0.11549139367018323</v>
      </c>
      <c r="V60" s="1402">
        <f t="shared" si="232"/>
        <v>0.11549139367018323</v>
      </c>
      <c r="W60" s="1402">
        <f t="shared" si="232"/>
        <v>0.11549139367018323</v>
      </c>
      <c r="X60" s="1402">
        <f t="shared" si="232"/>
        <v>0.11549139367018323</v>
      </c>
      <c r="Y60" s="1402">
        <f t="shared" si="232"/>
        <v>0.11549139367018323</v>
      </c>
      <c r="Z60" s="1402">
        <f t="shared" si="232"/>
        <v>0.11549139367018323</v>
      </c>
      <c r="AA60" s="1402">
        <f t="shared" si="232"/>
        <v>0.11549139367018323</v>
      </c>
      <c r="AB60" s="1402">
        <f t="shared" si="232"/>
        <v>0.11549139367018323</v>
      </c>
      <c r="AC60" s="1402">
        <f t="shared" si="232"/>
        <v>0.11549139367018323</v>
      </c>
      <c r="AD60" s="1402">
        <f t="shared" si="232"/>
        <v>0.11549139367018323</v>
      </c>
      <c r="AE60" s="1298"/>
      <c r="AF60" s="1299"/>
      <c r="BA60" s="1402"/>
      <c r="BB60" s="1402"/>
      <c r="BC60" s="1402"/>
      <c r="BD60" s="1402"/>
      <c r="BE60" s="1038"/>
      <c r="BF60" s="1038"/>
      <c r="BG60" s="1038"/>
      <c r="BH60" s="1038"/>
      <c r="BI60" s="1402"/>
      <c r="BJ60" s="1402"/>
      <c r="BK60" s="1402"/>
      <c r="BL60" s="1402"/>
      <c r="BM60" s="1402"/>
      <c r="BN60" s="1402"/>
      <c r="BO60" s="1402"/>
      <c r="BP60" s="1402"/>
      <c r="BQ60" s="1038"/>
      <c r="BR60" s="1038"/>
      <c r="BS60" s="1038"/>
      <c r="BT60" s="1038"/>
      <c r="BU60" s="1402"/>
      <c r="BV60" s="1402"/>
      <c r="BW60" s="1402"/>
      <c r="BX60" s="1402"/>
      <c r="BY60" s="1402"/>
      <c r="BZ60" s="1402"/>
      <c r="CA60" s="1402"/>
      <c r="CB60" s="1402"/>
      <c r="CC60" s="1402"/>
      <c r="CD60" s="1402"/>
      <c r="CE60" s="1402"/>
      <c r="CF60" s="1402"/>
      <c r="CG60" s="1402"/>
      <c r="CH60" s="1402"/>
      <c r="CI60" s="1402"/>
      <c r="CJ60" s="1402"/>
      <c r="CK60" s="1402"/>
      <c r="CL60" s="1402"/>
      <c r="CM60" s="1402"/>
      <c r="CN60" s="1402"/>
      <c r="CO60" s="1402"/>
      <c r="CP60" s="1402"/>
      <c r="CQ60" s="1402"/>
      <c r="CR60" s="1402"/>
      <c r="CS60" s="1402"/>
      <c r="CT60" s="1402"/>
      <c r="CU60" s="1402"/>
      <c r="CV60" s="1402"/>
      <c r="CW60" s="1402"/>
      <c r="CX60" s="1402"/>
      <c r="CY60" s="1402"/>
      <c r="CZ60" s="1402"/>
      <c r="DA60" s="1300"/>
      <c r="DB60" s="1300"/>
    </row>
    <row r="61" spans="4:106" s="50" customFormat="1">
      <c r="D61" s="874" t="s">
        <v>1154</v>
      </c>
      <c r="E61" s="190"/>
      <c r="F61" s="190"/>
      <c r="G61" s="190"/>
      <c r="H61" s="1390"/>
      <c r="I61" s="1390"/>
      <c r="J61" s="1390"/>
      <c r="K61" s="1390"/>
      <c r="L61" s="1390">
        <v>1897</v>
      </c>
      <c r="M61" s="1390">
        <v>1924</v>
      </c>
      <c r="N61" s="1390">
        <v>1555</v>
      </c>
      <c r="O61" s="1390">
        <v>1355</v>
      </c>
      <c r="P61" s="1390">
        <f>P63*P64</f>
        <v>1447.14</v>
      </c>
      <c r="Q61" s="1390">
        <f t="shared" ref="Q61:AD61" si="233">Q63*Q64</f>
        <v>1461.6114</v>
      </c>
      <c r="R61" s="1390">
        <f t="shared" si="233"/>
        <v>1476.2275140000002</v>
      </c>
      <c r="S61" s="1390">
        <f t="shared" si="233"/>
        <v>1490.9897891400001</v>
      </c>
      <c r="T61" s="1390">
        <f t="shared" si="233"/>
        <v>1505.8996870314002</v>
      </c>
      <c r="U61" s="1390">
        <f t="shared" si="233"/>
        <v>1513.4291854665571</v>
      </c>
      <c r="V61" s="1390">
        <f t="shared" si="233"/>
        <v>1520.9963313938897</v>
      </c>
      <c r="W61" s="1390">
        <f t="shared" si="233"/>
        <v>1528.6013130508591</v>
      </c>
      <c r="X61" s="1390">
        <f t="shared" si="233"/>
        <v>1536.2443196161132</v>
      </c>
      <c r="Y61" s="1390">
        <f t="shared" si="233"/>
        <v>1543.9255412141936</v>
      </c>
      <c r="Z61" s="1390">
        <f t="shared" si="233"/>
        <v>1551.6451689202645</v>
      </c>
      <c r="AA61" s="1390">
        <f t="shared" si="233"/>
        <v>1559.4033947648657</v>
      </c>
      <c r="AB61" s="1390">
        <f t="shared" si="233"/>
        <v>1567.2004117386898</v>
      </c>
      <c r="AC61" s="1390">
        <f t="shared" si="233"/>
        <v>1575.0364137973831</v>
      </c>
      <c r="AD61" s="1390">
        <f t="shared" si="233"/>
        <v>1582.9115958663697</v>
      </c>
      <c r="AE61" s="1398">
        <f>(O61/L61)^(1/3)-1</f>
        <v>-0.10609646490343227</v>
      </c>
      <c r="AF61" s="1399">
        <f>(T61/P61)^(1/4)-1</f>
        <v>1.0000000000000009E-2</v>
      </c>
      <c r="BA61" s="190"/>
      <c r="BB61" s="190"/>
      <c r="BC61" s="190"/>
      <c r="BD61" s="190"/>
      <c r="BE61" s="1390"/>
      <c r="BF61" s="1390"/>
      <c r="BG61" s="1390"/>
      <c r="BH61" s="1390"/>
      <c r="BI61" s="1390"/>
      <c r="BJ61" s="1390"/>
      <c r="BK61" s="1390"/>
      <c r="BL61" s="1390"/>
      <c r="BM61" s="190"/>
      <c r="BN61" s="190"/>
      <c r="BO61" s="190"/>
      <c r="BP61" s="190"/>
      <c r="BQ61" s="1390"/>
      <c r="BR61" s="1390"/>
      <c r="BS61" s="1390"/>
      <c r="BT61" s="1390"/>
      <c r="BU61" s="1390"/>
      <c r="BV61" s="1390"/>
      <c r="BW61" s="1390"/>
      <c r="BX61" s="1390"/>
      <c r="BY61" s="1390"/>
      <c r="BZ61" s="190"/>
      <c r="CA61" s="190"/>
      <c r="CB61" s="190"/>
      <c r="CC61" s="190"/>
      <c r="CD61" s="1390"/>
      <c r="CE61" s="1390"/>
      <c r="CF61" s="1390"/>
      <c r="CG61" s="1390"/>
      <c r="CH61" s="1390"/>
      <c r="CI61" s="1390"/>
      <c r="CJ61" s="1390"/>
      <c r="CK61" s="1390"/>
      <c r="CL61" s="1390"/>
      <c r="CM61" s="1390"/>
      <c r="CN61" s="1390"/>
      <c r="CO61" s="1390"/>
      <c r="CP61" s="1390"/>
      <c r="CQ61" s="1390"/>
      <c r="CR61" s="1390"/>
      <c r="CS61" s="1390"/>
      <c r="CT61" s="1390"/>
      <c r="CU61" s="1390"/>
      <c r="CV61" s="1390"/>
      <c r="CW61" s="1390"/>
      <c r="CX61" s="1390"/>
      <c r="CY61" s="1390"/>
      <c r="CZ61" s="1390"/>
      <c r="DA61" s="1396"/>
      <c r="DB61" s="1396"/>
    </row>
    <row r="62" spans="4:106" s="1403" customFormat="1" ht="14">
      <c r="D62" s="1418" t="s">
        <v>832</v>
      </c>
      <c r="E62" s="1402"/>
      <c r="F62" s="1402"/>
      <c r="G62" s="1402"/>
      <c r="H62" s="1038"/>
      <c r="I62" s="1038"/>
      <c r="J62" s="1038"/>
      <c r="K62" s="1038"/>
      <c r="L62" s="1402"/>
      <c r="M62" s="1402">
        <f t="shared" ref="M62" si="234">(M61/L61)-1</f>
        <v>1.4232999472851837E-2</v>
      </c>
      <c r="N62" s="1402">
        <f t="shared" ref="N62" si="235">(N61/M61)-1</f>
        <v>-0.19178794178794178</v>
      </c>
      <c r="O62" s="1402">
        <f t="shared" ref="O62" si="236">(O61/N61)-1</f>
        <v>-0.12861736334405149</v>
      </c>
      <c r="P62" s="1402">
        <f t="shared" ref="P62" si="237">(P61/O61)-1</f>
        <v>6.800000000000006E-2</v>
      </c>
      <c r="Q62" s="1402">
        <f t="shared" ref="Q62" si="238">(Q61/P61)-1</f>
        <v>1.0000000000000009E-2</v>
      </c>
      <c r="R62" s="1402">
        <f t="shared" ref="R62" si="239">(R61/Q61)-1</f>
        <v>1.0000000000000009E-2</v>
      </c>
      <c r="S62" s="1402">
        <f t="shared" ref="S62" si="240">(S61/R61)-1</f>
        <v>1.0000000000000009E-2</v>
      </c>
      <c r="T62" s="1402">
        <f t="shared" ref="T62" si="241">(T61/S61)-1</f>
        <v>1.0000000000000009E-2</v>
      </c>
      <c r="U62" s="1402">
        <f t="shared" ref="U62" si="242">(U61/T61)-1</f>
        <v>4.9999999999998934E-3</v>
      </c>
      <c r="V62" s="1402">
        <f t="shared" ref="V62" si="243">(V61/U61)-1</f>
        <v>4.9999999999998934E-3</v>
      </c>
      <c r="W62" s="1402">
        <f t="shared" ref="W62" si="244">(W61/V61)-1</f>
        <v>4.9999999999998934E-3</v>
      </c>
      <c r="X62" s="1402">
        <f t="shared" ref="X62" si="245">(X61/W61)-1</f>
        <v>4.9999999999998934E-3</v>
      </c>
      <c r="Y62" s="1402">
        <f t="shared" ref="Y62" si="246">(Y61/X61)-1</f>
        <v>4.9999999999998934E-3</v>
      </c>
      <c r="Z62" s="1402">
        <f t="shared" ref="Z62" si="247">(Z61/Y61)-1</f>
        <v>4.9999999999998934E-3</v>
      </c>
      <c r="AA62" s="1402">
        <f t="shared" ref="AA62" si="248">(AA61/Z61)-1</f>
        <v>4.9999999999998934E-3</v>
      </c>
      <c r="AB62" s="1402">
        <f t="shared" ref="AB62" si="249">(AB61/AA61)-1</f>
        <v>4.9999999999998934E-3</v>
      </c>
      <c r="AC62" s="1402">
        <f t="shared" ref="AC62" si="250">(AC61/AB61)-1</f>
        <v>4.9999999999998934E-3</v>
      </c>
      <c r="AD62" s="1402">
        <f t="shared" ref="AD62" si="251">(AD61/AC61)-1</f>
        <v>4.9999999999996714E-3</v>
      </c>
      <c r="AE62" s="1298"/>
      <c r="AF62" s="1299"/>
      <c r="BA62" s="1402"/>
      <c r="BB62" s="1402"/>
      <c r="BC62" s="1402"/>
      <c r="BD62" s="1402"/>
      <c r="BE62" s="1038"/>
      <c r="BF62" s="1038"/>
      <c r="BG62" s="1038"/>
      <c r="BH62" s="1038"/>
      <c r="BI62" s="1402"/>
      <c r="BJ62" s="1402"/>
      <c r="BK62" s="1409"/>
      <c r="BL62" s="1409"/>
      <c r="BM62" s="1402"/>
      <c r="BN62" s="1402"/>
      <c r="BO62" s="1402"/>
      <c r="BP62" s="1402"/>
      <c r="BQ62" s="1038"/>
      <c r="BR62" s="1038"/>
      <c r="BS62" s="1038"/>
      <c r="BT62" s="1038"/>
      <c r="BU62" s="1402"/>
      <c r="BV62" s="1402"/>
      <c r="BW62" s="1402"/>
      <c r="BX62" s="1402"/>
      <c r="BY62" s="1402"/>
      <c r="BZ62" s="1402"/>
      <c r="CA62" s="1402"/>
      <c r="CB62" s="1402"/>
      <c r="CC62" s="1402"/>
      <c r="CD62" s="1402"/>
      <c r="CE62" s="1402"/>
      <c r="CF62" s="1402"/>
      <c r="CG62" s="1402"/>
      <c r="CH62" s="1402"/>
      <c r="CI62" s="1402"/>
      <c r="CJ62" s="1402"/>
      <c r="CK62" s="1402"/>
      <c r="CL62" s="1402"/>
      <c r="CM62" s="1402"/>
      <c r="CN62" s="1402"/>
      <c r="CO62" s="1402"/>
      <c r="CP62" s="1402"/>
      <c r="CQ62" s="1402"/>
      <c r="CR62" s="1402"/>
      <c r="CS62" s="1402"/>
      <c r="CT62" s="1402"/>
      <c r="CU62" s="1402"/>
      <c r="CV62" s="1402"/>
      <c r="CW62" s="1402"/>
      <c r="CX62" s="1402"/>
      <c r="CY62" s="1402"/>
      <c r="CZ62" s="1402"/>
      <c r="DA62" s="1300"/>
      <c r="DB62" s="1300"/>
    </row>
    <row r="63" spans="4:106" s="1403" customFormat="1" thickBot="1">
      <c r="D63" s="1418" t="s">
        <v>1152</v>
      </c>
      <c r="E63" s="1402"/>
      <c r="F63" s="1402"/>
      <c r="G63" s="1402"/>
      <c r="H63" s="1402"/>
      <c r="I63" s="1402"/>
      <c r="J63" s="1402"/>
      <c r="K63" s="1402"/>
      <c r="L63" s="1402">
        <f>L61/L64</f>
        <v>0.78226804123711335</v>
      </c>
      <c r="M63" s="1402">
        <f t="shared" ref="M63:O63" si="252">M61/M64</f>
        <v>0.79111842105263153</v>
      </c>
      <c r="N63" s="1402">
        <f t="shared" si="252"/>
        <v>0.7175819104753115</v>
      </c>
      <c r="O63" s="1402">
        <f t="shared" si="252"/>
        <v>0.75235980011104941</v>
      </c>
      <c r="P63" s="1402">
        <f>1-P60-P57</f>
        <v>0.75235980011104941</v>
      </c>
      <c r="Q63" s="1402">
        <f t="shared" ref="Q63:AD63" si="253">1-Q60-Q57</f>
        <v>0.75235980011104941</v>
      </c>
      <c r="R63" s="1402">
        <f t="shared" si="253"/>
        <v>0.75235980011104941</v>
      </c>
      <c r="S63" s="1402">
        <f t="shared" si="253"/>
        <v>0.75235980011104941</v>
      </c>
      <c r="T63" s="1402">
        <f t="shared" si="253"/>
        <v>0.75235980011104941</v>
      </c>
      <c r="U63" s="1402">
        <f t="shared" si="253"/>
        <v>0.75235980011104941</v>
      </c>
      <c r="V63" s="1402">
        <f t="shared" si="253"/>
        <v>0.75235980011104941</v>
      </c>
      <c r="W63" s="1402">
        <f t="shared" si="253"/>
        <v>0.75235980011104941</v>
      </c>
      <c r="X63" s="1402">
        <f t="shared" si="253"/>
        <v>0.75235980011104941</v>
      </c>
      <c r="Y63" s="1402">
        <f t="shared" si="253"/>
        <v>0.75235980011104941</v>
      </c>
      <c r="Z63" s="1402">
        <f t="shared" si="253"/>
        <v>0.75235980011104941</v>
      </c>
      <c r="AA63" s="1402">
        <f t="shared" si="253"/>
        <v>0.75235980011104941</v>
      </c>
      <c r="AB63" s="1402">
        <f t="shared" si="253"/>
        <v>0.75235980011104941</v>
      </c>
      <c r="AC63" s="1402">
        <f t="shared" si="253"/>
        <v>0.75235980011104941</v>
      </c>
      <c r="AD63" s="1402">
        <f t="shared" si="253"/>
        <v>0.75235980011104941</v>
      </c>
      <c r="AE63" s="1298"/>
      <c r="AF63" s="1299"/>
      <c r="BA63" s="1402"/>
      <c r="BB63" s="1402"/>
      <c r="BC63" s="1402"/>
      <c r="BD63" s="1402"/>
      <c r="BE63" s="1038"/>
      <c r="BF63" s="1038"/>
      <c r="BG63" s="1038"/>
      <c r="BH63" s="1038"/>
      <c r="BI63" s="1402"/>
      <c r="BJ63" s="1402"/>
      <c r="BK63" s="1402"/>
      <c r="BL63" s="1402"/>
      <c r="BM63" s="1402"/>
      <c r="BN63" s="1402"/>
      <c r="BO63" s="1402"/>
      <c r="BP63" s="1402"/>
      <c r="BQ63" s="1402"/>
      <c r="BR63" s="1402"/>
      <c r="BS63" s="1402"/>
      <c r="BT63" s="1402"/>
      <c r="BU63" s="1402"/>
      <c r="BV63" s="1402"/>
      <c r="BW63" s="1402"/>
      <c r="BX63" s="1402"/>
      <c r="BY63" s="1402"/>
      <c r="BZ63" s="1402"/>
      <c r="CA63" s="1402"/>
      <c r="CB63" s="1402"/>
      <c r="CC63" s="1402"/>
      <c r="CD63" s="1038"/>
      <c r="CE63" s="1038"/>
      <c r="CF63" s="1038"/>
      <c r="CG63" s="1038"/>
      <c r="CH63" s="1402"/>
      <c r="CI63" s="1402"/>
      <c r="CJ63" s="1402"/>
      <c r="CK63" s="1402"/>
      <c r="CL63" s="1402"/>
      <c r="CM63" s="1402"/>
      <c r="CN63" s="1402"/>
      <c r="CO63" s="1402"/>
      <c r="CP63" s="1402"/>
      <c r="CQ63" s="1402"/>
      <c r="CR63" s="1402"/>
      <c r="CS63" s="1402"/>
      <c r="CT63" s="1402"/>
      <c r="CU63" s="1402"/>
      <c r="CV63" s="1402"/>
      <c r="CW63" s="1402"/>
      <c r="CX63" s="1402"/>
      <c r="CY63" s="1402"/>
      <c r="CZ63" s="1402"/>
      <c r="DA63" s="1300"/>
      <c r="DB63" s="1300"/>
    </row>
    <row r="64" spans="4:106" s="20" customFormat="1" ht="16" thickBot="1">
      <c r="D64" s="691" t="s">
        <v>103</v>
      </c>
      <c r="E64" s="174"/>
      <c r="F64" s="174"/>
      <c r="G64" s="174"/>
      <c r="H64" s="174"/>
      <c r="I64" s="174">
        <v>2340</v>
      </c>
      <c r="J64" s="174">
        <v>2393</v>
      </c>
      <c r="K64" s="174">
        <v>2286</v>
      </c>
      <c r="L64" s="843">
        <v>2425</v>
      </c>
      <c r="M64" s="843">
        <v>2432</v>
      </c>
      <c r="N64" s="843">
        <v>2167</v>
      </c>
      <c r="O64" s="843">
        <v>1801</v>
      </c>
      <c r="P64" s="843">
        <f>O64*(1+P65)</f>
        <v>1923.4680000000001</v>
      </c>
      <c r="Q64" s="843">
        <f t="shared" ref="Q64" si="254">P64*(1+Q65)</f>
        <v>1942.7026800000001</v>
      </c>
      <c r="R64" s="843">
        <f t="shared" ref="R64" si="255">Q64*(1+R65)</f>
        <v>1962.1297068000001</v>
      </c>
      <c r="S64" s="843">
        <f t="shared" ref="S64" si="256">R64*(1+S65)</f>
        <v>1981.7510038680002</v>
      </c>
      <c r="T64" s="843">
        <f t="shared" ref="T64" si="257">S64*(1+T65)</f>
        <v>2001.5685139066802</v>
      </c>
      <c r="U64" s="843">
        <f t="shared" ref="U64" si="258">T64*(1+U65)</f>
        <v>2011.5763564762135</v>
      </c>
      <c r="V64" s="843">
        <f t="shared" ref="V64" si="259">U64*(1+V65)</f>
        <v>2021.6342382585945</v>
      </c>
      <c r="W64" s="843">
        <f t="shared" ref="W64" si="260">V64*(1+W65)</f>
        <v>2031.7424094498872</v>
      </c>
      <c r="X64" s="843">
        <f t="shared" ref="X64" si="261">W64*(1+X65)</f>
        <v>2041.9011214971365</v>
      </c>
      <c r="Y64" s="843">
        <f t="shared" ref="Y64" si="262">X64*(1+Y65)</f>
        <v>2052.1106271046219</v>
      </c>
      <c r="Z64" s="843">
        <f t="shared" ref="Z64" si="263">Y64*(1+Z65)</f>
        <v>2062.3711802401449</v>
      </c>
      <c r="AA64" s="843">
        <f t="shared" ref="AA64" si="264">Z64*(1+AA65)</f>
        <v>2072.6830361413454</v>
      </c>
      <c r="AB64" s="843">
        <f t="shared" ref="AB64" si="265">AA64*(1+AB65)</f>
        <v>2083.0464513220518</v>
      </c>
      <c r="AC64" s="843">
        <f t="shared" ref="AC64" si="266">AB64*(1+AC65)</f>
        <v>2093.4616835786619</v>
      </c>
      <c r="AD64" s="843">
        <f t="shared" ref="AD64" si="267">AC64*(1+AD65)</f>
        <v>2103.9289919965549</v>
      </c>
      <c r="AE64" s="1398">
        <f>(O64/L64)^(1/3)-1</f>
        <v>-9.4405054319399384E-2</v>
      </c>
      <c r="AF64" s="1399">
        <f>(T64/P64)^(1/4)-1</f>
        <v>1.0000000000000009E-2</v>
      </c>
      <c r="BA64" s="307" t="s">
        <v>1649</v>
      </c>
      <c r="BB64" s="190"/>
      <c r="BC64" s="190"/>
      <c r="BD64" s="190"/>
      <c r="BE64" s="1390"/>
      <c r="BF64" s="1390"/>
      <c r="BG64" s="1390"/>
      <c r="BH64" s="1390"/>
      <c r="BI64" s="1390"/>
      <c r="BJ64" s="1390"/>
      <c r="BK64" s="1390"/>
      <c r="BL64" s="1390"/>
      <c r="BM64" s="109"/>
      <c r="BN64" s="109"/>
      <c r="BO64" s="109"/>
      <c r="BP64" s="109"/>
      <c r="BQ64" s="109"/>
      <c r="BR64" s="109"/>
      <c r="BS64" s="109"/>
      <c r="BT64" s="109"/>
      <c r="BU64" s="919"/>
      <c r="BV64" s="919"/>
      <c r="BW64" s="919"/>
      <c r="BX64" s="919"/>
      <c r="BY64" s="919"/>
      <c r="BZ64" s="1128"/>
      <c r="CA64" s="1128"/>
      <c r="CB64" s="1128"/>
      <c r="CC64" s="1128"/>
      <c r="CD64" s="1128"/>
      <c r="CE64" s="1128"/>
      <c r="CF64" s="1128"/>
      <c r="CG64" s="1128"/>
      <c r="CH64" s="1128"/>
      <c r="CI64" s="1128"/>
      <c r="CJ64" s="1128"/>
      <c r="CK64" s="1128"/>
      <c r="CL64" s="1128"/>
      <c r="CM64" s="1128"/>
      <c r="CN64" s="1128"/>
      <c r="CO64" s="1128"/>
      <c r="CP64" s="1128"/>
      <c r="CQ64" s="1128"/>
      <c r="CR64" s="1128"/>
      <c r="CS64" s="1128"/>
      <c r="CT64" s="1128"/>
      <c r="CU64" s="1128"/>
      <c r="CV64" s="1128"/>
      <c r="CW64" s="1128"/>
      <c r="CX64" s="1128"/>
      <c r="CY64" s="1128"/>
      <c r="CZ64" s="1128"/>
      <c r="DA64" s="1396"/>
      <c r="DB64" s="1396"/>
    </row>
    <row r="65" spans="4:106" s="1403" customFormat="1" thickBot="1">
      <c r="D65" s="1418" t="s">
        <v>832</v>
      </c>
      <c r="E65" s="1402"/>
      <c r="F65" s="1402"/>
      <c r="G65" s="1402"/>
      <c r="H65" s="1038"/>
      <c r="I65" s="1038"/>
      <c r="J65" s="1038"/>
      <c r="K65" s="1038"/>
      <c r="L65" s="1402">
        <f>(L64/K64)-1</f>
        <v>6.0804899387576494E-2</v>
      </c>
      <c r="M65" s="1402">
        <f t="shared" ref="M65" si="268">(M64/L64)-1</f>
        <v>2.8865979381442752E-3</v>
      </c>
      <c r="N65" s="1402">
        <f t="shared" ref="N65" si="269">(N64/M64)-1</f>
        <v>-0.10896381578947367</v>
      </c>
      <c r="O65" s="1402">
        <f t="shared" ref="O65" si="270">(O64/N64)-1</f>
        <v>-0.16889709275496079</v>
      </c>
      <c r="P65" s="1402">
        <v>6.8000000000000005E-2</v>
      </c>
      <c r="Q65" s="1402">
        <v>0.01</v>
      </c>
      <c r="R65" s="1402">
        <f>Q65</f>
        <v>0.01</v>
      </c>
      <c r="S65" s="1402">
        <f>R65</f>
        <v>0.01</v>
      </c>
      <c r="T65" s="1402">
        <f t="shared" ref="T65:AD65" si="271">S65</f>
        <v>0.01</v>
      </c>
      <c r="U65" s="1402">
        <f>T65-0.5%</f>
        <v>5.0000000000000001E-3</v>
      </c>
      <c r="V65" s="1402">
        <f t="shared" si="271"/>
        <v>5.0000000000000001E-3</v>
      </c>
      <c r="W65" s="1402">
        <f t="shared" si="271"/>
        <v>5.0000000000000001E-3</v>
      </c>
      <c r="X65" s="1402">
        <f t="shared" si="271"/>
        <v>5.0000000000000001E-3</v>
      </c>
      <c r="Y65" s="1402">
        <f t="shared" si="271"/>
        <v>5.0000000000000001E-3</v>
      </c>
      <c r="Z65" s="1402">
        <f t="shared" si="271"/>
        <v>5.0000000000000001E-3</v>
      </c>
      <c r="AA65" s="1402">
        <f t="shared" si="271"/>
        <v>5.0000000000000001E-3</v>
      </c>
      <c r="AB65" s="1402">
        <f t="shared" si="271"/>
        <v>5.0000000000000001E-3</v>
      </c>
      <c r="AC65" s="1402">
        <f t="shared" si="271"/>
        <v>5.0000000000000001E-3</v>
      </c>
      <c r="AD65" s="1402">
        <f t="shared" si="271"/>
        <v>5.0000000000000001E-3</v>
      </c>
      <c r="AE65" s="1298"/>
      <c r="AF65" s="1299"/>
      <c r="BA65" s="1402"/>
      <c r="BB65" s="1402"/>
      <c r="BC65" s="1402"/>
      <c r="BD65" s="1402"/>
      <c r="BE65" s="1038"/>
      <c r="BF65" s="1038"/>
      <c r="BG65" s="1038"/>
      <c r="BH65" s="1038"/>
      <c r="BI65" s="1402"/>
      <c r="BJ65" s="1402"/>
      <c r="BK65" s="1409"/>
      <c r="BL65" s="1409"/>
      <c r="BM65" s="443" t="s">
        <v>1658</v>
      </c>
      <c r="BN65" s="1402"/>
      <c r="BO65" s="1402"/>
      <c r="BP65" s="1402"/>
      <c r="BQ65" s="1038"/>
      <c r="BR65" s="1038"/>
      <c r="BS65" s="1038"/>
      <c r="BT65" s="1038"/>
      <c r="BU65" s="1402"/>
      <c r="BV65" s="1402"/>
      <c r="BW65" s="1402"/>
      <c r="BX65" s="1402"/>
      <c r="BY65" s="1402"/>
      <c r="BZ65" s="443" t="s">
        <v>1658</v>
      </c>
      <c r="CA65" s="1402"/>
      <c r="CB65" s="1402"/>
      <c r="CC65" s="1402"/>
      <c r="CD65" s="1402"/>
      <c r="CE65" s="1402"/>
      <c r="CF65" s="1402"/>
      <c r="CG65" s="1402"/>
      <c r="CH65" s="1402"/>
      <c r="CI65" s="1402"/>
      <c r="CJ65" s="1402"/>
      <c r="CK65" s="1402"/>
      <c r="CL65" s="1402"/>
      <c r="CM65" s="1402"/>
      <c r="CN65" s="1402"/>
      <c r="CO65" s="1402"/>
      <c r="CP65" s="1402"/>
      <c r="CQ65" s="1402"/>
      <c r="CR65" s="1402"/>
      <c r="CS65" s="1402"/>
      <c r="CT65" s="1402"/>
      <c r="CU65" s="1402"/>
      <c r="CV65" s="1402"/>
      <c r="CW65" s="1402"/>
      <c r="CX65" s="1402"/>
      <c r="CY65" s="1402"/>
      <c r="CZ65" s="1402"/>
      <c r="DA65" s="1300"/>
      <c r="DB65" s="1300"/>
    </row>
    <row r="66" spans="4:106" s="1149" customFormat="1" ht="16" thickBot="1">
      <c r="D66" s="1150" t="s">
        <v>1155</v>
      </c>
      <c r="E66" s="842"/>
      <c r="F66" s="842"/>
      <c r="G66" s="842"/>
      <c r="H66" s="842"/>
      <c r="I66" s="842"/>
      <c r="J66" s="842"/>
      <c r="K66" s="842"/>
      <c r="L66" s="842">
        <f t="shared" ref="L66:AD66" si="272">SUM(L55,L58)</f>
        <v>528</v>
      </c>
      <c r="M66" s="842">
        <f t="shared" si="272"/>
        <v>508</v>
      </c>
      <c r="N66" s="842">
        <f t="shared" si="272"/>
        <v>612</v>
      </c>
      <c r="O66" s="842">
        <f t="shared" si="272"/>
        <v>446</v>
      </c>
      <c r="P66" s="842">
        <f t="shared" si="272"/>
        <v>476.32799999999997</v>
      </c>
      <c r="Q66" s="842">
        <f t="shared" si="272"/>
        <v>481.09127999999998</v>
      </c>
      <c r="R66" s="842">
        <f t="shared" si="272"/>
        <v>485.90219280000002</v>
      </c>
      <c r="S66" s="842">
        <f t="shared" si="272"/>
        <v>490.76121472800003</v>
      </c>
      <c r="T66" s="842">
        <f t="shared" si="272"/>
        <v>495.66882687528005</v>
      </c>
      <c r="U66" s="842">
        <f t="shared" si="272"/>
        <v>498.1471710096564</v>
      </c>
      <c r="V66" s="842">
        <f t="shared" si="272"/>
        <v>500.63790686470463</v>
      </c>
      <c r="W66" s="842">
        <f t="shared" si="272"/>
        <v>503.14109639902813</v>
      </c>
      <c r="X66" s="842">
        <f t="shared" si="272"/>
        <v>505.65680188102323</v>
      </c>
      <c r="Y66" s="842">
        <f t="shared" si="272"/>
        <v>508.18508589042824</v>
      </c>
      <c r="Z66" s="842">
        <f t="shared" si="272"/>
        <v>510.7260113198804</v>
      </c>
      <c r="AA66" s="842">
        <f t="shared" si="272"/>
        <v>513.27964137647973</v>
      </c>
      <c r="AB66" s="842">
        <f t="shared" si="272"/>
        <v>515.84603958336197</v>
      </c>
      <c r="AC66" s="842">
        <f t="shared" si="272"/>
        <v>518.42526978127876</v>
      </c>
      <c r="AD66" s="842">
        <f t="shared" si="272"/>
        <v>521.01739613018515</v>
      </c>
      <c r="AE66" s="1398">
        <f>(O66/L66)^(1/3)-1</f>
        <v>-5.4705831548363615E-2</v>
      </c>
      <c r="AF66" s="1399">
        <f>(T66/P66)^(1/4)-1</f>
        <v>1.0000000000000009E-2</v>
      </c>
      <c r="BA66" s="1393"/>
      <c r="BB66" s="1393"/>
      <c r="BC66" s="1393"/>
      <c r="BD66" s="1393"/>
      <c r="BE66" s="1394"/>
      <c r="BF66" s="1394"/>
      <c r="BG66" s="1394"/>
      <c r="BH66" s="1394"/>
      <c r="BI66" s="1393"/>
      <c r="BJ66" s="1393"/>
      <c r="BK66" s="1393"/>
      <c r="BL66" s="1393"/>
      <c r="BM66" s="1296"/>
      <c r="BN66" s="1297"/>
      <c r="BO66" s="1297"/>
      <c r="BP66" s="1297"/>
      <c r="BQ66" s="1297"/>
      <c r="BR66" s="1297"/>
      <c r="BS66" s="1297"/>
      <c r="BT66" s="1297"/>
      <c r="BU66" s="1297"/>
      <c r="BV66" s="1297"/>
      <c r="BW66" s="1297"/>
      <c r="BX66" s="1297"/>
      <c r="BY66" s="1297"/>
      <c r="BZ66" s="240"/>
      <c r="CA66" s="242"/>
      <c r="CB66" s="242"/>
      <c r="CC66" s="242"/>
      <c r="CD66" s="242"/>
      <c r="CE66" s="242"/>
      <c r="CF66" s="242"/>
      <c r="CG66" s="242"/>
      <c r="CH66" s="1216"/>
      <c r="CI66" s="1216"/>
      <c r="CJ66" s="1216"/>
      <c r="CK66" s="1216"/>
      <c r="CL66" s="1216"/>
      <c r="CM66" s="1216"/>
      <c r="CN66" s="1216"/>
      <c r="CO66" s="1216"/>
      <c r="CP66" s="1216"/>
      <c r="CQ66" s="1216"/>
      <c r="CR66" s="1216"/>
      <c r="CS66" s="1216"/>
      <c r="CT66" s="1216"/>
      <c r="CU66" s="1216"/>
      <c r="CV66" s="1216"/>
      <c r="CW66" s="1216"/>
      <c r="CX66" s="1216"/>
      <c r="CY66" s="1216"/>
      <c r="CZ66" s="1216"/>
      <c r="DA66" s="1396"/>
      <c r="DB66" s="1396"/>
    </row>
    <row r="67" spans="4:106" s="1403" customFormat="1" ht="14">
      <c r="D67" s="1418" t="s">
        <v>832</v>
      </c>
      <c r="E67" s="1402"/>
      <c r="F67" s="1402"/>
      <c r="G67" s="1402"/>
      <c r="H67" s="1038"/>
      <c r="I67" s="1038"/>
      <c r="J67" s="1038"/>
      <c r="K67" s="1038"/>
      <c r="L67" s="1402"/>
      <c r="M67" s="1402">
        <f t="shared" ref="M67" si="273">M66/L66-1</f>
        <v>-3.7878787878787845E-2</v>
      </c>
      <c r="N67" s="1402">
        <f t="shared" ref="N67" si="274">N66/M66-1</f>
        <v>0.20472440944881898</v>
      </c>
      <c r="O67" s="1402">
        <f>O66/N66-1</f>
        <v>-0.27124183006535951</v>
      </c>
      <c r="P67" s="1402">
        <f t="shared" ref="P67" si="275">P66/O66-1</f>
        <v>6.7999999999999838E-2</v>
      </c>
      <c r="Q67" s="1402">
        <f t="shared" ref="Q67" si="276">Q66/P66-1</f>
        <v>1.0000000000000009E-2</v>
      </c>
      <c r="R67" s="1402">
        <f t="shared" ref="R67" si="277">R66/Q66-1</f>
        <v>1.0000000000000009E-2</v>
      </c>
      <c r="S67" s="1402">
        <f t="shared" ref="S67" si="278">S66/R66-1</f>
        <v>1.0000000000000009E-2</v>
      </c>
      <c r="T67" s="1402">
        <f t="shared" ref="T67" si="279">T66/S66-1</f>
        <v>1.0000000000000009E-2</v>
      </c>
      <c r="U67" s="1441">
        <f t="shared" ref="U67" si="280">U66/T66-1</f>
        <v>4.9999999999998934E-3</v>
      </c>
      <c r="V67" s="1441">
        <f t="shared" ref="V67" si="281">V66/U66-1</f>
        <v>4.9999999999998934E-3</v>
      </c>
      <c r="W67" s="1441">
        <f t="shared" ref="W67" si="282">W66/V66-1</f>
        <v>4.9999999999998934E-3</v>
      </c>
      <c r="X67" s="1441">
        <f t="shared" ref="X67" si="283">X66/W66-1</f>
        <v>4.9999999999998934E-3</v>
      </c>
      <c r="Y67" s="1441">
        <f t="shared" ref="Y67" si="284">Y66/X66-1</f>
        <v>4.9999999999998934E-3</v>
      </c>
      <c r="Z67" s="1441">
        <f t="shared" ref="Z67" si="285">Z66/Y66-1</f>
        <v>5.0000000000001155E-3</v>
      </c>
      <c r="AA67" s="1441">
        <f t="shared" ref="AA67" si="286">AA66/Z66-1</f>
        <v>4.9999999999998934E-3</v>
      </c>
      <c r="AB67" s="1441">
        <f t="shared" ref="AB67" si="287">AB66/AA66-1</f>
        <v>4.9999999999996714E-3</v>
      </c>
      <c r="AC67" s="1441">
        <f t="shared" ref="AC67" si="288">AC66/AB66-1</f>
        <v>4.9999999999998934E-3</v>
      </c>
      <c r="AD67" s="1442">
        <f t="shared" ref="AD67" si="289">AD66/AC66-1</f>
        <v>4.9999999999998934E-3</v>
      </c>
      <c r="AE67" s="1298"/>
      <c r="AF67" s="1299"/>
      <c r="BA67" s="169"/>
      <c r="BB67" s="169"/>
      <c r="BC67" s="169"/>
      <c r="BD67" s="169"/>
      <c r="BE67" s="807"/>
      <c r="BF67" s="807"/>
      <c r="BG67" s="807"/>
      <c r="BH67" s="807"/>
      <c r="BI67" s="807"/>
      <c r="BJ67" s="807"/>
      <c r="BK67" s="807"/>
      <c r="BL67" s="807"/>
      <c r="BM67" s="1402"/>
      <c r="BN67" s="1402"/>
      <c r="BO67" s="1402"/>
      <c r="BP67" s="1402"/>
      <c r="BQ67" s="1038"/>
      <c r="BR67" s="1038"/>
      <c r="BS67" s="1038"/>
      <c r="BT67" s="1038"/>
      <c r="BU67" s="1402"/>
      <c r="BV67" s="1402"/>
      <c r="BW67" s="1402"/>
      <c r="BX67" s="1402"/>
      <c r="BY67" s="1402"/>
      <c r="BZ67" s="1402"/>
      <c r="CA67" s="1402"/>
      <c r="CB67" s="1402"/>
      <c r="CC67" s="1402"/>
      <c r="CD67" s="1402"/>
      <c r="CE67" s="1402"/>
      <c r="CF67" s="1402"/>
      <c r="CG67" s="1402"/>
      <c r="CH67" s="1402"/>
      <c r="CI67" s="1402"/>
      <c r="CJ67" s="1402"/>
      <c r="CK67" s="1402"/>
      <c r="CL67" s="1402"/>
      <c r="CM67" s="1402"/>
      <c r="CN67" s="1402"/>
      <c r="CO67" s="1402"/>
      <c r="CP67" s="1402"/>
      <c r="CQ67" s="1402"/>
      <c r="CR67" s="1402"/>
      <c r="CS67" s="1402"/>
      <c r="CT67" s="1402"/>
      <c r="CU67" s="1402"/>
      <c r="CV67" s="1402"/>
      <c r="CW67" s="1402"/>
      <c r="CX67" s="1402"/>
      <c r="CY67" s="1402"/>
      <c r="CZ67" s="1402"/>
      <c r="DA67" s="1300"/>
      <c r="DB67" s="1300"/>
    </row>
    <row r="68" spans="4:106" s="1403" customFormat="1" thickBot="1">
      <c r="D68" s="1420" t="s">
        <v>1152</v>
      </c>
      <c r="E68" s="1411"/>
      <c r="F68" s="1411"/>
      <c r="G68" s="1411"/>
      <c r="H68" s="1411"/>
      <c r="I68" s="1411"/>
      <c r="J68" s="1411"/>
      <c r="K68" s="1411"/>
      <c r="L68" s="1411">
        <f>L66/L64</f>
        <v>0.21773195876288659</v>
      </c>
      <c r="M68" s="1411">
        <f t="shared" ref="M68:AD68" si="290">M66/M64</f>
        <v>0.20888157894736842</v>
      </c>
      <c r="N68" s="1411">
        <f t="shared" si="290"/>
        <v>0.2824180895246885</v>
      </c>
      <c r="O68" s="1411">
        <f t="shared" si="290"/>
        <v>0.24764019988895059</v>
      </c>
      <c r="P68" s="1411">
        <f t="shared" si="290"/>
        <v>0.24764019988895056</v>
      </c>
      <c r="Q68" s="1411">
        <f t="shared" si="290"/>
        <v>0.24764019988895056</v>
      </c>
      <c r="R68" s="1411">
        <f t="shared" si="290"/>
        <v>0.24764019988895059</v>
      </c>
      <c r="S68" s="1411">
        <f t="shared" si="290"/>
        <v>0.24764019988895056</v>
      </c>
      <c r="T68" s="1411">
        <f t="shared" si="290"/>
        <v>0.24764019988895059</v>
      </c>
      <c r="U68" s="1411">
        <f t="shared" si="290"/>
        <v>0.24764019988895059</v>
      </c>
      <c r="V68" s="1411">
        <f t="shared" si="290"/>
        <v>0.24764019988895056</v>
      </c>
      <c r="W68" s="1411">
        <f t="shared" si="290"/>
        <v>0.24764019988895059</v>
      </c>
      <c r="X68" s="1411">
        <f t="shared" si="290"/>
        <v>0.24764019988895056</v>
      </c>
      <c r="Y68" s="1411">
        <f t="shared" si="290"/>
        <v>0.24764019988895056</v>
      </c>
      <c r="Z68" s="1411">
        <f t="shared" si="290"/>
        <v>0.24764019988895059</v>
      </c>
      <c r="AA68" s="1411">
        <f t="shared" si="290"/>
        <v>0.24764019988895056</v>
      </c>
      <c r="AB68" s="1411">
        <f t="shared" si="290"/>
        <v>0.24764019988895053</v>
      </c>
      <c r="AC68" s="1411">
        <f t="shared" si="290"/>
        <v>0.24764019988895053</v>
      </c>
      <c r="AD68" s="1443">
        <f t="shared" si="290"/>
        <v>0.24764019988895056</v>
      </c>
      <c r="AE68" s="1301"/>
      <c r="AF68" s="1302"/>
      <c r="AK68" s="443"/>
      <c r="BA68" s="1402"/>
      <c r="BB68" s="1402"/>
      <c r="BC68" s="1402"/>
      <c r="BD68" s="1402"/>
      <c r="BE68" s="1038"/>
      <c r="BF68" s="1038"/>
      <c r="BG68" s="1038"/>
      <c r="BH68" s="1038"/>
      <c r="BI68" s="1402"/>
      <c r="BJ68" s="1402"/>
      <c r="BK68" s="1409"/>
      <c r="BL68" s="1409"/>
      <c r="BM68" s="1402"/>
      <c r="BN68" s="1402"/>
      <c r="BO68" s="1402"/>
      <c r="BP68" s="1402"/>
      <c r="BQ68" s="1402"/>
      <c r="BR68" s="1402"/>
      <c r="BS68" s="1402"/>
      <c r="BT68" s="1402"/>
      <c r="BU68" s="1402"/>
      <c r="BV68" s="1402"/>
      <c r="BW68" s="1402"/>
      <c r="BX68" s="1402"/>
      <c r="BY68" s="1402"/>
      <c r="BZ68" s="1402"/>
      <c r="CA68" s="1402"/>
      <c r="CB68" s="1402"/>
      <c r="CC68" s="1402"/>
      <c r="CD68" s="1402"/>
      <c r="CE68" s="1402"/>
      <c r="CF68" s="1402"/>
      <c r="CG68" s="1402"/>
      <c r="CH68" s="1402"/>
      <c r="CI68" s="1402"/>
      <c r="CJ68" s="1402"/>
      <c r="CK68" s="1402"/>
      <c r="CL68" s="1402"/>
      <c r="CM68" s="1402"/>
      <c r="CN68" s="1402"/>
      <c r="CO68" s="1402"/>
      <c r="CP68" s="1402"/>
      <c r="CQ68" s="1402"/>
      <c r="CR68" s="1402"/>
      <c r="CS68" s="1402"/>
      <c r="CT68" s="1402"/>
      <c r="CU68" s="1402"/>
      <c r="CV68" s="1402"/>
      <c r="CW68" s="1402"/>
      <c r="CX68" s="1402"/>
      <c r="CY68" s="1402"/>
      <c r="CZ68" s="1402"/>
      <c r="DA68" s="1300"/>
      <c r="DB68" s="1300"/>
    </row>
    <row r="69" spans="4:106" ht="16" thickBot="1">
      <c r="D69" s="181"/>
      <c r="E69" s="137"/>
      <c r="F69" s="137"/>
      <c r="G69" s="137"/>
      <c r="H69" s="137"/>
      <c r="I69" s="137"/>
      <c r="J69" s="137"/>
      <c r="K69" s="137"/>
      <c r="L69" s="137"/>
      <c r="M69" s="137"/>
      <c r="N69" s="137"/>
      <c r="O69" s="137"/>
      <c r="P69" s="39"/>
      <c r="Q69" s="39"/>
      <c r="R69" s="39"/>
      <c r="S69" s="39"/>
      <c r="T69" s="39"/>
      <c r="U69" s="39"/>
      <c r="V69" s="39"/>
      <c r="W69" s="39"/>
      <c r="X69" s="39"/>
      <c r="Y69" s="39"/>
      <c r="Z69" s="39"/>
      <c r="AA69" s="39"/>
      <c r="AB69" s="39"/>
      <c r="AC69" s="39"/>
      <c r="AD69" s="39"/>
      <c r="AF69" s="123"/>
      <c r="AK69" s="39" t="s">
        <v>1649</v>
      </c>
      <c r="AS69" s="307" t="s">
        <v>1649</v>
      </c>
      <c r="BA69" s="241"/>
      <c r="BB69" s="241"/>
      <c r="BC69" s="241"/>
      <c r="BD69" s="241"/>
      <c r="BE69" s="1023"/>
      <c r="BF69" s="1023"/>
      <c r="BG69" s="1023"/>
      <c r="BH69" s="1023"/>
      <c r="BI69" s="241"/>
      <c r="BJ69" s="241"/>
      <c r="BK69" s="241"/>
      <c r="BL69" s="241"/>
      <c r="BM69" s="241"/>
      <c r="BN69" s="241"/>
      <c r="BO69" s="241"/>
      <c r="BP69" s="241"/>
      <c r="BQ69" s="241"/>
      <c r="BR69" s="241"/>
      <c r="BS69" s="241"/>
      <c r="BT69" s="241"/>
      <c r="BU69" s="241"/>
      <c r="BV69" s="241"/>
      <c r="BW69" s="241"/>
      <c r="BX69" s="241"/>
      <c r="BY69" s="241"/>
      <c r="BZ69" s="241"/>
      <c r="CA69" s="241"/>
      <c r="CB69" s="1213"/>
    </row>
    <row r="70" spans="4:106" ht="16" thickBot="1">
      <c r="D70" s="722" t="s">
        <v>1160</v>
      </c>
      <c r="E70" s="731"/>
      <c r="F70" s="731"/>
      <c r="G70" s="731"/>
      <c r="H70" s="731"/>
      <c r="I70" s="731"/>
      <c r="J70" s="731"/>
      <c r="K70" s="731"/>
      <c r="L70" s="695" t="s">
        <v>20</v>
      </c>
      <c r="M70" s="695" t="s">
        <v>21</v>
      </c>
      <c r="N70" s="695" t="s">
        <v>22</v>
      </c>
      <c r="O70" s="695" t="s">
        <v>23</v>
      </c>
      <c r="P70" s="404" t="s">
        <v>24</v>
      </c>
      <c r="Q70" s="404" t="s">
        <v>25</v>
      </c>
      <c r="R70" s="404" t="s">
        <v>26</v>
      </c>
      <c r="S70" s="404" t="s">
        <v>27</v>
      </c>
      <c r="T70" s="1380" t="s">
        <v>712</v>
      </c>
      <c r="U70" s="404" t="s">
        <v>713</v>
      </c>
      <c r="V70" s="404" t="s">
        <v>714</v>
      </c>
      <c r="W70" s="404" t="s">
        <v>715</v>
      </c>
      <c r="X70" s="404" t="s">
        <v>716</v>
      </c>
      <c r="Y70" s="404" t="s">
        <v>717</v>
      </c>
      <c r="Z70" s="404" t="s">
        <v>718</v>
      </c>
      <c r="AA70" s="404" t="s">
        <v>719</v>
      </c>
      <c r="AB70" s="404" t="s">
        <v>720</v>
      </c>
      <c r="AC70" s="404" t="s">
        <v>721</v>
      </c>
      <c r="AD70" s="404" t="s">
        <v>722</v>
      </c>
      <c r="AE70" s="1379" t="s">
        <v>1445</v>
      </c>
      <c r="AF70" s="1380" t="s">
        <v>1446</v>
      </c>
    </row>
    <row r="71" spans="4:106" s="160" customFormat="1" ht="20">
      <c r="D71" s="874" t="s">
        <v>1161</v>
      </c>
      <c r="E71" s="190"/>
      <c r="F71" s="190"/>
      <c r="G71" s="190"/>
      <c r="H71" s="190"/>
      <c r="I71" s="190">
        <v>104</v>
      </c>
      <c r="J71" s="190">
        <v>104</v>
      </c>
      <c r="K71" s="190">
        <v>104</v>
      </c>
      <c r="L71" s="1426">
        <v>104</v>
      </c>
      <c r="M71" s="1426">
        <v>104</v>
      </c>
      <c r="N71" s="1426">
        <v>104</v>
      </c>
      <c r="O71" s="1426">
        <v>104</v>
      </c>
      <c r="P71" s="1426">
        <f>P73*P80</f>
        <v>104</v>
      </c>
      <c r="Q71" s="1426">
        <f t="shared" ref="Q71:AD71" si="291">Q73*Q80</f>
        <v>104</v>
      </c>
      <c r="R71" s="1426">
        <f t="shared" si="291"/>
        <v>104</v>
      </c>
      <c r="S71" s="1426">
        <f t="shared" si="291"/>
        <v>104</v>
      </c>
      <c r="T71" s="1426">
        <f t="shared" si="291"/>
        <v>104</v>
      </c>
      <c r="U71" s="1426">
        <f t="shared" si="291"/>
        <v>104</v>
      </c>
      <c r="V71" s="1426">
        <f t="shared" si="291"/>
        <v>104</v>
      </c>
      <c r="W71" s="1426">
        <f t="shared" si="291"/>
        <v>104</v>
      </c>
      <c r="X71" s="1426">
        <f t="shared" si="291"/>
        <v>104</v>
      </c>
      <c r="Y71" s="1426">
        <f t="shared" si="291"/>
        <v>104</v>
      </c>
      <c r="Z71" s="1426">
        <f t="shared" si="291"/>
        <v>104</v>
      </c>
      <c r="AA71" s="1426">
        <f t="shared" si="291"/>
        <v>104</v>
      </c>
      <c r="AB71" s="1426">
        <f t="shared" si="291"/>
        <v>104</v>
      </c>
      <c r="AC71" s="1426">
        <f t="shared" si="291"/>
        <v>104</v>
      </c>
      <c r="AD71" s="1426">
        <f t="shared" si="291"/>
        <v>104</v>
      </c>
      <c r="AE71" s="1391">
        <f>(O71/L71)^(1/3)-1</f>
        <v>0</v>
      </c>
      <c r="AF71" s="1392">
        <f>(T71/P71)^(1/4)-1</f>
        <v>0</v>
      </c>
      <c r="AK71" s="1210" t="s">
        <v>1792</v>
      </c>
    </row>
    <row r="72" spans="4:106" s="1403" customFormat="1" thickBot="1">
      <c r="D72" s="1418" t="s">
        <v>832</v>
      </c>
      <c r="E72" s="1402"/>
      <c r="F72" s="1402"/>
      <c r="G72" s="1402"/>
      <c r="H72" s="1402"/>
      <c r="I72" s="1402"/>
      <c r="J72" s="1402"/>
      <c r="K72" s="1402"/>
      <c r="L72" s="1402">
        <f>(L71/K71)-1</f>
        <v>0</v>
      </c>
      <c r="M72" s="1402">
        <f t="shared" ref="M72" si="292">(M71/L71)-1</f>
        <v>0</v>
      </c>
      <c r="N72" s="1402">
        <f t="shared" ref="N72" si="293">(N71/M71)-1</f>
        <v>0</v>
      </c>
      <c r="O72" s="1402">
        <f t="shared" ref="O72" si="294">(O71/N71)-1</f>
        <v>0</v>
      </c>
      <c r="P72" s="1402">
        <f t="shared" ref="P72" si="295">(P71/O71)-1</f>
        <v>0</v>
      </c>
      <c r="Q72" s="1402">
        <f t="shared" ref="Q72" si="296">(Q71/P71)-1</f>
        <v>0</v>
      </c>
      <c r="R72" s="1402">
        <f t="shared" ref="R72" si="297">(R71/Q71)-1</f>
        <v>0</v>
      </c>
      <c r="S72" s="1402">
        <f t="shared" ref="S72" si="298">(S71/R71)-1</f>
        <v>0</v>
      </c>
      <c r="T72" s="1402">
        <f t="shared" ref="T72" si="299">(T71/S71)-1</f>
        <v>0</v>
      </c>
      <c r="U72" s="1402">
        <f t="shared" ref="U72" si="300">(U71/T71)-1</f>
        <v>0</v>
      </c>
      <c r="V72" s="1402">
        <f t="shared" ref="V72" si="301">(V71/U71)-1</f>
        <v>0</v>
      </c>
      <c r="W72" s="1402">
        <f t="shared" ref="W72" si="302">(W71/V71)-1</f>
        <v>0</v>
      </c>
      <c r="X72" s="1402">
        <f t="shared" ref="X72" si="303">(X71/W71)-1</f>
        <v>0</v>
      </c>
      <c r="Y72" s="1402">
        <f t="shared" ref="Y72" si="304">(Y71/X71)-1</f>
        <v>0</v>
      </c>
      <c r="Z72" s="1402">
        <f t="shared" ref="Z72" si="305">(Z71/Y71)-1</f>
        <v>0</v>
      </c>
      <c r="AA72" s="1402">
        <f t="shared" ref="AA72" si="306">(AA71/Z71)-1</f>
        <v>0</v>
      </c>
      <c r="AB72" s="1402">
        <f t="shared" ref="AB72" si="307">(AB71/AA71)-1</f>
        <v>0</v>
      </c>
      <c r="AC72" s="1402">
        <f t="shared" ref="AC72" si="308">(AC71/AB71)-1</f>
        <v>0</v>
      </c>
      <c r="AD72" s="1402">
        <f t="shared" ref="AD72" si="309">(AD71/AC71)-1</f>
        <v>0</v>
      </c>
      <c r="AE72" s="1298"/>
      <c r="AF72" s="1299"/>
      <c r="AK72" s="1336"/>
      <c r="AL72" s="1336"/>
      <c r="AM72" s="1336"/>
      <c r="AN72" s="1336"/>
      <c r="AO72" s="1406"/>
      <c r="AP72" s="1406"/>
      <c r="AQ72" s="1406"/>
      <c r="AR72" s="1406"/>
      <c r="AS72" s="1406"/>
      <c r="AT72" s="1406"/>
      <c r="AU72" s="1406"/>
      <c r="AV72" s="1406"/>
      <c r="AW72" s="1407"/>
      <c r="AX72" s="1408"/>
      <c r="AY72" s="1408"/>
      <c r="AZ72" s="1408"/>
      <c r="BA72" s="1408"/>
      <c r="BB72" s="1408"/>
      <c r="BC72" s="1408"/>
      <c r="BD72" s="1408"/>
      <c r="BE72" s="1408"/>
      <c r="BF72" s="1408"/>
      <c r="BG72" s="1408"/>
      <c r="BH72" s="1408"/>
      <c r="BI72" s="1408"/>
      <c r="BJ72" s="1408"/>
      <c r="BK72" s="1408"/>
      <c r="BL72" s="1408"/>
      <c r="BM72" s="1408"/>
    </row>
    <row r="73" spans="4:106" s="1403" customFormat="1" ht="14">
      <c r="D73" s="1418" t="s">
        <v>1152</v>
      </c>
      <c r="E73" s="1402"/>
      <c r="F73" s="1402"/>
      <c r="G73" s="1445"/>
      <c r="H73" s="1446"/>
      <c r="I73" s="1446"/>
      <c r="J73" s="1446"/>
      <c r="K73" s="1446"/>
      <c r="L73" s="1402">
        <f>L71/L80</f>
        <v>4.2921997523730909E-2</v>
      </c>
      <c r="M73" s="1402">
        <f>M71/M80</f>
        <v>4.2921997523730909E-2</v>
      </c>
      <c r="N73" s="1402">
        <f t="shared" ref="N73:O73" si="310">N71/N80</f>
        <v>4.2921997523730909E-2</v>
      </c>
      <c r="O73" s="1402">
        <f t="shared" si="310"/>
        <v>4.2921997523730909E-2</v>
      </c>
      <c r="P73" s="1402">
        <f>O73</f>
        <v>4.2921997523730909E-2</v>
      </c>
      <c r="Q73" s="1402">
        <f t="shared" ref="Q73:AD73" si="311">P73</f>
        <v>4.2921997523730909E-2</v>
      </c>
      <c r="R73" s="1402">
        <f t="shared" si="311"/>
        <v>4.2921997523730909E-2</v>
      </c>
      <c r="S73" s="1402">
        <f t="shared" si="311"/>
        <v>4.2921997523730909E-2</v>
      </c>
      <c r="T73" s="1402">
        <f t="shared" si="311"/>
        <v>4.2921997523730909E-2</v>
      </c>
      <c r="U73" s="1402">
        <f t="shared" si="311"/>
        <v>4.2921997523730909E-2</v>
      </c>
      <c r="V73" s="1402">
        <f t="shared" si="311"/>
        <v>4.2921997523730909E-2</v>
      </c>
      <c r="W73" s="1402">
        <f t="shared" si="311"/>
        <v>4.2921997523730909E-2</v>
      </c>
      <c r="X73" s="1402">
        <f t="shared" si="311"/>
        <v>4.2921997523730909E-2</v>
      </c>
      <c r="Y73" s="1402">
        <f t="shared" si="311"/>
        <v>4.2921997523730909E-2</v>
      </c>
      <c r="Z73" s="1402">
        <f t="shared" si="311"/>
        <v>4.2921997523730909E-2</v>
      </c>
      <c r="AA73" s="1402">
        <f t="shared" si="311"/>
        <v>4.2921997523730909E-2</v>
      </c>
      <c r="AB73" s="1402">
        <f t="shared" si="311"/>
        <v>4.2921997523730909E-2</v>
      </c>
      <c r="AC73" s="1402">
        <f t="shared" si="311"/>
        <v>4.2921997523730909E-2</v>
      </c>
      <c r="AD73" s="1402">
        <f t="shared" si="311"/>
        <v>4.2921997523730909E-2</v>
      </c>
      <c r="AE73" s="1298"/>
      <c r="AF73" s="1299"/>
      <c r="AK73" s="169"/>
      <c r="AL73" s="169"/>
      <c r="AM73" s="169"/>
      <c r="AN73" s="169"/>
      <c r="AO73" s="807"/>
      <c r="AP73" s="807"/>
      <c r="AQ73" s="807"/>
      <c r="AR73" s="807"/>
      <c r="AS73" s="807"/>
      <c r="AT73" s="807"/>
      <c r="AU73" s="807"/>
      <c r="AV73" s="807"/>
      <c r="AW73" s="807"/>
      <c r="AX73" s="807"/>
      <c r="AY73" s="807"/>
      <c r="AZ73" s="807"/>
      <c r="BA73" s="807"/>
      <c r="BB73" s="807"/>
      <c r="BC73" s="807"/>
      <c r="BD73" s="807"/>
      <c r="BE73" s="807"/>
      <c r="BF73" s="807"/>
      <c r="BG73" s="807"/>
      <c r="BH73" s="807"/>
      <c r="BI73" s="807"/>
      <c r="BJ73" s="807"/>
      <c r="BK73" s="807"/>
      <c r="BL73" s="1213"/>
      <c r="BM73" s="1213"/>
    </row>
    <row r="74" spans="4:106" s="160" customFormat="1">
      <c r="D74" s="874" t="s">
        <v>1162</v>
      </c>
      <c r="E74" s="190"/>
      <c r="F74" s="190"/>
      <c r="G74" s="1444"/>
      <c r="H74" s="1390"/>
      <c r="I74" s="1390"/>
      <c r="J74" s="1390"/>
      <c r="K74" s="1390"/>
      <c r="L74" s="1390">
        <v>270</v>
      </c>
      <c r="M74" s="1390">
        <v>270</v>
      </c>
      <c r="N74" s="1390">
        <v>233</v>
      </c>
      <c r="O74" s="1390">
        <v>257</v>
      </c>
      <c r="P74" s="1390">
        <f>P76*P80</f>
        <v>257</v>
      </c>
      <c r="Q74" s="1390">
        <f t="shared" ref="Q74:AD74" si="312">Q76*Q80</f>
        <v>257</v>
      </c>
      <c r="R74" s="1390">
        <f t="shared" si="312"/>
        <v>257</v>
      </c>
      <c r="S74" s="1390">
        <f t="shared" si="312"/>
        <v>257</v>
      </c>
      <c r="T74" s="1390">
        <f t="shared" si="312"/>
        <v>257</v>
      </c>
      <c r="U74" s="1390">
        <f t="shared" si="312"/>
        <v>257</v>
      </c>
      <c r="V74" s="1390">
        <f t="shared" si="312"/>
        <v>257</v>
      </c>
      <c r="W74" s="1390">
        <f t="shared" si="312"/>
        <v>257</v>
      </c>
      <c r="X74" s="1390">
        <f t="shared" si="312"/>
        <v>257</v>
      </c>
      <c r="Y74" s="1390">
        <f t="shared" si="312"/>
        <v>257</v>
      </c>
      <c r="Z74" s="1390">
        <f t="shared" si="312"/>
        <v>257</v>
      </c>
      <c r="AA74" s="1390">
        <f t="shared" si="312"/>
        <v>257</v>
      </c>
      <c r="AB74" s="1390">
        <f t="shared" si="312"/>
        <v>257</v>
      </c>
      <c r="AC74" s="1390">
        <f t="shared" si="312"/>
        <v>257</v>
      </c>
      <c r="AD74" s="1390">
        <f t="shared" si="312"/>
        <v>257</v>
      </c>
      <c r="AE74" s="1398">
        <f>(O74/L74)^(1/3)-1</f>
        <v>-1.6314084749518898E-2</v>
      </c>
      <c r="AF74" s="1399">
        <f>(T74/P74)^(1/4)-1</f>
        <v>0</v>
      </c>
      <c r="AK74" s="241"/>
      <c r="AL74" s="241"/>
      <c r="AM74" s="241"/>
      <c r="AN74" s="241"/>
      <c r="AO74" s="1023"/>
      <c r="AP74" s="1023"/>
      <c r="AQ74" s="1023"/>
      <c r="AR74" s="1023"/>
      <c r="AS74" s="241"/>
      <c r="AT74" s="241"/>
      <c r="AU74" s="241"/>
      <c r="AV74" s="241"/>
      <c r="AW74" s="248"/>
      <c r="AX74" s="248"/>
      <c r="AY74" s="248"/>
      <c r="AZ74" s="248"/>
      <c r="BA74" s="248"/>
      <c r="BB74" s="248"/>
      <c r="BC74" s="248"/>
      <c r="BD74" s="248"/>
      <c r="BE74" s="248"/>
      <c r="BF74" s="248"/>
      <c r="BG74" s="248"/>
      <c r="BH74" s="248"/>
      <c r="BI74" s="248"/>
      <c r="BJ74" s="248"/>
      <c r="BK74" s="248"/>
      <c r="BL74" s="1213"/>
      <c r="BM74" s="1213"/>
    </row>
    <row r="75" spans="4:106" s="1403" customFormat="1" ht="14">
      <c r="D75" s="1418" t="s">
        <v>832</v>
      </c>
      <c r="E75" s="1402"/>
      <c r="F75" s="1402"/>
      <c r="G75" s="1447"/>
      <c r="H75" s="1402"/>
      <c r="I75" s="1402"/>
      <c r="J75" s="1402"/>
      <c r="K75" s="1402"/>
      <c r="L75" s="1402"/>
      <c r="M75" s="1402">
        <f t="shared" ref="M75" si="313">(M74/L74)-1</f>
        <v>0</v>
      </c>
      <c r="N75" s="1402">
        <f t="shared" ref="N75" si="314">(N74/M74)-1</f>
        <v>-0.13703703703703707</v>
      </c>
      <c r="O75" s="1402">
        <f t="shared" ref="O75" si="315">(O74/N74)-1</f>
        <v>0.10300429184549365</v>
      </c>
      <c r="P75" s="1402">
        <f t="shared" ref="P75" si="316">(P74/O74)-1</f>
        <v>0</v>
      </c>
      <c r="Q75" s="1402">
        <f t="shared" ref="Q75" si="317">(Q74/P74)-1</f>
        <v>0</v>
      </c>
      <c r="R75" s="1402">
        <f t="shared" ref="R75" si="318">(R74/Q74)-1</f>
        <v>0</v>
      </c>
      <c r="S75" s="1402">
        <f t="shared" ref="S75" si="319">(S74/R74)-1</f>
        <v>0</v>
      </c>
      <c r="T75" s="1402">
        <f t="shared" ref="T75" si="320">(T74/S74)-1</f>
        <v>0</v>
      </c>
      <c r="U75" s="1402">
        <f t="shared" ref="U75" si="321">(U74/T74)-1</f>
        <v>0</v>
      </c>
      <c r="V75" s="1402">
        <f t="shared" ref="V75" si="322">(V74/U74)-1</f>
        <v>0</v>
      </c>
      <c r="W75" s="1402">
        <f t="shared" ref="W75" si="323">(W74/V74)-1</f>
        <v>0</v>
      </c>
      <c r="X75" s="1402">
        <f t="shared" ref="X75" si="324">(X74/W74)-1</f>
        <v>0</v>
      </c>
      <c r="Y75" s="1402">
        <f t="shared" ref="Y75" si="325">(Y74/X74)-1</f>
        <v>0</v>
      </c>
      <c r="Z75" s="1402">
        <f t="shared" ref="Z75" si="326">(Z74/Y74)-1</f>
        <v>0</v>
      </c>
      <c r="AA75" s="1402">
        <f t="shared" ref="AA75" si="327">(AA74/Z74)-1</f>
        <v>0</v>
      </c>
      <c r="AB75" s="1402">
        <f t="shared" ref="AB75" si="328">(AB74/AA74)-1</f>
        <v>0</v>
      </c>
      <c r="AC75" s="1402">
        <f t="shared" ref="AC75" si="329">(AC74/AB74)-1</f>
        <v>0</v>
      </c>
      <c r="AD75" s="1402">
        <f t="shared" ref="AD75" si="330">(AD74/AC74)-1</f>
        <v>0</v>
      </c>
      <c r="AE75" s="1298"/>
      <c r="AF75" s="1299"/>
      <c r="AK75" s="1402"/>
      <c r="AL75" s="1402"/>
      <c r="AM75" s="1402"/>
      <c r="AN75" s="1402"/>
      <c r="AO75" s="1038"/>
      <c r="AP75" s="1038"/>
      <c r="AQ75" s="1038"/>
      <c r="AR75" s="1038"/>
      <c r="AS75" s="1402"/>
      <c r="AT75" s="1402"/>
      <c r="AU75" s="1402"/>
      <c r="AV75" s="1402"/>
      <c r="AW75" s="1402"/>
      <c r="AX75" s="1402"/>
      <c r="AY75" s="1402"/>
      <c r="AZ75" s="1402"/>
      <c r="BA75" s="1402"/>
      <c r="BB75" s="1402"/>
      <c r="BC75" s="1402"/>
      <c r="BD75" s="1402"/>
      <c r="BE75" s="1402"/>
      <c r="BF75" s="1402"/>
      <c r="BG75" s="1402"/>
      <c r="BH75" s="1402"/>
      <c r="BI75" s="1402"/>
      <c r="BJ75" s="1402"/>
      <c r="BK75" s="1402"/>
      <c r="BL75" s="1213"/>
      <c r="BM75" s="1213"/>
    </row>
    <row r="76" spans="4:106" s="1403" customFormat="1" ht="14">
      <c r="D76" s="1418" t="s">
        <v>1152</v>
      </c>
      <c r="E76" s="1402"/>
      <c r="F76" s="1402"/>
      <c r="G76" s="1447"/>
      <c r="H76" s="1402"/>
      <c r="I76" s="1402"/>
      <c r="J76" s="1402"/>
      <c r="K76" s="1402"/>
      <c r="L76" s="1402">
        <f>L74/L80</f>
        <v>0.11143210895583987</v>
      </c>
      <c r="M76" s="1402">
        <f>M74/M80</f>
        <v>0.11143210895583987</v>
      </c>
      <c r="N76" s="1402">
        <f t="shared" ref="N76:O76" si="331">N74/N80</f>
        <v>9.6161782913743291E-2</v>
      </c>
      <c r="O76" s="1402">
        <f t="shared" si="331"/>
        <v>0.1060668592653735</v>
      </c>
      <c r="P76" s="1402">
        <f>O76</f>
        <v>0.1060668592653735</v>
      </c>
      <c r="Q76" s="1402">
        <f t="shared" ref="Q76:AD76" si="332">P76</f>
        <v>0.1060668592653735</v>
      </c>
      <c r="R76" s="1402">
        <f t="shared" si="332"/>
        <v>0.1060668592653735</v>
      </c>
      <c r="S76" s="1402">
        <f t="shared" si="332"/>
        <v>0.1060668592653735</v>
      </c>
      <c r="T76" s="1402">
        <f t="shared" si="332"/>
        <v>0.1060668592653735</v>
      </c>
      <c r="U76" s="1402">
        <f t="shared" si="332"/>
        <v>0.1060668592653735</v>
      </c>
      <c r="V76" s="1402">
        <f t="shared" si="332"/>
        <v>0.1060668592653735</v>
      </c>
      <c r="W76" s="1402">
        <f t="shared" si="332"/>
        <v>0.1060668592653735</v>
      </c>
      <c r="X76" s="1402">
        <f t="shared" si="332"/>
        <v>0.1060668592653735</v>
      </c>
      <c r="Y76" s="1402">
        <f t="shared" si="332"/>
        <v>0.1060668592653735</v>
      </c>
      <c r="Z76" s="1402">
        <f t="shared" si="332"/>
        <v>0.1060668592653735</v>
      </c>
      <c r="AA76" s="1402">
        <f t="shared" si="332"/>
        <v>0.1060668592653735</v>
      </c>
      <c r="AB76" s="1402">
        <f t="shared" si="332"/>
        <v>0.1060668592653735</v>
      </c>
      <c r="AC76" s="1402">
        <f t="shared" si="332"/>
        <v>0.1060668592653735</v>
      </c>
      <c r="AD76" s="1402">
        <f t="shared" si="332"/>
        <v>0.1060668592653735</v>
      </c>
      <c r="AE76" s="1298"/>
      <c r="AF76" s="1299"/>
      <c r="AK76" s="169"/>
      <c r="AL76" s="169"/>
      <c r="AM76" s="169"/>
      <c r="AN76" s="169"/>
      <c r="AO76" s="807"/>
      <c r="AP76" s="807"/>
      <c r="AQ76" s="807"/>
      <c r="AR76" s="807"/>
      <c r="AS76" s="807"/>
      <c r="AT76" s="807"/>
      <c r="AU76" s="807"/>
      <c r="AV76" s="807"/>
      <c r="AW76" s="807"/>
      <c r="AX76" s="807"/>
      <c r="AY76" s="807"/>
      <c r="AZ76" s="807"/>
      <c r="BA76" s="807"/>
      <c r="BB76" s="807"/>
      <c r="BC76" s="807"/>
      <c r="BD76" s="807"/>
      <c r="BE76" s="807"/>
      <c r="BF76" s="807"/>
      <c r="BG76" s="807"/>
      <c r="BH76" s="807"/>
      <c r="BI76" s="807"/>
      <c r="BJ76" s="807"/>
      <c r="BK76" s="807"/>
      <c r="BL76" s="1213"/>
      <c r="BM76" s="1213"/>
    </row>
    <row r="77" spans="4:106" s="160" customFormat="1">
      <c r="D77" s="874" t="s">
        <v>1163</v>
      </c>
      <c r="E77" s="190"/>
      <c r="F77" s="190"/>
      <c r="G77" s="1444"/>
      <c r="H77" s="1390"/>
      <c r="I77" s="1390"/>
      <c r="J77" s="1390"/>
      <c r="K77" s="1390"/>
      <c r="L77" s="1390">
        <v>2049</v>
      </c>
      <c r="M77" s="1390">
        <v>2049</v>
      </c>
      <c r="N77" s="1390">
        <v>2085</v>
      </c>
      <c r="O77" s="1390">
        <v>2061</v>
      </c>
      <c r="P77" s="1390">
        <v>2037</v>
      </c>
      <c r="Q77" s="1390">
        <f t="shared" ref="Q77:AD77" si="333">Q79*Q80</f>
        <v>2062</v>
      </c>
      <c r="R77" s="1390">
        <f t="shared" si="333"/>
        <v>2062</v>
      </c>
      <c r="S77" s="1390">
        <f t="shared" si="333"/>
        <v>2062</v>
      </c>
      <c r="T77" s="1390">
        <f t="shared" si="333"/>
        <v>2062</v>
      </c>
      <c r="U77" s="1390">
        <f t="shared" si="333"/>
        <v>2062</v>
      </c>
      <c r="V77" s="1390">
        <f t="shared" si="333"/>
        <v>2062</v>
      </c>
      <c r="W77" s="1390">
        <f t="shared" si="333"/>
        <v>2062</v>
      </c>
      <c r="X77" s="1390">
        <f t="shared" si="333"/>
        <v>2062</v>
      </c>
      <c r="Y77" s="1390">
        <f t="shared" si="333"/>
        <v>2062</v>
      </c>
      <c r="Z77" s="1390">
        <f t="shared" si="333"/>
        <v>2062</v>
      </c>
      <c r="AA77" s="1390">
        <f t="shared" si="333"/>
        <v>2062</v>
      </c>
      <c r="AB77" s="1390">
        <f t="shared" si="333"/>
        <v>2062</v>
      </c>
      <c r="AC77" s="1390">
        <f t="shared" si="333"/>
        <v>2062</v>
      </c>
      <c r="AD77" s="1390">
        <f t="shared" si="333"/>
        <v>2062</v>
      </c>
      <c r="AE77" s="1398">
        <f>(O77/L77)^(1/3)-1</f>
        <v>1.9483731676730454E-3</v>
      </c>
      <c r="AF77" s="1399">
        <f>(T77/P77)^(1/4)-1</f>
        <v>3.0542167323277525E-3</v>
      </c>
      <c r="AK77" s="241"/>
      <c r="AL77" s="241"/>
      <c r="AM77" s="241"/>
      <c r="AN77" s="241"/>
      <c r="AO77" s="1023"/>
      <c r="AP77" s="1023"/>
      <c r="AQ77" s="1023"/>
      <c r="AR77" s="1023"/>
      <c r="AS77" s="241"/>
      <c r="AT77" s="241"/>
      <c r="AU77" s="248"/>
      <c r="AV77" s="248"/>
      <c r="AW77" s="248"/>
      <c r="AX77" s="248"/>
      <c r="AY77" s="248"/>
      <c r="AZ77" s="248"/>
      <c r="BA77" s="248"/>
      <c r="BB77" s="248"/>
      <c r="BC77" s="248"/>
      <c r="BD77" s="248"/>
      <c r="BE77" s="248"/>
      <c r="BF77" s="248"/>
      <c r="BG77" s="248"/>
      <c r="BH77" s="248"/>
      <c r="BI77" s="248"/>
      <c r="BJ77" s="248"/>
      <c r="BK77" s="248"/>
      <c r="BL77" s="1213"/>
      <c r="BM77" s="1213"/>
    </row>
    <row r="78" spans="4:106" s="1403" customFormat="1" ht="14">
      <c r="D78" s="1418" t="s">
        <v>832</v>
      </c>
      <c r="E78" s="1402"/>
      <c r="F78" s="1402"/>
      <c r="G78" s="1447"/>
      <c r="H78" s="1402"/>
      <c r="I78" s="1402"/>
      <c r="J78" s="1402"/>
      <c r="K78" s="1402"/>
      <c r="L78" s="1402"/>
      <c r="M78" s="1402">
        <f t="shared" ref="M78" si="334">(M77/L77)-1</f>
        <v>0</v>
      </c>
      <c r="N78" s="1402">
        <f t="shared" ref="N78" si="335">(N77/M77)-1</f>
        <v>1.7569546120058455E-2</v>
      </c>
      <c r="O78" s="1402">
        <f t="shared" ref="O78" si="336">(O77/N77)-1</f>
        <v>-1.151079136690647E-2</v>
      </c>
      <c r="P78" s="1402">
        <f t="shared" ref="P78" si="337">(P77/O77)-1</f>
        <v>-1.1644832605531286E-2</v>
      </c>
      <c r="Q78" s="1402">
        <f t="shared" ref="Q78" si="338">(Q77/P77)-1</f>
        <v>1.2272950417280271E-2</v>
      </c>
      <c r="R78" s="1402">
        <f t="shared" ref="R78" si="339">(R77/Q77)-1</f>
        <v>0</v>
      </c>
      <c r="S78" s="1402">
        <f t="shared" ref="S78" si="340">(S77/R77)-1</f>
        <v>0</v>
      </c>
      <c r="T78" s="1402">
        <f t="shared" ref="T78" si="341">(T77/S77)-1</f>
        <v>0</v>
      </c>
      <c r="U78" s="1402">
        <f t="shared" ref="U78" si="342">(U77/T77)-1</f>
        <v>0</v>
      </c>
      <c r="V78" s="1402">
        <f t="shared" ref="V78" si="343">(V77/U77)-1</f>
        <v>0</v>
      </c>
      <c r="W78" s="1402">
        <f t="shared" ref="W78" si="344">(W77/V77)-1</f>
        <v>0</v>
      </c>
      <c r="X78" s="1402">
        <f t="shared" ref="X78" si="345">(X77/W77)-1</f>
        <v>0</v>
      </c>
      <c r="Y78" s="1402">
        <f t="shared" ref="Y78" si="346">(Y77/X77)-1</f>
        <v>0</v>
      </c>
      <c r="Z78" s="1402">
        <f t="shared" ref="Z78" si="347">(Z77/Y77)-1</f>
        <v>0</v>
      </c>
      <c r="AA78" s="1402">
        <f t="shared" ref="AA78" si="348">(AA77/Z77)-1</f>
        <v>0</v>
      </c>
      <c r="AB78" s="1402">
        <f t="shared" ref="AB78" si="349">(AB77/AA77)-1</f>
        <v>0</v>
      </c>
      <c r="AC78" s="1402">
        <f t="shared" ref="AC78" si="350">(AC77/AB77)-1</f>
        <v>0</v>
      </c>
      <c r="AD78" s="1402">
        <f t="shared" ref="AD78" si="351">(AD77/AC77)-1</f>
        <v>0</v>
      </c>
      <c r="AE78" s="1298"/>
      <c r="AF78" s="1299"/>
      <c r="AL78" s="1402"/>
      <c r="AM78" s="1402"/>
      <c r="AN78" s="1402"/>
      <c r="AO78" s="1038"/>
      <c r="AP78" s="1038"/>
      <c r="AQ78" s="1038"/>
      <c r="AR78" s="1038"/>
      <c r="AS78" s="1402"/>
      <c r="AT78" s="1402"/>
      <c r="AU78" s="1402"/>
      <c r="AV78" s="1402"/>
      <c r="AW78" s="1402"/>
      <c r="AX78" s="1402"/>
      <c r="AY78" s="1402"/>
      <c r="AZ78" s="1402"/>
      <c r="BA78" s="1402"/>
      <c r="BB78" s="1402"/>
      <c r="BC78" s="1402"/>
      <c r="BD78" s="1402"/>
      <c r="BE78" s="1402"/>
      <c r="BF78" s="1402"/>
      <c r="BG78" s="1402"/>
      <c r="BH78" s="1402"/>
      <c r="BI78" s="1402"/>
      <c r="BJ78" s="1402"/>
      <c r="BK78" s="1402"/>
      <c r="BL78" s="1213"/>
      <c r="BM78" s="1213"/>
    </row>
    <row r="79" spans="4:106" s="1403" customFormat="1" thickBot="1">
      <c r="D79" s="1418" t="s">
        <v>1152</v>
      </c>
      <c r="E79" s="1402"/>
      <c r="F79" s="1402"/>
      <c r="G79" s="1447"/>
      <c r="H79" s="1038"/>
      <c r="I79" s="1038"/>
      <c r="J79" s="1038"/>
      <c r="K79" s="1038"/>
      <c r="L79" s="1411">
        <f>L77/L80</f>
        <v>0.84564589352042918</v>
      </c>
      <c r="M79" s="1411">
        <f>M77/M80</f>
        <v>0.84564589352042918</v>
      </c>
      <c r="N79" s="1411">
        <f t="shared" ref="N79:O79" si="352">N77/N80</f>
        <v>0.86050350804787457</v>
      </c>
      <c r="O79" s="1411">
        <f t="shared" si="352"/>
        <v>0.85059843169624427</v>
      </c>
      <c r="P79" s="1411">
        <f>1-P73-P76</f>
        <v>0.85101114321089555</v>
      </c>
      <c r="Q79" s="1411">
        <f t="shared" ref="Q79:AD79" si="353">1-Q73-Q76</f>
        <v>0.85101114321089555</v>
      </c>
      <c r="R79" s="1411">
        <f t="shared" si="353"/>
        <v>0.85101114321089555</v>
      </c>
      <c r="S79" s="1411">
        <f t="shared" si="353"/>
        <v>0.85101114321089555</v>
      </c>
      <c r="T79" s="1411">
        <f t="shared" si="353"/>
        <v>0.85101114321089555</v>
      </c>
      <c r="U79" s="1411">
        <f t="shared" si="353"/>
        <v>0.85101114321089555</v>
      </c>
      <c r="V79" s="1411">
        <f t="shared" si="353"/>
        <v>0.85101114321089555</v>
      </c>
      <c r="W79" s="1411">
        <f t="shared" si="353"/>
        <v>0.85101114321089555</v>
      </c>
      <c r="X79" s="1411">
        <f t="shared" si="353"/>
        <v>0.85101114321089555</v>
      </c>
      <c r="Y79" s="1411">
        <f t="shared" si="353"/>
        <v>0.85101114321089555</v>
      </c>
      <c r="Z79" s="1411">
        <f t="shared" si="353"/>
        <v>0.85101114321089555</v>
      </c>
      <c r="AA79" s="1402">
        <f t="shared" si="353"/>
        <v>0.85101114321089555</v>
      </c>
      <c r="AB79" s="1402">
        <f t="shared" si="353"/>
        <v>0.85101114321089555</v>
      </c>
      <c r="AC79" s="1402">
        <f t="shared" si="353"/>
        <v>0.85101114321089555</v>
      </c>
      <c r="AD79" s="1402">
        <f t="shared" si="353"/>
        <v>0.85101114321089555</v>
      </c>
      <c r="AE79" s="1298"/>
      <c r="AF79" s="1299"/>
      <c r="AK79" s="443" t="s">
        <v>1658</v>
      </c>
      <c r="AL79" s="169"/>
      <c r="AM79" s="169"/>
      <c r="AN79" s="169"/>
      <c r="AO79" s="807"/>
      <c r="AP79" s="807"/>
      <c r="AQ79" s="807"/>
      <c r="AR79" s="807"/>
      <c r="AS79" s="807"/>
      <c r="AT79" s="807"/>
      <c r="AU79" s="807"/>
      <c r="AV79" s="807"/>
      <c r="AW79" s="807"/>
      <c r="AX79" s="807"/>
      <c r="AY79" s="807"/>
      <c r="AZ79" s="807"/>
      <c r="BA79" s="807"/>
      <c r="BB79" s="807"/>
      <c r="BC79" s="807"/>
      <c r="BD79" s="807"/>
      <c r="BE79" s="807"/>
      <c r="BF79" s="807"/>
      <c r="BG79" s="807"/>
      <c r="BH79" s="807"/>
      <c r="BI79" s="807"/>
      <c r="BJ79" s="807"/>
      <c r="BK79" s="807"/>
      <c r="BL79" s="1213"/>
      <c r="BM79" s="1213"/>
    </row>
    <row r="80" spans="4:106" s="1154" customFormat="1" ht="16" thickBot="1">
      <c r="D80" s="1151" t="s">
        <v>103</v>
      </c>
      <c r="E80" s="1098"/>
      <c r="F80" s="1098"/>
      <c r="G80" s="1152"/>
      <c r="H80" s="1153"/>
      <c r="I80" s="1153">
        <v>2423</v>
      </c>
      <c r="J80" s="1153">
        <v>2423</v>
      </c>
      <c r="K80" s="1153">
        <v>2423</v>
      </c>
      <c r="L80" s="1098">
        <v>2423</v>
      </c>
      <c r="M80" s="1098">
        <v>2423</v>
      </c>
      <c r="N80" s="1098">
        <v>2423</v>
      </c>
      <c r="O80" s="1098">
        <v>2423</v>
      </c>
      <c r="P80" s="1098">
        <f>O80*(1+P81)</f>
        <v>2423</v>
      </c>
      <c r="Q80" s="1098">
        <f t="shared" ref="Q80" si="354">P80*(1+Q81)</f>
        <v>2423</v>
      </c>
      <c r="R80" s="1098">
        <f t="shared" ref="R80" si="355">Q80*(1+R81)</f>
        <v>2423</v>
      </c>
      <c r="S80" s="1098">
        <f t="shared" ref="S80" si="356">R80*(1+S81)</f>
        <v>2423</v>
      </c>
      <c r="T80" s="1098">
        <f t="shared" ref="T80" si="357">S80*(1+T81)</f>
        <v>2423</v>
      </c>
      <c r="U80" s="1098">
        <f t="shared" ref="U80" si="358">T80*(1+U81)</f>
        <v>2423</v>
      </c>
      <c r="V80" s="1098">
        <f t="shared" ref="V80" si="359">U80*(1+V81)</f>
        <v>2423</v>
      </c>
      <c r="W80" s="1098">
        <f t="shared" ref="W80" si="360">V80*(1+W81)</f>
        <v>2423</v>
      </c>
      <c r="X80" s="1098">
        <f t="shared" ref="X80" si="361">W80*(1+X81)</f>
        <v>2423</v>
      </c>
      <c r="Y80" s="1098">
        <f t="shared" ref="Y80" si="362">X80*(1+Y81)</f>
        <v>2423</v>
      </c>
      <c r="Z80" s="1098">
        <f t="shared" ref="Z80" si="363">Y80*(1+Z81)</f>
        <v>2423</v>
      </c>
      <c r="AA80" s="1098">
        <f t="shared" ref="AA80" si="364">Z80*(1+AA81)</f>
        <v>2423</v>
      </c>
      <c r="AB80" s="1098">
        <f t="shared" ref="AB80" si="365">AA80*(1+AB81)</f>
        <v>2423</v>
      </c>
      <c r="AC80" s="1098">
        <f t="shared" ref="AC80" si="366">AB80*(1+AC81)</f>
        <v>2423</v>
      </c>
      <c r="AD80" s="1098">
        <f t="shared" ref="AD80" si="367">AC80*(1+AD81)</f>
        <v>2423</v>
      </c>
      <c r="AE80" s="1398">
        <f>(O80/L80)^(1/3)-1</f>
        <v>0</v>
      </c>
      <c r="AF80" s="1399">
        <f>(T80/P80)^(1/4)-1</f>
        <v>0</v>
      </c>
      <c r="AK80" s="241"/>
      <c r="AL80" s="241"/>
      <c r="AM80" s="241"/>
      <c r="AN80" s="241"/>
      <c r="AO80" s="1023"/>
      <c r="AP80" s="1023"/>
      <c r="AQ80" s="1023"/>
      <c r="AR80" s="1023"/>
      <c r="AS80" s="241"/>
      <c r="AT80" s="241"/>
      <c r="AU80" s="248"/>
      <c r="AV80" s="248"/>
      <c r="AW80" s="248"/>
      <c r="AX80" s="248"/>
      <c r="AY80" s="248"/>
      <c r="AZ80" s="248"/>
      <c r="BA80" s="248"/>
      <c r="BB80" s="248"/>
      <c r="BC80" s="248"/>
      <c r="BD80" s="248"/>
      <c r="BE80" s="248"/>
      <c r="BF80" s="248"/>
      <c r="BG80" s="248"/>
      <c r="BH80" s="248"/>
      <c r="BI80" s="248"/>
      <c r="BJ80" s="248"/>
      <c r="BK80" s="248"/>
      <c r="BL80" s="1213"/>
      <c r="BM80" s="1213"/>
    </row>
    <row r="81" spans="4:65" s="1403" customFormat="1" thickBot="1">
      <c r="D81" s="1418" t="s">
        <v>832</v>
      </c>
      <c r="E81" s="1402"/>
      <c r="F81" s="1402"/>
      <c r="G81" s="1402"/>
      <c r="H81" s="1402"/>
      <c r="I81" s="1402"/>
      <c r="J81" s="1402"/>
      <c r="K81" s="1402"/>
      <c r="L81" s="1402">
        <f>(L80/K80)-1</f>
        <v>0</v>
      </c>
      <c r="M81" s="1402">
        <f t="shared" ref="M81" si="368">(M80/L80)-1</f>
        <v>0</v>
      </c>
      <c r="N81" s="1402">
        <f t="shared" ref="N81" si="369">(N80/M80)-1</f>
        <v>0</v>
      </c>
      <c r="O81" s="1402">
        <f t="shared" ref="O81" si="370">(O80/N80)-1</f>
        <v>0</v>
      </c>
      <c r="P81" s="1402">
        <v>0</v>
      </c>
      <c r="Q81" s="1402">
        <v>0</v>
      </c>
      <c r="R81" s="1402">
        <f>Q81</f>
        <v>0</v>
      </c>
      <c r="S81" s="1402">
        <f>R81</f>
        <v>0</v>
      </c>
      <c r="T81" s="1402">
        <f t="shared" ref="T81:AD81" si="371">S81</f>
        <v>0</v>
      </c>
      <c r="U81" s="1402">
        <f t="shared" si="371"/>
        <v>0</v>
      </c>
      <c r="V81" s="1402">
        <f t="shared" si="371"/>
        <v>0</v>
      </c>
      <c r="W81" s="1402">
        <f t="shared" si="371"/>
        <v>0</v>
      </c>
      <c r="X81" s="1402">
        <f t="shared" si="371"/>
        <v>0</v>
      </c>
      <c r="Y81" s="1402">
        <f t="shared" si="371"/>
        <v>0</v>
      </c>
      <c r="Z81" s="1402">
        <f t="shared" si="371"/>
        <v>0</v>
      </c>
      <c r="AA81" s="1402">
        <f t="shared" si="371"/>
        <v>0</v>
      </c>
      <c r="AB81" s="1402">
        <f t="shared" si="371"/>
        <v>0</v>
      </c>
      <c r="AC81" s="1402">
        <f t="shared" si="371"/>
        <v>0</v>
      </c>
      <c r="AD81" s="1402">
        <f t="shared" si="371"/>
        <v>0</v>
      </c>
      <c r="AE81" s="1298"/>
      <c r="AF81" s="1299"/>
      <c r="AK81" s="1402"/>
      <c r="AL81" s="1402"/>
      <c r="AM81" s="1402"/>
      <c r="AN81" s="1402"/>
      <c r="AO81" s="1038"/>
      <c r="AP81" s="1038"/>
      <c r="AQ81" s="1038"/>
      <c r="AR81" s="1038"/>
      <c r="AS81" s="1402"/>
      <c r="AT81" s="1402"/>
      <c r="AU81" s="1402"/>
      <c r="AV81" s="1402"/>
      <c r="AW81" s="1402"/>
      <c r="AX81" s="1402"/>
      <c r="AY81" s="1402"/>
      <c r="AZ81" s="1402"/>
      <c r="BA81" s="1402"/>
      <c r="BB81" s="1402"/>
      <c r="BC81" s="1402"/>
      <c r="BD81" s="1402"/>
      <c r="BE81" s="1402"/>
      <c r="BF81" s="1402"/>
      <c r="BG81" s="1402"/>
      <c r="BH81" s="1402"/>
      <c r="BI81" s="1402"/>
      <c r="BJ81" s="1402"/>
      <c r="BK81" s="1402"/>
      <c r="BL81" s="1213"/>
      <c r="BM81" s="1213"/>
    </row>
    <row r="82" spans="4:65" s="420" customFormat="1" ht="16" thickBot="1">
      <c r="D82" s="693" t="s">
        <v>1155</v>
      </c>
      <c r="E82" s="380"/>
      <c r="F82" s="380"/>
      <c r="G82" s="380"/>
      <c r="H82" s="380"/>
      <c r="I82" s="380"/>
      <c r="J82" s="380"/>
      <c r="K82" s="380"/>
      <c r="L82" s="1024">
        <f>SUM(L71,L74)</f>
        <v>374</v>
      </c>
      <c r="M82" s="1024">
        <f>SUM(M71,M74)</f>
        <v>374</v>
      </c>
      <c r="N82" s="1024">
        <f t="shared" ref="N82:AD82" si="372">SUM(N71,N74)</f>
        <v>337</v>
      </c>
      <c r="O82" s="1024">
        <f t="shared" si="372"/>
        <v>361</v>
      </c>
      <c r="P82" s="1024">
        <f t="shared" si="372"/>
        <v>361</v>
      </c>
      <c r="Q82" s="1024">
        <f t="shared" si="372"/>
        <v>361</v>
      </c>
      <c r="R82" s="1024">
        <f t="shared" si="372"/>
        <v>361</v>
      </c>
      <c r="S82" s="1024">
        <f t="shared" si="372"/>
        <v>361</v>
      </c>
      <c r="T82" s="1024">
        <f t="shared" si="372"/>
        <v>361</v>
      </c>
      <c r="U82" s="1024">
        <f t="shared" si="372"/>
        <v>361</v>
      </c>
      <c r="V82" s="1024">
        <f t="shared" si="372"/>
        <v>361</v>
      </c>
      <c r="W82" s="1024">
        <f t="shared" si="372"/>
        <v>361</v>
      </c>
      <c r="X82" s="1024">
        <f t="shared" si="372"/>
        <v>361</v>
      </c>
      <c r="Y82" s="1024">
        <f t="shared" si="372"/>
        <v>361</v>
      </c>
      <c r="Z82" s="1024">
        <f t="shared" si="372"/>
        <v>361</v>
      </c>
      <c r="AA82" s="1024">
        <f t="shared" si="372"/>
        <v>361</v>
      </c>
      <c r="AB82" s="1024">
        <f t="shared" si="372"/>
        <v>361</v>
      </c>
      <c r="AC82" s="1024">
        <f t="shared" si="372"/>
        <v>361</v>
      </c>
      <c r="AD82" s="1024">
        <f t="shared" si="372"/>
        <v>361</v>
      </c>
      <c r="AE82" s="1398">
        <f>(O82/L82)^(1/3)-1</f>
        <v>-1.17233526870133E-2</v>
      </c>
      <c r="AF82" s="1399">
        <f t="shared" ref="AF82" si="373">(T82/P82)^(1/4)-1</f>
        <v>0</v>
      </c>
      <c r="AK82" s="169"/>
      <c r="AL82" s="169"/>
      <c r="AM82" s="169"/>
      <c r="AN82" s="169"/>
      <c r="AO82" s="807"/>
      <c r="AP82" s="807"/>
      <c r="AQ82" s="807"/>
      <c r="AR82" s="807"/>
      <c r="AS82" s="807"/>
      <c r="AT82" s="807"/>
      <c r="AU82" s="807"/>
      <c r="AV82" s="807"/>
      <c r="AW82" s="807"/>
      <c r="AX82" s="807"/>
      <c r="AY82" s="807"/>
      <c r="AZ82" s="807"/>
      <c r="BA82" s="807"/>
      <c r="BB82" s="807"/>
      <c r="BC82" s="807"/>
      <c r="BD82" s="807"/>
      <c r="BE82" s="807"/>
      <c r="BF82" s="807"/>
      <c r="BG82" s="807"/>
      <c r="BH82" s="807"/>
      <c r="BI82" s="807"/>
      <c r="BJ82" s="807"/>
      <c r="BK82" s="807"/>
      <c r="BL82" s="1213"/>
      <c r="BM82" s="1213"/>
    </row>
    <row r="83" spans="4:65" s="1403" customFormat="1" thickBot="1">
      <c r="D83" s="1418" t="s">
        <v>832</v>
      </c>
      <c r="E83" s="1402"/>
      <c r="F83" s="1402"/>
      <c r="G83" s="1402"/>
      <c r="H83" s="1402"/>
      <c r="I83" s="1402"/>
      <c r="J83" s="1402"/>
      <c r="K83" s="1402"/>
      <c r="L83" s="1402"/>
      <c r="M83" s="1402">
        <f t="shared" ref="M83" si="374">M82/L82-1</f>
        <v>0</v>
      </c>
      <c r="N83" s="1402">
        <f t="shared" ref="N83" si="375">N82/M82-1</f>
        <v>-9.8930481283422411E-2</v>
      </c>
      <c r="O83" s="1402">
        <f t="shared" ref="O83" si="376">O82/N82-1</f>
        <v>7.1216617210682509E-2</v>
      </c>
      <c r="P83" s="1402">
        <f t="shared" ref="P83" si="377">P82/O82-1</f>
        <v>0</v>
      </c>
      <c r="Q83" s="1402">
        <f t="shared" ref="Q83" si="378">Q82/P82-1</f>
        <v>0</v>
      </c>
      <c r="R83" s="1402">
        <f t="shared" ref="R83" si="379">R82/Q82-1</f>
        <v>0</v>
      </c>
      <c r="S83" s="1402">
        <f t="shared" ref="S83" si="380">S82/R82-1</f>
        <v>0</v>
      </c>
      <c r="T83" s="1402">
        <f t="shared" ref="T83" si="381">T82/S82-1</f>
        <v>0</v>
      </c>
      <c r="U83" s="1402">
        <f t="shared" ref="U83" si="382">U82/T82-1</f>
        <v>0</v>
      </c>
      <c r="V83" s="1402">
        <f t="shared" ref="V83" si="383">V82/U82-1</f>
        <v>0</v>
      </c>
      <c r="W83" s="1402">
        <f t="shared" ref="W83" si="384">W82/V82-1</f>
        <v>0</v>
      </c>
      <c r="X83" s="1402">
        <f t="shared" ref="X83" si="385">X82/W82-1</f>
        <v>0</v>
      </c>
      <c r="Y83" s="1402">
        <f t="shared" ref="Y83" si="386">Y82/X82-1</f>
        <v>0</v>
      </c>
      <c r="Z83" s="1402">
        <f t="shared" ref="Z83" si="387">Z82/Y82-1</f>
        <v>0</v>
      </c>
      <c r="AA83" s="1402">
        <f t="shared" ref="AA83" si="388">AA82/Z82-1</f>
        <v>0</v>
      </c>
      <c r="AB83" s="1402">
        <f t="shared" ref="AB83" si="389">AB82/AA82-1</f>
        <v>0</v>
      </c>
      <c r="AC83" s="1402">
        <f t="shared" ref="AC83" si="390">AC82/AB82-1</f>
        <v>0</v>
      </c>
      <c r="AD83" s="1402">
        <f t="shared" ref="AD83" si="391">AD82/AC82-1</f>
        <v>0</v>
      </c>
      <c r="AE83" s="1298"/>
      <c r="AF83" s="1299"/>
      <c r="AK83" s="1402"/>
      <c r="AL83" s="1402"/>
      <c r="AM83" s="1402"/>
      <c r="AN83" s="1402"/>
      <c r="AO83" s="1038"/>
      <c r="AP83" s="1038"/>
      <c r="AQ83" s="1038"/>
      <c r="AR83" s="1038"/>
      <c r="AS83" s="1402"/>
      <c r="AT83" s="1402"/>
      <c r="AU83" s="1409"/>
      <c r="AV83" s="1409"/>
      <c r="AW83" s="1409"/>
      <c r="AX83" s="1409"/>
      <c r="AY83" s="1409"/>
      <c r="AZ83" s="1409"/>
      <c r="BA83" s="1409"/>
      <c r="BB83" s="1409"/>
      <c r="BC83" s="1409"/>
      <c r="BD83" s="1409"/>
      <c r="BE83" s="1409"/>
      <c r="BF83" s="1409"/>
      <c r="BG83" s="1409"/>
      <c r="BH83" s="1409"/>
      <c r="BI83" s="1409"/>
      <c r="BJ83" s="1409"/>
      <c r="BK83" s="1409"/>
      <c r="BL83" s="1213"/>
      <c r="BM83" s="1213"/>
    </row>
    <row r="84" spans="4:65" s="1403" customFormat="1" thickBot="1">
      <c r="D84" s="1420" t="s">
        <v>1152</v>
      </c>
      <c r="E84" s="1411"/>
      <c r="F84" s="1411"/>
      <c r="G84" s="1448" t="s">
        <v>1616</v>
      </c>
      <c r="H84" s="1449"/>
      <c r="I84" s="1449"/>
      <c r="J84" s="1449"/>
      <c r="K84" s="1449"/>
      <c r="L84" s="1411">
        <f>L82/L80</f>
        <v>0.15435410647957079</v>
      </c>
      <c r="M84" s="1411">
        <f t="shared" ref="M84:AD84" si="392">M82/M80</f>
        <v>0.15435410647957079</v>
      </c>
      <c r="N84" s="1411">
        <f t="shared" si="392"/>
        <v>0.13908378043747421</v>
      </c>
      <c r="O84" s="1411">
        <f t="shared" si="392"/>
        <v>0.14898885678910442</v>
      </c>
      <c r="P84" s="1411">
        <f t="shared" si="392"/>
        <v>0.14898885678910442</v>
      </c>
      <c r="Q84" s="1411">
        <f t="shared" si="392"/>
        <v>0.14898885678910442</v>
      </c>
      <c r="R84" s="1411">
        <f t="shared" si="392"/>
        <v>0.14898885678910442</v>
      </c>
      <c r="S84" s="1411">
        <f t="shared" si="392"/>
        <v>0.14898885678910442</v>
      </c>
      <c r="T84" s="1411">
        <f t="shared" si="392"/>
        <v>0.14898885678910442</v>
      </c>
      <c r="U84" s="1411">
        <f t="shared" si="392"/>
        <v>0.14898885678910442</v>
      </c>
      <c r="V84" s="1411">
        <f t="shared" si="392"/>
        <v>0.14898885678910442</v>
      </c>
      <c r="W84" s="1411">
        <f t="shared" si="392"/>
        <v>0.14898885678910442</v>
      </c>
      <c r="X84" s="1411">
        <f t="shared" si="392"/>
        <v>0.14898885678910442</v>
      </c>
      <c r="Y84" s="1411">
        <f t="shared" si="392"/>
        <v>0.14898885678910442</v>
      </c>
      <c r="Z84" s="1411">
        <f t="shared" si="392"/>
        <v>0.14898885678910442</v>
      </c>
      <c r="AA84" s="1411">
        <f t="shared" si="392"/>
        <v>0.14898885678910442</v>
      </c>
      <c r="AB84" s="1411">
        <f t="shared" si="392"/>
        <v>0.14898885678910442</v>
      </c>
      <c r="AC84" s="1411">
        <f t="shared" si="392"/>
        <v>0.14898885678910442</v>
      </c>
      <c r="AD84" s="1411">
        <f t="shared" si="392"/>
        <v>0.14898885678910442</v>
      </c>
      <c r="AE84" s="1301"/>
      <c r="AF84" s="1302"/>
      <c r="AK84" s="1402"/>
      <c r="AL84" s="1402"/>
      <c r="AM84" s="1402"/>
      <c r="AN84" s="1402"/>
      <c r="AO84" s="1038"/>
      <c r="AP84" s="1038"/>
      <c r="AQ84" s="1038"/>
      <c r="AR84" s="1038"/>
      <c r="AS84" s="1402"/>
      <c r="AT84" s="1402"/>
      <c r="AU84" s="1402"/>
      <c r="AV84" s="1402"/>
      <c r="AW84" s="1402"/>
      <c r="AX84" s="1402"/>
      <c r="AY84" s="1402"/>
      <c r="AZ84" s="1402"/>
      <c r="BA84" s="1402"/>
      <c r="BB84" s="1402"/>
      <c r="BC84" s="1402"/>
      <c r="BD84" s="1402"/>
      <c r="BE84" s="1402"/>
      <c r="BF84" s="1402"/>
      <c r="BG84" s="1402"/>
      <c r="BH84" s="1402"/>
      <c r="BI84" s="1402"/>
      <c r="BJ84" s="1402"/>
      <c r="BK84" s="1402"/>
      <c r="BL84" s="1213"/>
      <c r="BM84" s="1213"/>
    </row>
    <row r="85" spans="4:65" ht="16" thickBot="1">
      <c r="D85" s="181"/>
      <c r="E85" s="137"/>
      <c r="F85" s="137"/>
      <c r="G85" s="812"/>
      <c r="H85" s="137"/>
      <c r="I85" s="137"/>
      <c r="J85" s="137"/>
      <c r="K85" s="137"/>
      <c r="L85" s="137"/>
      <c r="M85" s="137"/>
      <c r="N85" s="137"/>
      <c r="O85" s="137"/>
      <c r="P85" s="39"/>
      <c r="Q85" s="39"/>
      <c r="R85" s="39"/>
      <c r="S85" s="39"/>
      <c r="T85" s="39"/>
      <c r="U85" s="39"/>
      <c r="V85" s="39"/>
      <c r="W85" s="39"/>
      <c r="X85" s="39"/>
      <c r="Y85" s="39"/>
      <c r="Z85" s="39"/>
      <c r="AA85" s="39"/>
      <c r="AB85" s="39"/>
      <c r="AC85" s="39"/>
      <c r="AD85" s="39"/>
      <c r="AF85" s="123"/>
      <c r="AK85" s="169"/>
      <c r="AL85" s="169"/>
      <c r="AM85" s="169"/>
      <c r="AN85" s="169"/>
      <c r="AO85" s="807"/>
      <c r="AP85" s="807"/>
      <c r="AQ85" s="807"/>
      <c r="AR85" s="807"/>
      <c r="AS85" s="807"/>
      <c r="AT85" s="807"/>
      <c r="AU85" s="807"/>
      <c r="AV85" s="807"/>
      <c r="AW85" s="807"/>
      <c r="AX85" s="807"/>
      <c r="AY85" s="807"/>
      <c r="AZ85" s="807"/>
      <c r="BA85" s="807"/>
      <c r="BB85" s="807"/>
      <c r="BC85" s="807"/>
      <c r="BD85" s="807"/>
      <c r="BE85" s="807"/>
      <c r="BF85" s="807"/>
      <c r="BG85" s="807"/>
      <c r="BH85" s="807"/>
      <c r="BI85" s="807"/>
      <c r="BJ85" s="807"/>
      <c r="BK85" s="807"/>
      <c r="BL85" s="1213"/>
      <c r="BM85" s="1213"/>
    </row>
    <row r="86" spans="4:65" ht="16" thickBot="1">
      <c r="D86" s="694" t="s">
        <v>1460</v>
      </c>
      <c r="E86" s="695" t="s">
        <v>216</v>
      </c>
      <c r="F86" s="695" t="s">
        <v>217</v>
      </c>
      <c r="G86" s="694" t="s">
        <v>218</v>
      </c>
      <c r="H86" s="1027" t="s">
        <v>28</v>
      </c>
      <c r="I86" s="1027" t="s">
        <v>17</v>
      </c>
      <c r="J86" s="1027" t="s">
        <v>18</v>
      </c>
      <c r="K86" s="1027" t="s">
        <v>19</v>
      </c>
      <c r="L86" s="1027" t="s">
        <v>20</v>
      </c>
      <c r="M86" s="1027" t="s">
        <v>21</v>
      </c>
      <c r="N86" s="1027" t="s">
        <v>22</v>
      </c>
      <c r="O86" s="1096" t="s">
        <v>23</v>
      </c>
      <c r="P86" s="1028" t="s">
        <v>24</v>
      </c>
      <c r="Q86" s="404" t="s">
        <v>25</v>
      </c>
      <c r="R86" s="404" t="s">
        <v>26</v>
      </c>
      <c r="S86" s="404" t="s">
        <v>27</v>
      </c>
      <c r="T86" s="404" t="s">
        <v>712</v>
      </c>
      <c r="U86" s="404" t="s">
        <v>713</v>
      </c>
      <c r="V86" s="404" t="s">
        <v>714</v>
      </c>
      <c r="W86" s="404" t="s">
        <v>715</v>
      </c>
      <c r="X86" s="404" t="s">
        <v>716</v>
      </c>
      <c r="Y86" s="404" t="s">
        <v>717</v>
      </c>
      <c r="Z86" s="404" t="s">
        <v>718</v>
      </c>
      <c r="AA86" s="404" t="s">
        <v>719</v>
      </c>
      <c r="AB86" s="404" t="s">
        <v>720</v>
      </c>
      <c r="AC86" s="404" t="s">
        <v>721</v>
      </c>
      <c r="AD86" s="404" t="s">
        <v>722</v>
      </c>
      <c r="AE86" s="699" t="s">
        <v>1445</v>
      </c>
      <c r="AF86" s="1380" t="s">
        <v>1446</v>
      </c>
      <c r="AK86" s="241"/>
      <c r="AL86" s="241"/>
      <c r="AM86" s="241"/>
      <c r="AN86" s="241"/>
      <c r="AO86" s="1023"/>
      <c r="AP86" s="1023"/>
      <c r="AQ86" s="1023"/>
      <c r="AR86" s="1023"/>
      <c r="AS86" s="241"/>
      <c r="AT86" s="241"/>
      <c r="AU86" s="248"/>
      <c r="AV86" s="248"/>
      <c r="AW86" s="248"/>
      <c r="AX86" s="248"/>
      <c r="AY86" s="248"/>
      <c r="AZ86" s="248"/>
      <c r="BA86" s="248"/>
      <c r="BB86" s="248"/>
      <c r="BC86" s="248"/>
      <c r="BD86" s="248"/>
      <c r="BE86" s="248"/>
      <c r="BF86" s="248"/>
      <c r="BG86" s="248"/>
      <c r="BH86" s="248"/>
      <c r="BI86" s="248"/>
      <c r="BJ86" s="248"/>
      <c r="BK86" s="248"/>
      <c r="BL86" s="1213"/>
      <c r="BM86" s="1213"/>
    </row>
    <row r="87" spans="4:65" s="50" customFormat="1">
      <c r="D87" s="1424" t="s">
        <v>1164</v>
      </c>
      <c r="E87" s="1425"/>
      <c r="F87" s="1425"/>
      <c r="G87" s="1424"/>
      <c r="H87" s="1426"/>
      <c r="I87" s="1426"/>
      <c r="J87" s="1426"/>
      <c r="K87" s="1426"/>
      <c r="L87" s="1426">
        <v>8639</v>
      </c>
      <c r="M87" s="1426">
        <v>8600</v>
      </c>
      <c r="N87" s="1426">
        <v>8600</v>
      </c>
      <c r="O87" s="1426">
        <v>8300</v>
      </c>
      <c r="P87" s="1426">
        <f>O87*(1+P88)</f>
        <v>9157.8412440868688</v>
      </c>
      <c r="Q87" s="1426">
        <f t="shared" ref="Q87:AD87" si="393">P87*(1+Q88)</f>
        <v>9421.5005604187045</v>
      </c>
      <c r="R87" s="1426">
        <f t="shared" si="393"/>
        <v>9664.3008808693339</v>
      </c>
      <c r="S87" s="1426">
        <f t="shared" si="393"/>
        <v>9912.6500321345775</v>
      </c>
      <c r="T87" s="1426">
        <f t="shared" si="393"/>
        <v>10166.669108856255</v>
      </c>
      <c r="U87" s="1426">
        <f t="shared" si="393"/>
        <v>10354.752487370093</v>
      </c>
      <c r="V87" s="1426">
        <f t="shared" si="393"/>
        <v>10546.315408386439</v>
      </c>
      <c r="W87" s="1426">
        <f t="shared" si="393"/>
        <v>10741.422243441588</v>
      </c>
      <c r="X87" s="1426">
        <f t="shared" si="393"/>
        <v>10940.138554945257</v>
      </c>
      <c r="Y87" s="1426">
        <f t="shared" si="393"/>
        <v>11142.531118211744</v>
      </c>
      <c r="Z87" s="1426">
        <f t="shared" si="393"/>
        <v>11348.667943898661</v>
      </c>
      <c r="AA87" s="1426">
        <f t="shared" si="393"/>
        <v>11558.618300860784</v>
      </c>
      <c r="AB87" s="1426">
        <f t="shared" si="393"/>
        <v>11772.452739426708</v>
      </c>
      <c r="AC87" s="1426">
        <f t="shared" si="393"/>
        <v>11990.243115106101</v>
      </c>
      <c r="AD87" s="1426">
        <f t="shared" si="393"/>
        <v>12212.062612735563</v>
      </c>
      <c r="AE87" s="1391">
        <f>(O87/L87)^(1/3)-1</f>
        <v>-1.3255140051780079E-2</v>
      </c>
      <c r="AF87" s="1392">
        <f>(T87/P87)^(1/4)-1</f>
        <v>2.647031568778746E-2</v>
      </c>
      <c r="AK87" s="1393"/>
      <c r="AL87" s="1393"/>
      <c r="AM87" s="1393"/>
      <c r="AN87" s="1393"/>
      <c r="AO87" s="1394"/>
      <c r="AP87" s="1394"/>
      <c r="AQ87" s="1394"/>
      <c r="AR87" s="1394"/>
      <c r="AS87" s="1393"/>
      <c r="AT87" s="1393"/>
      <c r="AU87" s="1393"/>
      <c r="AV87" s="1393"/>
      <c r="AW87" s="1393"/>
      <c r="AX87" s="1393"/>
      <c r="AY87" s="1393"/>
      <c r="AZ87" s="1393"/>
      <c r="BA87" s="1393"/>
      <c r="BB87" s="1393"/>
      <c r="BC87" s="1393"/>
      <c r="BD87" s="1393"/>
      <c r="BE87" s="1393"/>
      <c r="BF87" s="1393"/>
      <c r="BG87" s="1393"/>
      <c r="BH87" s="1393"/>
      <c r="BI87" s="1393"/>
      <c r="BJ87" s="1393"/>
      <c r="BK87" s="1393"/>
      <c r="BL87" s="1396"/>
      <c r="BM87" s="1396"/>
    </row>
    <row r="88" spans="4:65" s="1403" customFormat="1" ht="14">
      <c r="D88" s="1418" t="s">
        <v>832</v>
      </c>
      <c r="E88" s="1402"/>
      <c r="F88" s="1402"/>
      <c r="G88" s="1418"/>
      <c r="H88" s="1038"/>
      <c r="I88" s="1038"/>
      <c r="J88" s="1038"/>
      <c r="K88" s="1038"/>
      <c r="L88" s="1402"/>
      <c r="M88" s="1402">
        <f t="shared" ref="M88" si="394">(M87/L87)-1</f>
        <v>-4.5144113902072514E-3</v>
      </c>
      <c r="N88" s="1402">
        <f t="shared" ref="N88" si="395">(N87/M87)-1</f>
        <v>0</v>
      </c>
      <c r="O88" s="1402">
        <f t="shared" ref="O88" si="396">(O87/N87)-1</f>
        <v>-3.4883720930232509E-2</v>
      </c>
      <c r="P88" s="1409">
        <f t="shared" ref="P88:AD88" si="397">(0.7*P19)+(0.3*P35)</f>
        <v>0.10335436675745424</v>
      </c>
      <c r="Q88" s="1409">
        <f t="shared" si="397"/>
        <v>2.8790553287007102E-2</v>
      </c>
      <c r="R88" s="1409">
        <f t="shared" si="397"/>
        <v>2.5770875763747501E-2</v>
      </c>
      <c r="S88" s="1409">
        <f t="shared" si="397"/>
        <v>2.5697580645161342E-2</v>
      </c>
      <c r="T88" s="1409">
        <f t="shared" si="397"/>
        <v>2.5625748502993949E-2</v>
      </c>
      <c r="U88" s="1409">
        <f t="shared" si="397"/>
        <v>1.849999999999976E-2</v>
      </c>
      <c r="V88" s="1409">
        <f t="shared" si="397"/>
        <v>1.8499999999999982E-2</v>
      </c>
      <c r="W88" s="1409">
        <f t="shared" si="397"/>
        <v>1.8499999999999982E-2</v>
      </c>
      <c r="X88" s="1409">
        <f t="shared" si="397"/>
        <v>1.8499999999999982E-2</v>
      </c>
      <c r="Y88" s="1409">
        <f t="shared" si="397"/>
        <v>1.8499999999999982E-2</v>
      </c>
      <c r="Z88" s="1409">
        <f t="shared" si="397"/>
        <v>1.8499999999999982E-2</v>
      </c>
      <c r="AA88" s="1409">
        <f t="shared" si="397"/>
        <v>1.849999999999976E-2</v>
      </c>
      <c r="AB88" s="1409">
        <f t="shared" si="397"/>
        <v>1.8499999999999982E-2</v>
      </c>
      <c r="AC88" s="1409">
        <f t="shared" si="397"/>
        <v>1.8499999999999982E-2</v>
      </c>
      <c r="AD88" s="1409">
        <f t="shared" si="397"/>
        <v>1.8499999999999916E-2</v>
      </c>
      <c r="AE88" s="782"/>
      <c r="AF88" s="781"/>
    </row>
    <row r="89" spans="4:65" s="1403" customFormat="1" ht="14">
      <c r="D89" s="1418" t="s">
        <v>1152</v>
      </c>
      <c r="E89" s="1402"/>
      <c r="F89" s="1402"/>
      <c r="G89" s="1418"/>
      <c r="H89" s="1038"/>
      <c r="I89" s="1038"/>
      <c r="J89" s="1038"/>
      <c r="K89" s="1038"/>
      <c r="L89" s="1402">
        <f>L87/L102</f>
        <v>0.12305391353892173</v>
      </c>
      <c r="M89" s="1402">
        <f t="shared" ref="M89:AD89" si="398">M87/M102</f>
        <v>0.17357607072215719</v>
      </c>
      <c r="N89" s="1402">
        <f t="shared" si="398"/>
        <v>0.13644526245567609</v>
      </c>
      <c r="O89" s="1402">
        <f t="shared" si="398"/>
        <v>0.11866993844191236</v>
      </c>
      <c r="P89" s="1402">
        <f t="shared" si="398"/>
        <v>0.1257565352868435</v>
      </c>
      <c r="Q89" s="1402">
        <f t="shared" si="398"/>
        <v>0.12538259004350638</v>
      </c>
      <c r="R89" s="1402">
        <f t="shared" si="398"/>
        <v>0.12567775825487451</v>
      </c>
      <c r="S89" s="1402">
        <f t="shared" si="398"/>
        <v>0.1259627871664894</v>
      </c>
      <c r="T89" s="1402">
        <f t="shared" si="398"/>
        <v>0.12623777427622823</v>
      </c>
      <c r="U89" s="1402">
        <f t="shared" si="398"/>
        <v>0.12574543081518641</v>
      </c>
      <c r="V89" s="1402">
        <f t="shared" si="398"/>
        <v>0.12525178117097249</v>
      </c>
      <c r="W89" s="1402">
        <f t="shared" si="398"/>
        <v>0.12475685609374043</v>
      </c>
      <c r="X89" s="1402">
        <f t="shared" si="398"/>
        <v>0.1242606861922608</v>
      </c>
      <c r="Y89" s="1402">
        <f t="shared" si="398"/>
        <v>0.12376330193772418</v>
      </c>
      <c r="Z89" s="1402">
        <f t="shared" si="398"/>
        <v>0.12326473366742412</v>
      </c>
      <c r="AA89" s="1402">
        <f t="shared" si="398"/>
        <v>0.12276501158831969</v>
      </c>
      <c r="AB89" s="1402">
        <f t="shared" si="398"/>
        <v>0.12226416578047733</v>
      </c>
      <c r="AC89" s="1402">
        <f t="shared" si="398"/>
        <v>0.12176222620039145</v>
      </c>
      <c r="AD89" s="1402">
        <f t="shared" si="398"/>
        <v>0.12125922268418445</v>
      </c>
      <c r="AE89" s="782"/>
      <c r="AF89" s="781"/>
    </row>
    <row r="90" spans="4:65" s="50" customFormat="1">
      <c r="D90" s="874" t="s">
        <v>1165</v>
      </c>
      <c r="E90" s="190"/>
      <c r="F90" s="190"/>
      <c r="G90" s="874"/>
      <c r="H90" s="1390"/>
      <c r="I90" s="1390"/>
      <c r="J90" s="1390"/>
      <c r="K90" s="1390"/>
      <c r="L90" s="1390">
        <v>41968</v>
      </c>
      <c r="M90" s="1390">
        <v>20958</v>
      </c>
      <c r="N90" s="1390">
        <f>M90*(1+N91)</f>
        <v>33831.449795810193</v>
      </c>
      <c r="O90" s="1390">
        <f t="shared" ref="O90:AD90" si="399">N90*(1+O91)</f>
        <v>40574.865740684967</v>
      </c>
      <c r="P90" s="1390">
        <f t="shared" si="399"/>
        <v>41965.787589596563</v>
      </c>
      <c r="Q90" s="1390">
        <f t="shared" si="399"/>
        <v>43396.116366168339</v>
      </c>
      <c r="R90" s="1390">
        <f t="shared" si="399"/>
        <v>44264.038693491704</v>
      </c>
      <c r="S90" s="1390">
        <f t="shared" si="399"/>
        <v>45149.319467361551</v>
      </c>
      <c r="T90" s="1390">
        <f t="shared" si="399"/>
        <v>46052.305856708772</v>
      </c>
      <c r="U90" s="1390">
        <f t="shared" si="399"/>
        <v>46973.351973842946</v>
      </c>
      <c r="V90" s="1390">
        <f t="shared" si="399"/>
        <v>47912.819013319808</v>
      </c>
      <c r="W90" s="1390">
        <f t="shared" si="399"/>
        <v>48871.075393586201</v>
      </c>
      <c r="X90" s="1390">
        <f t="shared" si="399"/>
        <v>49848.496901457926</v>
      </c>
      <c r="Y90" s="1390">
        <f t="shared" si="399"/>
        <v>50845.466839487082</v>
      </c>
      <c r="Z90" s="1390">
        <f t="shared" si="399"/>
        <v>51862.376176276834</v>
      </c>
      <c r="AA90" s="1390">
        <f t="shared" si="399"/>
        <v>52899.623699802374</v>
      </c>
      <c r="AB90" s="1390">
        <f t="shared" si="399"/>
        <v>53957.616173798422</v>
      </c>
      <c r="AC90" s="1390">
        <f t="shared" si="399"/>
        <v>55036.768497274403</v>
      </c>
      <c r="AD90" s="1390">
        <f t="shared" si="399"/>
        <v>56137.503867219893</v>
      </c>
      <c r="AE90" s="1398">
        <f t="shared" ref="AE90" si="400">(O90/L90)^(1/3)-1</f>
        <v>-1.1189796128057927E-2</v>
      </c>
      <c r="AF90" s="1399">
        <f t="shared" ref="AF90:AF102" si="401">(T90/P90)^(1/4)-1</f>
        <v>2.3502718606870143E-2</v>
      </c>
    </row>
    <row r="91" spans="4:65" s="1403" customFormat="1" ht="14">
      <c r="D91" s="1418" t="s">
        <v>832</v>
      </c>
      <c r="E91" s="1402"/>
      <c r="F91" s="1402"/>
      <c r="G91" s="1418"/>
      <c r="H91" s="1038"/>
      <c r="I91" s="1038"/>
      <c r="J91" s="1038"/>
      <c r="K91" s="1038"/>
      <c r="L91" s="1402"/>
      <c r="M91" s="1402">
        <f t="shared" ref="M91" si="402">(M90/L90)-1</f>
        <v>-0.50061951963400686</v>
      </c>
      <c r="N91" s="1409">
        <f t="shared" ref="N91:AD91" si="403">N51</f>
        <v>0.61424991868547552</v>
      </c>
      <c r="O91" s="1409">
        <f t="shared" si="403"/>
        <v>0.19932388311983917</v>
      </c>
      <c r="P91" s="1409">
        <f t="shared" si="403"/>
        <v>3.4280380810155053E-2</v>
      </c>
      <c r="Q91" s="1409">
        <f t="shared" si="403"/>
        <v>3.4083210603829128E-2</v>
      </c>
      <c r="R91" s="1409">
        <f t="shared" si="403"/>
        <v>2.0000000000000018E-2</v>
      </c>
      <c r="S91" s="1409">
        <f t="shared" si="403"/>
        <v>2.000000000000024E-2</v>
      </c>
      <c r="T91" s="1409">
        <f t="shared" si="403"/>
        <v>1.9999999999999796E-2</v>
      </c>
      <c r="U91" s="1409">
        <f t="shared" si="403"/>
        <v>2.0000000000000018E-2</v>
      </c>
      <c r="V91" s="1409">
        <f t="shared" si="403"/>
        <v>2.0000000000000018E-2</v>
      </c>
      <c r="W91" s="1409">
        <f t="shared" si="403"/>
        <v>2.0000000000000018E-2</v>
      </c>
      <c r="X91" s="1409">
        <f t="shared" si="403"/>
        <v>2.0000000000000018E-2</v>
      </c>
      <c r="Y91" s="1409">
        <f t="shared" si="403"/>
        <v>2.0000000000000018E-2</v>
      </c>
      <c r="Z91" s="1409">
        <f t="shared" si="403"/>
        <v>2.000000000000024E-2</v>
      </c>
      <c r="AA91" s="1409">
        <f t="shared" si="403"/>
        <v>2.0000000000000018E-2</v>
      </c>
      <c r="AB91" s="1409">
        <f t="shared" si="403"/>
        <v>2.0000000000000018E-2</v>
      </c>
      <c r="AC91" s="1409">
        <f t="shared" si="403"/>
        <v>2.000000000000024E-2</v>
      </c>
      <c r="AD91" s="1409">
        <f t="shared" si="403"/>
        <v>2.0000000000000018E-2</v>
      </c>
      <c r="AE91" s="782"/>
      <c r="AF91" s="781"/>
    </row>
    <row r="92" spans="4:65" s="1403" customFormat="1" thickBot="1">
      <c r="D92" s="1420" t="s">
        <v>1152</v>
      </c>
      <c r="E92" s="1411"/>
      <c r="F92" s="1411"/>
      <c r="G92" s="1420"/>
      <c r="H92" s="1422"/>
      <c r="I92" s="1422"/>
      <c r="J92" s="1422"/>
      <c r="K92" s="1422"/>
      <c r="L92" s="1411">
        <f>L90/L102</f>
        <v>0.59779218004415635</v>
      </c>
      <c r="M92" s="1411">
        <f t="shared" ref="M92:AD92" si="404">M90/M102</f>
        <v>0.42300084769708957</v>
      </c>
      <c r="N92" s="1411">
        <f t="shared" si="404"/>
        <v>0.53676058681922689</v>
      </c>
      <c r="O92" s="1411">
        <f t="shared" si="404"/>
        <v>0.58012250840192092</v>
      </c>
      <c r="P92" s="1411">
        <f>P90/P102</f>
        <v>0.57627904952587949</v>
      </c>
      <c r="Q92" s="1411">
        <f t="shared" si="404"/>
        <v>0.577521322949194</v>
      </c>
      <c r="R92" s="1411">
        <f t="shared" si="404"/>
        <v>0.57562416804687189</v>
      </c>
      <c r="S92" s="1411">
        <f t="shared" si="404"/>
        <v>0.57372489700964857</v>
      </c>
      <c r="T92" s="1411">
        <f t="shared" si="404"/>
        <v>0.57182352739057962</v>
      </c>
      <c r="U92" s="1411">
        <f t="shared" si="404"/>
        <v>0.57043221341975803</v>
      </c>
      <c r="V92" s="1411">
        <f t="shared" si="404"/>
        <v>0.56902962693194348</v>
      </c>
      <c r="W92" s="1411">
        <f t="shared" si="404"/>
        <v>0.56761586890848015</v>
      </c>
      <c r="X92" s="1411">
        <f t="shared" si="404"/>
        <v>0.56619104040761792</v>
      </c>
      <c r="Y92" s="1411">
        <f t="shared" si="404"/>
        <v>0.56475524257992016</v>
      </c>
      <c r="Z92" s="1411">
        <f t="shared" si="404"/>
        <v>0.56330857668326284</v>
      </c>
      <c r="AA92" s="1411">
        <f t="shared" si="404"/>
        <v>0.56185114409741832</v>
      </c>
      <c r="AB92" s="1411">
        <f t="shared" si="404"/>
        <v>0.56038304633821945</v>
      </c>
      <c r="AC92" s="1411">
        <f t="shared" si="404"/>
        <v>0.55890438507129503</v>
      </c>
      <c r="AD92" s="1411">
        <f t="shared" si="404"/>
        <v>0.55741526212537473</v>
      </c>
      <c r="AE92" s="783"/>
      <c r="AF92" s="784"/>
    </row>
    <row r="93" spans="4:65" s="50" customFormat="1">
      <c r="D93" s="874" t="s">
        <v>1166</v>
      </c>
      <c r="E93" s="190"/>
      <c r="F93" s="190"/>
      <c r="G93" s="874"/>
      <c r="H93" s="1390"/>
      <c r="I93" s="1390"/>
      <c r="J93" s="1390"/>
      <c r="K93" s="1390"/>
      <c r="L93" s="1390">
        <v>458</v>
      </c>
      <c r="M93" s="1390">
        <v>465</v>
      </c>
      <c r="N93" s="1390">
        <f>M93*(1+N94)</f>
        <v>560.19685039370086</v>
      </c>
      <c r="O93" s="1390">
        <f>N93*(1+O94)</f>
        <v>408.24803149606305</v>
      </c>
      <c r="P93" s="1390">
        <f t="shared" ref="P93:AD93" si="405">O93*(1+P94)</f>
        <v>436.00889763779526</v>
      </c>
      <c r="Q93" s="1390">
        <f t="shared" si="405"/>
        <v>440.3689866141732</v>
      </c>
      <c r="R93" s="1390">
        <f t="shared" si="405"/>
        <v>444.77267648031494</v>
      </c>
      <c r="S93" s="1390">
        <f t="shared" si="405"/>
        <v>449.22040324511812</v>
      </c>
      <c r="T93" s="1390">
        <f t="shared" si="405"/>
        <v>453.7126072775693</v>
      </c>
      <c r="U93" s="1390">
        <f t="shared" si="405"/>
        <v>455.98117031395708</v>
      </c>
      <c r="V93" s="1390">
        <f t="shared" si="405"/>
        <v>458.26107616552684</v>
      </c>
      <c r="W93" s="1390">
        <f t="shared" si="405"/>
        <v>460.55238154635441</v>
      </c>
      <c r="X93" s="1390">
        <f t="shared" si="405"/>
        <v>462.85514345408615</v>
      </c>
      <c r="Y93" s="1390">
        <f t="shared" si="405"/>
        <v>465.16941917135654</v>
      </c>
      <c r="Z93" s="1390">
        <f t="shared" si="405"/>
        <v>467.49526626721337</v>
      </c>
      <c r="AA93" s="1390">
        <f t="shared" si="405"/>
        <v>469.83274259854937</v>
      </c>
      <c r="AB93" s="1390">
        <f t="shared" si="405"/>
        <v>472.18190631154198</v>
      </c>
      <c r="AC93" s="1390">
        <f t="shared" si="405"/>
        <v>474.54281584309962</v>
      </c>
      <c r="AD93" s="1390">
        <f t="shared" si="405"/>
        <v>476.91552992231505</v>
      </c>
      <c r="AE93" s="1398">
        <f>(O93/L93)^(1/3)-1</f>
        <v>-3.7606073084212044E-2</v>
      </c>
      <c r="AF93" s="1399">
        <f t="shared" si="401"/>
        <v>1.0000000000000009E-2</v>
      </c>
    </row>
    <row r="94" spans="4:65" s="1403" customFormat="1" ht="14">
      <c r="D94" s="1418" t="s">
        <v>832</v>
      </c>
      <c r="E94" s="1402"/>
      <c r="F94" s="1402"/>
      <c r="G94" s="1418"/>
      <c r="H94" s="1038"/>
      <c r="I94" s="1038"/>
      <c r="J94" s="1038"/>
      <c r="K94" s="1038"/>
      <c r="L94" s="1402"/>
      <c r="M94" s="1402">
        <f t="shared" ref="M94" si="406">(M93/L93)-1</f>
        <v>1.5283842794759916E-2</v>
      </c>
      <c r="N94" s="1409">
        <f>N67</f>
        <v>0.20472440944881898</v>
      </c>
      <c r="O94" s="1409">
        <f>O67</f>
        <v>-0.27124183006535951</v>
      </c>
      <c r="P94" s="1409">
        <f t="shared" ref="P94:AD94" si="407">P67</f>
        <v>6.7999999999999838E-2</v>
      </c>
      <c r="Q94" s="1409">
        <f t="shared" si="407"/>
        <v>1.0000000000000009E-2</v>
      </c>
      <c r="R94" s="1409">
        <f t="shared" si="407"/>
        <v>1.0000000000000009E-2</v>
      </c>
      <c r="S94" s="1409">
        <f t="shared" si="407"/>
        <v>1.0000000000000009E-2</v>
      </c>
      <c r="T94" s="1409">
        <f t="shared" si="407"/>
        <v>1.0000000000000009E-2</v>
      </c>
      <c r="U94" s="1409">
        <f t="shared" si="407"/>
        <v>4.9999999999998934E-3</v>
      </c>
      <c r="V94" s="1409">
        <f t="shared" si="407"/>
        <v>4.9999999999998934E-3</v>
      </c>
      <c r="W94" s="1409">
        <f t="shared" si="407"/>
        <v>4.9999999999998934E-3</v>
      </c>
      <c r="X94" s="1409">
        <f t="shared" si="407"/>
        <v>4.9999999999998934E-3</v>
      </c>
      <c r="Y94" s="1409">
        <f t="shared" si="407"/>
        <v>4.9999999999998934E-3</v>
      </c>
      <c r="Z94" s="1409">
        <f t="shared" si="407"/>
        <v>5.0000000000001155E-3</v>
      </c>
      <c r="AA94" s="1409">
        <f t="shared" si="407"/>
        <v>4.9999999999998934E-3</v>
      </c>
      <c r="AB94" s="1409">
        <f t="shared" si="407"/>
        <v>4.9999999999996714E-3</v>
      </c>
      <c r="AC94" s="1409">
        <f t="shared" si="407"/>
        <v>4.9999999999998934E-3</v>
      </c>
      <c r="AD94" s="1409">
        <f t="shared" si="407"/>
        <v>4.9999999999998934E-3</v>
      </c>
      <c r="AE94" s="782"/>
      <c r="AF94" s="781"/>
    </row>
    <row r="95" spans="4:65" s="1403" customFormat="1" ht="14">
      <c r="D95" s="1418" t="s">
        <v>1152</v>
      </c>
      <c r="E95" s="1402"/>
      <c r="F95" s="1402"/>
      <c r="G95" s="1418"/>
      <c r="H95" s="1038"/>
      <c r="I95" s="1038"/>
      <c r="J95" s="1038"/>
      <c r="K95" s="1038"/>
      <c r="L95" s="1402">
        <f>L93/L102</f>
        <v>6.5237518695249628E-3</v>
      </c>
      <c r="M95" s="1402">
        <f t="shared" ref="M95:AD95" si="408">M93/M102</f>
        <v>9.3852177774189638E-3</v>
      </c>
      <c r="N95" s="1402">
        <f t="shared" si="408"/>
        <v>8.8879309626525137E-3</v>
      </c>
      <c r="O95" s="1402">
        <f t="shared" si="408"/>
        <v>5.8369600923698431E-3</v>
      </c>
      <c r="P95" s="1402">
        <f t="shared" si="408"/>
        <v>5.9873246172037504E-3</v>
      </c>
      <c r="Q95" s="1402">
        <f t="shared" si="408"/>
        <v>5.8604893947026854E-3</v>
      </c>
      <c r="R95" s="1402">
        <f t="shared" si="408"/>
        <v>5.7839706774566327E-3</v>
      </c>
      <c r="S95" s="1402">
        <f t="shared" si="408"/>
        <v>5.7083679804465371E-3</v>
      </c>
      <c r="T95" s="1402">
        <f t="shared" si="408"/>
        <v>5.6336710765860915E-3</v>
      </c>
      <c r="U95" s="1402">
        <f t="shared" si="408"/>
        <v>5.5373171666514695E-3</v>
      </c>
      <c r="V95" s="1402">
        <f t="shared" si="408"/>
        <v>5.4424710250383732E-3</v>
      </c>
      <c r="W95" s="1402">
        <f t="shared" si="408"/>
        <v>5.3491116805588429E-3</v>
      </c>
      <c r="X95" s="1402">
        <f t="shared" si="408"/>
        <v>5.2572184021585132E-3</v>
      </c>
      <c r="Y95" s="1402">
        <f t="shared" si="408"/>
        <v>5.166770697458899E-3</v>
      </c>
      <c r="Z95" s="1402">
        <f t="shared" si="408"/>
        <v>5.0777483112624368E-3</v>
      </c>
      <c r="AA95" s="1402">
        <f t="shared" si="408"/>
        <v>4.9901312240224691E-3</v>
      </c>
      <c r="AB95" s="1402">
        <f t="shared" si="408"/>
        <v>4.9038996502803163E-3</v>
      </c>
      <c r="AC95" s="1402">
        <f t="shared" si="408"/>
        <v>4.8190340370714742E-3</v>
      </c>
      <c r="AD95" s="1402">
        <f t="shared" si="408"/>
        <v>4.735515062302938E-3</v>
      </c>
      <c r="AE95" s="782"/>
      <c r="AF95" s="781"/>
    </row>
    <row r="96" spans="4:65" s="50" customFormat="1">
      <c r="D96" s="874" t="s">
        <v>1569</v>
      </c>
      <c r="E96" s="190"/>
      <c r="F96" s="190"/>
      <c r="G96" s="874"/>
      <c r="H96" s="1390"/>
      <c r="I96" s="1390"/>
      <c r="J96" s="1390"/>
      <c r="K96" s="1390"/>
      <c r="L96" s="1390">
        <v>683</v>
      </c>
      <c r="M96" s="1390">
        <v>553</v>
      </c>
      <c r="N96" s="1390">
        <f>M96*(1+N97)</f>
        <v>498.2914438502674</v>
      </c>
      <c r="O96" s="1390">
        <f t="shared" ref="O96:AD96" si="409">N96*(1+O97)</f>
        <v>533.77807486631013</v>
      </c>
      <c r="P96" s="1390">
        <f t="shared" si="409"/>
        <v>533.77807486631013</v>
      </c>
      <c r="Q96" s="1390">
        <f t="shared" si="409"/>
        <v>533.77807486631013</v>
      </c>
      <c r="R96" s="1390">
        <f t="shared" si="409"/>
        <v>533.77807486631013</v>
      </c>
      <c r="S96" s="1390">
        <f t="shared" si="409"/>
        <v>533.77807486631013</v>
      </c>
      <c r="T96" s="1390">
        <f t="shared" si="409"/>
        <v>533.77807486631013</v>
      </c>
      <c r="U96" s="1390">
        <f t="shared" si="409"/>
        <v>533.77807486631013</v>
      </c>
      <c r="V96" s="1390">
        <f t="shared" si="409"/>
        <v>533.77807486631013</v>
      </c>
      <c r="W96" s="1390">
        <f t="shared" si="409"/>
        <v>533.77807486631013</v>
      </c>
      <c r="X96" s="1390">
        <f t="shared" si="409"/>
        <v>533.77807486631013</v>
      </c>
      <c r="Y96" s="1390">
        <f t="shared" si="409"/>
        <v>533.77807486631013</v>
      </c>
      <c r="Z96" s="1390">
        <f t="shared" si="409"/>
        <v>533.77807486631013</v>
      </c>
      <c r="AA96" s="1390">
        <f t="shared" si="409"/>
        <v>533.77807486631013</v>
      </c>
      <c r="AB96" s="1390">
        <f t="shared" si="409"/>
        <v>533.77807486631013</v>
      </c>
      <c r="AC96" s="1390">
        <f t="shared" si="409"/>
        <v>533.77807486631013</v>
      </c>
      <c r="AD96" s="1390">
        <f t="shared" si="409"/>
        <v>533.77807486631013</v>
      </c>
      <c r="AE96" s="1398">
        <f>(O96/L96)^(1/3)-1</f>
        <v>-7.8886086423431534E-2</v>
      </c>
      <c r="AF96" s="1399">
        <f>(T96/P96)^(1/4)-1</f>
        <v>0</v>
      </c>
    </row>
    <row r="97" spans="4:89" s="1403" customFormat="1" ht="14">
      <c r="D97" s="1418" t="s">
        <v>832</v>
      </c>
      <c r="E97" s="1402"/>
      <c r="F97" s="1402"/>
      <c r="G97" s="1418"/>
      <c r="H97" s="1038"/>
      <c r="I97" s="1038"/>
      <c r="J97" s="1038"/>
      <c r="K97" s="1038"/>
      <c r="L97" s="1402"/>
      <c r="M97" s="1402">
        <f t="shared" ref="M97" si="410">(M96/L96)-1</f>
        <v>-0.19033674963396774</v>
      </c>
      <c r="N97" s="1409">
        <f>N83</f>
        <v>-9.8930481283422411E-2</v>
      </c>
      <c r="O97" s="1409">
        <f t="shared" ref="O97:AD97" si="411">O83</f>
        <v>7.1216617210682509E-2</v>
      </c>
      <c r="P97" s="1409">
        <f t="shared" si="411"/>
        <v>0</v>
      </c>
      <c r="Q97" s="1409">
        <f t="shared" si="411"/>
        <v>0</v>
      </c>
      <c r="R97" s="1409">
        <f t="shared" si="411"/>
        <v>0</v>
      </c>
      <c r="S97" s="1409">
        <f t="shared" si="411"/>
        <v>0</v>
      </c>
      <c r="T97" s="1409">
        <f t="shared" si="411"/>
        <v>0</v>
      </c>
      <c r="U97" s="1409">
        <f t="shared" si="411"/>
        <v>0</v>
      </c>
      <c r="V97" s="1409">
        <f t="shared" si="411"/>
        <v>0</v>
      </c>
      <c r="W97" s="1409">
        <f t="shared" si="411"/>
        <v>0</v>
      </c>
      <c r="X97" s="1409">
        <f t="shared" si="411"/>
        <v>0</v>
      </c>
      <c r="Y97" s="1409">
        <f t="shared" si="411"/>
        <v>0</v>
      </c>
      <c r="Z97" s="1409">
        <f t="shared" si="411"/>
        <v>0</v>
      </c>
      <c r="AA97" s="1409">
        <f t="shared" si="411"/>
        <v>0</v>
      </c>
      <c r="AB97" s="1409">
        <f t="shared" si="411"/>
        <v>0</v>
      </c>
      <c r="AC97" s="1409">
        <f t="shared" si="411"/>
        <v>0</v>
      </c>
      <c r="AD97" s="1409">
        <f t="shared" si="411"/>
        <v>0</v>
      </c>
      <c r="AE97" s="782"/>
      <c r="AF97" s="781"/>
    </row>
    <row r="98" spans="4:89" s="1403" customFormat="1" ht="14">
      <c r="D98" s="1418" t="s">
        <v>1152</v>
      </c>
      <c r="E98" s="1402"/>
      <c r="F98" s="1402"/>
      <c r="G98" s="1418"/>
      <c r="H98" s="1038"/>
      <c r="I98" s="1038"/>
      <c r="J98" s="1038"/>
      <c r="K98" s="1038"/>
      <c r="L98" s="1402">
        <f>L96/L102</f>
        <v>9.7286518054269643E-3</v>
      </c>
      <c r="M98" s="1402">
        <f t="shared" ref="M98:AD98" si="412">M96/M102</f>
        <v>1.1161345012715457E-2</v>
      </c>
      <c r="N98" s="1402">
        <f t="shared" si="412"/>
        <v>7.9057566087869201E-3</v>
      </c>
      <c r="O98" s="1402">
        <f t="shared" si="412"/>
        <v>7.6317362995213869E-3</v>
      </c>
      <c r="P98" s="1402">
        <f t="shared" si="412"/>
        <v>7.3299022682459351E-3</v>
      </c>
      <c r="Q98" s="1402">
        <f t="shared" si="412"/>
        <v>7.1035900391858931E-3</v>
      </c>
      <c r="R98" s="1402">
        <f t="shared" si="412"/>
        <v>6.941426253356261E-3</v>
      </c>
      <c r="S98" s="1402">
        <f t="shared" si="412"/>
        <v>6.7828657140682818E-3</v>
      </c>
      <c r="T98" s="1402">
        <f t="shared" si="412"/>
        <v>6.627830158244764E-3</v>
      </c>
      <c r="U98" s="1402">
        <f t="shared" si="412"/>
        <v>6.4820626147880245E-3</v>
      </c>
      <c r="V98" s="1402">
        <f t="shared" si="412"/>
        <v>6.3393376774843642E-3</v>
      </c>
      <c r="W98" s="1402">
        <f t="shared" si="412"/>
        <v>6.1995956366718164E-3</v>
      </c>
      <c r="X98" s="1402">
        <f t="shared" si="412"/>
        <v>6.0627778637492354E-3</v>
      </c>
      <c r="Y98" s="1402">
        <f t="shared" si="412"/>
        <v>5.9288267940703354E-3</v>
      </c>
      <c r="Z98" s="1402">
        <f t="shared" si="412"/>
        <v>5.7976859100260956E-3</v>
      </c>
      <c r="AA98" s="1402">
        <f t="shared" si="412"/>
        <v>5.6692997243168322E-3</v>
      </c>
      <c r="AB98" s="1402">
        <f t="shared" si="412"/>
        <v>5.543613763415005E-3</v>
      </c>
      <c r="AC98" s="1402">
        <f t="shared" si="412"/>
        <v>5.4205745512196819E-3</v>
      </c>
      <c r="AD98" s="1402">
        <f t="shared" si="412"/>
        <v>5.3001295929034171E-3</v>
      </c>
      <c r="AE98" s="782"/>
      <c r="AF98" s="781"/>
    </row>
    <row r="99" spans="4:89" s="50" customFormat="1">
      <c r="D99" s="874" t="s">
        <v>1167</v>
      </c>
      <c r="E99" s="190"/>
      <c r="F99" s="190"/>
      <c r="G99" s="874"/>
      <c r="H99" s="1390"/>
      <c r="I99" s="1390"/>
      <c r="J99" s="1390"/>
      <c r="K99" s="1390"/>
      <c r="L99" s="1390">
        <v>18457</v>
      </c>
      <c r="M99" s="1390">
        <v>18970</v>
      </c>
      <c r="N99" s="1390">
        <v>19539</v>
      </c>
      <c r="O99" s="1390">
        <v>20125</v>
      </c>
      <c r="P99" s="1390">
        <f>O99*(1+P100)</f>
        <v>20728.574901479093</v>
      </c>
      <c r="Q99" s="1390">
        <f t="shared" ref="Q99:AD99" si="413">P99*(1+Q100)</f>
        <v>21350.251798570382</v>
      </c>
      <c r="R99" s="1390">
        <f t="shared" si="413"/>
        <v>21990.57359364496</v>
      </c>
      <c r="S99" s="1390">
        <f t="shared" si="413"/>
        <v>22650.099471421505</v>
      </c>
      <c r="T99" s="1390">
        <f t="shared" si="413"/>
        <v>23329.405387295039</v>
      </c>
      <c r="U99" s="1390">
        <f t="shared" si="413"/>
        <v>24029.084570311308</v>
      </c>
      <c r="V99" s="1390">
        <f t="shared" si="413"/>
        <v>24749.748041226012</v>
      </c>
      <c r="W99" s="1390">
        <f t="shared" si="413"/>
        <v>25492.025146101307</v>
      </c>
      <c r="X99" s="1390">
        <f t="shared" si="413"/>
        <v>26256.56410590556</v>
      </c>
      <c r="Y99" s="1390">
        <f t="shared" si="413"/>
        <v>27044.032582596312</v>
      </c>
      <c r="Z99" s="1390">
        <f t="shared" si="413"/>
        <v>27855.118262180804</v>
      </c>
      <c r="AA99" s="1390">
        <f t="shared" si="413"/>
        <v>28690.529455263251</v>
      </c>
      <c r="AB99" s="1390">
        <f t="shared" si="413"/>
        <v>29550.995715603302</v>
      </c>
      <c r="AC99" s="1390">
        <f t="shared" si="413"/>
        <v>30437.268477225876</v>
      </c>
      <c r="AD99" s="1390">
        <f t="shared" si="413"/>
        <v>31350.121710638759</v>
      </c>
      <c r="AE99" s="1398">
        <f>(O99/L99)^(1/3)-1</f>
        <v>2.9259598135797926E-2</v>
      </c>
      <c r="AF99" s="1399">
        <f t="shared" si="401"/>
        <v>2.9991299452377218E-2</v>
      </c>
    </row>
    <row r="100" spans="4:89" s="1403" customFormat="1" ht="14">
      <c r="D100" s="1418" t="s">
        <v>832</v>
      </c>
      <c r="E100" s="1402"/>
      <c r="F100" s="1402"/>
      <c r="G100" s="1418"/>
      <c r="H100" s="1038"/>
      <c r="I100" s="1038"/>
      <c r="J100" s="1038"/>
      <c r="K100" s="1038"/>
      <c r="L100" s="1402"/>
      <c r="M100" s="1402">
        <f t="shared" ref="M100" si="414">(M99/L99)-1</f>
        <v>2.779433277347354E-2</v>
      </c>
      <c r="N100" s="1409">
        <f t="shared" ref="N100" si="415">(N99/M99)-1</f>
        <v>2.9994728518713654E-2</v>
      </c>
      <c r="O100" s="1409">
        <f t="shared" ref="O100" si="416">(O99/N99)-1</f>
        <v>2.9991299452377218E-2</v>
      </c>
      <c r="P100" s="1409">
        <f>O100</f>
        <v>2.9991299452377218E-2</v>
      </c>
      <c r="Q100" s="1409">
        <f>P100</f>
        <v>2.9991299452377218E-2</v>
      </c>
      <c r="R100" s="1409">
        <f t="shared" ref="R100:AD100" si="417">Q100</f>
        <v>2.9991299452377218E-2</v>
      </c>
      <c r="S100" s="1409">
        <f t="shared" si="417"/>
        <v>2.9991299452377218E-2</v>
      </c>
      <c r="T100" s="1409">
        <f t="shared" si="417"/>
        <v>2.9991299452377218E-2</v>
      </c>
      <c r="U100" s="1409">
        <f t="shared" si="417"/>
        <v>2.9991299452377218E-2</v>
      </c>
      <c r="V100" s="1409">
        <f t="shared" si="417"/>
        <v>2.9991299452377218E-2</v>
      </c>
      <c r="W100" s="1409">
        <f t="shared" si="417"/>
        <v>2.9991299452377218E-2</v>
      </c>
      <c r="X100" s="1409">
        <f t="shared" si="417"/>
        <v>2.9991299452377218E-2</v>
      </c>
      <c r="Y100" s="1409">
        <f t="shared" si="417"/>
        <v>2.9991299452377218E-2</v>
      </c>
      <c r="Z100" s="1409">
        <f t="shared" si="417"/>
        <v>2.9991299452377218E-2</v>
      </c>
      <c r="AA100" s="1409">
        <f t="shared" si="417"/>
        <v>2.9991299452377218E-2</v>
      </c>
      <c r="AB100" s="1409">
        <f t="shared" si="417"/>
        <v>2.9991299452377218E-2</v>
      </c>
      <c r="AC100" s="1409">
        <f t="shared" si="417"/>
        <v>2.9991299452377218E-2</v>
      </c>
      <c r="AD100" s="1409">
        <f t="shared" si="417"/>
        <v>2.9991299452377218E-2</v>
      </c>
      <c r="AE100" s="782"/>
      <c r="AF100" s="781"/>
    </row>
    <row r="101" spans="4:89" s="1403" customFormat="1" thickBot="1">
      <c r="D101" s="1420" t="s">
        <v>1152</v>
      </c>
      <c r="E101" s="1411"/>
      <c r="F101" s="1411"/>
      <c r="G101" s="1420"/>
      <c r="H101" s="1422"/>
      <c r="I101" s="1422"/>
      <c r="J101" s="1422"/>
      <c r="K101" s="1422"/>
      <c r="L101" s="1411">
        <f>L99/L102</f>
        <v>0.26290150274196994</v>
      </c>
      <c r="M101" s="1411">
        <f t="shared" ref="M101:AD101" si="418">M99/M102</f>
        <v>0.38287651879061879</v>
      </c>
      <c r="N101" s="1411">
        <f t="shared" si="418"/>
        <v>0.31000046315365754</v>
      </c>
      <c r="O101" s="1411">
        <f t="shared" si="418"/>
        <v>0.28773885676427546</v>
      </c>
      <c r="P101" s="1411">
        <f t="shared" si="418"/>
        <v>0.28464718830182711</v>
      </c>
      <c r="Q101" s="1411">
        <f t="shared" si="418"/>
        <v>0.28413200757341117</v>
      </c>
      <c r="R101" s="1411">
        <f t="shared" si="418"/>
        <v>0.2859726767674407</v>
      </c>
      <c r="S101" s="1411">
        <f t="shared" si="418"/>
        <v>0.28782108212934709</v>
      </c>
      <c r="T101" s="1411">
        <f t="shared" si="418"/>
        <v>0.28967719709836121</v>
      </c>
      <c r="U101" s="1411">
        <f t="shared" si="418"/>
        <v>0.29180297598361604</v>
      </c>
      <c r="V101" s="1411">
        <f t="shared" si="418"/>
        <v>0.29393678319456129</v>
      </c>
      <c r="W101" s="1411">
        <f t="shared" si="418"/>
        <v>0.29607856768054885</v>
      </c>
      <c r="X101" s="1411">
        <f t="shared" si="418"/>
        <v>0.29822827713421363</v>
      </c>
      <c r="Y101" s="1411">
        <f t="shared" si="418"/>
        <v>0.30038585799082651</v>
      </c>
      <c r="Z101" s="1411">
        <f t="shared" si="418"/>
        <v>0.30255125542802458</v>
      </c>
      <c r="AA101" s="1411">
        <f t="shared" si="418"/>
        <v>0.30472441336592265</v>
      </c>
      <c r="AB101" s="1411">
        <f t="shared" si="418"/>
        <v>0.30690527446760796</v>
      </c>
      <c r="AC101" s="1411">
        <f t="shared" si="418"/>
        <v>0.30909378014002231</v>
      </c>
      <c r="AD101" s="1411">
        <f t="shared" si="418"/>
        <v>0.31128987053523449</v>
      </c>
      <c r="AE101" s="783"/>
      <c r="AF101" s="784"/>
    </row>
    <row r="102" spans="4:89" s="20" customFormat="1" ht="16" thickBot="1">
      <c r="D102" s="871" t="s">
        <v>103</v>
      </c>
      <c r="E102" s="418"/>
      <c r="F102" s="418"/>
      <c r="G102" s="871"/>
      <c r="H102" s="1295"/>
      <c r="I102" s="1295"/>
      <c r="J102" s="1295"/>
      <c r="K102" s="1295"/>
      <c r="L102" s="1295">
        <f>SUM(L87,L90,L93,L96,L99)</f>
        <v>70205</v>
      </c>
      <c r="M102" s="1295">
        <f t="shared" ref="M102:AD102" si="419">SUM(M87,M90,M93,M96,M99)</f>
        <v>49546</v>
      </c>
      <c r="N102" s="1295">
        <f t="shared" si="419"/>
        <v>63028.938090054166</v>
      </c>
      <c r="O102" s="1295">
        <f t="shared" si="419"/>
        <v>69941.891847047344</v>
      </c>
      <c r="P102" s="1295">
        <f t="shared" si="419"/>
        <v>72821.990707666642</v>
      </c>
      <c r="Q102" s="1295">
        <f t="shared" si="419"/>
        <v>75142.015786637901</v>
      </c>
      <c r="R102" s="1295">
        <f t="shared" si="419"/>
        <v>76897.463919352624</v>
      </c>
      <c r="S102" s="1295">
        <f t="shared" si="419"/>
        <v>78695.067449029069</v>
      </c>
      <c r="T102" s="1295">
        <f t="shared" si="419"/>
        <v>80535.871035003947</v>
      </c>
      <c r="U102" s="1295">
        <f t="shared" si="419"/>
        <v>82346.948276704614</v>
      </c>
      <c r="V102" s="1295">
        <f t="shared" si="419"/>
        <v>84200.921613964092</v>
      </c>
      <c r="W102" s="1295">
        <f t="shared" si="419"/>
        <v>86098.853239541757</v>
      </c>
      <c r="X102" s="1295">
        <f t="shared" si="419"/>
        <v>88041.832780629135</v>
      </c>
      <c r="Y102" s="1295">
        <f t="shared" si="419"/>
        <v>90030.978034332802</v>
      </c>
      <c r="Z102" s="1295">
        <f t="shared" si="419"/>
        <v>92067.43572348982</v>
      </c>
      <c r="AA102" s="1295">
        <f t="shared" si="419"/>
        <v>94152.382273391268</v>
      </c>
      <c r="AB102" s="1295">
        <f t="shared" si="419"/>
        <v>96287.02461000628</v>
      </c>
      <c r="AC102" s="1295">
        <f t="shared" si="419"/>
        <v>98472.600980315794</v>
      </c>
      <c r="AD102" s="1295">
        <f t="shared" si="419"/>
        <v>100710.38179538284</v>
      </c>
      <c r="AE102" s="1398">
        <f>(O102/L102)^(1/3)-1</f>
        <v>-1.2508013369243454E-3</v>
      </c>
      <c r="AF102" s="1399">
        <f t="shared" si="401"/>
        <v>2.5490646001387729E-2</v>
      </c>
    </row>
    <row r="103" spans="4:89" s="1403" customFormat="1" thickBot="1">
      <c r="D103" s="1420" t="s">
        <v>832</v>
      </c>
      <c r="E103" s="1411"/>
      <c r="F103" s="1411"/>
      <c r="G103" s="1420"/>
      <c r="H103" s="1422"/>
      <c r="I103" s="1422"/>
      <c r="J103" s="1422"/>
      <c r="K103" s="1422"/>
      <c r="L103" s="1411"/>
      <c r="M103" s="1411">
        <f t="shared" ref="M103" si="420">(M102/L102)-1</f>
        <v>-0.29426679011466417</v>
      </c>
      <c r="N103" s="1427">
        <f t="shared" ref="N103" si="421">(N102/M102)-1</f>
        <v>0.27212969947229171</v>
      </c>
      <c r="O103" s="1427">
        <f t="shared" ref="O103" si="422">(O102/N102)-1</f>
        <v>0.1096790453159171</v>
      </c>
      <c r="P103" s="1427">
        <f t="shared" ref="P103" si="423">(P102/O102)-1</f>
        <v>4.1178452348953565E-2</v>
      </c>
      <c r="Q103" s="1427">
        <f t="shared" ref="Q103" si="424">(Q102/P102)-1</f>
        <v>3.1858852750739297E-2</v>
      </c>
      <c r="R103" s="1427">
        <f t="shared" ref="R103" si="425">(R102/Q102)-1</f>
        <v>2.3361738627018402E-2</v>
      </c>
      <c r="S103" s="1427">
        <f t="shared" ref="S103" si="426">(S102/R102)-1</f>
        <v>2.3376629579900277E-2</v>
      </c>
      <c r="T103" s="1427">
        <f t="shared" ref="T103" si="427">(T102/S102)-1</f>
        <v>2.3391600587510331E-2</v>
      </c>
      <c r="U103" s="1427">
        <f t="shared" ref="U103" si="428">(U102/T102)-1</f>
        <v>2.248783329000692E-2</v>
      </c>
      <c r="V103" s="1427">
        <f t="shared" ref="V103" si="429">(V102/U102)-1</f>
        <v>2.2514171758128754E-2</v>
      </c>
      <c r="W103" s="1427">
        <f t="shared" ref="W103" si="430">(W102/V102)-1</f>
        <v>2.2540508930283476E-2</v>
      </c>
      <c r="X103" s="1427">
        <f t="shared" ref="X103" si="431">(X102/W102)-1</f>
        <v>2.2566845759044885E-2</v>
      </c>
      <c r="Y103" s="1427">
        <f t="shared" ref="Y103" si="432">(Y102/X102)-1</f>
        <v>2.2593183159418606E-2</v>
      </c>
      <c r="Z103" s="1427">
        <f t="shared" ref="Z103" si="433">(Z102/Y102)-1</f>
        <v>2.2619522009195814E-2</v>
      </c>
      <c r="AA103" s="1427">
        <f t="shared" ref="AA103" si="434">(AA102/Z102)-1</f>
        <v>2.2645863149303613E-2</v>
      </c>
      <c r="AB103" s="1427">
        <f t="shared" ref="AB103" si="435">(AB102/AA102)-1</f>
        <v>2.2672207384159648E-2</v>
      </c>
      <c r="AC103" s="1427">
        <f t="shared" ref="AC103" si="436">(AC102/AB102)-1</f>
        <v>2.2698555482026928E-2</v>
      </c>
      <c r="AD103" s="1427">
        <f t="shared" ref="AD103" si="437">(AD102/AC102)-1</f>
        <v>2.2724908175365099E-2</v>
      </c>
      <c r="AE103" s="1301"/>
      <c r="AF103" s="1302"/>
    </row>
    <row r="104" spans="4:89" s="164" customFormat="1" ht="11">
      <c r="D104" s="241"/>
      <c r="E104" s="241"/>
      <c r="F104" s="241"/>
      <c r="G104" s="515"/>
      <c r="H104" s="1023"/>
      <c r="I104" s="1023"/>
      <c r="J104" s="1023"/>
      <c r="K104" s="1023"/>
      <c r="L104" s="1023"/>
      <c r="M104" s="1023"/>
      <c r="N104" s="1053"/>
      <c r="O104" s="1053"/>
      <c r="P104" s="1053"/>
      <c r="Q104" s="248"/>
      <c r="R104" s="700"/>
      <c r="S104" s="248"/>
      <c r="T104" s="248"/>
      <c r="U104" s="248"/>
      <c r="V104" s="248"/>
      <c r="W104" s="248"/>
      <c r="X104" s="248"/>
      <c r="Y104" s="248"/>
      <c r="Z104" s="248"/>
      <c r="AA104" s="248"/>
      <c r="AB104" s="248"/>
      <c r="AC104" s="248"/>
      <c r="AD104" s="248"/>
      <c r="AE104" s="787"/>
      <c r="AF104" s="787"/>
    </row>
    <row r="105" spans="4:89" s="164" customFormat="1" ht="11">
      <c r="D105" s="241"/>
      <c r="E105" s="241"/>
      <c r="F105" s="241"/>
      <c r="G105" s="515"/>
      <c r="H105" s="1023"/>
      <c r="I105" s="1023"/>
      <c r="J105" s="1023"/>
      <c r="K105" s="1023"/>
      <c r="L105" s="1023"/>
      <c r="M105" s="1023"/>
      <c r="N105" s="1053"/>
      <c r="O105" s="1053"/>
      <c r="P105" s="1053"/>
      <c r="Q105" s="248"/>
      <c r="R105" s="700"/>
      <c r="S105" s="248"/>
      <c r="T105" s="248"/>
      <c r="U105" s="248"/>
      <c r="V105" s="248"/>
      <c r="W105" s="248"/>
      <c r="X105" s="248"/>
      <c r="Y105" s="248"/>
      <c r="Z105" s="248"/>
      <c r="AA105" s="248"/>
      <c r="AB105" s="248"/>
      <c r="AC105" s="248"/>
      <c r="AD105" s="248"/>
      <c r="AE105" s="787"/>
      <c r="AF105" s="787"/>
    </row>
    <row r="106" spans="4:89">
      <c r="G106" s="812"/>
      <c r="H106" s="844"/>
      <c r="I106" s="844"/>
      <c r="J106" s="844"/>
      <c r="K106" s="844"/>
      <c r="L106" s="844"/>
      <c r="M106" s="844"/>
      <c r="N106" s="844"/>
      <c r="O106" s="844"/>
      <c r="P106" s="1088"/>
    </row>
    <row r="107" spans="4:89" ht="16" thickBot="1">
      <c r="D107" s="18"/>
      <c r="G107" s="812"/>
      <c r="H107" s="844"/>
      <c r="I107" s="844"/>
      <c r="J107" s="844"/>
      <c r="K107" s="844"/>
      <c r="L107" s="844"/>
      <c r="M107" s="844"/>
      <c r="N107" s="844"/>
      <c r="O107" s="844"/>
      <c r="P107" s="1155"/>
      <c r="Q107" s="18"/>
      <c r="R107" s="18"/>
      <c r="S107" s="18"/>
      <c r="T107" s="18"/>
      <c r="U107" s="18"/>
      <c r="V107" s="18"/>
      <c r="W107" s="18"/>
      <c r="X107" s="18"/>
      <c r="Y107" s="18"/>
      <c r="Z107" s="18"/>
      <c r="AA107" s="18"/>
      <c r="AB107" s="18"/>
      <c r="AC107" s="18"/>
      <c r="AD107" s="18"/>
    </row>
    <row r="108" spans="4:89" ht="21" thickBot="1">
      <c r="D108" s="1929" t="s">
        <v>1570</v>
      </c>
      <c r="E108" s="1930"/>
      <c r="F108" s="1930"/>
      <c r="G108" s="1929"/>
      <c r="H108" s="1932"/>
      <c r="I108" s="1932"/>
      <c r="J108" s="1932"/>
      <c r="K108" s="1932"/>
      <c r="L108" s="1932"/>
      <c r="M108" s="1932"/>
      <c r="N108" s="1932"/>
      <c r="O108" s="1932"/>
      <c r="P108" s="1933"/>
      <c r="Q108" s="1930"/>
      <c r="R108" s="1930"/>
      <c r="S108" s="1930"/>
      <c r="T108" s="1930"/>
      <c r="U108" s="1930"/>
      <c r="V108" s="1930"/>
      <c r="W108" s="1930"/>
      <c r="X108" s="1930"/>
      <c r="Y108" s="1930"/>
      <c r="Z108" s="1930"/>
      <c r="AA108" s="1930"/>
      <c r="AB108" s="1930"/>
      <c r="AC108" s="1930"/>
      <c r="AD108" s="1930"/>
      <c r="AE108" s="1930"/>
      <c r="AF108" s="1931"/>
      <c r="AJ108" s="1210" t="s">
        <v>1715</v>
      </c>
      <c r="AS108" s="1210" t="s">
        <v>1716</v>
      </c>
      <c r="AZ108" s="1210" t="s">
        <v>1717</v>
      </c>
      <c r="BJ108" s="1210" t="s">
        <v>1718</v>
      </c>
    </row>
    <row r="109" spans="4:89" ht="16" thickBot="1">
      <c r="D109" s="689"/>
      <c r="E109" s="690"/>
      <c r="F109" s="690"/>
      <c r="G109" s="689"/>
      <c r="H109" s="1020"/>
      <c r="I109" s="1020"/>
      <c r="J109" s="1020"/>
      <c r="K109" s="1020"/>
      <c r="L109" s="1020"/>
      <c r="M109" s="1020"/>
      <c r="N109" s="1020"/>
      <c r="O109" s="1020"/>
      <c r="P109" s="1022"/>
      <c r="Q109" s="620"/>
      <c r="R109" s="620"/>
      <c r="S109" s="620"/>
      <c r="T109" s="620"/>
      <c r="U109" s="620"/>
      <c r="V109" s="620"/>
      <c r="W109" s="620"/>
      <c r="X109" s="620"/>
      <c r="Y109" s="620"/>
      <c r="Z109" s="620"/>
      <c r="AA109" s="620"/>
      <c r="AB109" s="620"/>
      <c r="AC109" s="620"/>
      <c r="AD109" s="620"/>
      <c r="AF109" s="123"/>
    </row>
    <row r="110" spans="4:89" ht="16" thickBot="1">
      <c r="D110" s="694" t="s">
        <v>1487</v>
      </c>
      <c r="E110" s="695" t="s">
        <v>216</v>
      </c>
      <c r="F110" s="695" t="s">
        <v>217</v>
      </c>
      <c r="G110" s="694" t="s">
        <v>218</v>
      </c>
      <c r="H110" s="1027" t="s">
        <v>28</v>
      </c>
      <c r="I110" s="1027" t="s">
        <v>17</v>
      </c>
      <c r="J110" s="1027" t="s">
        <v>18</v>
      </c>
      <c r="K110" s="1027" t="s">
        <v>19</v>
      </c>
      <c r="L110" s="1027" t="s">
        <v>20</v>
      </c>
      <c r="M110" s="1027" t="s">
        <v>21</v>
      </c>
      <c r="N110" s="1027" t="s">
        <v>22</v>
      </c>
      <c r="O110" s="1027" t="s">
        <v>23</v>
      </c>
      <c r="P110" s="1028" t="s">
        <v>24</v>
      </c>
      <c r="Q110" s="404" t="s">
        <v>25</v>
      </c>
      <c r="R110" s="404" t="s">
        <v>26</v>
      </c>
      <c r="S110" s="404" t="s">
        <v>27</v>
      </c>
      <c r="T110" s="404" t="s">
        <v>712</v>
      </c>
      <c r="U110" s="404" t="s">
        <v>713</v>
      </c>
      <c r="V110" s="404" t="s">
        <v>714</v>
      </c>
      <c r="W110" s="404" t="s">
        <v>715</v>
      </c>
      <c r="X110" s="404" t="s">
        <v>716</v>
      </c>
      <c r="Y110" s="404" t="s">
        <v>717</v>
      </c>
      <c r="Z110" s="404" t="s">
        <v>718</v>
      </c>
      <c r="AA110" s="404" t="s">
        <v>719</v>
      </c>
      <c r="AB110" s="404" t="s">
        <v>720</v>
      </c>
      <c r="AC110" s="404" t="s">
        <v>721</v>
      </c>
      <c r="AD110" s="404" t="s">
        <v>722</v>
      </c>
      <c r="AE110" s="1379" t="s">
        <v>1445</v>
      </c>
      <c r="AF110" s="1380" t="s">
        <v>1446</v>
      </c>
      <c r="BJ110" s="336"/>
      <c r="BK110" s="336"/>
      <c r="BL110" s="336"/>
      <c r="BM110" s="336"/>
      <c r="BN110" s="336"/>
      <c r="BO110" s="336"/>
      <c r="BP110" s="336"/>
      <c r="BQ110" s="336"/>
      <c r="BR110" s="336"/>
      <c r="BS110" s="336"/>
      <c r="BT110" s="336"/>
      <c r="BU110" s="336"/>
      <c r="BV110" s="620"/>
      <c r="BW110" s="620"/>
      <c r="BX110" s="620"/>
      <c r="BY110" s="620"/>
      <c r="BZ110" s="620"/>
      <c r="CA110" s="620"/>
      <c r="CB110" s="620"/>
      <c r="CC110" s="620"/>
      <c r="CD110" s="620"/>
      <c r="CE110" s="620"/>
      <c r="CF110" s="620"/>
      <c r="CG110" s="620"/>
      <c r="CH110" s="620"/>
      <c r="CI110" s="620"/>
      <c r="CJ110" s="620"/>
      <c r="CK110" s="620"/>
    </row>
    <row r="111" spans="4:89" s="160" customFormat="1">
      <c r="D111" s="1228" t="s">
        <v>1151</v>
      </c>
      <c r="E111" s="190"/>
      <c r="F111" s="190"/>
      <c r="G111" s="874"/>
      <c r="H111" s="1390"/>
      <c r="I111" s="1390">
        <v>5922</v>
      </c>
      <c r="J111" s="1390">
        <v>5922</v>
      </c>
      <c r="K111" s="1390">
        <v>5922</v>
      </c>
      <c r="L111" s="1390">
        <v>10942</v>
      </c>
      <c r="M111" s="1390">
        <v>12035</v>
      </c>
      <c r="N111" s="1390">
        <v>13239</v>
      </c>
      <c r="O111" s="1390">
        <v>15103</v>
      </c>
      <c r="P111" s="1390">
        <f>P113*P120</f>
        <v>15103</v>
      </c>
      <c r="Q111" s="1390">
        <f t="shared" ref="Q111:AD111" si="438">Q113*Q120</f>
        <v>15103</v>
      </c>
      <c r="R111" s="1390">
        <f t="shared" si="438"/>
        <v>15103</v>
      </c>
      <c r="S111" s="1390">
        <f t="shared" si="438"/>
        <v>15103</v>
      </c>
      <c r="T111" s="1390">
        <f t="shared" si="438"/>
        <v>15103</v>
      </c>
      <c r="U111" s="1390">
        <f t="shared" si="438"/>
        <v>15103</v>
      </c>
      <c r="V111" s="1390">
        <f t="shared" si="438"/>
        <v>15103</v>
      </c>
      <c r="W111" s="1390">
        <f t="shared" si="438"/>
        <v>15103</v>
      </c>
      <c r="X111" s="1390">
        <f t="shared" si="438"/>
        <v>15103</v>
      </c>
      <c r="Y111" s="1390">
        <f t="shared" si="438"/>
        <v>15103</v>
      </c>
      <c r="Z111" s="1390">
        <f t="shared" si="438"/>
        <v>15103</v>
      </c>
      <c r="AA111" s="1390">
        <f t="shared" si="438"/>
        <v>15103</v>
      </c>
      <c r="AB111" s="1390">
        <f t="shared" si="438"/>
        <v>15103</v>
      </c>
      <c r="AC111" s="1390">
        <f t="shared" si="438"/>
        <v>15103</v>
      </c>
      <c r="AD111" s="1390">
        <f t="shared" si="438"/>
        <v>15103</v>
      </c>
      <c r="AE111" s="1398">
        <f>(O111/L111)^(1/3)-1</f>
        <v>0.11341099066345262</v>
      </c>
      <c r="AF111" s="1399">
        <f>(T111/P111)^(1/4)-1</f>
        <v>0</v>
      </c>
      <c r="BJ111" s="169"/>
      <c r="BK111" s="169"/>
      <c r="BL111" s="169"/>
      <c r="BM111" s="169"/>
      <c r="BN111" s="169"/>
      <c r="BO111" s="169"/>
      <c r="BP111" s="169"/>
      <c r="BQ111" s="169"/>
      <c r="BR111" s="807"/>
      <c r="BS111" s="807"/>
      <c r="BT111" s="807"/>
      <c r="BU111" s="807"/>
      <c r="BV111" s="807"/>
      <c r="BW111" s="807"/>
      <c r="BX111" s="807"/>
      <c r="BY111" s="807"/>
      <c r="BZ111" s="807"/>
      <c r="CA111" s="807"/>
      <c r="CB111" s="807"/>
      <c r="CC111" s="807"/>
      <c r="CD111" s="807"/>
      <c r="CE111" s="807"/>
      <c r="CF111" s="807"/>
      <c r="CG111" s="807"/>
      <c r="CH111" s="807"/>
      <c r="CI111" s="807"/>
      <c r="CJ111" s="807"/>
      <c r="CK111" s="1213"/>
    </row>
    <row r="112" spans="4:89" s="1403" customFormat="1" ht="14">
      <c r="D112" s="1401" t="s">
        <v>832</v>
      </c>
      <c r="E112" s="1402"/>
      <c r="F112" s="1402"/>
      <c r="G112" s="1418"/>
      <c r="H112" s="1402"/>
      <c r="I112" s="1402"/>
      <c r="J112" s="1402"/>
      <c r="K112" s="1402"/>
      <c r="L112" s="1402">
        <f>(L111/K111)-1</f>
        <v>0.84768659236744348</v>
      </c>
      <c r="M112" s="1402">
        <f t="shared" ref="M112" si="439">(M111/L111)-1</f>
        <v>9.9890330835313401E-2</v>
      </c>
      <c r="N112" s="1402">
        <f t="shared" ref="N112" si="440">(N111/M111)-1</f>
        <v>0.10004154549231403</v>
      </c>
      <c r="O112" s="1402">
        <f t="shared" ref="O112" si="441">(O111/N111)-1</f>
        <v>0.14079613263841684</v>
      </c>
      <c r="P112" s="1402">
        <f t="shared" ref="P112" si="442">(P111/O111)-1</f>
        <v>0</v>
      </c>
      <c r="Q112" s="1402">
        <f t="shared" ref="Q112" si="443">(Q111/P111)-1</f>
        <v>0</v>
      </c>
      <c r="R112" s="1402">
        <f t="shared" ref="R112" si="444">(R111/Q111)-1</f>
        <v>0</v>
      </c>
      <c r="S112" s="1402">
        <f t="shared" ref="S112" si="445">(S111/R111)-1</f>
        <v>0</v>
      </c>
      <c r="T112" s="1402">
        <f t="shared" ref="T112" si="446">(T111/S111)-1</f>
        <v>0</v>
      </c>
      <c r="U112" s="1402">
        <f t="shared" ref="U112" si="447">(U111/T111)-1</f>
        <v>0</v>
      </c>
      <c r="V112" s="1402">
        <f t="shared" ref="V112" si="448">(V111/U111)-1</f>
        <v>0</v>
      </c>
      <c r="W112" s="1402">
        <f t="shared" ref="W112" si="449">(W111/V111)-1</f>
        <v>0</v>
      </c>
      <c r="X112" s="1402">
        <f t="shared" ref="X112" si="450">(X111/W111)-1</f>
        <v>0</v>
      </c>
      <c r="Y112" s="1402">
        <f t="shared" ref="Y112" si="451">(Y111/X111)-1</f>
        <v>0</v>
      </c>
      <c r="Z112" s="1402">
        <f t="shared" ref="Z112" si="452">(Z111/Y111)-1</f>
        <v>0</v>
      </c>
      <c r="AA112" s="1402">
        <f t="shared" ref="AA112" si="453">(AA111/Z111)-1</f>
        <v>0</v>
      </c>
      <c r="AB112" s="1402">
        <f t="shared" ref="AB112" si="454">(AB111/AA111)-1</f>
        <v>0</v>
      </c>
      <c r="AC112" s="1402">
        <f t="shared" ref="AC112" si="455">(AC111/AB111)-1</f>
        <v>0</v>
      </c>
      <c r="AD112" s="1402">
        <f t="shared" ref="AD112" si="456">(AD111/AC111)-1</f>
        <v>0</v>
      </c>
      <c r="AE112" s="789"/>
      <c r="AF112" s="790"/>
      <c r="BJ112" s="1402"/>
      <c r="BK112" s="1402"/>
      <c r="BL112" s="1402"/>
      <c r="BM112" s="1402"/>
      <c r="BN112" s="1402"/>
      <c r="BO112" s="1402"/>
      <c r="BP112" s="1402"/>
      <c r="BQ112" s="1402"/>
      <c r="BR112" s="1410"/>
      <c r="BS112" s="1410"/>
      <c r="BT112" s="1410"/>
      <c r="BU112" s="1410"/>
      <c r="BV112" s="1410"/>
      <c r="BW112" s="1410"/>
      <c r="BX112" s="1410"/>
      <c r="BY112" s="1410"/>
      <c r="BZ112" s="1410"/>
      <c r="CA112" s="1410"/>
      <c r="CB112" s="1410"/>
      <c r="CC112" s="1410"/>
      <c r="CD112" s="1410"/>
      <c r="CE112" s="1410"/>
      <c r="CF112" s="1410"/>
      <c r="CG112" s="1410"/>
      <c r="CH112" s="1410"/>
      <c r="CI112" s="1410"/>
      <c r="CJ112" s="1410"/>
      <c r="CK112" s="1453"/>
    </row>
    <row r="113" spans="4:89" s="1403" customFormat="1" ht="14">
      <c r="D113" s="1401" t="s">
        <v>1152</v>
      </c>
      <c r="E113" s="1402"/>
      <c r="F113" s="1402"/>
      <c r="G113" s="1418"/>
      <c r="H113" s="1402"/>
      <c r="I113" s="1402"/>
      <c r="J113" s="1402"/>
      <c r="K113" s="1402"/>
      <c r="L113" s="1402">
        <f>L111/L120</f>
        <v>0.34736507936507938</v>
      </c>
      <c r="M113" s="1402">
        <f t="shared" ref="M113" si="457">M111/M120</f>
        <v>0.34733044733044732</v>
      </c>
      <c r="N113" s="1402">
        <f>M113</f>
        <v>0.34733044733044732</v>
      </c>
      <c r="O113" s="1402">
        <f>O111/O120</f>
        <v>0.36022133708588738</v>
      </c>
      <c r="P113" s="1402">
        <f>O113</f>
        <v>0.36022133708588738</v>
      </c>
      <c r="Q113" s="1402">
        <f t="shared" ref="Q113:AD113" si="458">P113</f>
        <v>0.36022133708588738</v>
      </c>
      <c r="R113" s="1402">
        <f t="shared" si="458"/>
        <v>0.36022133708588738</v>
      </c>
      <c r="S113" s="1402">
        <f t="shared" si="458"/>
        <v>0.36022133708588738</v>
      </c>
      <c r="T113" s="1402">
        <f t="shared" si="458"/>
        <v>0.36022133708588738</v>
      </c>
      <c r="U113" s="1402">
        <f t="shared" si="458"/>
        <v>0.36022133708588738</v>
      </c>
      <c r="V113" s="1402">
        <f t="shared" si="458"/>
        <v>0.36022133708588738</v>
      </c>
      <c r="W113" s="1402">
        <f t="shared" si="458"/>
        <v>0.36022133708588738</v>
      </c>
      <c r="X113" s="1402">
        <f t="shared" si="458"/>
        <v>0.36022133708588738</v>
      </c>
      <c r="Y113" s="1402">
        <f t="shared" si="458"/>
        <v>0.36022133708588738</v>
      </c>
      <c r="Z113" s="1402">
        <f t="shared" si="458"/>
        <v>0.36022133708588738</v>
      </c>
      <c r="AA113" s="1402">
        <f t="shared" si="458"/>
        <v>0.36022133708588738</v>
      </c>
      <c r="AB113" s="1402">
        <f t="shared" si="458"/>
        <v>0.36022133708588738</v>
      </c>
      <c r="AC113" s="1402">
        <f t="shared" si="458"/>
        <v>0.36022133708588738</v>
      </c>
      <c r="AD113" s="1402">
        <f t="shared" si="458"/>
        <v>0.36022133708588738</v>
      </c>
      <c r="AE113" s="789"/>
      <c r="AF113" s="790"/>
      <c r="BJ113" s="1402"/>
      <c r="BK113" s="1402"/>
      <c r="BL113" s="1402"/>
      <c r="BM113" s="1402"/>
      <c r="BN113" s="1402"/>
      <c r="BO113" s="1402"/>
      <c r="BP113" s="1402"/>
      <c r="BQ113" s="1402"/>
      <c r="BR113" s="1410"/>
      <c r="BS113" s="1410"/>
      <c r="BT113" s="1410"/>
      <c r="BU113" s="1410"/>
      <c r="BV113" s="1410"/>
      <c r="BW113" s="1410"/>
      <c r="BX113" s="1410"/>
      <c r="BY113" s="1410"/>
      <c r="BZ113" s="1410"/>
      <c r="CA113" s="1402"/>
      <c r="CB113" s="1402"/>
      <c r="CC113" s="1402"/>
      <c r="CD113" s="1402"/>
      <c r="CE113" s="1402"/>
      <c r="CF113" s="1402"/>
      <c r="CG113" s="1402"/>
      <c r="CH113" s="1402"/>
      <c r="CI113" s="1402"/>
      <c r="CJ113" s="1402"/>
      <c r="CK113" s="1453"/>
    </row>
    <row r="114" spans="4:89" s="160" customFormat="1">
      <c r="D114" s="1228" t="s">
        <v>1153</v>
      </c>
      <c r="E114" s="190"/>
      <c r="F114" s="190"/>
      <c r="G114" s="874"/>
      <c r="H114" s="1390"/>
      <c r="I114" s="1390"/>
      <c r="J114" s="1390"/>
      <c r="K114" s="1390"/>
      <c r="L114" s="1390">
        <v>15307</v>
      </c>
      <c r="M114" s="1390">
        <v>13589</v>
      </c>
      <c r="N114" s="1390">
        <v>11435</v>
      </c>
      <c r="O114" s="1390">
        <v>10000</v>
      </c>
      <c r="P114" s="1390">
        <f>P116*P120</f>
        <v>10000</v>
      </c>
      <c r="Q114" s="1390">
        <f t="shared" ref="Q114:AD114" si="459">Q116*Q120</f>
        <v>10000</v>
      </c>
      <c r="R114" s="1390">
        <f t="shared" si="459"/>
        <v>10000</v>
      </c>
      <c r="S114" s="1390">
        <f t="shared" si="459"/>
        <v>10000</v>
      </c>
      <c r="T114" s="1390">
        <f t="shared" si="459"/>
        <v>10000</v>
      </c>
      <c r="U114" s="1390">
        <f t="shared" si="459"/>
        <v>10000</v>
      </c>
      <c r="V114" s="1390">
        <f t="shared" si="459"/>
        <v>10000</v>
      </c>
      <c r="W114" s="1390">
        <f t="shared" si="459"/>
        <v>10000</v>
      </c>
      <c r="X114" s="1390">
        <f t="shared" si="459"/>
        <v>10000</v>
      </c>
      <c r="Y114" s="1390">
        <f t="shared" si="459"/>
        <v>10000</v>
      </c>
      <c r="Z114" s="1390">
        <f t="shared" si="459"/>
        <v>10000</v>
      </c>
      <c r="AA114" s="1390">
        <f t="shared" si="459"/>
        <v>10000</v>
      </c>
      <c r="AB114" s="1390">
        <f t="shared" si="459"/>
        <v>10000</v>
      </c>
      <c r="AC114" s="1390">
        <f t="shared" si="459"/>
        <v>10000</v>
      </c>
      <c r="AD114" s="1390">
        <f t="shared" si="459"/>
        <v>10000</v>
      </c>
      <c r="AE114" s="1398">
        <f t="shared" ref="AE114:AE117" si="460">(O114/L114)^(1/3)-1</f>
        <v>-0.13229925047100033</v>
      </c>
      <c r="AF114" s="1399">
        <f>(T114/P114)^(1/4)-1</f>
        <v>0</v>
      </c>
      <c r="BJ114" s="169"/>
      <c r="BK114" s="169"/>
      <c r="BL114" s="169"/>
      <c r="BM114" s="169"/>
      <c r="BN114" s="169"/>
      <c r="BO114" s="169"/>
      <c r="BP114" s="169"/>
      <c r="BQ114" s="169"/>
      <c r="BR114" s="807"/>
      <c r="BS114" s="807"/>
      <c r="BT114" s="807"/>
      <c r="BU114" s="807"/>
      <c r="BV114" s="807"/>
      <c r="BW114" s="807"/>
      <c r="BX114" s="807"/>
      <c r="BY114" s="807"/>
      <c r="BZ114" s="807"/>
      <c r="CA114" s="807"/>
      <c r="CB114" s="807"/>
      <c r="CC114" s="807"/>
      <c r="CD114" s="807"/>
      <c r="CE114" s="807"/>
      <c r="CF114" s="807"/>
      <c r="CG114" s="807"/>
      <c r="CH114" s="807"/>
      <c r="CI114" s="807"/>
      <c r="CJ114" s="807"/>
      <c r="CK114" s="1213"/>
    </row>
    <row r="115" spans="4:89" s="1403" customFormat="1" ht="14">
      <c r="D115" s="1401" t="s">
        <v>832</v>
      </c>
      <c r="E115" s="1402"/>
      <c r="F115" s="1402"/>
      <c r="G115" s="1418"/>
      <c r="H115" s="1402"/>
      <c r="I115" s="1402"/>
      <c r="J115" s="1402"/>
      <c r="K115" s="1402"/>
      <c r="L115" s="1402"/>
      <c r="M115" s="1402">
        <f t="shared" ref="M115" si="461">(M114/L114)-1</f>
        <v>-0.11223623178937736</v>
      </c>
      <c r="N115" s="1402">
        <f t="shared" ref="N115" si="462">(N114/M114)-1</f>
        <v>-0.15851056001177422</v>
      </c>
      <c r="O115" s="1402">
        <f t="shared" ref="O115" si="463">(O114/N114)-1</f>
        <v>-0.12549191080017486</v>
      </c>
      <c r="P115" s="1402">
        <f t="shared" ref="P115" si="464">(P114/O114)-1</f>
        <v>0</v>
      </c>
      <c r="Q115" s="1402">
        <f t="shared" ref="Q115" si="465">(Q114/P114)-1</f>
        <v>0</v>
      </c>
      <c r="R115" s="1402">
        <f t="shared" ref="R115" si="466">(R114/Q114)-1</f>
        <v>0</v>
      </c>
      <c r="S115" s="1402">
        <f t="shared" ref="S115" si="467">(S114/R114)-1</f>
        <v>0</v>
      </c>
      <c r="T115" s="1402">
        <f t="shared" ref="T115" si="468">(T114/S114)-1</f>
        <v>0</v>
      </c>
      <c r="U115" s="1402">
        <f t="shared" ref="U115" si="469">(U114/T114)-1</f>
        <v>0</v>
      </c>
      <c r="V115" s="1402">
        <f t="shared" ref="V115" si="470">(V114/U114)-1</f>
        <v>0</v>
      </c>
      <c r="W115" s="1402">
        <f t="shared" ref="W115" si="471">(W114/V114)-1</f>
        <v>0</v>
      </c>
      <c r="X115" s="1402">
        <f t="shared" ref="X115" si="472">(X114/W114)-1</f>
        <v>0</v>
      </c>
      <c r="Y115" s="1402">
        <f t="shared" ref="Y115" si="473">(Y114/X114)-1</f>
        <v>0</v>
      </c>
      <c r="Z115" s="1402">
        <f t="shared" ref="Z115" si="474">(Z114/Y114)-1</f>
        <v>0</v>
      </c>
      <c r="AA115" s="1402">
        <f t="shared" ref="AA115" si="475">(AA114/Z114)-1</f>
        <v>0</v>
      </c>
      <c r="AB115" s="1402">
        <f t="shared" ref="AB115" si="476">(AB114/AA114)-1</f>
        <v>0</v>
      </c>
      <c r="AC115" s="1402">
        <f t="shared" ref="AC115" si="477">(AC114/AB114)-1</f>
        <v>0</v>
      </c>
      <c r="AD115" s="1402">
        <f t="shared" ref="AD115" si="478">(AD114/AC114)-1</f>
        <v>0</v>
      </c>
      <c r="AE115" s="789"/>
      <c r="AF115" s="790"/>
      <c r="BJ115" s="1402"/>
      <c r="BK115" s="1402"/>
      <c r="BL115" s="1402"/>
      <c r="BM115" s="1402"/>
      <c r="BN115" s="1402"/>
      <c r="BO115" s="1402"/>
      <c r="BP115" s="1402"/>
      <c r="BQ115" s="1402"/>
      <c r="BR115" s="1410"/>
      <c r="BS115" s="1410"/>
      <c r="BT115" s="1454"/>
      <c r="BU115" s="1454"/>
      <c r="BV115" s="1454"/>
      <c r="BW115" s="1454"/>
      <c r="BX115" s="1454"/>
      <c r="BY115" s="1454"/>
      <c r="BZ115" s="1454"/>
      <c r="CA115" s="1409"/>
      <c r="CB115" s="1409"/>
      <c r="CC115" s="1409"/>
      <c r="CD115" s="1409"/>
      <c r="CE115" s="1409"/>
      <c r="CF115" s="1409"/>
      <c r="CG115" s="1409"/>
      <c r="CH115" s="1409"/>
      <c r="CI115" s="1409"/>
      <c r="CJ115" s="1409"/>
      <c r="CK115" s="1453"/>
    </row>
    <row r="116" spans="4:89" s="1403" customFormat="1" ht="14">
      <c r="D116" s="1401" t="s">
        <v>1152</v>
      </c>
      <c r="E116" s="1402"/>
      <c r="F116" s="1402"/>
      <c r="G116" s="1418"/>
      <c r="H116" s="1402"/>
      <c r="I116" s="1402"/>
      <c r="J116" s="1402"/>
      <c r="K116" s="1402"/>
      <c r="L116" s="1402">
        <f>L114/L120</f>
        <v>0.48593650793650794</v>
      </c>
      <c r="M116" s="1402">
        <f>M114/M120</f>
        <v>0.39217893217893218</v>
      </c>
      <c r="N116" s="1402">
        <f t="shared" ref="N116:O116" si="479">N114/N120</f>
        <v>0.30000524714030852</v>
      </c>
      <c r="O116" s="1402">
        <f t="shared" si="479"/>
        <v>0.23850979082691345</v>
      </c>
      <c r="P116" s="1402">
        <f>O116</f>
        <v>0.23850979082691345</v>
      </c>
      <c r="Q116" s="1402">
        <f t="shared" ref="Q116:AD116" si="480">P116</f>
        <v>0.23850979082691345</v>
      </c>
      <c r="R116" s="1402">
        <f t="shared" si="480"/>
        <v>0.23850979082691345</v>
      </c>
      <c r="S116" s="1402">
        <f t="shared" si="480"/>
        <v>0.23850979082691345</v>
      </c>
      <c r="T116" s="1402">
        <f t="shared" si="480"/>
        <v>0.23850979082691345</v>
      </c>
      <c r="U116" s="1402">
        <f t="shared" si="480"/>
        <v>0.23850979082691345</v>
      </c>
      <c r="V116" s="1402">
        <f t="shared" si="480"/>
        <v>0.23850979082691345</v>
      </c>
      <c r="W116" s="1402">
        <f t="shared" si="480"/>
        <v>0.23850979082691345</v>
      </c>
      <c r="X116" s="1402">
        <f t="shared" si="480"/>
        <v>0.23850979082691345</v>
      </c>
      <c r="Y116" s="1402">
        <f t="shared" si="480"/>
        <v>0.23850979082691345</v>
      </c>
      <c r="Z116" s="1402">
        <f t="shared" si="480"/>
        <v>0.23850979082691345</v>
      </c>
      <c r="AA116" s="1402">
        <f t="shared" si="480"/>
        <v>0.23850979082691345</v>
      </c>
      <c r="AB116" s="1402">
        <f t="shared" si="480"/>
        <v>0.23850979082691345</v>
      </c>
      <c r="AC116" s="1402">
        <f t="shared" si="480"/>
        <v>0.23850979082691345</v>
      </c>
      <c r="AD116" s="1402">
        <f t="shared" si="480"/>
        <v>0.23850979082691345</v>
      </c>
      <c r="AE116" s="789"/>
      <c r="AF116" s="790"/>
      <c r="BJ116" s="1402"/>
      <c r="BK116" s="1402"/>
      <c r="BL116" s="1402"/>
      <c r="BM116" s="1402"/>
      <c r="BN116" s="1402"/>
      <c r="BO116" s="1402"/>
      <c r="BP116" s="1402"/>
      <c r="BQ116" s="1402"/>
      <c r="BR116" s="1410"/>
      <c r="BS116" s="1410"/>
      <c r="BT116" s="1410"/>
      <c r="BU116" s="1410"/>
      <c r="BV116" s="1410"/>
      <c r="BW116" s="1410"/>
      <c r="BX116" s="1410"/>
      <c r="BY116" s="1410"/>
      <c r="BZ116" s="1410"/>
      <c r="CA116" s="1402"/>
      <c r="CB116" s="1402"/>
      <c r="CC116" s="1402"/>
      <c r="CD116" s="1402"/>
      <c r="CE116" s="1402"/>
      <c r="CF116" s="1402"/>
      <c r="CG116" s="1402"/>
      <c r="CH116" s="1402"/>
      <c r="CI116" s="1402"/>
      <c r="CJ116" s="1402"/>
      <c r="CK116" s="1453"/>
    </row>
    <row r="117" spans="4:89" s="160" customFormat="1">
      <c r="D117" s="1228" t="s">
        <v>1154</v>
      </c>
      <c r="E117" s="190"/>
      <c r="F117" s="190"/>
      <c r="G117" s="874"/>
      <c r="H117" s="1390"/>
      <c r="I117" s="1390"/>
      <c r="J117" s="1390"/>
      <c r="K117" s="1390"/>
      <c r="L117" s="1390">
        <v>5251</v>
      </c>
      <c r="M117" s="1390">
        <v>9026</v>
      </c>
      <c r="N117" s="1390">
        <v>13442</v>
      </c>
      <c r="O117" s="1390">
        <f>O120-O114-O111</f>
        <v>16824</v>
      </c>
      <c r="P117" s="1390">
        <f>P119*P120</f>
        <v>16823.999999999996</v>
      </c>
      <c r="Q117" s="1390">
        <f t="shared" ref="Q117:AD117" si="481">Q119*Q120</f>
        <v>16823.999999999996</v>
      </c>
      <c r="R117" s="1390">
        <f t="shared" si="481"/>
        <v>16823.999999999996</v>
      </c>
      <c r="S117" s="1390">
        <f t="shared" si="481"/>
        <v>16823.999999999996</v>
      </c>
      <c r="T117" s="1390">
        <f t="shared" si="481"/>
        <v>16823.999999999996</v>
      </c>
      <c r="U117" s="1390">
        <f t="shared" si="481"/>
        <v>16823.999999999996</v>
      </c>
      <c r="V117" s="1390">
        <f t="shared" si="481"/>
        <v>16823.999999999996</v>
      </c>
      <c r="W117" s="1390">
        <f t="shared" si="481"/>
        <v>16823.999999999996</v>
      </c>
      <c r="X117" s="1390">
        <f t="shared" si="481"/>
        <v>16823.999999999996</v>
      </c>
      <c r="Y117" s="1390">
        <f t="shared" si="481"/>
        <v>16823.999999999996</v>
      </c>
      <c r="Z117" s="1390">
        <f t="shared" si="481"/>
        <v>16823.999999999996</v>
      </c>
      <c r="AA117" s="1390">
        <f t="shared" si="481"/>
        <v>16823.999999999996</v>
      </c>
      <c r="AB117" s="1390">
        <f t="shared" si="481"/>
        <v>16823.999999999996</v>
      </c>
      <c r="AC117" s="1390">
        <f t="shared" si="481"/>
        <v>16823.999999999996</v>
      </c>
      <c r="AD117" s="1390">
        <f t="shared" si="481"/>
        <v>16823.999999999996</v>
      </c>
      <c r="AE117" s="1398">
        <f t="shared" si="460"/>
        <v>0.4742203905017166</v>
      </c>
      <c r="AF117" s="1399">
        <f>(T117/P117)^(1/4)-1</f>
        <v>0</v>
      </c>
      <c r="BJ117" s="240"/>
      <c r="BK117" s="242"/>
      <c r="BL117" s="242"/>
      <c r="BM117" s="242"/>
      <c r="BN117" s="242"/>
      <c r="BO117" s="242"/>
      <c r="BP117" s="242"/>
      <c r="BQ117" s="242"/>
      <c r="BR117" s="1216"/>
      <c r="BS117" s="1216"/>
      <c r="BT117" s="1216"/>
      <c r="BU117" s="1216"/>
      <c r="BV117" s="1216"/>
      <c r="BW117" s="1216"/>
      <c r="BX117" s="1216"/>
      <c r="BY117" s="1216"/>
      <c r="BZ117" s="1216"/>
      <c r="CA117" s="1216"/>
      <c r="CB117" s="1216"/>
      <c r="CC117" s="1216"/>
      <c r="CD117" s="1216"/>
      <c r="CE117" s="1216"/>
      <c r="CF117" s="1216"/>
      <c r="CG117" s="1216"/>
      <c r="CH117" s="1216"/>
      <c r="CI117" s="1216"/>
      <c r="CJ117" s="1216"/>
      <c r="CK117" s="1213"/>
    </row>
    <row r="118" spans="4:89" s="1403" customFormat="1" ht="14">
      <c r="D118" s="1401" t="s">
        <v>832</v>
      </c>
      <c r="E118" s="1402"/>
      <c r="F118" s="1402"/>
      <c r="G118" s="1418"/>
      <c r="H118" s="1402"/>
      <c r="I118" s="1402"/>
      <c r="J118" s="1402"/>
      <c r="K118" s="1402"/>
      <c r="L118" s="1402"/>
      <c r="M118" s="1402">
        <f t="shared" ref="M118" si="482">(M117/L117)-1</f>
        <v>0.71891068367929911</v>
      </c>
      <c r="N118" s="1402">
        <f t="shared" ref="N118" si="483">(N117/M117)-1</f>
        <v>0.48925326833591853</v>
      </c>
      <c r="O118" s="1402">
        <f t="shared" ref="O118" si="484">(O117/N117)-1</f>
        <v>0.2515994643654218</v>
      </c>
      <c r="P118" s="1402">
        <f t="shared" ref="P118" si="485">(P117/O117)-1</f>
        <v>0</v>
      </c>
      <c r="Q118" s="1402">
        <f t="shared" ref="Q118" si="486">(Q117/P117)-1</f>
        <v>0</v>
      </c>
      <c r="R118" s="1402">
        <f t="shared" ref="R118" si="487">(R117/Q117)-1</f>
        <v>0</v>
      </c>
      <c r="S118" s="1402">
        <f t="shared" ref="S118" si="488">(S117/R117)-1</f>
        <v>0</v>
      </c>
      <c r="T118" s="1402">
        <f t="shared" ref="T118" si="489">(T117/S117)-1</f>
        <v>0</v>
      </c>
      <c r="U118" s="1402">
        <f t="shared" ref="U118" si="490">(U117/T117)-1</f>
        <v>0</v>
      </c>
      <c r="V118" s="1402">
        <f t="shared" ref="V118" si="491">(V117/U117)-1</f>
        <v>0</v>
      </c>
      <c r="W118" s="1402">
        <f t="shared" ref="W118" si="492">(W117/V117)-1</f>
        <v>0</v>
      </c>
      <c r="X118" s="1402">
        <f t="shared" ref="X118" si="493">(X117/W117)-1</f>
        <v>0</v>
      </c>
      <c r="Y118" s="1402">
        <f t="shared" ref="Y118" si="494">(Y117/X117)-1</f>
        <v>0</v>
      </c>
      <c r="Z118" s="1402">
        <f t="shared" ref="Z118" si="495">(Z117/Y117)-1</f>
        <v>0</v>
      </c>
      <c r="AA118" s="1402">
        <f t="shared" ref="AA118" si="496">(AA117/Z117)-1</f>
        <v>0</v>
      </c>
      <c r="AB118" s="1402">
        <f t="shared" ref="AB118" si="497">(AB117/AA117)-1</f>
        <v>0</v>
      </c>
      <c r="AC118" s="1402">
        <f t="shared" ref="AC118" si="498">(AC117/AB117)-1</f>
        <v>0</v>
      </c>
      <c r="AD118" s="1402">
        <f t="shared" ref="AD118" si="499">(AD117/AC117)-1</f>
        <v>0</v>
      </c>
      <c r="AE118" s="789"/>
      <c r="AF118" s="790"/>
      <c r="BJ118" s="160" t="s">
        <v>1649</v>
      </c>
      <c r="BK118" s="1402"/>
      <c r="BL118" s="1402"/>
      <c r="BM118" s="1402"/>
      <c r="BN118" s="1402"/>
      <c r="BO118" s="1402"/>
      <c r="BP118" s="1402"/>
      <c r="BQ118" s="1402"/>
      <c r="BR118" s="1410"/>
      <c r="BS118" s="1402"/>
      <c r="BT118" s="1410"/>
      <c r="BU118" s="1410"/>
      <c r="BV118" s="1410"/>
      <c r="BW118" s="1410"/>
      <c r="BX118" s="1410"/>
      <c r="BY118" s="1410"/>
      <c r="BZ118" s="1410"/>
      <c r="CA118" s="1402"/>
      <c r="CB118" s="1402"/>
      <c r="CC118" s="1402"/>
      <c r="CD118" s="1402"/>
      <c r="CE118" s="1402"/>
      <c r="CF118" s="1402"/>
      <c r="CG118" s="1402"/>
      <c r="CH118" s="1402"/>
      <c r="CI118" s="1402"/>
      <c r="CJ118" s="1402"/>
      <c r="CK118" s="1453"/>
    </row>
    <row r="119" spans="4:89" s="1403" customFormat="1" thickBot="1">
      <c r="D119" s="1401" t="s">
        <v>1152</v>
      </c>
      <c r="E119" s="1402"/>
      <c r="F119" s="1402"/>
      <c r="G119" s="1418"/>
      <c r="H119" s="1402"/>
      <c r="I119" s="1402"/>
      <c r="J119" s="1402"/>
      <c r="K119" s="1402"/>
      <c r="L119" s="1402">
        <f>L117/L120</f>
        <v>0.16669841269841271</v>
      </c>
      <c r="M119" s="1402">
        <f>M117/M120</f>
        <v>0.26049062049062049</v>
      </c>
      <c r="N119" s="1402">
        <f t="shared" ref="N119:O119" si="500">N117/N120</f>
        <v>0.35266030013642563</v>
      </c>
      <c r="O119" s="1402">
        <f t="shared" si="500"/>
        <v>0.40126887208719919</v>
      </c>
      <c r="P119" s="1402">
        <f>1-P116-P113</f>
        <v>0.40126887208719914</v>
      </c>
      <c r="Q119" s="1402">
        <f t="shared" ref="Q119:AD119" si="501">1-Q116-Q113</f>
        <v>0.40126887208719914</v>
      </c>
      <c r="R119" s="1402">
        <f t="shared" si="501"/>
        <v>0.40126887208719914</v>
      </c>
      <c r="S119" s="1402">
        <f t="shared" si="501"/>
        <v>0.40126887208719914</v>
      </c>
      <c r="T119" s="1402">
        <f t="shared" si="501"/>
        <v>0.40126887208719914</v>
      </c>
      <c r="U119" s="1402">
        <f t="shared" si="501"/>
        <v>0.40126887208719914</v>
      </c>
      <c r="V119" s="1402">
        <f t="shared" si="501"/>
        <v>0.40126887208719914</v>
      </c>
      <c r="W119" s="1402">
        <f t="shared" si="501"/>
        <v>0.40126887208719914</v>
      </c>
      <c r="X119" s="1402">
        <f t="shared" si="501"/>
        <v>0.40126887208719914</v>
      </c>
      <c r="Y119" s="1402">
        <f t="shared" si="501"/>
        <v>0.40126887208719914</v>
      </c>
      <c r="Z119" s="1402">
        <f t="shared" si="501"/>
        <v>0.40126887208719914</v>
      </c>
      <c r="AA119" s="1402">
        <f t="shared" si="501"/>
        <v>0.40126887208719914</v>
      </c>
      <c r="AB119" s="1402">
        <f t="shared" si="501"/>
        <v>0.40126887208719914</v>
      </c>
      <c r="AC119" s="1402">
        <f t="shared" si="501"/>
        <v>0.40126887208719914</v>
      </c>
      <c r="AD119" s="1402">
        <f t="shared" si="501"/>
        <v>0.40126887208719914</v>
      </c>
      <c r="AE119" s="789"/>
      <c r="AF119" s="790"/>
    </row>
    <row r="120" spans="4:89" s="20" customFormat="1" ht="16" thickBot="1">
      <c r="D120" s="172" t="s">
        <v>103</v>
      </c>
      <c r="E120" s="174"/>
      <c r="F120" s="174"/>
      <c r="G120" s="691"/>
      <c r="H120" s="843">
        <v>17000</v>
      </c>
      <c r="I120" s="843">
        <v>31500</v>
      </c>
      <c r="J120" s="843">
        <v>31500</v>
      </c>
      <c r="K120" s="843">
        <v>31500</v>
      </c>
      <c r="L120" s="843">
        <f>SUM(L117,L114,L111)</f>
        <v>31500</v>
      </c>
      <c r="M120" s="843">
        <f t="shared" ref="M120:N120" si="502">SUM(M117,M114,M111)</f>
        <v>34650</v>
      </c>
      <c r="N120" s="843">
        <f t="shared" si="502"/>
        <v>38116</v>
      </c>
      <c r="O120" s="843">
        <v>41927</v>
      </c>
      <c r="P120" s="843">
        <f>O120*(1+P121)</f>
        <v>41927</v>
      </c>
      <c r="Q120" s="843">
        <f t="shared" ref="Q120:AC120" si="503">P120*(1+Q121)</f>
        <v>41927</v>
      </c>
      <c r="R120" s="843">
        <f t="shared" si="503"/>
        <v>41927</v>
      </c>
      <c r="S120" s="843">
        <f t="shared" si="503"/>
        <v>41927</v>
      </c>
      <c r="T120" s="843">
        <f t="shared" si="503"/>
        <v>41927</v>
      </c>
      <c r="U120" s="843">
        <f t="shared" si="503"/>
        <v>41927</v>
      </c>
      <c r="V120" s="843">
        <f t="shared" si="503"/>
        <v>41927</v>
      </c>
      <c r="W120" s="843">
        <f t="shared" si="503"/>
        <v>41927</v>
      </c>
      <c r="X120" s="843">
        <f t="shared" si="503"/>
        <v>41927</v>
      </c>
      <c r="Y120" s="843">
        <f t="shared" si="503"/>
        <v>41927</v>
      </c>
      <c r="Z120" s="843">
        <f t="shared" si="503"/>
        <v>41927</v>
      </c>
      <c r="AA120" s="843">
        <f t="shared" si="503"/>
        <v>41927</v>
      </c>
      <c r="AB120" s="843">
        <f t="shared" si="503"/>
        <v>41927</v>
      </c>
      <c r="AC120" s="843">
        <f t="shared" si="503"/>
        <v>41927</v>
      </c>
      <c r="AD120" s="843">
        <f>AC120*(1+AD121)</f>
        <v>41927</v>
      </c>
      <c r="AE120" s="1398">
        <f>(O120/L120)^(1/3)-1</f>
        <v>0.10000437271426299</v>
      </c>
      <c r="AF120" s="1399">
        <f>(T120/P120)^(1/4)-1</f>
        <v>0</v>
      </c>
    </row>
    <row r="121" spans="4:89" s="1403" customFormat="1" thickBot="1">
      <c r="D121" s="1401" t="s">
        <v>832</v>
      </c>
      <c r="E121" s="1402"/>
      <c r="F121" s="1402"/>
      <c r="G121" s="1420"/>
      <c r="H121" s="1411"/>
      <c r="I121" s="1411"/>
      <c r="J121" s="1411"/>
      <c r="K121" s="1411"/>
      <c r="L121" s="1411">
        <f>(L120/K120)-1</f>
        <v>0</v>
      </c>
      <c r="M121" s="1411">
        <f t="shared" ref="M121" si="504">(M120/L120)-1</f>
        <v>0.10000000000000009</v>
      </c>
      <c r="N121" s="1411">
        <f t="shared" ref="N121" si="505">(N120/M120)-1</f>
        <v>0.10002886002886013</v>
      </c>
      <c r="O121" s="1411">
        <f>(O120/N120)-1</f>
        <v>9.9984258579074448E-2</v>
      </c>
      <c r="P121" s="1411">
        <v>0</v>
      </c>
      <c r="Q121" s="1402">
        <f>P121</f>
        <v>0</v>
      </c>
      <c r="R121" s="1402">
        <f>Q121</f>
        <v>0</v>
      </c>
      <c r="S121" s="1402">
        <f>R121</f>
        <v>0</v>
      </c>
      <c r="T121" s="1402">
        <f t="shared" ref="T121:AD121" si="506">S121</f>
        <v>0</v>
      </c>
      <c r="U121" s="1402">
        <f t="shared" si="506"/>
        <v>0</v>
      </c>
      <c r="V121" s="1402">
        <f t="shared" si="506"/>
        <v>0</v>
      </c>
      <c r="W121" s="1402">
        <f t="shared" si="506"/>
        <v>0</v>
      </c>
      <c r="X121" s="1402">
        <f t="shared" si="506"/>
        <v>0</v>
      </c>
      <c r="Y121" s="1402">
        <f t="shared" si="506"/>
        <v>0</v>
      </c>
      <c r="Z121" s="1402">
        <f t="shared" si="506"/>
        <v>0</v>
      </c>
      <c r="AA121" s="1402">
        <f t="shared" si="506"/>
        <v>0</v>
      </c>
      <c r="AB121" s="1402">
        <f t="shared" si="506"/>
        <v>0</v>
      </c>
      <c r="AC121" s="1402">
        <f t="shared" si="506"/>
        <v>0</v>
      </c>
      <c r="AD121" s="1402">
        <f t="shared" si="506"/>
        <v>0</v>
      </c>
      <c r="AE121" s="789"/>
      <c r="AF121" s="790"/>
    </row>
    <row r="122" spans="4:89" s="420" customFormat="1" ht="16" thickBot="1">
      <c r="D122" s="685" t="s">
        <v>1155</v>
      </c>
      <c r="E122" s="380"/>
      <c r="F122" s="380"/>
      <c r="G122" s="1107"/>
      <c r="H122" s="1107"/>
      <c r="I122" s="1107"/>
      <c r="J122" s="1107"/>
      <c r="K122" s="1107"/>
      <c r="L122" s="1159">
        <f>SUM(L111,L114)</f>
        <v>26249</v>
      </c>
      <c r="M122" s="1159">
        <f>SUM(M111,M114)</f>
        <v>25624</v>
      </c>
      <c r="N122" s="1159">
        <f t="shared" ref="N122:AD122" si="507">SUM(N111,N114)</f>
        <v>24674</v>
      </c>
      <c r="O122" s="1159">
        <f t="shared" si="507"/>
        <v>25103</v>
      </c>
      <c r="P122" s="1159">
        <f t="shared" si="507"/>
        <v>25103</v>
      </c>
      <c r="Q122" s="1024">
        <f t="shared" si="507"/>
        <v>25103</v>
      </c>
      <c r="R122" s="1024">
        <f t="shared" si="507"/>
        <v>25103</v>
      </c>
      <c r="S122" s="1024">
        <f t="shared" si="507"/>
        <v>25103</v>
      </c>
      <c r="T122" s="1024">
        <f t="shared" si="507"/>
        <v>25103</v>
      </c>
      <c r="U122" s="1024">
        <f t="shared" si="507"/>
        <v>25103</v>
      </c>
      <c r="V122" s="1024">
        <f t="shared" si="507"/>
        <v>25103</v>
      </c>
      <c r="W122" s="1024">
        <f t="shared" si="507"/>
        <v>25103</v>
      </c>
      <c r="X122" s="1024">
        <f t="shared" si="507"/>
        <v>25103</v>
      </c>
      <c r="Y122" s="1024">
        <f t="shared" si="507"/>
        <v>25103</v>
      </c>
      <c r="Z122" s="1024">
        <f t="shared" si="507"/>
        <v>25103</v>
      </c>
      <c r="AA122" s="1024">
        <f t="shared" si="507"/>
        <v>25103</v>
      </c>
      <c r="AB122" s="1024">
        <f t="shared" si="507"/>
        <v>25103</v>
      </c>
      <c r="AC122" s="1024">
        <f t="shared" si="507"/>
        <v>25103</v>
      </c>
      <c r="AD122" s="1024">
        <f t="shared" si="507"/>
        <v>25103</v>
      </c>
      <c r="AE122" s="1398">
        <f>(O122/L122)^(1/3)-1</f>
        <v>-1.4770014639738149E-2</v>
      </c>
      <c r="AF122" s="1399">
        <f>(T122/P122)^(1/4)-1</f>
        <v>0</v>
      </c>
    </row>
    <row r="123" spans="4:89" s="1403" customFormat="1" ht="14">
      <c r="D123" s="1401" t="s">
        <v>832</v>
      </c>
      <c r="E123" s="1402"/>
      <c r="F123" s="1402"/>
      <c r="G123" s="1418"/>
      <c r="H123" s="1402"/>
      <c r="I123" s="1402"/>
      <c r="J123" s="1402"/>
      <c r="K123" s="1402"/>
      <c r="L123" s="1402" t="e">
        <f>(L122/K122)-1</f>
        <v>#DIV/0!</v>
      </c>
      <c r="M123" s="1402">
        <f t="shared" ref="M123" si="508">(M122/L122)-1</f>
        <v>-2.3810430873557054E-2</v>
      </c>
      <c r="N123" s="1402">
        <f t="shared" ref="N123" si="509">(N122/M122)-1</f>
        <v>-3.707461754605057E-2</v>
      </c>
      <c r="O123" s="1402">
        <f t="shared" ref="O123" si="510">(O122/N122)-1</f>
        <v>1.738672286617482E-2</v>
      </c>
      <c r="P123" s="1402">
        <v>0</v>
      </c>
      <c r="Q123" s="1402">
        <f>P123</f>
        <v>0</v>
      </c>
      <c r="R123" s="1402">
        <f>Q123</f>
        <v>0</v>
      </c>
      <c r="S123" s="1402">
        <f>R123</f>
        <v>0</v>
      </c>
      <c r="T123" s="1402">
        <f t="shared" ref="T123" si="511">S123</f>
        <v>0</v>
      </c>
      <c r="U123" s="1402">
        <f t="shared" ref="U123" si="512">T123</f>
        <v>0</v>
      </c>
      <c r="V123" s="1402">
        <f t="shared" ref="V123" si="513">U123</f>
        <v>0</v>
      </c>
      <c r="W123" s="1402">
        <f t="shared" ref="W123" si="514">V123</f>
        <v>0</v>
      </c>
      <c r="X123" s="1402">
        <f t="shared" ref="X123" si="515">W123</f>
        <v>0</v>
      </c>
      <c r="Y123" s="1402">
        <f t="shared" ref="Y123" si="516">X123</f>
        <v>0</v>
      </c>
      <c r="Z123" s="1402">
        <f t="shared" ref="Z123" si="517">Y123</f>
        <v>0</v>
      </c>
      <c r="AA123" s="1402">
        <f t="shared" ref="AA123" si="518">Z123</f>
        <v>0</v>
      </c>
      <c r="AB123" s="1402">
        <f t="shared" ref="AB123" si="519">AA123</f>
        <v>0</v>
      </c>
      <c r="AC123" s="1402">
        <f t="shared" ref="AC123" si="520">AB123</f>
        <v>0</v>
      </c>
      <c r="AD123" s="1402">
        <f t="shared" ref="AD123" si="521">AC123</f>
        <v>0</v>
      </c>
      <c r="AE123" s="789"/>
      <c r="AF123" s="790"/>
    </row>
    <row r="124" spans="4:89" s="1403" customFormat="1" thickBot="1">
      <c r="D124" s="1009" t="s">
        <v>1152</v>
      </c>
      <c r="E124" s="1411"/>
      <c r="F124" s="1411"/>
      <c r="G124" s="1402"/>
      <c r="H124" s="1402"/>
      <c r="I124" s="1402"/>
      <c r="J124" s="1402"/>
      <c r="K124" s="1402"/>
      <c r="L124" s="1402">
        <f t="shared" ref="L124:AD124" si="522">L122/L120</f>
        <v>0.83330158730158732</v>
      </c>
      <c r="M124" s="1402">
        <f t="shared" si="522"/>
        <v>0.73950937950937956</v>
      </c>
      <c r="N124" s="1402">
        <f t="shared" si="522"/>
        <v>0.64733969986357431</v>
      </c>
      <c r="O124" s="1402">
        <f t="shared" si="522"/>
        <v>0.59873112791280081</v>
      </c>
      <c r="P124" s="1402">
        <f t="shared" si="522"/>
        <v>0.59873112791280081</v>
      </c>
      <c r="Q124" s="1411">
        <f t="shared" si="522"/>
        <v>0.59873112791280081</v>
      </c>
      <c r="R124" s="1411">
        <f t="shared" si="522"/>
        <v>0.59873112791280081</v>
      </c>
      <c r="S124" s="1411">
        <f t="shared" si="522"/>
        <v>0.59873112791280081</v>
      </c>
      <c r="T124" s="1411">
        <f t="shared" si="522"/>
        <v>0.59873112791280081</v>
      </c>
      <c r="U124" s="1411">
        <f t="shared" si="522"/>
        <v>0.59873112791280081</v>
      </c>
      <c r="V124" s="1411">
        <f t="shared" si="522"/>
        <v>0.59873112791280081</v>
      </c>
      <c r="W124" s="1411">
        <f t="shared" si="522"/>
        <v>0.59873112791280081</v>
      </c>
      <c r="X124" s="1411">
        <f t="shared" si="522"/>
        <v>0.59873112791280081</v>
      </c>
      <c r="Y124" s="1411">
        <f t="shared" si="522"/>
        <v>0.59873112791280081</v>
      </c>
      <c r="Z124" s="1411">
        <f t="shared" si="522"/>
        <v>0.59873112791280081</v>
      </c>
      <c r="AA124" s="1411">
        <f t="shared" si="522"/>
        <v>0.59873112791280081</v>
      </c>
      <c r="AB124" s="1411">
        <f t="shared" si="522"/>
        <v>0.59873112791280081</v>
      </c>
      <c r="AC124" s="1411">
        <f t="shared" si="522"/>
        <v>0.59873112791280081</v>
      </c>
      <c r="AD124" s="1411">
        <f t="shared" si="522"/>
        <v>0.59873112791280081</v>
      </c>
      <c r="AE124" s="791"/>
      <c r="AF124" s="792"/>
    </row>
    <row r="125" spans="4:89" ht="16" thickBot="1">
      <c r="D125" s="181"/>
      <c r="E125" s="137"/>
      <c r="F125" s="137"/>
      <c r="G125" s="1140" t="s">
        <v>1617</v>
      </c>
      <c r="H125" s="1141"/>
      <c r="I125" s="1141"/>
      <c r="J125" s="1141"/>
      <c r="K125" s="1141"/>
      <c r="L125" s="416"/>
      <c r="M125" s="416"/>
      <c r="N125" s="416"/>
      <c r="O125" s="416"/>
      <c r="P125" s="416"/>
      <c r="Q125" s="39"/>
      <c r="R125" s="39"/>
      <c r="S125" s="39"/>
      <c r="T125" s="39"/>
      <c r="U125" s="39"/>
      <c r="V125" s="39"/>
      <c r="W125" s="39"/>
      <c r="X125" s="39"/>
      <c r="Y125" s="39"/>
      <c r="Z125" s="39"/>
      <c r="AA125" s="39"/>
      <c r="AB125" s="39"/>
      <c r="AC125" s="39"/>
      <c r="AD125" s="39"/>
      <c r="AF125" s="123"/>
    </row>
    <row r="126" spans="4:89" ht="16" thickBot="1">
      <c r="D126" s="694" t="s">
        <v>1488</v>
      </c>
      <c r="E126" s="695" t="s">
        <v>216</v>
      </c>
      <c r="F126" s="695" t="s">
        <v>217</v>
      </c>
      <c r="G126" s="1136" t="s">
        <v>218</v>
      </c>
      <c r="H126" s="1137" t="s">
        <v>28</v>
      </c>
      <c r="I126" s="1137" t="s">
        <v>17</v>
      </c>
      <c r="J126" s="1137" t="s">
        <v>18</v>
      </c>
      <c r="K126" s="1137" t="s">
        <v>19</v>
      </c>
      <c r="L126" s="1137" t="s">
        <v>20</v>
      </c>
      <c r="M126" s="1137" t="s">
        <v>21</v>
      </c>
      <c r="N126" s="1137" t="s">
        <v>22</v>
      </c>
      <c r="O126" s="1137" t="s">
        <v>23</v>
      </c>
      <c r="P126" s="1156" t="s">
        <v>24</v>
      </c>
      <c r="Q126" s="404" t="s">
        <v>25</v>
      </c>
      <c r="R126" s="404" t="s">
        <v>26</v>
      </c>
      <c r="S126" s="404" t="s">
        <v>27</v>
      </c>
      <c r="T126" s="404" t="s">
        <v>712</v>
      </c>
      <c r="U126" s="404" t="s">
        <v>713</v>
      </c>
      <c r="V126" s="404" t="s">
        <v>714</v>
      </c>
      <c r="W126" s="404" t="s">
        <v>715</v>
      </c>
      <c r="X126" s="404" t="s">
        <v>716</v>
      </c>
      <c r="Y126" s="404" t="s">
        <v>717</v>
      </c>
      <c r="Z126" s="404" t="s">
        <v>718</v>
      </c>
      <c r="AA126" s="404" t="s">
        <v>719</v>
      </c>
      <c r="AB126" s="404" t="s">
        <v>720</v>
      </c>
      <c r="AC126" s="404" t="s">
        <v>721</v>
      </c>
      <c r="AD126" s="404" t="s">
        <v>722</v>
      </c>
      <c r="AE126" s="1379" t="s">
        <v>1445</v>
      </c>
      <c r="AF126" s="1380" t="s">
        <v>1446</v>
      </c>
    </row>
    <row r="127" spans="4:89" s="160" customFormat="1">
      <c r="D127" s="1228" t="s">
        <v>1638</v>
      </c>
      <c r="E127" s="190"/>
      <c r="F127" s="190"/>
      <c r="G127" s="874"/>
      <c r="H127" s="190"/>
      <c r="I127" s="190">
        <v>64638</v>
      </c>
      <c r="J127" s="190">
        <v>48359</v>
      </c>
      <c r="K127" s="190">
        <v>58370</v>
      </c>
      <c r="L127" s="1390">
        <v>45856</v>
      </c>
      <c r="M127" s="1390">
        <v>53015</v>
      </c>
      <c r="N127" s="1390">
        <v>73316</v>
      </c>
      <c r="O127" s="1390">
        <v>79731</v>
      </c>
      <c r="P127" s="1390">
        <f t="shared" ref="P127:AD127" si="523">P129*P136</f>
        <v>76993.31</v>
      </c>
      <c r="Q127" s="1390">
        <f t="shared" si="523"/>
        <v>74192.893099999987</v>
      </c>
      <c r="R127" s="1390">
        <f t="shared" si="523"/>
        <v>71328.76853099998</v>
      </c>
      <c r="S127" s="1390">
        <f t="shared" si="523"/>
        <v>68399.942181309976</v>
      </c>
      <c r="T127" s="1390">
        <f t="shared" si="523"/>
        <v>65405.406427773072</v>
      </c>
      <c r="U127" s="1390">
        <f t="shared" si="523"/>
        <v>62344.139964947302</v>
      </c>
      <c r="V127" s="1390">
        <f t="shared" si="523"/>
        <v>59215.107632222236</v>
      </c>
      <c r="W127" s="1390">
        <f t="shared" si="523"/>
        <v>56017.260238846182</v>
      </c>
      <c r="X127" s="1390">
        <f t="shared" si="523"/>
        <v>52749.534386839376</v>
      </c>
      <c r="Y127" s="1390">
        <f t="shared" si="523"/>
        <v>49410.852291768548</v>
      </c>
      <c r="Z127" s="1390">
        <f t="shared" si="523"/>
        <v>46000.121601357634</v>
      </c>
      <c r="AA127" s="1390">
        <f t="shared" si="523"/>
        <v>42516.235211909312</v>
      </c>
      <c r="AB127" s="1390">
        <f t="shared" si="523"/>
        <v>38958.071082511895</v>
      </c>
      <c r="AC127" s="1390">
        <f t="shared" si="523"/>
        <v>35324.49204700534</v>
      </c>
      <c r="AD127" s="1390">
        <f t="shared" si="523"/>
        <v>31614.345623680401</v>
      </c>
      <c r="AE127" s="1398">
        <f>(O127/L127)^(1/3)-1</f>
        <v>0.20247765299856058</v>
      </c>
      <c r="AF127" s="1399">
        <f>(T127/P127)^(1/4)-1</f>
        <v>-3.9958151426323418E-2</v>
      </c>
      <c r="AJ127" s="50" t="s">
        <v>1649</v>
      </c>
      <c r="AS127" s="50" t="s">
        <v>1649</v>
      </c>
      <c r="AZ127" s="50" t="s">
        <v>1649</v>
      </c>
    </row>
    <row r="128" spans="4:89" s="1403" customFormat="1" ht="14">
      <c r="D128" s="1401" t="s">
        <v>832</v>
      </c>
      <c r="E128" s="1402"/>
      <c r="F128" s="1402"/>
      <c r="G128" s="1418"/>
      <c r="H128" s="1402"/>
      <c r="I128" s="1402"/>
      <c r="J128" s="1402">
        <f t="shared" ref="J128:K128" si="524">(J127/I127)-1</f>
        <v>-0.25184875769671089</v>
      </c>
      <c r="K128" s="1402">
        <f t="shared" si="524"/>
        <v>0.20701420624909539</v>
      </c>
      <c r="L128" s="1402">
        <f>(L127/K127)-1</f>
        <v>-0.21439095425732402</v>
      </c>
      <c r="M128" s="1402">
        <f t="shared" ref="M128" si="525">(M127/L127)-1</f>
        <v>0.15611915561758538</v>
      </c>
      <c r="N128" s="1402">
        <f t="shared" ref="N128" si="526">(N127/M127)-1</f>
        <v>0.38292935961520325</v>
      </c>
      <c r="O128" s="1402">
        <f t="shared" ref="O128" si="527">(O127/N127)-1</f>
        <v>8.7497954061869221E-2</v>
      </c>
      <c r="P128" s="1402">
        <f t="shared" ref="P128" si="528">(P127/O127)-1</f>
        <v>-3.433658175615506E-2</v>
      </c>
      <c r="Q128" s="1402">
        <f t="shared" ref="Q128" si="529">(Q127/P127)-1</f>
        <v>-3.6372210780391323E-2</v>
      </c>
      <c r="R128" s="1402">
        <f t="shared" ref="R128" si="530">(R127/Q127)-1</f>
        <v>-3.8603759057348364E-2</v>
      </c>
      <c r="S128" s="1402">
        <f t="shared" ref="S128" si="531">(S127/R127)-1</f>
        <v>-4.1060940907974852E-2</v>
      </c>
      <c r="T128" s="1402">
        <f t="shared" ref="T128" si="532">(T127/S127)-1</f>
        <v>-4.3779799485783033E-2</v>
      </c>
      <c r="U128" s="1402">
        <f t="shared" ref="U128" si="533">(U127/T127)-1</f>
        <v>-4.6804486509938847E-2</v>
      </c>
      <c r="V128" s="1402">
        <f t="shared" ref="V128" si="534">(V127/U127)-1</f>
        <v>-5.0189678364066737E-2</v>
      </c>
      <c r="W128" s="1402">
        <f t="shared" ref="W128" si="535">(W127/V127)-1</f>
        <v>-5.4003910847169156E-2</v>
      </c>
      <c r="X128" s="1402">
        <f t="shared" ref="X128" si="536">(X127/W127)-1</f>
        <v>-5.8334267653824767E-2</v>
      </c>
      <c r="Y128" s="1402">
        <f t="shared" ref="Y128" si="537">(Y127/X127)-1</f>
        <v>-6.3293110240302042E-2</v>
      </c>
      <c r="Z128" s="1402">
        <f t="shared" ref="Z128" si="538">(Z127/Y127)-1</f>
        <v>-6.9027967181596539E-2</v>
      </c>
      <c r="AA128" s="1402">
        <f t="shared" ref="AA128" si="539">(AA127/Z127)-1</f>
        <v>-7.5736460430258945E-2</v>
      </c>
      <c r="AB128" s="1402">
        <f t="shared" ref="AB128" si="540">(AB127/AA127)-1</f>
        <v>-8.3689539105775146E-2</v>
      </c>
      <c r="AC128" s="1402">
        <f t="shared" ref="AC128" si="541">(AC127/AB127)-1</f>
        <v>-9.3268966726066993E-2</v>
      </c>
      <c r="AD128" s="1402">
        <f t="shared" ref="AD128" si="542">(AD127/AC127)-1</f>
        <v>-0.10503042530343953</v>
      </c>
      <c r="AE128" s="789"/>
      <c r="AF128" s="790"/>
    </row>
    <row r="129" spans="4:100" s="1403" customFormat="1" ht="14">
      <c r="D129" s="1401" t="s">
        <v>1152</v>
      </c>
      <c r="E129" s="1402"/>
      <c r="F129" s="1402"/>
      <c r="G129" s="1418"/>
      <c r="H129" s="1402"/>
      <c r="I129" s="1402" t="e">
        <f t="shared" ref="I129:O129" si="543">I127/I136</f>
        <v>#REF!</v>
      </c>
      <c r="J129" s="1402" t="e">
        <f t="shared" si="543"/>
        <v>#REF!</v>
      </c>
      <c r="K129" s="1402" t="e">
        <f t="shared" si="543"/>
        <v>#REF!</v>
      </c>
      <c r="L129" s="1402">
        <f t="shared" si="543"/>
        <v>0.14330000000000001</v>
      </c>
      <c r="M129" s="1402">
        <f t="shared" si="543"/>
        <v>0.15147142857142856</v>
      </c>
      <c r="N129" s="1402">
        <f t="shared" si="543"/>
        <v>0.20947428571428572</v>
      </c>
      <c r="O129" s="1402">
        <f t="shared" si="543"/>
        <v>0.22780285714285714</v>
      </c>
      <c r="P129" s="1402">
        <f>O129-1%</f>
        <v>0.21780285714285713</v>
      </c>
      <c r="Q129" s="1402">
        <f t="shared" ref="Q129:AD129" si="544">P129-1%</f>
        <v>0.20780285714285712</v>
      </c>
      <c r="R129" s="1402">
        <f t="shared" si="544"/>
        <v>0.19780285714285711</v>
      </c>
      <c r="S129" s="1402">
        <f t="shared" si="544"/>
        <v>0.1878028571428571</v>
      </c>
      <c r="T129" s="1402">
        <f t="shared" si="544"/>
        <v>0.1778028571428571</v>
      </c>
      <c r="U129" s="1402">
        <f t="shared" si="544"/>
        <v>0.16780285714285709</v>
      </c>
      <c r="V129" s="1402">
        <f t="shared" si="544"/>
        <v>0.15780285714285708</v>
      </c>
      <c r="W129" s="1402">
        <f t="shared" si="544"/>
        <v>0.14780285714285707</v>
      </c>
      <c r="X129" s="1402">
        <f t="shared" si="544"/>
        <v>0.13780285714285706</v>
      </c>
      <c r="Y129" s="1402">
        <f t="shared" si="544"/>
        <v>0.12780285714285705</v>
      </c>
      <c r="Z129" s="1402">
        <f t="shared" si="544"/>
        <v>0.11780285714285706</v>
      </c>
      <c r="AA129" s="1402">
        <f t="shared" si="544"/>
        <v>0.10780285714285706</v>
      </c>
      <c r="AB129" s="1402">
        <f t="shared" si="544"/>
        <v>9.7802857142857066E-2</v>
      </c>
      <c r="AC129" s="1402">
        <f t="shared" si="544"/>
        <v>8.7802857142857071E-2</v>
      </c>
      <c r="AD129" s="1402">
        <f t="shared" si="544"/>
        <v>7.7802857142857076E-2</v>
      </c>
      <c r="AE129" s="789"/>
      <c r="AF129" s="790"/>
    </row>
    <row r="130" spans="4:100" s="160" customFormat="1" ht="20">
      <c r="D130" s="1228" t="s">
        <v>1153</v>
      </c>
      <c r="E130" s="190"/>
      <c r="F130" s="190"/>
      <c r="G130" s="874"/>
      <c r="H130" s="190"/>
      <c r="I130" s="190">
        <v>11486</v>
      </c>
      <c r="J130" s="190">
        <v>48359</v>
      </c>
      <c r="K130" s="190">
        <v>58370</v>
      </c>
      <c r="L130" s="1390">
        <v>45764</v>
      </c>
      <c r="M130" s="1390">
        <v>17860</v>
      </c>
      <c r="N130" s="1455"/>
      <c r="O130" s="1455"/>
      <c r="P130" s="1455"/>
      <c r="Q130" s="1455"/>
      <c r="R130" s="1455"/>
      <c r="S130" s="1455"/>
      <c r="T130" s="1455"/>
      <c r="U130" s="190"/>
      <c r="V130" s="190"/>
      <c r="W130" s="190"/>
      <c r="X130" s="190"/>
      <c r="Y130" s="190"/>
      <c r="Z130" s="190"/>
      <c r="AA130" s="190"/>
      <c r="AB130" s="190"/>
      <c r="AC130" s="190"/>
      <c r="AD130" s="190"/>
      <c r="AE130" s="1398"/>
      <c r="AF130" s="1399"/>
      <c r="AJ130" s="1210" t="s">
        <v>1795</v>
      </c>
      <c r="AW130" s="1210" t="s">
        <v>1796</v>
      </c>
      <c r="BG130" s="1210" t="s">
        <v>1797</v>
      </c>
      <c r="BT130" s="1210" t="s">
        <v>1798</v>
      </c>
    </row>
    <row r="131" spans="4:100" s="1403" customFormat="1" thickBot="1">
      <c r="D131" s="1401" t="s">
        <v>832</v>
      </c>
      <c r="E131" s="1402"/>
      <c r="F131" s="1402"/>
      <c r="G131" s="1420"/>
      <c r="H131" s="1411"/>
      <c r="I131" s="1411" t="e">
        <f t="shared" ref="I131:K131" si="545">(I130/H130)-1</f>
        <v>#DIV/0!</v>
      </c>
      <c r="J131" s="1411">
        <f t="shared" si="545"/>
        <v>3.2102559637819956</v>
      </c>
      <c r="K131" s="1411">
        <f t="shared" si="545"/>
        <v>0.20701420624909539</v>
      </c>
      <c r="L131" s="1402">
        <f>(L130/K130)-1</f>
        <v>-0.21596710639026895</v>
      </c>
      <c r="M131" s="1402">
        <f t="shared" ref="M131" si="546">(M130/L130)-1</f>
        <v>-0.60973691110916883</v>
      </c>
      <c r="N131" s="1402"/>
      <c r="O131" s="1402"/>
      <c r="P131" s="1402"/>
      <c r="Q131" s="1402"/>
      <c r="R131" s="1402"/>
      <c r="S131" s="1402"/>
      <c r="T131" s="1402"/>
      <c r="U131" s="1402"/>
      <c r="V131" s="1402"/>
      <c r="W131" s="1402"/>
      <c r="X131" s="1402"/>
      <c r="Y131" s="1402"/>
      <c r="Z131" s="1402"/>
      <c r="AA131" s="1402"/>
      <c r="AB131" s="1402"/>
      <c r="AC131" s="1402"/>
      <c r="AD131" s="1402"/>
      <c r="AE131" s="789"/>
      <c r="AF131" s="790"/>
      <c r="AJ131" s="1336"/>
      <c r="AK131" s="1336"/>
      <c r="AL131" s="1336"/>
      <c r="AM131" s="1336"/>
      <c r="AN131" s="1406"/>
      <c r="AO131" s="1406"/>
      <c r="AP131" s="1406"/>
      <c r="AQ131" s="1406"/>
      <c r="AR131" s="1406"/>
      <c r="AS131" s="1406"/>
      <c r="AT131" s="1406"/>
      <c r="AU131" s="1406"/>
      <c r="AV131" s="1407"/>
      <c r="AW131" s="1336"/>
      <c r="AX131" s="1336"/>
      <c r="AY131" s="1336"/>
      <c r="AZ131" s="1336"/>
      <c r="BA131" s="1336"/>
      <c r="BB131" s="1336"/>
      <c r="BC131" s="1336"/>
      <c r="BD131" s="1336"/>
      <c r="BE131" s="1336"/>
      <c r="BF131" s="1336"/>
      <c r="BG131" s="1336"/>
      <c r="BH131" s="1336"/>
      <c r="BI131" s="1336"/>
      <c r="BJ131" s="1336"/>
      <c r="BK131" s="1336"/>
      <c r="BL131" s="1336"/>
      <c r="BM131" s="1336"/>
      <c r="BN131" s="1336"/>
      <c r="BO131" s="1336"/>
      <c r="BP131" s="1336"/>
      <c r="BQ131" s="1336"/>
      <c r="BR131" s="1336"/>
      <c r="BS131" s="1408"/>
      <c r="BT131" s="1336"/>
      <c r="BU131" s="1336"/>
      <c r="BV131" s="1336"/>
      <c r="BW131" s="1336"/>
      <c r="BX131" s="1336"/>
      <c r="BY131" s="1336"/>
      <c r="BZ131" s="1336"/>
      <c r="CA131" s="1336"/>
      <c r="CB131" s="1336"/>
      <c r="CC131" s="1336"/>
      <c r="CD131" s="1336"/>
      <c r="CE131" s="1336"/>
      <c r="CF131" s="1408"/>
      <c r="CG131" s="1408"/>
      <c r="CH131" s="1408"/>
      <c r="CI131" s="1408"/>
      <c r="CJ131" s="1408"/>
      <c r="CK131" s="1408"/>
      <c r="CL131" s="1408"/>
      <c r="CM131" s="1408"/>
      <c r="CN131" s="1408"/>
      <c r="CO131" s="1408"/>
      <c r="CP131" s="1408"/>
      <c r="CQ131" s="1408"/>
      <c r="CR131" s="1408"/>
      <c r="CS131" s="1408"/>
      <c r="CT131" s="1408"/>
      <c r="CU131" s="1408"/>
      <c r="CV131" s="1408"/>
    </row>
    <row r="132" spans="4:100" s="1403" customFormat="1" ht="14">
      <c r="D132" s="1401" t="s">
        <v>1152</v>
      </c>
      <c r="E132" s="1402"/>
      <c r="F132" s="1402"/>
      <c r="G132" s="1402"/>
      <c r="H132" s="1402"/>
      <c r="I132" s="1402" t="e">
        <f>I130/I136</f>
        <v>#REF!</v>
      </c>
      <c r="J132" s="1402" t="e">
        <f>J130/J136</f>
        <v>#REF!</v>
      </c>
      <c r="K132" s="1402" t="e">
        <f>K130/K136</f>
        <v>#REF!</v>
      </c>
      <c r="L132" s="1402">
        <f>L130/L136</f>
        <v>0.14301249999999999</v>
      </c>
      <c r="M132" s="1402">
        <f>M130/M136</f>
        <v>5.102857142857143E-2</v>
      </c>
      <c r="N132" s="1402"/>
      <c r="O132" s="1402"/>
      <c r="P132" s="1402"/>
      <c r="Q132" s="1402"/>
      <c r="R132" s="1402"/>
      <c r="S132" s="1402"/>
      <c r="T132" s="1402"/>
      <c r="U132" s="1402"/>
      <c r="V132" s="1402"/>
      <c r="W132" s="1402"/>
      <c r="X132" s="1402"/>
      <c r="Y132" s="1402"/>
      <c r="Z132" s="1402"/>
      <c r="AA132" s="1402"/>
      <c r="AB132" s="1402"/>
      <c r="AC132" s="1402"/>
      <c r="AD132" s="1402"/>
      <c r="AE132" s="789"/>
      <c r="AF132" s="790"/>
      <c r="AJ132" s="169"/>
      <c r="AK132" s="169"/>
      <c r="AL132" s="169"/>
      <c r="AM132" s="169"/>
      <c r="AN132" s="807"/>
      <c r="AO132" s="807"/>
      <c r="AP132" s="807"/>
      <c r="AQ132" s="807"/>
      <c r="AR132" s="807"/>
      <c r="AS132" s="807"/>
      <c r="AT132" s="807"/>
      <c r="AU132" s="807"/>
      <c r="AV132" s="807"/>
      <c r="AW132" s="1336"/>
      <c r="AX132" s="1336"/>
      <c r="AY132" s="1336"/>
      <c r="AZ132" s="1336"/>
      <c r="BA132" s="1336"/>
      <c r="BB132" s="1336"/>
      <c r="BC132" s="1336"/>
      <c r="BD132" s="1336"/>
      <c r="BE132" s="1336"/>
      <c r="BF132" s="1336"/>
      <c r="BG132" s="169"/>
      <c r="BH132" s="169"/>
      <c r="BI132" s="169"/>
      <c r="BJ132" s="169"/>
      <c r="BK132" s="169"/>
      <c r="BL132" s="169"/>
      <c r="BM132" s="169"/>
      <c r="BN132" s="169"/>
      <c r="BO132" s="807"/>
      <c r="BP132" s="807"/>
      <c r="BQ132" s="807"/>
      <c r="BR132" s="807"/>
      <c r="BS132" s="807"/>
      <c r="BT132" s="169"/>
      <c r="BU132" s="169"/>
      <c r="BV132" s="169"/>
      <c r="BW132" s="169"/>
      <c r="BX132" s="169"/>
      <c r="BY132" s="169"/>
      <c r="BZ132" s="169"/>
      <c r="CA132" s="169"/>
      <c r="CB132" s="807"/>
      <c r="CC132" s="807"/>
      <c r="CD132" s="807"/>
      <c r="CE132" s="807"/>
      <c r="CF132" s="807"/>
      <c r="CG132" s="807"/>
      <c r="CH132" s="807"/>
      <c r="CI132" s="807"/>
      <c r="CJ132" s="807"/>
      <c r="CK132" s="807"/>
      <c r="CL132" s="807"/>
      <c r="CM132" s="807"/>
      <c r="CN132" s="807"/>
      <c r="CO132" s="807"/>
      <c r="CP132" s="807"/>
      <c r="CQ132" s="807"/>
      <c r="CR132" s="807"/>
      <c r="CS132" s="807"/>
      <c r="CT132" s="807"/>
      <c r="CU132" s="1213"/>
      <c r="CV132" s="1213"/>
    </row>
    <row r="133" spans="4:100" s="1158" customFormat="1">
      <c r="D133" s="1456" t="s">
        <v>1154</v>
      </c>
      <c r="E133" s="1457"/>
      <c r="F133" s="1457"/>
      <c r="G133" s="1457"/>
      <c r="H133" s="1457"/>
      <c r="I133" s="1457"/>
      <c r="J133" s="1457"/>
      <c r="K133" s="1457"/>
      <c r="L133" s="1458">
        <v>228380</v>
      </c>
      <c r="M133" s="1458">
        <v>279125</v>
      </c>
      <c r="N133" s="1458">
        <v>276684</v>
      </c>
      <c r="O133" s="1458">
        <v>270269</v>
      </c>
      <c r="P133" s="1458">
        <f>P136*P135</f>
        <v>276506.69</v>
      </c>
      <c r="Q133" s="1458">
        <f t="shared" ref="Q133:AD133" si="547">Q136*Q135</f>
        <v>282842.10690000001</v>
      </c>
      <c r="R133" s="1458">
        <f t="shared" si="547"/>
        <v>289276.58146899997</v>
      </c>
      <c r="S133" s="1458">
        <f t="shared" si="547"/>
        <v>295811.46131868998</v>
      </c>
      <c r="T133" s="1458">
        <f t="shared" si="547"/>
        <v>302448.11110722687</v>
      </c>
      <c r="U133" s="1458">
        <f t="shared" si="547"/>
        <v>309187.91274540266</v>
      </c>
      <c r="V133" s="1458">
        <f t="shared" si="547"/>
        <v>316032.26560523122</v>
      </c>
      <c r="W133" s="1458">
        <f t="shared" si="547"/>
        <v>322982.58673098183</v>
      </c>
      <c r="X133" s="1458">
        <f t="shared" si="547"/>
        <v>330040.31105268688</v>
      </c>
      <c r="Y133" s="1458">
        <f t="shared" si="547"/>
        <v>337206.89160215296</v>
      </c>
      <c r="Z133" s="1458">
        <f t="shared" si="547"/>
        <v>344483.79973150312</v>
      </c>
      <c r="AA133" s="1458">
        <f t="shared" si="547"/>
        <v>351872.52533428004</v>
      </c>
      <c r="AB133" s="1458">
        <f t="shared" si="547"/>
        <v>359374.57706913934</v>
      </c>
      <c r="AC133" s="1458">
        <f t="shared" si="547"/>
        <v>366991.48258616246</v>
      </c>
      <c r="AD133" s="1458">
        <f t="shared" si="547"/>
        <v>374724.78875581909</v>
      </c>
      <c r="AE133" s="1398">
        <f>(O133/L133)^(1/3)-1</f>
        <v>5.7741121704495413E-2</v>
      </c>
      <c r="AF133" s="1399">
        <f>(T133/P133)^(1/4)-1</f>
        <v>2.2671865383343093E-2</v>
      </c>
      <c r="AJ133" s="241"/>
      <c r="AK133" s="241"/>
      <c r="AL133" s="241"/>
      <c r="AM133" s="241"/>
      <c r="AN133" s="241"/>
      <c r="AO133" s="241"/>
      <c r="AP133" s="241"/>
      <c r="AQ133" s="241"/>
      <c r="AR133" s="241"/>
      <c r="AS133" s="241"/>
      <c r="AT133" s="241"/>
      <c r="AU133" s="241"/>
      <c r="AV133" s="241"/>
      <c r="AW133" s="169"/>
      <c r="AX133" s="169"/>
      <c r="AY133" s="169"/>
      <c r="AZ133" s="169"/>
      <c r="BA133" s="169"/>
      <c r="BB133" s="169"/>
      <c r="BC133" s="169"/>
      <c r="BD133" s="169"/>
      <c r="BE133" s="807"/>
      <c r="BF133" s="807"/>
      <c r="BG133" s="241"/>
      <c r="BH133" s="241"/>
      <c r="BI133" s="241"/>
      <c r="BJ133" s="241"/>
      <c r="BK133" s="241"/>
      <c r="BL133" s="241"/>
      <c r="BM133" s="241"/>
      <c r="BN133" s="241"/>
      <c r="BO133" s="692"/>
      <c r="BP133" s="692"/>
      <c r="BQ133" s="692"/>
      <c r="BR133" s="692"/>
      <c r="BS133" s="692"/>
      <c r="BT133" s="241"/>
      <c r="BU133" s="241"/>
      <c r="BV133" s="241"/>
      <c r="BW133" s="241"/>
      <c r="BX133" s="241"/>
      <c r="BY133" s="241"/>
      <c r="BZ133" s="241"/>
      <c r="CA133" s="241"/>
      <c r="CB133" s="692"/>
      <c r="CC133" s="692"/>
      <c r="CD133" s="692"/>
      <c r="CE133" s="692"/>
      <c r="CF133" s="692"/>
      <c r="CG133" s="692"/>
      <c r="CH133" s="692"/>
      <c r="CI133" s="692"/>
      <c r="CJ133" s="692"/>
      <c r="CK133" s="692"/>
      <c r="CL133" s="692"/>
      <c r="CM133" s="692"/>
      <c r="CN133" s="692"/>
      <c r="CO133" s="692"/>
      <c r="CP133" s="692"/>
      <c r="CQ133" s="692"/>
      <c r="CR133" s="692"/>
      <c r="CS133" s="692"/>
      <c r="CT133" s="692"/>
      <c r="CU133" s="1303"/>
      <c r="CV133" s="1303"/>
    </row>
    <row r="134" spans="4:100" s="1403" customFormat="1" thickBot="1">
      <c r="D134" s="1401" t="s">
        <v>832</v>
      </c>
      <c r="E134" s="1402"/>
      <c r="F134" s="1402"/>
      <c r="G134" s="1402"/>
      <c r="H134" s="1402"/>
      <c r="I134" s="1402" t="e">
        <f>(#REF!/#REF!)-1</f>
        <v>#REF!</v>
      </c>
      <c r="J134" s="1402" t="e">
        <f>(#REF!/#REF!)-1</f>
        <v>#REF!</v>
      </c>
      <c r="K134" s="1402" t="e">
        <f>(#REF!/#REF!)-1</f>
        <v>#REF!</v>
      </c>
      <c r="L134" s="1402"/>
      <c r="M134" s="1402">
        <f>M133/L133-1</f>
        <v>0.22219546370084942</v>
      </c>
      <c r="N134" s="1402">
        <f t="shared" ref="N134:AD134" si="548">N133/M133-1</f>
        <v>-8.7451858486341516E-3</v>
      </c>
      <c r="O134" s="1402">
        <f t="shared" si="548"/>
        <v>-2.3185294415289603E-2</v>
      </c>
      <c r="P134" s="1402">
        <f t="shared" si="548"/>
        <v>2.307956147393897E-2</v>
      </c>
      <c r="Q134" s="1402">
        <f t="shared" si="548"/>
        <v>2.2912345809788626E-2</v>
      </c>
      <c r="R134" s="1402">
        <f t="shared" si="548"/>
        <v>2.2749351712596733E-2</v>
      </c>
      <c r="S134" s="1402">
        <f t="shared" si="548"/>
        <v>2.2590421307195685E-2</v>
      </c>
      <c r="T134" s="1402">
        <f t="shared" si="548"/>
        <v>2.2435404493631017E-2</v>
      </c>
      <c r="U134" s="1402">
        <f t="shared" si="548"/>
        <v>2.228415847433185E-2</v>
      </c>
      <c r="V134" s="1402">
        <f t="shared" si="548"/>
        <v>2.2136547315368293E-2</v>
      </c>
      <c r="W134" s="1402">
        <f t="shared" si="548"/>
        <v>2.1992441538967844E-2</v>
      </c>
      <c r="X134" s="1402">
        <f t="shared" si="548"/>
        <v>2.1851717744720389E-2</v>
      </c>
      <c r="Y134" s="1402">
        <f t="shared" si="548"/>
        <v>2.1714258257143682E-2</v>
      </c>
      <c r="Z134" s="1402">
        <f t="shared" si="548"/>
        <v>2.1579950797493419E-2</v>
      </c>
      <c r="AA134" s="1402">
        <f t="shared" si="548"/>
        <v>2.1448688177893471E-2</v>
      </c>
      <c r="AB134" s="1402">
        <f t="shared" si="548"/>
        <v>2.1320368016037428E-2</v>
      </c>
      <c r="AC134" s="1402">
        <f t="shared" si="548"/>
        <v>2.1194892468861859E-2</v>
      </c>
      <c r="AD134" s="1402">
        <f t="shared" si="548"/>
        <v>2.1072167983737788E-2</v>
      </c>
      <c r="AE134" s="789"/>
      <c r="AF134" s="790"/>
      <c r="AJ134" s="1402"/>
      <c r="AK134" s="1402"/>
      <c r="AL134" s="1402"/>
      <c r="AM134" s="1402"/>
      <c r="AN134" s="1402"/>
      <c r="AO134" s="1402"/>
      <c r="AP134" s="1402"/>
      <c r="AQ134" s="1402"/>
      <c r="AR134" s="1402"/>
      <c r="AS134" s="1402"/>
      <c r="AT134" s="1402"/>
      <c r="AU134" s="1402"/>
      <c r="AV134" s="1402"/>
      <c r="AW134" s="1402"/>
      <c r="AX134" s="1402"/>
      <c r="AY134" s="1402"/>
      <c r="AZ134" s="1402"/>
      <c r="BA134" s="1402"/>
      <c r="BB134" s="1402"/>
      <c r="BC134" s="1402"/>
      <c r="BD134" s="1402"/>
      <c r="BE134" s="1402"/>
      <c r="BF134" s="1402"/>
      <c r="BG134" s="1402"/>
      <c r="BH134" s="1402"/>
      <c r="BI134" s="1402"/>
      <c r="BJ134" s="1402"/>
      <c r="BK134" s="1402"/>
      <c r="BL134" s="1402"/>
      <c r="BM134" s="1402"/>
      <c r="BN134" s="1402"/>
      <c r="BO134" s="1410"/>
      <c r="BP134" s="1410"/>
      <c r="BQ134" s="1410"/>
      <c r="BR134" s="1410"/>
      <c r="BS134" s="1410"/>
      <c r="BT134" s="1402"/>
      <c r="BU134" s="1402"/>
      <c r="BV134" s="1402"/>
      <c r="BW134" s="1402"/>
      <c r="BX134" s="1402"/>
      <c r="BY134" s="1402"/>
      <c r="BZ134" s="1402"/>
      <c r="CA134" s="1402"/>
      <c r="CB134" s="1410"/>
      <c r="CC134" s="1410"/>
      <c r="CD134" s="1410"/>
      <c r="CE134" s="1410"/>
      <c r="CF134" s="1410"/>
      <c r="CG134" s="1410"/>
      <c r="CH134" s="1410"/>
      <c r="CI134" s="1410"/>
      <c r="CJ134" s="1410"/>
      <c r="CK134" s="1402"/>
      <c r="CL134" s="1402"/>
      <c r="CM134" s="1402"/>
      <c r="CN134" s="1402"/>
      <c r="CO134" s="1402"/>
      <c r="CP134" s="1402"/>
      <c r="CQ134" s="1402"/>
      <c r="CR134" s="1402"/>
      <c r="CS134" s="1402"/>
      <c r="CT134" s="1402"/>
      <c r="CU134" s="1453"/>
      <c r="CV134" s="1453"/>
    </row>
    <row r="135" spans="4:100" s="1403" customFormat="1" thickBot="1">
      <c r="D135" s="1401" t="s">
        <v>1152</v>
      </c>
      <c r="E135" s="1402"/>
      <c r="F135" s="1402"/>
      <c r="G135" s="1459" t="s">
        <v>1618</v>
      </c>
      <c r="H135" s="1441"/>
      <c r="I135" s="1441" t="e">
        <f>#REF!/I136</f>
        <v>#REF!</v>
      </c>
      <c r="J135" s="1441" t="e">
        <f>#REF!/J136</f>
        <v>#REF!</v>
      </c>
      <c r="K135" s="1441" t="e">
        <f>#REF!/K136</f>
        <v>#REF!</v>
      </c>
      <c r="L135" s="1411">
        <f>L133/L136</f>
        <v>0.71368750000000003</v>
      </c>
      <c r="M135" s="1411">
        <f t="shared" ref="M135:O135" si="549">M133/M136</f>
        <v>0.79749999999999999</v>
      </c>
      <c r="N135" s="1411">
        <f t="shared" si="549"/>
        <v>0.79052571428571428</v>
      </c>
      <c r="O135" s="1411">
        <f t="shared" si="549"/>
        <v>0.7721971428571428</v>
      </c>
      <c r="P135" s="1411">
        <f t="shared" ref="P135:AD135" si="550">1-P129</f>
        <v>0.78219714285714281</v>
      </c>
      <c r="Q135" s="1402">
        <f t="shared" si="550"/>
        <v>0.79219714285714282</v>
      </c>
      <c r="R135" s="1402">
        <f t="shared" si="550"/>
        <v>0.80219714285714283</v>
      </c>
      <c r="S135" s="1402">
        <f t="shared" si="550"/>
        <v>0.81219714285714284</v>
      </c>
      <c r="T135" s="1402">
        <f t="shared" si="550"/>
        <v>0.82219714285714285</v>
      </c>
      <c r="U135" s="1402">
        <f t="shared" si="550"/>
        <v>0.83219714285714286</v>
      </c>
      <c r="V135" s="1402">
        <f t="shared" si="550"/>
        <v>0.84219714285714287</v>
      </c>
      <c r="W135" s="1402">
        <f t="shared" si="550"/>
        <v>0.85219714285714288</v>
      </c>
      <c r="X135" s="1402">
        <f t="shared" si="550"/>
        <v>0.86219714285714288</v>
      </c>
      <c r="Y135" s="1402">
        <f t="shared" si="550"/>
        <v>0.87219714285714289</v>
      </c>
      <c r="Z135" s="1402">
        <f t="shared" si="550"/>
        <v>0.8821971428571429</v>
      </c>
      <c r="AA135" s="1402">
        <f t="shared" si="550"/>
        <v>0.89219714285714291</v>
      </c>
      <c r="AB135" s="1402">
        <f t="shared" si="550"/>
        <v>0.90219714285714292</v>
      </c>
      <c r="AC135" s="1402">
        <f t="shared" si="550"/>
        <v>0.91219714285714293</v>
      </c>
      <c r="AD135" s="1402">
        <f t="shared" si="550"/>
        <v>0.92219714285714294</v>
      </c>
      <c r="AE135" s="789"/>
      <c r="AF135" s="790"/>
      <c r="AJ135" s="169"/>
      <c r="AK135" s="169"/>
      <c r="AL135" s="169"/>
      <c r="AM135" s="169"/>
      <c r="AN135" s="807"/>
      <c r="AO135" s="807"/>
      <c r="AP135" s="807"/>
      <c r="AQ135" s="807"/>
      <c r="AR135" s="807"/>
      <c r="AS135" s="807"/>
      <c r="AT135" s="807"/>
      <c r="AU135" s="807"/>
      <c r="AV135" s="807"/>
      <c r="AW135" s="1402"/>
      <c r="AX135" s="1402"/>
      <c r="AY135" s="1402"/>
      <c r="AZ135" s="1402"/>
      <c r="BA135" s="1402"/>
      <c r="BB135" s="1402"/>
      <c r="BC135" s="1402"/>
      <c r="BD135" s="1402"/>
      <c r="BE135" s="1402"/>
      <c r="BF135" s="1402"/>
      <c r="BG135" s="169"/>
      <c r="BH135" s="169"/>
      <c r="BI135" s="169"/>
      <c r="BJ135" s="169"/>
      <c r="BK135" s="169"/>
      <c r="BL135" s="169"/>
      <c r="BM135" s="169"/>
      <c r="BN135" s="169"/>
      <c r="BO135" s="807"/>
      <c r="BP135" s="807"/>
      <c r="BQ135" s="807"/>
      <c r="BR135" s="807"/>
      <c r="BS135" s="807"/>
      <c r="BT135" s="169"/>
      <c r="BU135" s="169"/>
      <c r="BV135" s="169"/>
      <c r="BW135" s="169"/>
      <c r="BX135" s="169"/>
      <c r="BY135" s="169"/>
      <c r="BZ135" s="169"/>
      <c r="CA135" s="169"/>
      <c r="CB135" s="807"/>
      <c r="CC135" s="807"/>
      <c r="CD135" s="807"/>
      <c r="CE135" s="807"/>
      <c r="CF135" s="807"/>
      <c r="CG135" s="807"/>
      <c r="CH135" s="807"/>
      <c r="CI135" s="807"/>
      <c r="CJ135" s="807"/>
      <c r="CK135" s="807"/>
      <c r="CL135" s="807"/>
      <c r="CM135" s="807"/>
      <c r="CN135" s="807"/>
      <c r="CO135" s="807"/>
      <c r="CP135" s="807"/>
      <c r="CQ135" s="807"/>
      <c r="CR135" s="807"/>
      <c r="CS135" s="807"/>
      <c r="CT135" s="807"/>
      <c r="CU135" s="1213"/>
      <c r="CV135" s="1213"/>
    </row>
    <row r="136" spans="4:100" s="20" customFormat="1" ht="16" thickBot="1">
      <c r="D136" s="172" t="s">
        <v>103</v>
      </c>
      <c r="E136" s="174"/>
      <c r="F136" s="174"/>
      <c r="G136" s="691"/>
      <c r="H136" s="174"/>
      <c r="I136" s="174" t="e">
        <f>SUM(#REF!,I130,I127)</f>
        <v>#REF!</v>
      </c>
      <c r="J136" s="174" t="e">
        <f>SUM(#REF!,J130,J127)</f>
        <v>#REF!</v>
      </c>
      <c r="K136" s="174" t="e">
        <f>SUM(#REF!,K130,K127)</f>
        <v>#REF!</v>
      </c>
      <c r="L136" s="843">
        <f>L133+L130+L127</f>
        <v>320000</v>
      </c>
      <c r="M136" s="843">
        <f t="shared" ref="M136:O136" si="551">M133+M130+M127</f>
        <v>350000</v>
      </c>
      <c r="N136" s="843">
        <f t="shared" si="551"/>
        <v>350000</v>
      </c>
      <c r="O136" s="843">
        <f t="shared" si="551"/>
        <v>350000</v>
      </c>
      <c r="P136" s="843">
        <f>O136*(1+P137)</f>
        <v>353500</v>
      </c>
      <c r="Q136" s="843">
        <f t="shared" ref="Q136:AD136" si="552">P136*(1+Q137)</f>
        <v>357035</v>
      </c>
      <c r="R136" s="843">
        <f t="shared" si="552"/>
        <v>360605.35</v>
      </c>
      <c r="S136" s="843">
        <f t="shared" si="552"/>
        <v>364211.40349999996</v>
      </c>
      <c r="T136" s="843">
        <f t="shared" si="552"/>
        <v>367853.51753499993</v>
      </c>
      <c r="U136" s="843">
        <f t="shared" si="552"/>
        <v>371532.05271034996</v>
      </c>
      <c r="V136" s="843">
        <f t="shared" si="552"/>
        <v>375247.37323745346</v>
      </c>
      <c r="W136" s="843">
        <f t="shared" si="552"/>
        <v>378999.84696982801</v>
      </c>
      <c r="X136" s="843">
        <f t="shared" si="552"/>
        <v>382789.84543952631</v>
      </c>
      <c r="Y136" s="843">
        <f t="shared" si="552"/>
        <v>386617.74389392155</v>
      </c>
      <c r="Z136" s="843">
        <f t="shared" si="552"/>
        <v>390483.92133286077</v>
      </c>
      <c r="AA136" s="843">
        <f t="shared" si="552"/>
        <v>394388.76054618938</v>
      </c>
      <c r="AB136" s="843">
        <f t="shared" si="552"/>
        <v>398332.64815165126</v>
      </c>
      <c r="AC136" s="843">
        <f t="shared" si="552"/>
        <v>402315.97463316779</v>
      </c>
      <c r="AD136" s="843">
        <f t="shared" si="552"/>
        <v>406339.13437949948</v>
      </c>
      <c r="AE136" s="1398">
        <f>(O136/L136)^(1/3)-1</f>
        <v>3.0321324952139239E-2</v>
      </c>
      <c r="AF136" s="1399">
        <f>(T136/P136)^(1/4)-1</f>
        <v>1.0000000000000009E-2</v>
      </c>
      <c r="AJ136" s="241"/>
      <c r="AK136" s="241"/>
      <c r="AL136" s="241"/>
      <c r="AM136" s="241"/>
      <c r="AN136" s="241"/>
      <c r="AO136" s="241"/>
      <c r="AP136" s="241"/>
      <c r="AQ136" s="241"/>
      <c r="AR136" s="241"/>
      <c r="AS136" s="241"/>
      <c r="AT136" s="241"/>
      <c r="AU136" s="241"/>
      <c r="AV136" s="241"/>
      <c r="AW136" s="169"/>
      <c r="AX136" s="169"/>
      <c r="AY136" s="169"/>
      <c r="AZ136" s="169"/>
      <c r="BA136" s="169"/>
      <c r="BB136" s="169"/>
      <c r="BC136" s="169"/>
      <c r="BD136" s="169"/>
      <c r="BE136" s="807"/>
      <c r="BF136" s="807"/>
      <c r="BG136" s="241"/>
      <c r="BH136" s="241"/>
      <c r="BI136" s="241"/>
      <c r="BJ136" s="241"/>
      <c r="BK136" s="241"/>
      <c r="BL136" s="241"/>
      <c r="BM136" s="241"/>
      <c r="BN136" s="241"/>
      <c r="BO136" s="692"/>
      <c r="BP136" s="692"/>
      <c r="BQ136" s="692"/>
      <c r="BR136" s="692"/>
      <c r="BS136" s="692"/>
      <c r="BT136" s="241"/>
      <c r="BU136" s="241"/>
      <c r="BV136" s="241"/>
      <c r="BW136" s="241"/>
      <c r="BX136" s="241"/>
      <c r="BY136" s="241"/>
      <c r="BZ136" s="241"/>
      <c r="CA136" s="241"/>
      <c r="CB136" s="692"/>
      <c r="CC136" s="692"/>
      <c r="CD136" s="700"/>
      <c r="CE136" s="700"/>
      <c r="CF136" s="700"/>
      <c r="CG136" s="700"/>
      <c r="CH136" s="700"/>
      <c r="CI136" s="700"/>
      <c r="CJ136" s="700"/>
      <c r="CK136" s="248"/>
      <c r="CL136" s="248"/>
      <c r="CM136" s="248"/>
      <c r="CN136" s="248"/>
      <c r="CO136" s="248"/>
      <c r="CP136" s="248"/>
      <c r="CQ136" s="248"/>
      <c r="CR136" s="248"/>
      <c r="CS136" s="248"/>
      <c r="CT136" s="248"/>
      <c r="CU136" s="1303"/>
      <c r="CV136" s="1303"/>
    </row>
    <row r="137" spans="4:100" s="1403" customFormat="1" thickBot="1">
      <c r="D137" s="1401" t="s">
        <v>832</v>
      </c>
      <c r="E137" s="1402"/>
      <c r="F137" s="1402"/>
      <c r="G137" s="1418"/>
      <c r="H137" s="1402"/>
      <c r="I137" s="1402" t="e">
        <f t="shared" ref="I137:K137" si="553">(I136/H136)-1</f>
        <v>#REF!</v>
      </c>
      <c r="J137" s="1402" t="e">
        <f t="shared" si="553"/>
        <v>#REF!</v>
      </c>
      <c r="K137" s="1402" t="e">
        <f t="shared" si="553"/>
        <v>#REF!</v>
      </c>
      <c r="L137" s="1402" t="e">
        <f>(L136/K136)-1</f>
        <v>#REF!</v>
      </c>
      <c r="M137" s="1402">
        <f t="shared" ref="M137" si="554">(M136/L136)-1</f>
        <v>9.375E-2</v>
      </c>
      <c r="N137" s="1402">
        <f t="shared" ref="N137" si="555">(N136/M136)-1</f>
        <v>0</v>
      </c>
      <c r="O137" s="1402">
        <f t="shared" ref="O137" si="556">(O136/N136)-1</f>
        <v>0</v>
      </c>
      <c r="P137" s="1402">
        <v>0.01</v>
      </c>
      <c r="Q137" s="1402">
        <f>P137</f>
        <v>0.01</v>
      </c>
      <c r="R137" s="1402">
        <f>Q137</f>
        <v>0.01</v>
      </c>
      <c r="S137" s="1402">
        <f>R137</f>
        <v>0.01</v>
      </c>
      <c r="T137" s="1402">
        <f t="shared" ref="T137:AD137" si="557">S137</f>
        <v>0.01</v>
      </c>
      <c r="U137" s="1402">
        <f t="shared" si="557"/>
        <v>0.01</v>
      </c>
      <c r="V137" s="1402">
        <f t="shared" si="557"/>
        <v>0.01</v>
      </c>
      <c r="W137" s="1402">
        <f t="shared" si="557"/>
        <v>0.01</v>
      </c>
      <c r="X137" s="1402">
        <f t="shared" si="557"/>
        <v>0.01</v>
      </c>
      <c r="Y137" s="1402">
        <f t="shared" si="557"/>
        <v>0.01</v>
      </c>
      <c r="Z137" s="1402">
        <f t="shared" si="557"/>
        <v>0.01</v>
      </c>
      <c r="AA137" s="1402">
        <f t="shared" si="557"/>
        <v>0.01</v>
      </c>
      <c r="AB137" s="1402">
        <f t="shared" si="557"/>
        <v>0.01</v>
      </c>
      <c r="AC137" s="1402">
        <f t="shared" si="557"/>
        <v>0.01</v>
      </c>
      <c r="AD137" s="1402">
        <f t="shared" si="557"/>
        <v>0.01</v>
      </c>
      <c r="AE137" s="789"/>
      <c r="AF137" s="790"/>
      <c r="AJ137" s="1402"/>
      <c r="AK137" s="1402"/>
      <c r="AL137" s="1402"/>
      <c r="AM137" s="1402"/>
      <c r="AN137" s="1402"/>
      <c r="AO137" s="1402"/>
      <c r="AP137" s="1402"/>
      <c r="AQ137" s="1402"/>
      <c r="AR137" s="1402"/>
      <c r="AS137" s="1402"/>
      <c r="AT137" s="1402"/>
      <c r="AU137" s="1402"/>
      <c r="AV137" s="1402"/>
      <c r="AW137" s="1402"/>
      <c r="AX137" s="1402"/>
      <c r="AY137" s="1402"/>
      <c r="AZ137" s="1402"/>
      <c r="BA137" s="1402"/>
      <c r="BB137" s="1402"/>
      <c r="BC137" s="1402"/>
      <c r="BD137" s="1402"/>
      <c r="BE137" s="1402"/>
      <c r="BF137" s="1402"/>
      <c r="BG137" s="1402"/>
      <c r="BH137" s="1402"/>
      <c r="BI137" s="1402"/>
      <c r="BJ137" s="1402"/>
      <c r="BK137" s="1402"/>
      <c r="BL137" s="1402"/>
      <c r="BM137" s="1402"/>
      <c r="BN137" s="1402"/>
      <c r="BO137" s="1410"/>
      <c r="BP137" s="1410"/>
      <c r="BQ137" s="1410"/>
      <c r="BR137" s="1410"/>
      <c r="BS137" s="1410"/>
      <c r="BT137" s="1402"/>
      <c r="BU137" s="1402"/>
      <c r="BV137" s="1402"/>
      <c r="BW137" s="1402"/>
      <c r="BX137" s="1402"/>
      <c r="BY137" s="1402"/>
      <c r="BZ137" s="1402"/>
      <c r="CA137" s="1402"/>
      <c r="CB137" s="1410"/>
      <c r="CC137" s="1410"/>
      <c r="CD137" s="1410"/>
      <c r="CE137" s="1410"/>
      <c r="CF137" s="1410"/>
      <c r="CG137" s="1410"/>
      <c r="CH137" s="1410"/>
      <c r="CI137" s="1410"/>
      <c r="CJ137" s="1410"/>
      <c r="CK137" s="1402"/>
      <c r="CL137" s="1402"/>
      <c r="CM137" s="1402"/>
      <c r="CN137" s="1402"/>
      <c r="CO137" s="1402"/>
      <c r="CP137" s="1402"/>
      <c r="CQ137" s="1402"/>
      <c r="CR137" s="1402"/>
      <c r="CS137" s="1402"/>
      <c r="CT137" s="1402"/>
      <c r="CU137" s="1453"/>
      <c r="CV137" s="1453"/>
    </row>
    <row r="138" spans="4:100" s="420" customFormat="1" ht="16" thickBot="1">
      <c r="D138" s="685" t="s">
        <v>1155</v>
      </c>
      <c r="E138" s="380"/>
      <c r="F138" s="380"/>
      <c r="G138" s="722"/>
      <c r="H138" s="380"/>
      <c r="I138" s="380">
        <f t="shared" ref="I138:AD138" si="558">SUM(I127,I130)</f>
        <v>76124</v>
      </c>
      <c r="J138" s="380">
        <f t="shared" si="558"/>
        <v>96718</v>
      </c>
      <c r="K138" s="380">
        <f t="shared" si="558"/>
        <v>116740</v>
      </c>
      <c r="L138" s="1024">
        <f t="shared" si="558"/>
        <v>91620</v>
      </c>
      <c r="M138" s="1024">
        <f t="shared" si="558"/>
        <v>70875</v>
      </c>
      <c r="N138" s="1024">
        <f t="shared" si="558"/>
        <v>73316</v>
      </c>
      <c r="O138" s="1024">
        <f t="shared" si="558"/>
        <v>79731</v>
      </c>
      <c r="P138" s="1024">
        <f t="shared" si="558"/>
        <v>76993.31</v>
      </c>
      <c r="Q138" s="1024">
        <f t="shared" si="558"/>
        <v>74192.893099999987</v>
      </c>
      <c r="R138" s="1024">
        <f t="shared" si="558"/>
        <v>71328.76853099998</v>
      </c>
      <c r="S138" s="1024">
        <f t="shared" si="558"/>
        <v>68399.942181309976</v>
      </c>
      <c r="T138" s="1024">
        <f t="shared" si="558"/>
        <v>65405.406427773072</v>
      </c>
      <c r="U138" s="1024">
        <f t="shared" si="558"/>
        <v>62344.139964947302</v>
      </c>
      <c r="V138" s="1024">
        <f t="shared" si="558"/>
        <v>59215.107632222236</v>
      </c>
      <c r="W138" s="1024">
        <f t="shared" si="558"/>
        <v>56017.260238846182</v>
      </c>
      <c r="X138" s="1024">
        <f t="shared" si="558"/>
        <v>52749.534386839376</v>
      </c>
      <c r="Y138" s="1024">
        <f t="shared" si="558"/>
        <v>49410.852291768548</v>
      </c>
      <c r="Z138" s="1024">
        <f t="shared" si="558"/>
        <v>46000.121601357634</v>
      </c>
      <c r="AA138" s="1024">
        <f t="shared" si="558"/>
        <v>42516.235211909312</v>
      </c>
      <c r="AB138" s="1024">
        <f t="shared" si="558"/>
        <v>38958.071082511895</v>
      </c>
      <c r="AC138" s="1024">
        <f t="shared" si="558"/>
        <v>35324.49204700534</v>
      </c>
      <c r="AD138" s="1024">
        <f t="shared" si="558"/>
        <v>31614.345623680401</v>
      </c>
      <c r="AE138" s="1398">
        <f>(O138/L138)^(1/3)-1</f>
        <v>-4.5273505993918772E-2</v>
      </c>
      <c r="AF138" s="1399">
        <f>(T138/P138)^(1/4)-1</f>
        <v>-3.9958151426323418E-2</v>
      </c>
      <c r="AJ138" s="169"/>
      <c r="AK138" s="169"/>
      <c r="AL138" s="169"/>
      <c r="AM138" s="169"/>
      <c r="AN138" s="807"/>
      <c r="AO138" s="807"/>
      <c r="AP138" s="807"/>
      <c r="AQ138" s="807"/>
      <c r="AR138" s="807"/>
      <c r="AS138" s="807"/>
      <c r="AT138" s="807"/>
      <c r="AU138" s="807"/>
      <c r="AV138" s="807"/>
      <c r="AW138" s="241"/>
      <c r="AX138" s="241"/>
      <c r="AY138" s="241"/>
      <c r="AZ138" s="241"/>
      <c r="BA138" s="241"/>
      <c r="BB138" s="241"/>
      <c r="BC138" s="241"/>
      <c r="BD138" s="241"/>
      <c r="BE138" s="241"/>
      <c r="BF138" s="241"/>
      <c r="BG138" s="169"/>
      <c r="BH138" s="169"/>
      <c r="BI138" s="169"/>
      <c r="BJ138" s="169"/>
      <c r="BK138" s="169"/>
      <c r="BL138" s="169"/>
      <c r="BM138" s="169"/>
      <c r="BN138" s="169"/>
      <c r="BO138" s="807"/>
      <c r="BP138" s="807"/>
      <c r="BQ138" s="807"/>
      <c r="BR138" s="807"/>
      <c r="BS138" s="807"/>
      <c r="BT138" s="240"/>
      <c r="BU138" s="242"/>
      <c r="BV138" s="242"/>
      <c r="BW138" s="242"/>
      <c r="BX138" s="242"/>
      <c r="BY138" s="242"/>
      <c r="BZ138" s="242"/>
      <c r="CA138" s="242"/>
      <c r="CB138" s="1216"/>
      <c r="CC138" s="1216"/>
      <c r="CD138" s="1216"/>
      <c r="CE138" s="1216"/>
      <c r="CF138" s="1216"/>
      <c r="CG138" s="1216"/>
      <c r="CH138" s="1216"/>
      <c r="CI138" s="1216"/>
      <c r="CJ138" s="1216"/>
      <c r="CK138" s="1216"/>
      <c r="CL138" s="1216"/>
      <c r="CM138" s="1216"/>
      <c r="CN138" s="1216"/>
      <c r="CO138" s="1216"/>
      <c r="CP138" s="1216"/>
      <c r="CQ138" s="1216"/>
      <c r="CR138" s="1216"/>
      <c r="CS138" s="1216"/>
      <c r="CT138" s="1216"/>
      <c r="CU138" s="1213"/>
      <c r="CV138" s="1213"/>
    </row>
    <row r="139" spans="4:100" s="1403" customFormat="1" ht="14">
      <c r="D139" s="1401" t="s">
        <v>832</v>
      </c>
      <c r="E139" s="1402"/>
      <c r="F139" s="1402"/>
      <c r="G139" s="1418"/>
      <c r="H139" s="1402"/>
      <c r="I139" s="1402" t="e">
        <f t="shared" ref="I139:K139" si="559">I138/H138-1</f>
        <v>#DIV/0!</v>
      </c>
      <c r="J139" s="1402">
        <f t="shared" si="559"/>
        <v>0.27053228942252106</v>
      </c>
      <c r="K139" s="1402">
        <f t="shared" si="559"/>
        <v>0.20701420624909539</v>
      </c>
      <c r="L139" s="1402">
        <f>L138/K138-1</f>
        <v>-0.21517903032379648</v>
      </c>
      <c r="M139" s="1402">
        <f t="shared" ref="M139" si="560">M138/L138-1</f>
        <v>-0.22642436149312373</v>
      </c>
      <c r="N139" s="1402">
        <f t="shared" ref="N139" si="561">N138/M138-1</f>
        <v>3.444091710758368E-2</v>
      </c>
      <c r="O139" s="1402">
        <f t="shared" ref="O139" si="562">O138/N138-1</f>
        <v>8.7497954061869221E-2</v>
      </c>
      <c r="P139" s="1402">
        <f t="shared" ref="P139" si="563">P138/O138-1</f>
        <v>-3.433658175615506E-2</v>
      </c>
      <c r="Q139" s="1402">
        <f t="shared" ref="Q139" si="564">Q138/P138-1</f>
        <v>-3.6372210780391323E-2</v>
      </c>
      <c r="R139" s="1402">
        <f t="shared" ref="R139" si="565">R138/Q138-1</f>
        <v>-3.8603759057348364E-2</v>
      </c>
      <c r="S139" s="1402">
        <f t="shared" ref="S139" si="566">S138/R138-1</f>
        <v>-4.1060940907974852E-2</v>
      </c>
      <c r="T139" s="1402">
        <f t="shared" ref="T139" si="567">T138/S138-1</f>
        <v>-4.3779799485783033E-2</v>
      </c>
      <c r="U139" s="1402">
        <f t="shared" ref="U139" si="568">U138/T138-1</f>
        <v>-4.6804486509938847E-2</v>
      </c>
      <c r="V139" s="1402">
        <f t="shared" ref="V139" si="569">V138/U138-1</f>
        <v>-5.0189678364066737E-2</v>
      </c>
      <c r="W139" s="1402">
        <f t="shared" ref="W139" si="570">W138/V138-1</f>
        <v>-5.4003910847169156E-2</v>
      </c>
      <c r="X139" s="1402">
        <f t="shared" ref="X139" si="571">X138/W138-1</f>
        <v>-5.8334267653824767E-2</v>
      </c>
      <c r="Y139" s="1402">
        <f t="shared" ref="Y139" si="572">Y138/X138-1</f>
        <v>-6.3293110240302042E-2</v>
      </c>
      <c r="Z139" s="1402">
        <f t="shared" ref="Z139" si="573">Z138/Y138-1</f>
        <v>-6.9027967181596539E-2</v>
      </c>
      <c r="AA139" s="1402">
        <f t="shared" ref="AA139" si="574">AA138/Z138-1</f>
        <v>-7.5736460430258945E-2</v>
      </c>
      <c r="AB139" s="1402">
        <f t="shared" ref="AB139" si="575">AB138/AA138-1</f>
        <v>-8.3689539105775146E-2</v>
      </c>
      <c r="AC139" s="1402">
        <f t="shared" ref="AC139" si="576">AC138/AB138-1</f>
        <v>-9.3268966726066993E-2</v>
      </c>
      <c r="AD139" s="1402">
        <f t="shared" ref="AD139" si="577">AD138/AC138-1</f>
        <v>-0.10503042530343953</v>
      </c>
      <c r="AE139" s="789"/>
      <c r="AF139" s="790"/>
      <c r="AJ139" s="1402"/>
      <c r="AK139" s="1402"/>
      <c r="AL139" s="1402"/>
      <c r="AM139" s="1402"/>
      <c r="AN139" s="1402"/>
      <c r="AO139" s="1402"/>
      <c r="AP139" s="1402"/>
      <c r="AQ139" s="1402"/>
      <c r="AR139" s="1402"/>
      <c r="AS139" s="1402"/>
      <c r="AT139" s="1402"/>
      <c r="AU139" s="1402"/>
      <c r="AV139" s="1402"/>
      <c r="AW139" s="425"/>
      <c r="AX139" s="425"/>
      <c r="AY139" s="425"/>
      <c r="AZ139" s="425"/>
      <c r="BA139" s="425"/>
      <c r="BB139" s="425"/>
      <c r="BC139" s="425"/>
      <c r="BD139" s="425"/>
      <c r="BE139" s="826"/>
      <c r="BF139" s="826"/>
      <c r="BG139" s="1402"/>
      <c r="BH139" s="1402"/>
      <c r="BI139" s="1402"/>
      <c r="BJ139" s="1402"/>
      <c r="BK139" s="1402"/>
      <c r="BL139" s="1402"/>
      <c r="BM139" s="1402"/>
      <c r="BN139" s="1402"/>
      <c r="BO139" s="1410"/>
      <c r="BP139" s="1410"/>
      <c r="BQ139" s="1410"/>
      <c r="BR139" s="1410"/>
      <c r="BS139" s="1410"/>
      <c r="BT139" s="1402"/>
      <c r="BU139" s="1402"/>
      <c r="BV139" s="1402"/>
      <c r="BW139" s="1402"/>
      <c r="BX139" s="1402"/>
      <c r="BY139" s="1402"/>
      <c r="BZ139" s="1402"/>
      <c r="CA139" s="1402"/>
      <c r="CB139" s="1410"/>
      <c r="CC139" s="1402"/>
      <c r="CD139" s="1410"/>
      <c r="CE139" s="1410"/>
      <c r="CF139" s="1410"/>
      <c r="CG139" s="1410"/>
      <c r="CH139" s="1410"/>
      <c r="CI139" s="1410"/>
      <c r="CJ139" s="1410"/>
      <c r="CK139" s="1402"/>
      <c r="CL139" s="1402"/>
      <c r="CM139" s="1402"/>
      <c r="CN139" s="1402"/>
      <c r="CO139" s="1402"/>
      <c r="CP139" s="1402"/>
      <c r="CQ139" s="1402"/>
      <c r="CR139" s="1402"/>
      <c r="CS139" s="1402"/>
      <c r="CT139" s="1402"/>
      <c r="CU139" s="1453"/>
      <c r="CV139" s="1453"/>
    </row>
    <row r="140" spans="4:100" s="1403" customFormat="1" thickBot="1">
      <c r="D140" s="1009" t="s">
        <v>1152</v>
      </c>
      <c r="E140" s="1411"/>
      <c r="F140" s="1411"/>
      <c r="G140" s="1420"/>
      <c r="H140" s="1411"/>
      <c r="I140" s="1411" t="e">
        <f t="shared" ref="I140:K140" si="578">I138/I136</f>
        <v>#REF!</v>
      </c>
      <c r="J140" s="1411" t="e">
        <f t="shared" si="578"/>
        <v>#REF!</v>
      </c>
      <c r="K140" s="1411" t="e">
        <f t="shared" si="578"/>
        <v>#REF!</v>
      </c>
      <c r="L140" s="1411">
        <f>L138/L136</f>
        <v>0.28631250000000003</v>
      </c>
      <c r="M140" s="1411">
        <f t="shared" ref="M140:AD140" si="579">M138/M136</f>
        <v>0.20250000000000001</v>
      </c>
      <c r="N140" s="1411">
        <f t="shared" si="579"/>
        <v>0.20947428571428572</v>
      </c>
      <c r="O140" s="1411">
        <f t="shared" si="579"/>
        <v>0.22780285714285714</v>
      </c>
      <c r="P140" s="1411">
        <f t="shared" si="579"/>
        <v>0.21780285714285713</v>
      </c>
      <c r="Q140" s="1411">
        <f t="shared" si="579"/>
        <v>0.20780285714285709</v>
      </c>
      <c r="R140" s="1411">
        <f t="shared" si="579"/>
        <v>0.19780285714285709</v>
      </c>
      <c r="S140" s="1411">
        <f t="shared" si="579"/>
        <v>0.1878028571428571</v>
      </c>
      <c r="T140" s="1411">
        <f t="shared" si="579"/>
        <v>0.1778028571428571</v>
      </c>
      <c r="U140" s="1411">
        <f t="shared" si="579"/>
        <v>0.16780285714285709</v>
      </c>
      <c r="V140" s="1411">
        <f t="shared" si="579"/>
        <v>0.15780285714285708</v>
      </c>
      <c r="W140" s="1411">
        <f t="shared" si="579"/>
        <v>0.14780285714285707</v>
      </c>
      <c r="X140" s="1411">
        <f t="shared" si="579"/>
        <v>0.13780285714285706</v>
      </c>
      <c r="Y140" s="1411">
        <f t="shared" si="579"/>
        <v>0.12780285714285705</v>
      </c>
      <c r="Z140" s="1411">
        <f t="shared" si="579"/>
        <v>0.11780285714285707</v>
      </c>
      <c r="AA140" s="1411">
        <f t="shared" si="579"/>
        <v>0.10780285714285705</v>
      </c>
      <c r="AB140" s="1411">
        <f t="shared" si="579"/>
        <v>9.7802857142857066E-2</v>
      </c>
      <c r="AC140" s="1411">
        <f t="shared" si="579"/>
        <v>8.7802857142857071E-2</v>
      </c>
      <c r="AD140" s="1411">
        <f t="shared" si="579"/>
        <v>7.7802857142857076E-2</v>
      </c>
      <c r="AE140" s="791"/>
      <c r="AF140" s="792"/>
      <c r="AJ140" s="1402"/>
      <c r="AK140" s="1402"/>
      <c r="AL140" s="1402"/>
      <c r="AM140" s="1402"/>
      <c r="AN140" s="1402"/>
      <c r="AO140" s="1402"/>
      <c r="AP140" s="1402"/>
      <c r="AQ140" s="1402"/>
      <c r="AR140" s="1402"/>
      <c r="AS140" s="1402"/>
      <c r="AT140" s="1402"/>
      <c r="AU140" s="1402"/>
      <c r="AV140" s="1402"/>
      <c r="AW140" s="1402"/>
      <c r="AX140" s="1402"/>
      <c r="AY140" s="1402"/>
      <c r="AZ140" s="1402"/>
      <c r="BA140" s="1402"/>
      <c r="BB140" s="1402"/>
      <c r="BC140" s="1402"/>
      <c r="BD140" s="1402"/>
      <c r="BE140" s="1402"/>
      <c r="BF140" s="1402"/>
      <c r="BG140" s="1402"/>
      <c r="BH140" s="1402"/>
      <c r="BI140" s="1402"/>
      <c r="BJ140" s="1402"/>
      <c r="BK140" s="1402"/>
      <c r="BL140" s="1402"/>
      <c r="BM140" s="1402"/>
      <c r="BN140" s="1402"/>
      <c r="BO140" s="1410"/>
      <c r="BP140" s="1410"/>
      <c r="BQ140" s="1410"/>
      <c r="BR140" s="1410"/>
      <c r="BS140" s="1410"/>
      <c r="BT140" s="1410"/>
      <c r="BU140" s="1410"/>
      <c r="BV140" s="1410"/>
      <c r="BW140" s="1410"/>
      <c r="BX140" s="1410"/>
      <c r="BY140" s="1410"/>
      <c r="BZ140" s="1410"/>
      <c r="CA140" s="1410"/>
      <c r="CB140" s="1410"/>
      <c r="CC140" s="1410"/>
      <c r="CD140" s="1410"/>
      <c r="CE140" s="1410"/>
      <c r="CF140" s="1410"/>
      <c r="CG140" s="1410"/>
      <c r="CH140" s="1304"/>
      <c r="CI140" s="1304"/>
    </row>
    <row r="141" spans="4:100" ht="16" thickBot="1">
      <c r="D141" s="181"/>
      <c r="E141" s="137"/>
      <c r="F141" s="137"/>
      <c r="G141" s="812"/>
      <c r="H141" s="137"/>
      <c r="I141" s="137"/>
      <c r="J141" s="137"/>
      <c r="K141" s="137"/>
      <c r="L141" s="137"/>
      <c r="M141" s="137"/>
      <c r="N141" s="137"/>
      <c r="O141" s="137"/>
      <c r="P141" s="39"/>
      <c r="Q141" s="39"/>
      <c r="R141" s="39"/>
      <c r="S141" s="39"/>
      <c r="T141" s="39"/>
      <c r="U141" s="39"/>
      <c r="V141" s="39"/>
      <c r="W141" s="39"/>
      <c r="X141" s="39"/>
      <c r="Y141" s="39"/>
      <c r="Z141" s="39"/>
      <c r="AA141" s="39"/>
      <c r="AB141" s="39"/>
      <c r="AC141" s="39"/>
      <c r="AD141" s="39"/>
      <c r="AF141" s="123"/>
      <c r="AJ141" s="109"/>
      <c r="AK141" s="109"/>
      <c r="AL141" s="109"/>
      <c r="AM141" s="109"/>
      <c r="AN141" s="919"/>
      <c r="AO141" s="919"/>
      <c r="AP141" s="919"/>
      <c r="AQ141" s="919"/>
      <c r="AR141" s="919"/>
      <c r="AS141" s="919"/>
      <c r="AT141" s="919"/>
      <c r="AU141" s="919"/>
      <c r="AV141" s="919"/>
      <c r="AW141" s="241"/>
      <c r="AX141" s="241"/>
      <c r="AY141" s="241"/>
      <c r="AZ141" s="241"/>
      <c r="BA141" s="241"/>
      <c r="BB141" s="241"/>
      <c r="BC141" s="241"/>
      <c r="BD141" s="241"/>
      <c r="BE141" s="241"/>
      <c r="BF141" s="241"/>
      <c r="BG141" s="109"/>
      <c r="BH141" s="109"/>
      <c r="BI141" s="109"/>
      <c r="BJ141" s="109"/>
      <c r="BK141" s="109"/>
      <c r="BL141" s="109"/>
      <c r="BM141" s="109"/>
      <c r="BN141" s="109"/>
      <c r="BO141" s="919"/>
      <c r="BP141" s="919"/>
      <c r="BQ141" s="919"/>
      <c r="BR141" s="919"/>
      <c r="BS141" s="919"/>
      <c r="BT141" s="919"/>
      <c r="BU141" s="919"/>
      <c r="BV141" s="919"/>
      <c r="BW141" s="919"/>
      <c r="BX141" s="919"/>
      <c r="BY141" s="919"/>
      <c r="BZ141" s="919"/>
      <c r="CA141" s="919"/>
      <c r="CB141" s="919"/>
      <c r="CC141" s="919"/>
      <c r="CD141" s="919"/>
      <c r="CE141" s="919"/>
      <c r="CF141" s="919"/>
      <c r="CG141" s="919"/>
      <c r="CH141" s="1213"/>
      <c r="CI141" s="1213"/>
    </row>
    <row r="142" spans="4:100" ht="16" thickBot="1">
      <c r="D142" s="694" t="s">
        <v>1489</v>
      </c>
      <c r="E142" s="695" t="s">
        <v>216</v>
      </c>
      <c r="F142" s="695" t="s">
        <v>217</v>
      </c>
      <c r="G142" s="694" t="s">
        <v>218</v>
      </c>
      <c r="H142" s="695" t="s">
        <v>28</v>
      </c>
      <c r="I142" s="695" t="s">
        <v>17</v>
      </c>
      <c r="J142" s="695" t="s">
        <v>18</v>
      </c>
      <c r="K142" s="695" t="s">
        <v>19</v>
      </c>
      <c r="L142" s="695" t="s">
        <v>20</v>
      </c>
      <c r="M142" s="695" t="s">
        <v>21</v>
      </c>
      <c r="N142" s="695" t="s">
        <v>22</v>
      </c>
      <c r="O142" s="695" t="s">
        <v>23</v>
      </c>
      <c r="P142" s="404" t="s">
        <v>24</v>
      </c>
      <c r="Q142" s="404" t="s">
        <v>25</v>
      </c>
      <c r="R142" s="404" t="s">
        <v>26</v>
      </c>
      <c r="S142" s="404" t="s">
        <v>27</v>
      </c>
      <c r="T142" s="404" t="s">
        <v>712</v>
      </c>
      <c r="U142" s="404" t="s">
        <v>713</v>
      </c>
      <c r="V142" s="404" t="s">
        <v>714</v>
      </c>
      <c r="W142" s="404" t="s">
        <v>715</v>
      </c>
      <c r="X142" s="404" t="s">
        <v>716</v>
      </c>
      <c r="Y142" s="404" t="s">
        <v>717</v>
      </c>
      <c r="Z142" s="404" t="s">
        <v>718</v>
      </c>
      <c r="AA142" s="404" t="s">
        <v>719</v>
      </c>
      <c r="AB142" s="404" t="s">
        <v>720</v>
      </c>
      <c r="AC142" s="404" t="s">
        <v>721</v>
      </c>
      <c r="AD142" s="404" t="s">
        <v>722</v>
      </c>
      <c r="AE142" s="1379" t="s">
        <v>1445</v>
      </c>
      <c r="AF142" s="1380" t="s">
        <v>1446</v>
      </c>
      <c r="AJ142" s="307" t="s">
        <v>1658</v>
      </c>
      <c r="AK142" s="241"/>
      <c r="AL142" s="241"/>
      <c r="AM142" s="241"/>
      <c r="AN142" s="241"/>
      <c r="AO142" s="241"/>
      <c r="AP142" s="241"/>
      <c r="AQ142" s="241"/>
      <c r="AR142" s="241"/>
      <c r="AS142" s="241"/>
      <c r="AT142" s="241"/>
      <c r="AU142" s="241"/>
      <c r="AV142" s="241"/>
      <c r="AW142" s="307" t="s">
        <v>1658</v>
      </c>
      <c r="AX142" s="109"/>
      <c r="AY142" s="109"/>
      <c r="AZ142" s="109"/>
      <c r="BA142" s="109"/>
      <c r="BB142" s="109"/>
      <c r="BC142" s="109"/>
      <c r="BD142" s="109"/>
      <c r="BE142" s="919"/>
      <c r="BF142" s="919"/>
      <c r="BG142" s="307" t="s">
        <v>1658</v>
      </c>
      <c r="BH142" s="241"/>
      <c r="BI142" s="241"/>
      <c r="BJ142" s="241"/>
      <c r="BK142" s="241"/>
      <c r="BL142" s="241"/>
      <c r="BM142" s="241"/>
      <c r="BN142" s="241"/>
      <c r="BO142" s="692"/>
      <c r="BP142" s="692"/>
      <c r="BQ142" s="692"/>
      <c r="BR142" s="692"/>
      <c r="BS142" s="692"/>
      <c r="BT142" s="307" t="s">
        <v>1658</v>
      </c>
      <c r="BU142" s="692"/>
      <c r="BV142" s="692"/>
      <c r="BW142" s="692"/>
      <c r="BX142" s="692"/>
      <c r="BY142" s="692"/>
      <c r="BZ142" s="692"/>
      <c r="CA142" s="692"/>
      <c r="CB142" s="692"/>
      <c r="CC142" s="692"/>
      <c r="CD142" s="692"/>
      <c r="CE142" s="692"/>
      <c r="CF142" s="692"/>
      <c r="CG142" s="692"/>
      <c r="CH142" s="1304"/>
      <c r="CI142" s="1304"/>
    </row>
    <row r="143" spans="4:100" s="160" customFormat="1">
      <c r="D143" s="874" t="s">
        <v>1151</v>
      </c>
      <c r="E143" s="190"/>
      <c r="F143" s="190"/>
      <c r="G143" s="874"/>
      <c r="H143" s="190"/>
      <c r="I143" s="190">
        <v>1090</v>
      </c>
      <c r="J143" s="190">
        <v>3505</v>
      </c>
      <c r="K143" s="190">
        <v>4060</v>
      </c>
      <c r="L143" s="1390">
        <v>4314</v>
      </c>
      <c r="M143" s="1390">
        <v>7826</v>
      </c>
      <c r="N143" s="1390">
        <v>7783</v>
      </c>
      <c r="O143" s="1390">
        <v>13444</v>
      </c>
      <c r="P143" s="1390">
        <f>P145*P152</f>
        <v>13578.439999999999</v>
      </c>
      <c r="Q143" s="1390">
        <f t="shared" ref="Q143:Y143" si="580">Q145*Q152</f>
        <v>13714.224399999999</v>
      </c>
      <c r="R143" s="1390">
        <f t="shared" si="580"/>
        <v>13851.366644</v>
      </c>
      <c r="S143" s="1390">
        <f t="shared" si="580"/>
        <v>13989.880310440001</v>
      </c>
      <c r="T143" s="1390">
        <f t="shared" si="580"/>
        <v>14129.7791135444</v>
      </c>
      <c r="U143" s="1390">
        <f t="shared" si="580"/>
        <v>14271.076904679845</v>
      </c>
      <c r="V143" s="1390">
        <f t="shared" si="580"/>
        <v>14413.787673726643</v>
      </c>
      <c r="W143" s="1390">
        <f t="shared" si="580"/>
        <v>14557.925550463911</v>
      </c>
      <c r="X143" s="1390">
        <f t="shared" si="580"/>
        <v>14703.50480596855</v>
      </c>
      <c r="Y143" s="1390">
        <f t="shared" si="580"/>
        <v>14850.539854028237</v>
      </c>
      <c r="Z143" s="1390">
        <f>Z145*Z152</f>
        <v>14999.045252568521</v>
      </c>
      <c r="AA143" s="1390">
        <f t="shared" ref="AA143:AD143" si="581">AA145*AA152</f>
        <v>15149.035705094206</v>
      </c>
      <c r="AB143" s="1390">
        <f t="shared" si="581"/>
        <v>15300.526062145149</v>
      </c>
      <c r="AC143" s="1390">
        <f t="shared" si="581"/>
        <v>15453.531322766601</v>
      </c>
      <c r="AD143" s="1390">
        <f t="shared" si="581"/>
        <v>15608.066635994268</v>
      </c>
      <c r="AE143" s="846">
        <f>(O143/L143)^(1/3)-1</f>
        <v>0.46066106958793585</v>
      </c>
      <c r="AF143" s="1399">
        <f>(T143/P143)^(1/4)-1</f>
        <v>1.0000000000000009E-2</v>
      </c>
      <c r="AJ143" s="240"/>
      <c r="AK143" s="242"/>
      <c r="AL143" s="242"/>
      <c r="AM143" s="242"/>
      <c r="AN143" s="242"/>
      <c r="AO143" s="242"/>
      <c r="AP143" s="242"/>
      <c r="AQ143" s="242"/>
      <c r="AR143" s="1216"/>
      <c r="AS143" s="1216"/>
      <c r="AT143" s="1216"/>
      <c r="AU143" s="1216"/>
      <c r="AV143" s="1216"/>
      <c r="AW143" s="241"/>
      <c r="AX143" s="241"/>
      <c r="AY143" s="241"/>
      <c r="AZ143" s="241"/>
      <c r="BA143" s="241"/>
      <c r="BB143" s="241"/>
      <c r="BC143" s="241"/>
      <c r="BD143" s="241"/>
      <c r="BE143" s="241"/>
      <c r="BF143" s="241"/>
      <c r="BG143" s="240"/>
      <c r="BH143" s="242"/>
      <c r="BI143" s="242"/>
      <c r="BJ143" s="242"/>
      <c r="BK143" s="242"/>
      <c r="BL143" s="242"/>
      <c r="BM143" s="242"/>
      <c r="BN143" s="242"/>
      <c r="BO143" s="1216"/>
      <c r="BP143" s="1216"/>
      <c r="BQ143" s="1216"/>
      <c r="BR143" s="1216"/>
      <c r="BS143" s="1216"/>
      <c r="BT143" s="1216"/>
      <c r="BU143" s="1216"/>
      <c r="BV143" s="1216"/>
      <c r="BW143" s="1216"/>
      <c r="BX143" s="1216"/>
      <c r="BY143" s="1216"/>
      <c r="BZ143" s="1216"/>
      <c r="CA143" s="1216"/>
      <c r="CB143" s="1216"/>
      <c r="CC143" s="1216"/>
      <c r="CD143" s="1216"/>
      <c r="CE143" s="1216"/>
      <c r="CF143" s="1216"/>
      <c r="CG143" s="1216"/>
      <c r="CH143" s="1213"/>
      <c r="CI143" s="1213"/>
    </row>
    <row r="144" spans="4:100" s="1403" customFormat="1" ht="14">
      <c r="D144" s="1418" t="s">
        <v>832</v>
      </c>
      <c r="E144" s="1402"/>
      <c r="F144" s="1402"/>
      <c r="G144" s="1418"/>
      <c r="H144" s="1402"/>
      <c r="I144" s="1402"/>
      <c r="J144" s="1402">
        <f t="shared" ref="J144" si="582">(J143/I143)-1</f>
        <v>2.2155963302752295</v>
      </c>
      <c r="K144" s="1402">
        <f t="shared" ref="K144" si="583">(K143/J143)-1</f>
        <v>0.15834522111269611</v>
      </c>
      <c r="L144" s="1410">
        <f>(L143/K143)-1</f>
        <v>6.2561576354679849E-2</v>
      </c>
      <c r="M144" s="1410">
        <f t="shared" ref="M144" si="584">(M143/L143)-1</f>
        <v>0.81409364858599909</v>
      </c>
      <c r="N144" s="1410">
        <f t="shared" ref="N144" si="585">(N143/M143)-1</f>
        <v>-5.494505494505475E-3</v>
      </c>
      <c r="O144" s="1410">
        <f t="shared" ref="O144" si="586">(O143/N143)-1</f>
        <v>0.72735449055634072</v>
      </c>
      <c r="P144" s="1410">
        <f t="shared" ref="P144" si="587">(P143/O143)-1</f>
        <v>1.0000000000000009E-2</v>
      </c>
      <c r="Q144" s="1410">
        <f t="shared" ref="Q144" si="588">(Q143/P143)-1</f>
        <v>1.0000000000000009E-2</v>
      </c>
      <c r="R144" s="1410">
        <f t="shared" ref="R144" si="589">(R143/Q143)-1</f>
        <v>1.0000000000000009E-2</v>
      </c>
      <c r="S144" s="1410">
        <f t="shared" ref="S144" si="590">(S143/R143)-1</f>
        <v>1.0000000000000009E-2</v>
      </c>
      <c r="T144" s="1410">
        <f t="shared" ref="T144" si="591">(T143/S143)-1</f>
        <v>1.0000000000000009E-2</v>
      </c>
      <c r="U144" s="1410">
        <f t="shared" ref="U144" si="592">(U143/T143)-1</f>
        <v>1.0000000000000009E-2</v>
      </c>
      <c r="V144" s="1410">
        <f t="shared" ref="V144" si="593">(V143/U143)-1</f>
        <v>1.0000000000000009E-2</v>
      </c>
      <c r="W144" s="1410">
        <f t="shared" ref="W144" si="594">(W143/V143)-1</f>
        <v>1.0000000000000009E-2</v>
      </c>
      <c r="X144" s="1410">
        <f t="shared" ref="X144" si="595">(X143/W143)-1</f>
        <v>1.0000000000000009E-2</v>
      </c>
      <c r="Y144" s="1410">
        <f t="shared" ref="Y144" si="596">(Y143/X143)-1</f>
        <v>1.0000000000000009E-2</v>
      </c>
      <c r="Z144" s="1410">
        <f t="shared" ref="Z144" si="597">(Z143/Y143)-1</f>
        <v>1.0000000000000231E-2</v>
      </c>
      <c r="AA144" s="1410">
        <f t="shared" ref="AA144" si="598">(AA143/Z143)-1</f>
        <v>1.0000000000000009E-2</v>
      </c>
      <c r="AB144" s="1410">
        <f t="shared" ref="AB144" si="599">(AB143/AA143)-1</f>
        <v>1.0000000000000009E-2</v>
      </c>
      <c r="AC144" s="1410">
        <f t="shared" ref="AC144" si="600">(AC143/AB143)-1</f>
        <v>1.0000000000000009E-2</v>
      </c>
      <c r="AD144" s="1410">
        <f t="shared" ref="AD144" si="601">(AD143/AC143)-1</f>
        <v>1.0000000000000009E-2</v>
      </c>
      <c r="AE144" s="793"/>
      <c r="AF144" s="794"/>
      <c r="AJ144" s="1402"/>
      <c r="AK144" s="1402"/>
      <c r="AL144" s="1402"/>
      <c r="AM144" s="1402"/>
      <c r="AN144" s="1402"/>
      <c r="AO144" s="1402"/>
      <c r="AP144" s="1402"/>
      <c r="AQ144" s="1402"/>
      <c r="AR144" s="1402"/>
      <c r="AS144" s="1402"/>
      <c r="AT144" s="1402"/>
      <c r="AU144" s="1402"/>
      <c r="AV144" s="1402"/>
      <c r="AW144" s="245"/>
      <c r="AX144" s="244"/>
      <c r="AY144" s="244"/>
      <c r="AZ144" s="244"/>
      <c r="BA144" s="244"/>
      <c r="BB144" s="244"/>
      <c r="BC144" s="244"/>
      <c r="BD144" s="244"/>
      <c r="BE144" s="913"/>
      <c r="BF144" s="913"/>
      <c r="BG144" s="1402"/>
      <c r="BH144" s="1402"/>
      <c r="BI144" s="1402"/>
      <c r="BJ144" s="1402"/>
      <c r="BK144" s="1402"/>
      <c r="BL144" s="1402"/>
      <c r="BM144" s="1402"/>
      <c r="BN144" s="1402"/>
      <c r="BO144" s="1410"/>
      <c r="BP144" s="1410"/>
      <c r="BQ144" s="1410"/>
      <c r="BR144" s="1410"/>
      <c r="BS144" s="1410"/>
      <c r="BT144" s="1410"/>
      <c r="BU144" s="1410"/>
      <c r="BV144" s="1410"/>
      <c r="BW144" s="1410"/>
      <c r="BX144" s="1410"/>
      <c r="BY144" s="1410"/>
      <c r="BZ144" s="1410"/>
      <c r="CA144" s="1410"/>
      <c r="CB144" s="1410"/>
      <c r="CC144" s="1410"/>
      <c r="CD144" s="1410"/>
      <c r="CE144" s="1410"/>
      <c r="CF144" s="1410"/>
      <c r="CG144" s="1410"/>
      <c r="CH144" s="1305"/>
      <c r="CI144" s="1305"/>
    </row>
    <row r="145" spans="4:87" s="1403" customFormat="1" ht="14">
      <c r="D145" s="1418" t="s">
        <v>1152</v>
      </c>
      <c r="E145" s="1402"/>
      <c r="F145" s="1402"/>
      <c r="G145" s="1418"/>
      <c r="H145" s="1402"/>
      <c r="I145" s="1402">
        <f t="shared" ref="I145:K145" si="602">I143/I152</f>
        <v>1.1001433214235249E-2</v>
      </c>
      <c r="J145" s="1402">
        <f t="shared" si="602"/>
        <v>3.5006591826135594E-2</v>
      </c>
      <c r="K145" s="1402">
        <f t="shared" si="602"/>
        <v>3.6863179494629417E-2</v>
      </c>
      <c r="L145" s="1410">
        <f>L143/L152</f>
        <v>3.151159223386072E-2</v>
      </c>
      <c r="M145" s="1410">
        <f t="shared" ref="M145:N145" si="603">M143/M152</f>
        <v>6.0182871029014817E-2</v>
      </c>
      <c r="N145" s="1410">
        <f t="shared" si="603"/>
        <v>6.0068844159051615E-2</v>
      </c>
      <c r="O145" s="1410">
        <f>O143/O152</f>
        <v>0.109283043407576</v>
      </c>
      <c r="P145" s="1410">
        <f>O145</f>
        <v>0.109283043407576</v>
      </c>
      <c r="Q145" s="1410">
        <f>P145</f>
        <v>0.109283043407576</v>
      </c>
      <c r="R145" s="1410">
        <f>Q145</f>
        <v>0.109283043407576</v>
      </c>
      <c r="S145" s="1410">
        <f t="shared" ref="S145:AD145" si="604">R145</f>
        <v>0.109283043407576</v>
      </c>
      <c r="T145" s="1410">
        <f t="shared" si="604"/>
        <v>0.109283043407576</v>
      </c>
      <c r="U145" s="1410">
        <f t="shared" si="604"/>
        <v>0.109283043407576</v>
      </c>
      <c r="V145" s="1410">
        <f t="shared" si="604"/>
        <v>0.109283043407576</v>
      </c>
      <c r="W145" s="1410">
        <f t="shared" si="604"/>
        <v>0.109283043407576</v>
      </c>
      <c r="X145" s="1410">
        <f t="shared" si="604"/>
        <v>0.109283043407576</v>
      </c>
      <c r="Y145" s="1410">
        <f t="shared" si="604"/>
        <v>0.109283043407576</v>
      </c>
      <c r="Z145" s="1410">
        <f t="shared" si="604"/>
        <v>0.109283043407576</v>
      </c>
      <c r="AA145" s="1410">
        <f t="shared" si="604"/>
        <v>0.109283043407576</v>
      </c>
      <c r="AB145" s="1410">
        <f t="shared" si="604"/>
        <v>0.109283043407576</v>
      </c>
      <c r="AC145" s="1410">
        <f t="shared" si="604"/>
        <v>0.109283043407576</v>
      </c>
      <c r="AD145" s="1410">
        <f t="shared" si="604"/>
        <v>0.109283043407576</v>
      </c>
      <c r="AE145" s="793"/>
      <c r="AF145" s="794"/>
      <c r="AJ145" s="1402"/>
      <c r="AK145" s="1402"/>
      <c r="AL145" s="1402"/>
      <c r="AM145" s="1402"/>
      <c r="AN145" s="1402"/>
      <c r="AO145" s="1402"/>
      <c r="AP145" s="1402"/>
      <c r="AQ145" s="1402"/>
      <c r="AR145" s="1402"/>
      <c r="AS145" s="1402"/>
      <c r="AT145" s="1402"/>
      <c r="AU145" s="1402"/>
      <c r="AV145" s="1402"/>
      <c r="AW145" s="1402"/>
      <c r="AX145" s="1402"/>
      <c r="AY145" s="1402"/>
      <c r="AZ145" s="1402"/>
      <c r="BA145" s="1402"/>
      <c r="BB145" s="1402"/>
      <c r="BC145" s="1402"/>
      <c r="BD145" s="1402"/>
      <c r="BE145" s="1402"/>
      <c r="BF145" s="1402"/>
      <c r="BG145" s="1402"/>
      <c r="BH145" s="1402"/>
      <c r="BI145" s="1402"/>
      <c r="BJ145" s="1402"/>
      <c r="BK145" s="1402"/>
      <c r="BL145" s="1402"/>
      <c r="BM145" s="1402"/>
      <c r="BN145" s="1402"/>
      <c r="BO145" s="1410"/>
      <c r="BP145" s="1410"/>
      <c r="BQ145" s="1410"/>
      <c r="BR145" s="1410"/>
      <c r="BS145" s="1410"/>
      <c r="BT145" s="1410"/>
      <c r="BU145" s="1410"/>
      <c r="BV145" s="1410"/>
      <c r="BW145" s="1410"/>
      <c r="BX145" s="1410"/>
      <c r="BY145" s="1410"/>
      <c r="BZ145" s="1410"/>
      <c r="CA145" s="1410"/>
      <c r="CB145" s="1410"/>
      <c r="CC145" s="1410"/>
      <c r="CD145" s="1410"/>
      <c r="CE145" s="1410"/>
      <c r="CF145" s="1410"/>
      <c r="CG145" s="1410"/>
      <c r="CH145" s="1305"/>
      <c r="CI145" s="1305"/>
    </row>
    <row r="146" spans="4:87" s="160" customFormat="1">
      <c r="D146" s="874" t="s">
        <v>1153</v>
      </c>
      <c r="E146" s="190"/>
      <c r="F146" s="190"/>
      <c r="G146" s="874"/>
      <c r="H146" s="190"/>
      <c r="I146" s="190">
        <v>2093</v>
      </c>
      <c r="J146" s="190"/>
      <c r="K146" s="190"/>
      <c r="L146" s="1390">
        <v>2778</v>
      </c>
      <c r="M146" s="1390">
        <v>2858</v>
      </c>
      <c r="N146" s="1390">
        <v>2591</v>
      </c>
      <c r="O146" s="1390">
        <v>2460</v>
      </c>
      <c r="P146" s="1390">
        <f>P148*P152</f>
        <v>3105.8510000000001</v>
      </c>
      <c r="Q146" s="1390">
        <f t="shared" ref="Q146:AD146" si="605">Q148*Q152</f>
        <v>3764.3730200000005</v>
      </c>
      <c r="R146" s="1390">
        <f t="shared" si="605"/>
        <v>3802.0167502000008</v>
      </c>
      <c r="S146" s="1390">
        <f t="shared" si="605"/>
        <v>3840.0369177020011</v>
      </c>
      <c r="T146" s="1390">
        <f t="shared" si="605"/>
        <v>3878.437286879021</v>
      </c>
      <c r="U146" s="1390">
        <f t="shared" si="605"/>
        <v>3917.2216597478114</v>
      </c>
      <c r="V146" s="1390">
        <f t="shared" si="605"/>
        <v>3956.3938763452893</v>
      </c>
      <c r="W146" s="1390">
        <f t="shared" si="605"/>
        <v>3995.9578151087426</v>
      </c>
      <c r="X146" s="1390">
        <f t="shared" si="605"/>
        <v>4035.9173932598301</v>
      </c>
      <c r="Y146" s="1390">
        <f t="shared" si="605"/>
        <v>4076.2765671924285</v>
      </c>
      <c r="Z146" s="1390">
        <f t="shared" si="605"/>
        <v>4117.0393328643531</v>
      </c>
      <c r="AA146" s="1390">
        <f t="shared" si="605"/>
        <v>4158.2097261929966</v>
      </c>
      <c r="AB146" s="1390">
        <f t="shared" si="605"/>
        <v>4199.791823454927</v>
      </c>
      <c r="AC146" s="1390">
        <f t="shared" si="605"/>
        <v>4241.7897416894766</v>
      </c>
      <c r="AD146" s="1390">
        <f t="shared" si="605"/>
        <v>4284.207639106372</v>
      </c>
      <c r="AE146" s="846">
        <f>(O146/L146)^(1/3)-1</f>
        <v>-3.9713208635036357E-2</v>
      </c>
      <c r="AF146" s="1399">
        <f>(T146/P146)^(1/4)-1</f>
        <v>5.7107220100503397E-2</v>
      </c>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1220"/>
      <c r="BY146" s="1220"/>
    </row>
    <row r="147" spans="4:87" s="1403" customFormat="1" ht="14">
      <c r="D147" s="1418" t="s">
        <v>832</v>
      </c>
      <c r="E147" s="1402"/>
      <c r="F147" s="1402"/>
      <c r="G147" s="1418"/>
      <c r="H147" s="1402"/>
      <c r="I147" s="1402" t="e">
        <f t="shared" ref="I147" si="606">(I146/H146)-1</f>
        <v>#DIV/0!</v>
      </c>
      <c r="J147" s="1402">
        <f t="shared" ref="J147" si="607">(J146/I146)-1</f>
        <v>-1</v>
      </c>
      <c r="K147" s="1402" t="e">
        <f t="shared" ref="K147" si="608">(K146/J146)-1</f>
        <v>#DIV/0!</v>
      </c>
      <c r="L147" s="1410"/>
      <c r="M147" s="1410">
        <f t="shared" ref="M147" si="609">(M146/L146)-1</f>
        <v>2.8797696184305277E-2</v>
      </c>
      <c r="N147" s="1410">
        <f t="shared" ref="N147" si="610">(N146/M146)-1</f>
        <v>-9.3421973407977643E-2</v>
      </c>
      <c r="O147" s="1410">
        <f t="shared" ref="O147" si="611">(O146/N146)-1</f>
        <v>-5.0559629486684687E-2</v>
      </c>
      <c r="P147" s="1410">
        <f t="shared" ref="P147" si="612">(P146/O146)-1</f>
        <v>0.26254105691056906</v>
      </c>
      <c r="Q147" s="1410">
        <f t="shared" ref="Q147" si="613">(Q146/P146)-1</f>
        <v>0.21202627556827425</v>
      </c>
      <c r="R147" s="1410">
        <f t="shared" ref="R147" si="614">(R146/Q146)-1</f>
        <v>1.0000000000000009E-2</v>
      </c>
      <c r="S147" s="1410">
        <f t="shared" ref="S147" si="615">(S146/R146)-1</f>
        <v>1.0000000000000009E-2</v>
      </c>
      <c r="T147" s="1410">
        <f t="shared" ref="T147" si="616">(T146/S146)-1</f>
        <v>1.0000000000000009E-2</v>
      </c>
      <c r="U147" s="1410">
        <f t="shared" ref="U147" si="617">(U146/T146)-1</f>
        <v>1.0000000000000009E-2</v>
      </c>
      <c r="V147" s="1410">
        <f t="shared" ref="V147" si="618">(V146/U146)-1</f>
        <v>1.0000000000000009E-2</v>
      </c>
      <c r="W147" s="1410">
        <f t="shared" ref="W147" si="619">(W146/V146)-1</f>
        <v>1.0000000000000009E-2</v>
      </c>
      <c r="X147" s="1410">
        <f t="shared" ref="X147" si="620">(X146/W146)-1</f>
        <v>1.0000000000000009E-2</v>
      </c>
      <c r="Y147" s="1410">
        <f t="shared" ref="Y147" si="621">(Y146/X146)-1</f>
        <v>1.0000000000000009E-2</v>
      </c>
      <c r="Z147" s="1410">
        <f t="shared" ref="Z147" si="622">(Z146/Y146)-1</f>
        <v>1.0000000000000009E-2</v>
      </c>
      <c r="AA147" s="1410">
        <f t="shared" ref="AA147" si="623">(AA146/Z146)-1</f>
        <v>1.0000000000000009E-2</v>
      </c>
      <c r="AB147" s="1410">
        <f t="shared" ref="AB147" si="624">(AB146/AA146)-1</f>
        <v>1.0000000000000009E-2</v>
      </c>
      <c r="AC147" s="1410">
        <f t="shared" ref="AC147" si="625">(AC146/AB146)-1</f>
        <v>1.0000000000000009E-2</v>
      </c>
      <c r="AD147" s="1410">
        <f t="shared" ref="AD147" si="626">(AD146/AC146)-1</f>
        <v>1.0000000000000231E-2</v>
      </c>
      <c r="AE147" s="793"/>
      <c r="AF147" s="794"/>
    </row>
    <row r="148" spans="4:87" s="1403" customFormat="1" ht="14">
      <c r="D148" s="1418" t="s">
        <v>1152</v>
      </c>
      <c r="E148" s="1402"/>
      <c r="F148" s="1402"/>
      <c r="G148" s="1418"/>
      <c r="H148" s="1402"/>
      <c r="I148" s="1402">
        <f t="shared" ref="I148:K148" si="627">I146/I152</f>
        <v>2.1124770382930619E-2</v>
      </c>
      <c r="J148" s="1402">
        <f t="shared" si="627"/>
        <v>0</v>
      </c>
      <c r="K148" s="1402">
        <f t="shared" si="627"/>
        <v>0</v>
      </c>
      <c r="L148" s="1410">
        <f>L146/L152</f>
        <v>2.0291887627646055E-2</v>
      </c>
      <c r="M148" s="1410">
        <f t="shared" ref="M148" si="628">M146/M152</f>
        <v>2.1978360005229281E-2</v>
      </c>
      <c r="N148" s="1410">
        <f>N146/N152</f>
        <v>1.9997221536181772E-2</v>
      </c>
      <c r="O148" s="1410">
        <f>O146/O152</f>
        <v>1.9996748496179485E-2</v>
      </c>
      <c r="P148" s="1410">
        <f>O148+0.5%</f>
        <v>2.4996748496179486E-2</v>
      </c>
      <c r="Q148" s="1410">
        <f>P148+0.5%</f>
        <v>2.9996748496179487E-2</v>
      </c>
      <c r="R148" s="1410">
        <f t="shared" ref="R148:AD148" si="629">Q148</f>
        <v>2.9996748496179487E-2</v>
      </c>
      <c r="S148" s="1410">
        <f t="shared" si="629"/>
        <v>2.9996748496179487E-2</v>
      </c>
      <c r="T148" s="1410">
        <f t="shared" si="629"/>
        <v>2.9996748496179487E-2</v>
      </c>
      <c r="U148" s="1410">
        <f t="shared" si="629"/>
        <v>2.9996748496179487E-2</v>
      </c>
      <c r="V148" s="1410">
        <f t="shared" si="629"/>
        <v>2.9996748496179487E-2</v>
      </c>
      <c r="W148" s="1410">
        <f t="shared" si="629"/>
        <v>2.9996748496179487E-2</v>
      </c>
      <c r="X148" s="1410">
        <f t="shared" si="629"/>
        <v>2.9996748496179487E-2</v>
      </c>
      <c r="Y148" s="1410">
        <f t="shared" si="629"/>
        <v>2.9996748496179487E-2</v>
      </c>
      <c r="Z148" s="1410">
        <f t="shared" si="629"/>
        <v>2.9996748496179487E-2</v>
      </c>
      <c r="AA148" s="1410">
        <f t="shared" si="629"/>
        <v>2.9996748496179487E-2</v>
      </c>
      <c r="AB148" s="1410">
        <f t="shared" si="629"/>
        <v>2.9996748496179487E-2</v>
      </c>
      <c r="AC148" s="1410">
        <f t="shared" si="629"/>
        <v>2.9996748496179487E-2</v>
      </c>
      <c r="AD148" s="1410">
        <f t="shared" si="629"/>
        <v>2.9996748496179487E-2</v>
      </c>
      <c r="AE148" s="793"/>
      <c r="AF148" s="794"/>
    </row>
    <row r="149" spans="4:87" s="160" customFormat="1">
      <c r="D149" s="874" t="s">
        <v>1154</v>
      </c>
      <c r="E149" s="190"/>
      <c r="F149" s="190"/>
      <c r="G149" s="874"/>
      <c r="H149" s="190"/>
      <c r="I149" s="190">
        <f>I152-I146-I143</f>
        <v>95895</v>
      </c>
      <c r="J149" s="190"/>
      <c r="K149" s="190"/>
      <c r="L149" s="1390">
        <v>129810</v>
      </c>
      <c r="M149" s="1390">
        <v>119353</v>
      </c>
      <c r="N149" s="1390">
        <v>119194</v>
      </c>
      <c r="O149" s="1390">
        <v>107116</v>
      </c>
      <c r="P149" s="1390">
        <f>P151*P152</f>
        <v>107565.909</v>
      </c>
      <c r="Q149" s="1390">
        <f t="shared" ref="Q149:AD149" si="630">Q151*Q152</f>
        <v>108014.10458</v>
      </c>
      <c r="R149" s="1390">
        <f t="shared" si="630"/>
        <v>109094.2456258</v>
      </c>
      <c r="S149" s="1390">
        <f t="shared" si="630"/>
        <v>110185.18808205801</v>
      </c>
      <c r="T149" s="1390">
        <f t="shared" si="630"/>
        <v>111287.0399628786</v>
      </c>
      <c r="U149" s="1390">
        <f t="shared" si="630"/>
        <v>112399.91036250738</v>
      </c>
      <c r="V149" s="1390">
        <f t="shared" si="630"/>
        <v>113523.90946613245</v>
      </c>
      <c r="W149" s="1390">
        <f t="shared" si="630"/>
        <v>114659.14856079378</v>
      </c>
      <c r="X149" s="1390">
        <f t="shared" si="630"/>
        <v>115805.74004640173</v>
      </c>
      <c r="Y149" s="1390">
        <f t="shared" si="630"/>
        <v>116963.79744686575</v>
      </c>
      <c r="Z149" s="1390">
        <f t="shared" si="630"/>
        <v>118133.43542133442</v>
      </c>
      <c r="AA149" s="1390">
        <f t="shared" si="630"/>
        <v>119314.76977554777</v>
      </c>
      <c r="AB149" s="1390">
        <f t="shared" si="630"/>
        <v>120507.91747330326</v>
      </c>
      <c r="AC149" s="1390">
        <f t="shared" si="630"/>
        <v>121712.99664803629</v>
      </c>
      <c r="AD149" s="1390">
        <f t="shared" si="630"/>
        <v>122930.12661451666</v>
      </c>
      <c r="AE149" s="846">
        <f>(O149/L149)^(1/3)-1</f>
        <v>-6.204486458979197E-2</v>
      </c>
      <c r="AF149" s="1399">
        <f>(T149/P149)^(1/4)-1</f>
        <v>8.5385074838031372E-3</v>
      </c>
    </row>
    <row r="150" spans="4:87" s="1403" customFormat="1" ht="14">
      <c r="D150" s="1418" t="s">
        <v>832</v>
      </c>
      <c r="E150" s="1402"/>
      <c r="F150" s="1402"/>
      <c r="G150" s="1418"/>
      <c r="H150" s="1402"/>
      <c r="I150" s="1402" t="e">
        <f t="shared" ref="I150" si="631">(I149/H149)-1</f>
        <v>#DIV/0!</v>
      </c>
      <c r="J150" s="1402">
        <f t="shared" ref="J150" si="632">(J149/I149)-1</f>
        <v>-1</v>
      </c>
      <c r="K150" s="1402" t="e">
        <f t="shared" ref="K150" si="633">(K149/J149)-1</f>
        <v>#DIV/0!</v>
      </c>
      <c r="L150" s="1410"/>
      <c r="M150" s="1410">
        <f t="shared" ref="M150" si="634">(M149/L149)-1</f>
        <v>-8.0556197519451533E-2</v>
      </c>
      <c r="N150" s="1410">
        <f t="shared" ref="N150" si="635">(N149/M149)-1</f>
        <v>-1.3321826849764795E-3</v>
      </c>
      <c r="O150" s="1410">
        <f t="shared" ref="O150" si="636">(O149/N149)-1</f>
        <v>-0.10133060388945747</v>
      </c>
      <c r="P150" s="1410">
        <f t="shared" ref="P150" si="637">(P149/O149)-1</f>
        <v>4.2002035176817998E-3</v>
      </c>
      <c r="Q150" s="1410">
        <f t="shared" ref="Q150" si="638">(Q149/P149)-1</f>
        <v>4.1667065724326768E-3</v>
      </c>
      <c r="R150" s="1410">
        <f t="shared" ref="R150" si="639">(R149/Q149)-1</f>
        <v>1.0000000000000009E-2</v>
      </c>
      <c r="S150" s="1410">
        <f t="shared" ref="S150" si="640">(S149/R149)-1</f>
        <v>1.0000000000000009E-2</v>
      </c>
      <c r="T150" s="1410">
        <f t="shared" ref="T150" si="641">(T149/S149)-1</f>
        <v>1.0000000000000009E-2</v>
      </c>
      <c r="U150" s="1410">
        <f t="shared" ref="U150" si="642">(U149/T149)-1</f>
        <v>1.0000000000000009E-2</v>
      </c>
      <c r="V150" s="1410">
        <f t="shared" ref="V150" si="643">(V149/U149)-1</f>
        <v>1.0000000000000009E-2</v>
      </c>
      <c r="W150" s="1410">
        <f t="shared" ref="W150" si="644">(W149/V149)-1</f>
        <v>1.0000000000000009E-2</v>
      </c>
      <c r="X150" s="1410">
        <f t="shared" ref="X150" si="645">(X149/W149)-1</f>
        <v>1.0000000000000009E-2</v>
      </c>
      <c r="Y150" s="1410">
        <f t="shared" ref="Y150" si="646">(Y149/X149)-1</f>
        <v>1.0000000000000009E-2</v>
      </c>
      <c r="Z150" s="1410">
        <f t="shared" ref="Z150" si="647">(Z149/Y149)-1</f>
        <v>1.0000000000000009E-2</v>
      </c>
      <c r="AA150" s="1410">
        <f t="shared" ref="AA150" si="648">(AA149/Z149)-1</f>
        <v>1.0000000000000009E-2</v>
      </c>
      <c r="AB150" s="1410">
        <f t="shared" ref="AB150" si="649">(AB149/AA149)-1</f>
        <v>1.0000000000000009E-2</v>
      </c>
      <c r="AC150" s="1410">
        <f t="shared" ref="AC150" si="650">(AC149/AB149)-1</f>
        <v>1.0000000000000009E-2</v>
      </c>
      <c r="AD150" s="1410">
        <f t="shared" ref="AD150" si="651">(AD149/AC149)-1</f>
        <v>1.0000000000000009E-2</v>
      </c>
      <c r="AE150" s="793"/>
      <c r="AF150" s="794"/>
    </row>
    <row r="151" spans="4:87" s="1403" customFormat="1" thickBot="1">
      <c r="D151" s="1418" t="s">
        <v>1152</v>
      </c>
      <c r="E151" s="1402"/>
      <c r="F151" s="1402"/>
      <c r="G151" s="1418"/>
      <c r="H151" s="1402"/>
      <c r="I151" s="1402">
        <f t="shared" ref="I151" si="652">I149/I152</f>
        <v>0.96787379640283411</v>
      </c>
      <c r="J151" s="1402">
        <f t="shared" ref="J151" si="653">J149/J152</f>
        <v>0</v>
      </c>
      <c r="K151" s="1402">
        <f t="shared" ref="K151" si="654">K149/K152</f>
        <v>0</v>
      </c>
      <c r="L151" s="1410">
        <f>L149/L152</f>
        <v>0.9481965201384932</v>
      </c>
      <c r="M151" s="1410">
        <f t="shared" ref="M151" si="655">M149/M152</f>
        <v>0.91783876896575589</v>
      </c>
      <c r="N151" s="1410">
        <f>N149/N152</f>
        <v>0.91993393430476655</v>
      </c>
      <c r="O151" s="1410">
        <f>O149/O152</f>
        <v>0.87072020809624451</v>
      </c>
      <c r="P151" s="1410">
        <f>1-P148-P145</f>
        <v>0.8657202080962445</v>
      </c>
      <c r="Q151" s="1410">
        <f t="shared" ref="Q151:AD151" si="656">1-Q148-Q145</f>
        <v>0.8607202080962445</v>
      </c>
      <c r="R151" s="1410">
        <f t="shared" si="656"/>
        <v>0.8607202080962445</v>
      </c>
      <c r="S151" s="1410">
        <f t="shared" si="656"/>
        <v>0.8607202080962445</v>
      </c>
      <c r="T151" s="1410">
        <f t="shared" si="656"/>
        <v>0.8607202080962445</v>
      </c>
      <c r="U151" s="1410">
        <f t="shared" si="656"/>
        <v>0.8607202080962445</v>
      </c>
      <c r="V151" s="1410">
        <f t="shared" si="656"/>
        <v>0.8607202080962445</v>
      </c>
      <c r="W151" s="1410">
        <f t="shared" si="656"/>
        <v>0.8607202080962445</v>
      </c>
      <c r="X151" s="1410">
        <f t="shared" si="656"/>
        <v>0.8607202080962445</v>
      </c>
      <c r="Y151" s="1410">
        <f t="shared" si="656"/>
        <v>0.8607202080962445</v>
      </c>
      <c r="Z151" s="1410">
        <f t="shared" si="656"/>
        <v>0.8607202080962445</v>
      </c>
      <c r="AA151" s="1410">
        <f t="shared" si="656"/>
        <v>0.8607202080962445</v>
      </c>
      <c r="AB151" s="1410">
        <f t="shared" si="656"/>
        <v>0.8607202080962445</v>
      </c>
      <c r="AC151" s="1410">
        <f t="shared" si="656"/>
        <v>0.8607202080962445</v>
      </c>
      <c r="AD151" s="1410">
        <f t="shared" si="656"/>
        <v>0.8607202080962445</v>
      </c>
      <c r="AE151" s="793"/>
      <c r="AF151" s="794"/>
    </row>
    <row r="152" spans="4:87" s="20" customFormat="1" ht="16" thickBot="1">
      <c r="D152" s="691" t="s">
        <v>103</v>
      </c>
      <c r="E152" s="174"/>
      <c r="F152" s="174"/>
      <c r="G152" s="691"/>
      <c r="H152" s="174"/>
      <c r="I152" s="174">
        <v>99078</v>
      </c>
      <c r="J152" s="174">
        <v>100124</v>
      </c>
      <c r="K152" s="174">
        <v>110137</v>
      </c>
      <c r="L152" s="843">
        <v>136902</v>
      </c>
      <c r="M152" s="843">
        <v>130037</v>
      </c>
      <c r="N152" s="843">
        <v>129568</v>
      </c>
      <c r="O152" s="843">
        <v>123020</v>
      </c>
      <c r="P152" s="843">
        <f>O152*(1+P153)</f>
        <v>124250.2</v>
      </c>
      <c r="Q152" s="843">
        <f t="shared" ref="Q152" si="657">P152*(1+Q153)</f>
        <v>125492.702</v>
      </c>
      <c r="R152" s="843">
        <f t="shared" ref="R152" si="658">Q152*(1+R153)</f>
        <v>126747.62902000001</v>
      </c>
      <c r="S152" s="843">
        <f t="shared" ref="S152" si="659">R152*(1+S153)</f>
        <v>128015.10531020002</v>
      </c>
      <c r="T152" s="843">
        <f t="shared" ref="T152" si="660">S152*(1+T153)</f>
        <v>129295.25636330202</v>
      </c>
      <c r="U152" s="843">
        <f t="shared" ref="U152" si="661">T152*(1+U153)</f>
        <v>130588.20892693504</v>
      </c>
      <c r="V152" s="843">
        <f t="shared" ref="V152" si="662">U152*(1+V153)</f>
        <v>131894.09101620439</v>
      </c>
      <c r="W152" s="843">
        <f t="shared" ref="W152" si="663">V152*(1+W153)</f>
        <v>133213.03192636644</v>
      </c>
      <c r="X152" s="843">
        <f t="shared" ref="X152" si="664">W152*(1+X153)</f>
        <v>134545.16224563011</v>
      </c>
      <c r="Y152" s="843">
        <f t="shared" ref="Y152" si="665">X152*(1+Y153)</f>
        <v>135890.61386808642</v>
      </c>
      <c r="Z152" s="843">
        <f t="shared" ref="Z152" si="666">Y152*(1+Z153)</f>
        <v>137249.5200067673</v>
      </c>
      <c r="AA152" s="843">
        <f t="shared" ref="AA152" si="667">Z152*(1+AA153)</f>
        <v>138622.01520683497</v>
      </c>
      <c r="AB152" s="843">
        <f t="shared" ref="AB152" si="668">AA152*(1+AB153)</f>
        <v>140008.23535890333</v>
      </c>
      <c r="AC152" s="843">
        <f t="shared" ref="AC152" si="669">AB152*(1+AC153)</f>
        <v>141408.31771249237</v>
      </c>
      <c r="AD152" s="843">
        <f>AC152*(1+AD153)</f>
        <v>142822.4008896173</v>
      </c>
      <c r="AE152" s="846">
        <f>(O152/L152)^(1/3)-1</f>
        <v>-3.5011858066458901E-2</v>
      </c>
      <c r="AF152" s="1399">
        <f>(T152/P152)^(1/4)-1</f>
        <v>1.0000000000000009E-2</v>
      </c>
    </row>
    <row r="153" spans="4:87" s="1403" customFormat="1" thickBot="1">
      <c r="D153" s="1418" t="s">
        <v>832</v>
      </c>
      <c r="E153" s="1402"/>
      <c r="F153" s="1402"/>
      <c r="G153" s="1418"/>
      <c r="H153" s="1402"/>
      <c r="I153" s="1402" t="e">
        <f t="shared" ref="I153" si="670">(I152/H152)-1</f>
        <v>#DIV/0!</v>
      </c>
      <c r="J153" s="1402">
        <f t="shared" ref="J153" si="671">(J152/I152)-1</f>
        <v>1.0557338662467997E-2</v>
      </c>
      <c r="K153" s="1402">
        <f t="shared" ref="K153" si="672">(K152/J152)-1</f>
        <v>0.10000599256921427</v>
      </c>
      <c r="L153" s="1410">
        <f>(L152/K152)-1</f>
        <v>0.24301551703787094</v>
      </c>
      <c r="M153" s="1410">
        <f t="shared" ref="M153" si="673">(M152/L152)-1</f>
        <v>-5.0145359454208172E-2</v>
      </c>
      <c r="N153" s="1410">
        <f t="shared" ref="N153" si="674">(N152/M152)-1</f>
        <v>-3.6066657951198122E-3</v>
      </c>
      <c r="O153" s="1410">
        <f t="shared" ref="O153" si="675">(O152/N152)-1</f>
        <v>-5.0537169671523885E-2</v>
      </c>
      <c r="P153" s="1410">
        <v>0.01</v>
      </c>
      <c r="Q153" s="1410">
        <f>P153</f>
        <v>0.01</v>
      </c>
      <c r="R153" s="1410">
        <f>Q153</f>
        <v>0.01</v>
      </c>
      <c r="S153" s="1410">
        <f>R153</f>
        <v>0.01</v>
      </c>
      <c r="T153" s="1410">
        <f t="shared" ref="T153:AD153" si="676">S153</f>
        <v>0.01</v>
      </c>
      <c r="U153" s="1410">
        <f t="shared" si="676"/>
        <v>0.01</v>
      </c>
      <c r="V153" s="1410">
        <f t="shared" si="676"/>
        <v>0.01</v>
      </c>
      <c r="W153" s="1410">
        <f t="shared" si="676"/>
        <v>0.01</v>
      </c>
      <c r="X153" s="1410">
        <f t="shared" si="676"/>
        <v>0.01</v>
      </c>
      <c r="Y153" s="1410">
        <f t="shared" si="676"/>
        <v>0.01</v>
      </c>
      <c r="Z153" s="1410">
        <f t="shared" si="676"/>
        <v>0.01</v>
      </c>
      <c r="AA153" s="1410">
        <f t="shared" si="676"/>
        <v>0.01</v>
      </c>
      <c r="AB153" s="1410">
        <f t="shared" si="676"/>
        <v>0.01</v>
      </c>
      <c r="AC153" s="1410">
        <f t="shared" si="676"/>
        <v>0.01</v>
      </c>
      <c r="AD153" s="1410">
        <f t="shared" si="676"/>
        <v>0.01</v>
      </c>
      <c r="AE153" s="793"/>
      <c r="AF153" s="794"/>
    </row>
    <row r="154" spans="4:87" s="420" customFormat="1" ht="16" thickBot="1">
      <c r="D154" s="693" t="s">
        <v>1155</v>
      </c>
      <c r="E154" s="380"/>
      <c r="F154" s="380"/>
      <c r="G154" s="722"/>
      <c r="H154" s="380"/>
      <c r="I154" s="380">
        <f>SUM(I143,I146)</f>
        <v>3183</v>
      </c>
      <c r="J154" s="380">
        <f t="shared" ref="J154:AD154" si="677">SUM(J143,J146)</f>
        <v>3505</v>
      </c>
      <c r="K154" s="380">
        <f t="shared" si="677"/>
        <v>4060</v>
      </c>
      <c r="L154" s="1024">
        <f t="shared" si="677"/>
        <v>7092</v>
      </c>
      <c r="M154" s="1024">
        <f t="shared" si="677"/>
        <v>10684</v>
      </c>
      <c r="N154" s="1024">
        <f t="shared" si="677"/>
        <v>10374</v>
      </c>
      <c r="O154" s="1024">
        <f t="shared" si="677"/>
        <v>15904</v>
      </c>
      <c r="P154" s="1024">
        <f>SUM(P143,P146)</f>
        <v>16684.290999999997</v>
      </c>
      <c r="Q154" s="1024">
        <f t="shared" si="677"/>
        <v>17478.597419999998</v>
      </c>
      <c r="R154" s="1024">
        <f t="shared" si="677"/>
        <v>17653.383394200002</v>
      </c>
      <c r="S154" s="1024">
        <f t="shared" si="677"/>
        <v>17829.917228142003</v>
      </c>
      <c r="T154" s="1024">
        <f t="shared" si="677"/>
        <v>18008.216400423422</v>
      </c>
      <c r="U154" s="1024">
        <f t="shared" si="677"/>
        <v>18188.298564427656</v>
      </c>
      <c r="V154" s="1024">
        <f t="shared" si="677"/>
        <v>18370.181550071931</v>
      </c>
      <c r="W154" s="1024">
        <f t="shared" si="677"/>
        <v>18553.883365572656</v>
      </c>
      <c r="X154" s="1024">
        <f t="shared" si="677"/>
        <v>18739.422199228382</v>
      </c>
      <c r="Y154" s="1024">
        <f t="shared" si="677"/>
        <v>18926.816421220665</v>
      </c>
      <c r="Z154" s="1024">
        <f t="shared" si="677"/>
        <v>19116.084585432873</v>
      </c>
      <c r="AA154" s="1024">
        <f t="shared" si="677"/>
        <v>19307.245431287203</v>
      </c>
      <c r="AB154" s="1024">
        <f t="shared" si="677"/>
        <v>19500.317885600074</v>
      </c>
      <c r="AC154" s="1024">
        <f t="shared" si="677"/>
        <v>19695.321064456079</v>
      </c>
      <c r="AD154" s="1024">
        <f t="shared" si="677"/>
        <v>19892.274275100641</v>
      </c>
      <c r="AE154" s="846">
        <f>(O154/L154)^(1/3)-1</f>
        <v>0.30891832134936426</v>
      </c>
      <c r="AF154" s="1399">
        <f>(T154/P154)^(1/4)-1</f>
        <v>1.9273507112826938E-2</v>
      </c>
    </row>
    <row r="155" spans="4:87" s="1403" customFormat="1" ht="14">
      <c r="D155" s="1418" t="s">
        <v>832</v>
      </c>
      <c r="E155" s="1402"/>
      <c r="F155" s="1402"/>
      <c r="G155" s="1418"/>
      <c r="H155" s="1402"/>
      <c r="I155" s="1402" t="e">
        <f t="shared" ref="I155" si="678">I154/H154-1</f>
        <v>#DIV/0!</v>
      </c>
      <c r="J155" s="1402">
        <f t="shared" ref="J155" si="679">J154/I154-1</f>
        <v>0.10116242538485709</v>
      </c>
      <c r="K155" s="1402">
        <f t="shared" ref="K155" si="680">K154/J154-1</f>
        <v>0.15834522111269611</v>
      </c>
      <c r="L155" s="1410">
        <f>L154/K154-1</f>
        <v>0.74679802955665031</v>
      </c>
      <c r="M155" s="1410">
        <f t="shared" ref="M155" si="681">M154/L154-1</f>
        <v>0.50648618161308523</v>
      </c>
      <c r="N155" s="1410">
        <f t="shared" ref="N155" si="682">N154/M154-1</f>
        <v>-2.901535005615874E-2</v>
      </c>
      <c r="O155" s="1410">
        <f t="shared" ref="O155" si="683">O154/N154-1</f>
        <v>0.53306342780026994</v>
      </c>
      <c r="P155" s="1410">
        <f t="shared" ref="P155" si="684">P154/O154-1</f>
        <v>4.9062562877263405E-2</v>
      </c>
      <c r="Q155" s="1410">
        <f t="shared" ref="Q155" si="685">Q154/P154-1</f>
        <v>4.7608041600329276E-2</v>
      </c>
      <c r="R155" s="1410">
        <f t="shared" ref="R155" si="686">R154/Q154-1</f>
        <v>1.0000000000000231E-2</v>
      </c>
      <c r="S155" s="1410">
        <f t="shared" ref="S155" si="687">S154/R154-1</f>
        <v>1.0000000000000009E-2</v>
      </c>
      <c r="T155" s="1410">
        <f t="shared" ref="T155" si="688">T154/S154-1</f>
        <v>1.0000000000000009E-2</v>
      </c>
      <c r="U155" s="1410">
        <f t="shared" ref="U155" si="689">U154/T154-1</f>
        <v>1.0000000000000009E-2</v>
      </c>
      <c r="V155" s="1410">
        <f t="shared" ref="V155" si="690">V154/U154-1</f>
        <v>1.0000000000000009E-2</v>
      </c>
      <c r="W155" s="1410">
        <f t="shared" ref="W155" si="691">W154/V154-1</f>
        <v>1.0000000000000231E-2</v>
      </c>
      <c r="X155" s="1410">
        <f t="shared" ref="X155" si="692">X154/W154-1</f>
        <v>1.0000000000000009E-2</v>
      </c>
      <c r="Y155" s="1410">
        <f t="shared" ref="Y155" si="693">Y154/X154-1</f>
        <v>1.0000000000000009E-2</v>
      </c>
      <c r="Z155" s="1410">
        <f t="shared" ref="Z155" si="694">Z154/Y154-1</f>
        <v>1.0000000000000009E-2</v>
      </c>
      <c r="AA155" s="1410">
        <f t="shared" ref="AA155" si="695">AA154/Z154-1</f>
        <v>1.0000000000000009E-2</v>
      </c>
      <c r="AB155" s="1410">
        <f t="shared" ref="AB155" si="696">AB154/AA154-1</f>
        <v>1.0000000000000009E-2</v>
      </c>
      <c r="AC155" s="1410">
        <f t="shared" ref="AC155" si="697">AC154/AB154-1</f>
        <v>1.0000000000000231E-2</v>
      </c>
      <c r="AD155" s="1410">
        <f t="shared" ref="AD155" si="698">AD154/AC154-1</f>
        <v>1.0000000000000009E-2</v>
      </c>
      <c r="AE155" s="795"/>
      <c r="AF155" s="796"/>
    </row>
    <row r="156" spans="4:87" s="1403" customFormat="1" thickBot="1">
      <c r="D156" s="1420" t="s">
        <v>1152</v>
      </c>
      <c r="E156" s="1411"/>
      <c r="F156" s="1411"/>
      <c r="G156" s="1420"/>
      <c r="H156" s="1411"/>
      <c r="I156" s="1411">
        <f t="shared" ref="I156:K156" si="699">I154/I152</f>
        <v>3.2126203597165871E-2</v>
      </c>
      <c r="J156" s="1411">
        <f t="shared" si="699"/>
        <v>3.5006591826135594E-2</v>
      </c>
      <c r="K156" s="1411">
        <f t="shared" si="699"/>
        <v>3.6863179494629417E-2</v>
      </c>
      <c r="L156" s="1412">
        <f>L154/L152</f>
        <v>5.1803479861506768E-2</v>
      </c>
      <c r="M156" s="1412">
        <f t="shared" ref="M156:AD156" si="700">M154/M152</f>
        <v>8.2161231034244095E-2</v>
      </c>
      <c r="N156" s="1412">
        <f t="shared" si="700"/>
        <v>8.006606569523339E-2</v>
      </c>
      <c r="O156" s="1412">
        <f t="shared" si="700"/>
        <v>0.12927979190375549</v>
      </c>
      <c r="P156" s="1412">
        <f t="shared" si="700"/>
        <v>0.13427979190375547</v>
      </c>
      <c r="Q156" s="1412">
        <f t="shared" si="700"/>
        <v>0.13927979190375547</v>
      </c>
      <c r="R156" s="1412">
        <f t="shared" si="700"/>
        <v>0.1392797919037555</v>
      </c>
      <c r="S156" s="1412">
        <f t="shared" si="700"/>
        <v>0.1392797919037555</v>
      </c>
      <c r="T156" s="1412">
        <f t="shared" si="700"/>
        <v>0.13927979190375547</v>
      </c>
      <c r="U156" s="1412">
        <f t="shared" si="700"/>
        <v>0.13927979190375547</v>
      </c>
      <c r="V156" s="1412">
        <f t="shared" si="700"/>
        <v>0.13927979190375547</v>
      </c>
      <c r="W156" s="1412">
        <f t="shared" si="700"/>
        <v>0.1392797919037555</v>
      </c>
      <c r="X156" s="1412">
        <f t="shared" si="700"/>
        <v>0.1392797919037555</v>
      </c>
      <c r="Y156" s="1412">
        <f t="shared" si="700"/>
        <v>0.13927979190375547</v>
      </c>
      <c r="Z156" s="1412">
        <f t="shared" si="700"/>
        <v>0.13927979190375547</v>
      </c>
      <c r="AA156" s="1412">
        <f t="shared" si="700"/>
        <v>0.13927979190375547</v>
      </c>
      <c r="AB156" s="1412">
        <f t="shared" si="700"/>
        <v>0.13927979190375547</v>
      </c>
      <c r="AC156" s="1412">
        <f t="shared" si="700"/>
        <v>0.1392797919037555</v>
      </c>
      <c r="AD156" s="1412">
        <f t="shared" si="700"/>
        <v>0.1392797919037555</v>
      </c>
      <c r="AE156" s="797"/>
      <c r="AF156" s="798"/>
    </row>
    <row r="157" spans="4:87" ht="16" thickBot="1">
      <c r="D157" s="181"/>
      <c r="E157" s="137"/>
      <c r="F157" s="137"/>
      <c r="G157" s="812"/>
      <c r="H157" s="137"/>
      <c r="I157" s="137"/>
      <c r="J157" s="137"/>
      <c r="K157" s="137"/>
      <c r="L157" s="137"/>
      <c r="M157" s="137"/>
      <c r="N157" s="137"/>
      <c r="O157" s="137"/>
      <c r="P157" s="39"/>
      <c r="Q157" s="39"/>
      <c r="R157" s="39"/>
      <c r="S157" s="39"/>
      <c r="T157" s="39"/>
      <c r="U157" s="39"/>
      <c r="V157" s="39"/>
      <c r="W157" s="39"/>
      <c r="X157" s="39"/>
      <c r="Y157" s="39"/>
      <c r="Z157" s="39"/>
      <c r="AA157" s="39"/>
      <c r="AB157" s="39"/>
      <c r="AC157" s="39"/>
      <c r="AD157" s="39"/>
      <c r="AF157" s="123"/>
    </row>
    <row r="158" spans="4:87" ht="16" thickBot="1">
      <c r="D158" s="694" t="s">
        <v>1572</v>
      </c>
      <c r="E158" s="695" t="s">
        <v>216</v>
      </c>
      <c r="F158" s="695" t="s">
        <v>217</v>
      </c>
      <c r="G158" s="694" t="s">
        <v>218</v>
      </c>
      <c r="H158" s="695" t="s">
        <v>28</v>
      </c>
      <c r="I158" s="695" t="s">
        <v>17</v>
      </c>
      <c r="J158" s="695" t="s">
        <v>18</v>
      </c>
      <c r="K158" s="695" t="s">
        <v>19</v>
      </c>
      <c r="L158" s="695" t="s">
        <v>20</v>
      </c>
      <c r="M158" s="695" t="s">
        <v>21</v>
      </c>
      <c r="N158" s="695" t="s">
        <v>22</v>
      </c>
      <c r="O158" s="695" t="s">
        <v>23</v>
      </c>
      <c r="P158" s="404" t="s">
        <v>24</v>
      </c>
      <c r="Q158" s="404" t="s">
        <v>25</v>
      </c>
      <c r="R158" s="404" t="s">
        <v>26</v>
      </c>
      <c r="S158" s="404" t="s">
        <v>27</v>
      </c>
      <c r="T158" s="404" t="s">
        <v>712</v>
      </c>
      <c r="U158" s="404" t="s">
        <v>713</v>
      </c>
      <c r="V158" s="404" t="s">
        <v>714</v>
      </c>
      <c r="W158" s="404" t="s">
        <v>715</v>
      </c>
      <c r="X158" s="404" t="s">
        <v>716</v>
      </c>
      <c r="Y158" s="404" t="s">
        <v>717</v>
      </c>
      <c r="Z158" s="404" t="s">
        <v>718</v>
      </c>
      <c r="AA158" s="404" t="s">
        <v>719</v>
      </c>
      <c r="AB158" s="404" t="s">
        <v>720</v>
      </c>
      <c r="AC158" s="404" t="s">
        <v>721</v>
      </c>
      <c r="AD158" s="404" t="s">
        <v>722</v>
      </c>
      <c r="AE158" s="699" t="s">
        <v>1445</v>
      </c>
      <c r="AF158" s="1380" t="s">
        <v>1446</v>
      </c>
    </row>
    <row r="159" spans="4:87" s="160" customFormat="1">
      <c r="D159" s="1228" t="s">
        <v>1168</v>
      </c>
      <c r="E159" s="190"/>
      <c r="F159" s="190"/>
      <c r="G159" s="874"/>
      <c r="H159" s="190"/>
      <c r="I159" s="190"/>
      <c r="J159" s="190"/>
      <c r="K159" s="190"/>
      <c r="L159" s="1390">
        <v>130228</v>
      </c>
      <c r="M159" s="1390">
        <v>115988</v>
      </c>
      <c r="N159" s="1390">
        <f>M159*(1+N160)</f>
        <v>117494.24994345268</v>
      </c>
      <c r="O159" s="1390">
        <f t="shared" ref="O159:AD159" si="701">N159*(1+O160)</f>
        <v>125303.45647095365</v>
      </c>
      <c r="P159" s="1390">
        <f>O159*(1+P160)</f>
        <v>122291.71180674306</v>
      </c>
      <c r="Q159" s="1390">
        <f t="shared" si="701"/>
        <v>119178.09786377224</v>
      </c>
      <c r="R159" s="1390">
        <f t="shared" si="701"/>
        <v>115957.59206137994</v>
      </c>
      <c r="S159" s="1390">
        <f t="shared" si="701"/>
        <v>112624.66257655558</v>
      </c>
      <c r="T159" s="1390">
        <f t="shared" si="701"/>
        <v>109173.18297522668</v>
      </c>
      <c r="U159" s="1390">
        <f t="shared" si="701"/>
        <v>105596.32663635892</v>
      </c>
      <c r="V159" s="1390">
        <f t="shared" si="701"/>
        <v>101886.43466714487</v>
      </c>
      <c r="W159" s="1390">
        <f t="shared" si="701"/>
        <v>98034.848513134581</v>
      </c>
      <c r="X159" s="1390">
        <f t="shared" si="701"/>
        <v>94031.694748337439</v>
      </c>
      <c r="Y159" s="1390">
        <f t="shared" si="701"/>
        <v>89865.603853085166</v>
      </c>
      <c r="Z159" s="1390">
        <f t="shared" si="701"/>
        <v>85523.335885617591</v>
      </c>
      <c r="AA159" s="1390">
        <f t="shared" si="701"/>
        <v>80989.271564702212</v>
      </c>
      <c r="AB159" s="1390">
        <f t="shared" si="701"/>
        <v>76244.703197868541</v>
      </c>
      <c r="AC159" s="1390">
        <f t="shared" si="701"/>
        <v>71266.817917947948</v>
      </c>
      <c r="AD159" s="1390">
        <f t="shared" si="701"/>
        <v>66027.188980786552</v>
      </c>
      <c r="AE159" s="1460">
        <f>(O159/L159)^(1/3)-1</f>
        <v>-1.2767236210166288E-2</v>
      </c>
      <c r="AF159" s="1392">
        <f>(T159/P159)^(1/4)-1</f>
        <v>-2.7969847349643029E-2</v>
      </c>
    </row>
    <row r="160" spans="4:87" s="1403" customFormat="1" ht="14">
      <c r="D160" s="1401" t="s">
        <v>832</v>
      </c>
      <c r="E160" s="1402"/>
      <c r="F160" s="1402"/>
      <c r="G160" s="1418"/>
      <c r="H160" s="1402"/>
      <c r="I160" s="1402"/>
      <c r="J160" s="1402"/>
      <c r="K160" s="1402"/>
      <c r="L160" s="1410"/>
      <c r="M160" s="1410">
        <f t="shared" ref="M160" si="702">(M159/L159)-1</f>
        <v>-0.10934668427680683</v>
      </c>
      <c r="N160" s="1410">
        <f>(0.3*N123)+(0.7*N139)</f>
        <v>1.2986256711493402E-2</v>
      </c>
      <c r="O160" s="1410">
        <f t="shared" ref="O160:AD160" si="703">(0.3*O123)+(0.7*O139)</f>
        <v>6.6464584703160898E-2</v>
      </c>
      <c r="P160" s="1410">
        <f>(0.3*P123)+(0.7*P139)</f>
        <v>-2.4035607229308541E-2</v>
      </c>
      <c r="Q160" s="1410">
        <f t="shared" si="703"/>
        <v>-2.5460547546273925E-2</v>
      </c>
      <c r="R160" s="1410">
        <f t="shared" si="703"/>
        <v>-2.7022631340143852E-2</v>
      </c>
      <c r="S160" s="1410">
        <f t="shared" si="703"/>
        <v>-2.8742658635582393E-2</v>
      </c>
      <c r="T160" s="1410">
        <f t="shared" si="703"/>
        <v>-3.064585964004812E-2</v>
      </c>
      <c r="U160" s="1410">
        <f t="shared" si="703"/>
        <v>-3.2763140556957192E-2</v>
      </c>
      <c r="V160" s="1410">
        <f t="shared" si="703"/>
        <v>-3.5132774854846713E-2</v>
      </c>
      <c r="W160" s="1410">
        <f t="shared" si="703"/>
        <v>-3.7802737593018408E-2</v>
      </c>
      <c r="X160" s="1410">
        <f t="shared" si="703"/>
        <v>-4.0833987357677334E-2</v>
      </c>
      <c r="Y160" s="1410">
        <f t="shared" si="703"/>
        <v>-4.4305177168211425E-2</v>
      </c>
      <c r="Z160" s="1410">
        <f t="shared" si="703"/>
        <v>-4.8319577027117575E-2</v>
      </c>
      <c r="AA160" s="1410">
        <f t="shared" si="703"/>
        <v>-5.3015522301181256E-2</v>
      </c>
      <c r="AB160" s="1410">
        <f t="shared" si="703"/>
        <v>-5.8582677374042595E-2</v>
      </c>
      <c r="AC160" s="1410">
        <f t="shared" si="703"/>
        <v>-6.5288276708246898E-2</v>
      </c>
      <c r="AD160" s="1410">
        <f t="shared" si="703"/>
        <v>-7.3521297712407674E-2</v>
      </c>
      <c r="AE160" s="1462"/>
      <c r="AF160" s="1463"/>
    </row>
    <row r="161" spans="4:64" s="1403" customFormat="1" ht="14">
      <c r="D161" s="1401" t="s">
        <v>1152</v>
      </c>
      <c r="E161" s="1402"/>
      <c r="F161" s="1402"/>
      <c r="G161" s="1418"/>
      <c r="H161" s="1402"/>
      <c r="I161" s="1402"/>
      <c r="J161" s="1402"/>
      <c r="K161" s="1402"/>
      <c r="L161" s="1410">
        <f>L159/L165</f>
        <v>0.97164771540275163</v>
      </c>
      <c r="M161" s="1410">
        <f t="shared" ref="M161:AD161" si="704">M159/M165</f>
        <v>0.92523931078493937</v>
      </c>
      <c r="N161" s="1410">
        <f t="shared" si="704"/>
        <v>0.92811629876368551</v>
      </c>
      <c r="O161" s="1410">
        <f t="shared" si="704"/>
        <v>0.89981661020949721</v>
      </c>
      <c r="P161" s="1410">
        <f t="shared" si="704"/>
        <v>0.89311505400608238</v>
      </c>
      <c r="Q161" s="1410">
        <f t="shared" si="704"/>
        <v>0.88601455785695882</v>
      </c>
      <c r="R161" s="1410">
        <f t="shared" si="704"/>
        <v>0.88218829130519527</v>
      </c>
      <c r="S161" s="1410">
        <f t="shared" si="704"/>
        <v>0.87806191623034047</v>
      </c>
      <c r="T161" s="1410">
        <f t="shared" si="704"/>
        <v>0.87359525028519935</v>
      </c>
      <c r="U161" s="1402">
        <f t="shared" si="704"/>
        <v>0.8687402407602105</v>
      </c>
      <c r="V161" s="1402">
        <f t="shared" si="704"/>
        <v>0.86343887604392977</v>
      </c>
      <c r="W161" s="1402">
        <f t="shared" si="704"/>
        <v>0.85762037888522158</v>
      </c>
      <c r="X161" s="1402">
        <f t="shared" si="704"/>
        <v>0.85119737031809439</v>
      </c>
      <c r="Y161" s="1402">
        <f t="shared" si="704"/>
        <v>0.84406052641163631</v>
      </c>
      <c r="Z161" s="1402">
        <f t="shared" si="704"/>
        <v>0.83607097418278009</v>
      </c>
      <c r="AA161" s="1402">
        <f t="shared" si="704"/>
        <v>0.82704920141136473</v>
      </c>
      <c r="AB161" s="1402">
        <f t="shared" si="704"/>
        <v>0.81675841792409154</v>
      </c>
      <c r="AC161" s="1402">
        <f t="shared" si="704"/>
        <v>0.80487875376616136</v>
      </c>
      <c r="AD161" s="1402">
        <f t="shared" si="704"/>
        <v>0.79096565145989028</v>
      </c>
      <c r="AE161" s="1462"/>
      <c r="AF161" s="1463"/>
    </row>
    <row r="162" spans="4:64" s="160" customFormat="1">
      <c r="D162" s="1228" t="s">
        <v>1169</v>
      </c>
      <c r="E162" s="190"/>
      <c r="F162" s="190"/>
      <c r="G162" s="874"/>
      <c r="H162" s="190"/>
      <c r="I162" s="190"/>
      <c r="J162" s="190"/>
      <c r="K162" s="190"/>
      <c r="L162" s="1390">
        <v>3800</v>
      </c>
      <c r="M162" s="1390">
        <v>9372</v>
      </c>
      <c r="N162" s="1390">
        <f>M162*(1+N163)</f>
        <v>9100.0681392736806</v>
      </c>
      <c r="O162" s="1390">
        <f t="shared" ref="O162" si="705">N162*(1+O163)</f>
        <v>13950.981654810934</v>
      </c>
      <c r="P162" s="1390">
        <f t="shared" ref="P162" si="706">O162*(1+P163)</f>
        <v>14635.452569449644</v>
      </c>
      <c r="Q162" s="1390">
        <f t="shared" ref="Q162" si="707">P162*(1+Q163)</f>
        <v>15332.217804215648</v>
      </c>
      <c r="R162" s="1390">
        <f t="shared" ref="R162" si="708">Q162*(1+R163)</f>
        <v>15485.539982257809</v>
      </c>
      <c r="S162" s="1390">
        <f t="shared" ref="S162" si="709">R162*(1+S163)</f>
        <v>15640.395382080387</v>
      </c>
      <c r="T162" s="1390">
        <f t="shared" ref="T162" si="710">S162*(1+T163)</f>
        <v>15796.799335901191</v>
      </c>
      <c r="U162" s="1390">
        <f t="shared" ref="U162" si="711">T162*(1+U163)</f>
        <v>15954.767329260203</v>
      </c>
      <c r="V162" s="1390">
        <f t="shared" ref="V162" si="712">U162*(1+V163)</f>
        <v>16114.315002552805</v>
      </c>
      <c r="W162" s="1390">
        <f t="shared" ref="W162" si="713">V162*(1+W163)</f>
        <v>16275.458152578336</v>
      </c>
      <c r="X162" s="1390">
        <f t="shared" ref="X162" si="714">W162*(1+X163)</f>
        <v>16438.21273410412</v>
      </c>
      <c r="Y162" s="1390">
        <f t="shared" ref="Y162" si="715">X162*(1+Y163)</f>
        <v>16602.594861445163</v>
      </c>
      <c r="Z162" s="1390">
        <f t="shared" ref="Z162" si="716">Y162*(1+Z163)</f>
        <v>16768.620810059616</v>
      </c>
      <c r="AA162" s="1390">
        <f t="shared" ref="AA162" si="717">Z162*(1+AA163)</f>
        <v>16936.307018160212</v>
      </c>
      <c r="AB162" s="1390">
        <f t="shared" ref="AB162" si="718">AA162*(1+AB163)</f>
        <v>17105.670088341816</v>
      </c>
      <c r="AC162" s="1390">
        <f t="shared" ref="AC162" si="719">AB162*(1+AC163)</f>
        <v>17276.726789225238</v>
      </c>
      <c r="AD162" s="1390">
        <f t="shared" ref="AD162" si="720">AC162*(1+AD163)</f>
        <v>17449.494057117492</v>
      </c>
      <c r="AE162" s="1461">
        <f>(O162/L162)^(1/3)-1</f>
        <v>0.54267244992388153</v>
      </c>
      <c r="AF162" s="1399">
        <f>(T162/P162)^(1/4)-1</f>
        <v>1.9273507112826938E-2</v>
      </c>
    </row>
    <row r="163" spans="4:64" s="1403" customFormat="1" ht="14">
      <c r="D163" s="1401" t="s">
        <v>832</v>
      </c>
      <c r="E163" s="1402"/>
      <c r="F163" s="1402"/>
      <c r="G163" s="1418"/>
      <c r="H163" s="1402"/>
      <c r="I163" s="1402"/>
      <c r="J163" s="1402"/>
      <c r="K163" s="1402"/>
      <c r="L163" s="1410"/>
      <c r="M163" s="1410">
        <f t="shared" ref="M163" si="721">(M162/L162)-1</f>
        <v>1.466315789473684</v>
      </c>
      <c r="N163" s="1454">
        <f>N155</f>
        <v>-2.901535005615874E-2</v>
      </c>
      <c r="O163" s="1454">
        <f t="shared" ref="O163:AD163" si="722">O155</f>
        <v>0.53306342780026994</v>
      </c>
      <c r="P163" s="1454">
        <f t="shared" si="722"/>
        <v>4.9062562877263405E-2</v>
      </c>
      <c r="Q163" s="1454">
        <f>Q155</f>
        <v>4.7608041600329276E-2</v>
      </c>
      <c r="R163" s="1454">
        <f t="shared" si="722"/>
        <v>1.0000000000000231E-2</v>
      </c>
      <c r="S163" s="1454">
        <f t="shared" si="722"/>
        <v>1.0000000000000009E-2</v>
      </c>
      <c r="T163" s="1454">
        <f t="shared" si="722"/>
        <v>1.0000000000000009E-2</v>
      </c>
      <c r="U163" s="1409">
        <f t="shared" si="722"/>
        <v>1.0000000000000009E-2</v>
      </c>
      <c r="V163" s="1409">
        <f t="shared" si="722"/>
        <v>1.0000000000000009E-2</v>
      </c>
      <c r="W163" s="1409">
        <f t="shared" si="722"/>
        <v>1.0000000000000231E-2</v>
      </c>
      <c r="X163" s="1409">
        <f t="shared" si="722"/>
        <v>1.0000000000000009E-2</v>
      </c>
      <c r="Y163" s="1409">
        <f t="shared" si="722"/>
        <v>1.0000000000000009E-2</v>
      </c>
      <c r="Z163" s="1409">
        <f t="shared" si="722"/>
        <v>1.0000000000000009E-2</v>
      </c>
      <c r="AA163" s="1409">
        <f t="shared" si="722"/>
        <v>1.0000000000000009E-2</v>
      </c>
      <c r="AB163" s="1409">
        <f t="shared" si="722"/>
        <v>1.0000000000000009E-2</v>
      </c>
      <c r="AC163" s="1409">
        <f t="shared" si="722"/>
        <v>1.0000000000000231E-2</v>
      </c>
      <c r="AD163" s="1409">
        <f t="shared" si="722"/>
        <v>1.0000000000000009E-2</v>
      </c>
      <c r="AE163" s="1462"/>
      <c r="AF163" s="1463"/>
    </row>
    <row r="164" spans="4:64" s="1403" customFormat="1" thickBot="1">
      <c r="D164" s="1401" t="s">
        <v>1152</v>
      </c>
      <c r="E164" s="1402"/>
      <c r="F164" s="1402"/>
      <c r="G164" s="1418"/>
      <c r="H164" s="1402"/>
      <c r="I164" s="1402"/>
      <c r="J164" s="1402"/>
      <c r="K164" s="1402"/>
      <c r="L164" s="1410">
        <f>L162/L165</f>
        <v>2.8352284597248336E-2</v>
      </c>
      <c r="M164" s="1410">
        <f t="shared" ref="M164:AD164" si="723">M162/M165</f>
        <v>7.4760689215060627E-2</v>
      </c>
      <c r="N164" s="1410">
        <f t="shared" si="723"/>
        <v>7.1883701236314601E-2</v>
      </c>
      <c r="O164" s="1410">
        <f t="shared" si="723"/>
        <v>0.10018338979050286</v>
      </c>
      <c r="P164" s="1410">
        <f t="shared" si="723"/>
        <v>0.10688494599391767</v>
      </c>
      <c r="Q164" s="1410">
        <f t="shared" si="723"/>
        <v>0.11398544214304125</v>
      </c>
      <c r="R164" s="1410">
        <f t="shared" si="723"/>
        <v>0.11781170869480478</v>
      </c>
      <c r="S164" s="1410">
        <f t="shared" si="723"/>
        <v>0.12193808376965953</v>
      </c>
      <c r="T164" s="1410">
        <f t="shared" si="723"/>
        <v>0.1264047497148007</v>
      </c>
      <c r="U164" s="1402">
        <f t="shared" si="723"/>
        <v>0.13125975923978955</v>
      </c>
      <c r="V164" s="1402">
        <f t="shared" si="723"/>
        <v>0.13656112395607028</v>
      </c>
      <c r="W164" s="1402">
        <f t="shared" si="723"/>
        <v>0.14237962111477845</v>
      </c>
      <c r="X164" s="1402">
        <f t="shared" si="723"/>
        <v>0.14880262968190555</v>
      </c>
      <c r="Y164" s="1402">
        <f t="shared" si="723"/>
        <v>0.15593947358836371</v>
      </c>
      <c r="Z164" s="1402">
        <f t="shared" si="723"/>
        <v>0.16392902581721996</v>
      </c>
      <c r="AA164" s="1402">
        <f t="shared" si="723"/>
        <v>0.17295079858863524</v>
      </c>
      <c r="AB164" s="1402">
        <f t="shared" si="723"/>
        <v>0.18324158207590857</v>
      </c>
      <c r="AC164" s="1402">
        <f t="shared" si="723"/>
        <v>0.19512124623383861</v>
      </c>
      <c r="AD164" s="1402">
        <f t="shared" si="723"/>
        <v>0.20903434854010963</v>
      </c>
      <c r="AE164" s="1462"/>
      <c r="AF164" s="1463"/>
    </row>
    <row r="165" spans="4:64" s="420" customFormat="1" ht="16" thickBot="1">
      <c r="D165" s="685" t="s">
        <v>103</v>
      </c>
      <c r="E165" s="380"/>
      <c r="F165" s="380"/>
      <c r="G165" s="722"/>
      <c r="H165" s="380"/>
      <c r="I165" s="380"/>
      <c r="J165" s="380"/>
      <c r="K165" s="380"/>
      <c r="L165" s="1024">
        <f>SUM(L162,L159)</f>
        <v>134028</v>
      </c>
      <c r="M165" s="1024">
        <f t="shared" ref="M165:AC165" si="724">SUM(M162,M159)</f>
        <v>125360</v>
      </c>
      <c r="N165" s="1024">
        <f t="shared" si="724"/>
        <v>126594.31808272636</v>
      </c>
      <c r="O165" s="1024">
        <f t="shared" si="724"/>
        <v>139254.43812576457</v>
      </c>
      <c r="P165" s="1024">
        <f t="shared" si="724"/>
        <v>136927.1643761927</v>
      </c>
      <c r="Q165" s="1024">
        <f t="shared" si="724"/>
        <v>134510.31566798789</v>
      </c>
      <c r="R165" s="1024">
        <f t="shared" si="724"/>
        <v>131443.13204363774</v>
      </c>
      <c r="S165" s="1024">
        <f t="shared" si="724"/>
        <v>128265.05795863597</v>
      </c>
      <c r="T165" s="1024">
        <f t="shared" si="724"/>
        <v>124969.98231112787</v>
      </c>
      <c r="U165" s="1024">
        <f t="shared" si="724"/>
        <v>121551.09396561912</v>
      </c>
      <c r="V165" s="1024">
        <f t="shared" si="724"/>
        <v>118000.74966969767</v>
      </c>
      <c r="W165" s="1024">
        <f t="shared" si="724"/>
        <v>114310.30666571291</v>
      </c>
      <c r="X165" s="1024">
        <f t="shared" si="724"/>
        <v>110469.90748244156</v>
      </c>
      <c r="Y165" s="1024">
        <f t="shared" si="724"/>
        <v>106468.19871453033</v>
      </c>
      <c r="Z165" s="1024">
        <f t="shared" si="724"/>
        <v>102291.9566956772</v>
      </c>
      <c r="AA165" s="1024">
        <f t="shared" si="724"/>
        <v>97925.578582862421</v>
      </c>
      <c r="AB165" s="1024">
        <f t="shared" si="724"/>
        <v>93350.37328621035</v>
      </c>
      <c r="AC165" s="1024">
        <f t="shared" si="724"/>
        <v>88543.544707173191</v>
      </c>
      <c r="AD165" s="1024">
        <f>SUM(AD162,AD159)</f>
        <v>83476.683037904048</v>
      </c>
      <c r="AE165" s="1461">
        <f>(O165/L165)^(1/3)-1</f>
        <v>1.2832983843964696E-2</v>
      </c>
      <c r="AF165" s="1399">
        <f>(T165/P165)^(1/4)-1</f>
        <v>-2.2584946464730304E-2</v>
      </c>
    </row>
    <row r="166" spans="4:64" s="1403" customFormat="1" thickBot="1">
      <c r="D166" s="1009" t="s">
        <v>832</v>
      </c>
      <c r="E166" s="1411"/>
      <c r="F166" s="1411"/>
      <c r="G166" s="1420"/>
      <c r="H166" s="1411"/>
      <c r="I166" s="1411"/>
      <c r="J166" s="1411"/>
      <c r="K166" s="1411"/>
      <c r="L166" s="1412"/>
      <c r="M166" s="1411">
        <f>M165/L165-1</f>
        <v>-6.4673053391828605E-2</v>
      </c>
      <c r="N166" s="1412">
        <f t="shared" ref="N166:AD166" si="725">N165/M165-1</f>
        <v>9.8461876414035476E-3</v>
      </c>
      <c r="O166" s="1412">
        <f t="shared" si="725"/>
        <v>0.10000543653756355</v>
      </c>
      <c r="P166" s="1412">
        <f t="shared" si="725"/>
        <v>-1.6712384760549259E-2</v>
      </c>
      <c r="Q166" s="1412">
        <f t="shared" si="725"/>
        <v>-1.7650615341487486E-2</v>
      </c>
      <c r="R166" s="1412">
        <f t="shared" si="725"/>
        <v>-2.2802590337538731E-2</v>
      </c>
      <c r="S166" s="1412">
        <f t="shared" si="725"/>
        <v>-2.4178319822344863E-2</v>
      </c>
      <c r="T166" s="1412">
        <f t="shared" si="725"/>
        <v>-2.5689581402370099E-2</v>
      </c>
      <c r="U166" s="1411">
        <f t="shared" si="725"/>
        <v>-2.7357676477836157E-2</v>
      </c>
      <c r="V166" s="1411">
        <f t="shared" si="725"/>
        <v>-2.9208657693575835E-2</v>
      </c>
      <c r="W166" s="1411">
        <f t="shared" si="725"/>
        <v>-3.1274742019138713E-2</v>
      </c>
      <c r="X166" s="1411">
        <f t="shared" si="725"/>
        <v>-3.3596263497937651E-2</v>
      </c>
      <c r="Y166" s="1411">
        <f t="shared" si="725"/>
        <v>-3.6224424000239841E-2</v>
      </c>
      <c r="Z166" s="1411">
        <f t="shared" si="725"/>
        <v>-3.9225252885612738E-2</v>
      </c>
      <c r="AA166" s="1411">
        <f t="shared" si="725"/>
        <v>-4.2685449118985308E-2</v>
      </c>
      <c r="AB166" s="1411">
        <f t="shared" si="725"/>
        <v>-4.6721248552855199E-2</v>
      </c>
      <c r="AC166" s="1411">
        <f t="shared" si="725"/>
        <v>-5.1492333772458765E-2</v>
      </c>
      <c r="AD166" s="1411">
        <f t="shared" si="725"/>
        <v>-5.7224518015695169E-2</v>
      </c>
      <c r="AE166" s="1464"/>
      <c r="AF166" s="1465"/>
    </row>
    <row r="167" spans="4:64" ht="16" thickBot="1">
      <c r="G167" s="1144"/>
      <c r="H167" s="1145"/>
      <c r="I167" s="1145"/>
      <c r="J167" s="1145"/>
      <c r="K167" s="1145"/>
      <c r="L167" s="1146"/>
      <c r="M167" s="1146"/>
      <c r="N167" s="1146"/>
      <c r="O167" s="1146"/>
      <c r="P167" s="1113"/>
    </row>
    <row r="168" spans="4:64" ht="21" thickBot="1">
      <c r="L168" s="1145"/>
      <c r="M168" s="1145"/>
      <c r="N168" s="1145"/>
      <c r="O168" s="1145"/>
      <c r="P168" s="817"/>
      <c r="AK168" s="1210" t="s">
        <v>1728</v>
      </c>
    </row>
    <row r="169" spans="4:64" ht="16" thickBot="1">
      <c r="D169" s="1929" t="s">
        <v>1573</v>
      </c>
      <c r="E169" s="1930"/>
      <c r="F169" s="1930"/>
      <c r="G169" s="1930"/>
      <c r="H169" s="1930"/>
      <c r="I169" s="1930"/>
      <c r="J169" s="1930"/>
      <c r="K169" s="1930"/>
      <c r="L169" s="1930"/>
      <c r="M169" s="1930"/>
      <c r="N169" s="1930"/>
      <c r="O169" s="1930"/>
      <c r="P169" s="1930"/>
      <c r="Q169" s="1930"/>
      <c r="R169" s="1930"/>
      <c r="S169" s="1930"/>
      <c r="T169" s="1930"/>
      <c r="U169" s="1930"/>
      <c r="V169" s="1930"/>
      <c r="W169" s="1930"/>
      <c r="X169" s="1930"/>
      <c r="Y169" s="1930"/>
      <c r="Z169" s="1930"/>
      <c r="AA169" s="1930"/>
      <c r="AB169" s="1930"/>
      <c r="AC169" s="1930"/>
      <c r="AD169" s="1930"/>
      <c r="AE169" s="1930"/>
      <c r="AF169" s="1931"/>
      <c r="AK169" s="336"/>
      <c r="AL169" s="336"/>
      <c r="AM169" s="336"/>
      <c r="AN169" s="336"/>
      <c r="AO169" s="336"/>
      <c r="AP169" s="336"/>
      <c r="AQ169" s="336"/>
      <c r="AR169" s="336"/>
      <c r="AS169" s="336"/>
      <c r="AT169" s="336"/>
      <c r="AU169" s="336"/>
      <c r="AV169" s="336"/>
      <c r="AW169" s="620"/>
      <c r="AX169" s="620"/>
      <c r="AY169" s="620"/>
      <c r="AZ169" s="620"/>
      <c r="BA169" s="620"/>
      <c r="BB169" s="620"/>
      <c r="BC169" s="620"/>
      <c r="BD169" s="620"/>
      <c r="BE169" s="620"/>
      <c r="BF169" s="620"/>
      <c r="BG169" s="620"/>
      <c r="BH169" s="620"/>
      <c r="BI169" s="620"/>
      <c r="BJ169" s="620"/>
      <c r="BK169" s="620"/>
      <c r="BL169" s="620"/>
    </row>
    <row r="170" spans="4:64" ht="16" thickBot="1">
      <c r="D170" s="181"/>
      <c r="E170" s="137"/>
      <c r="F170" s="137"/>
      <c r="G170" s="137"/>
      <c r="H170" s="137"/>
      <c r="I170" s="137"/>
      <c r="J170" s="137"/>
      <c r="K170" s="137"/>
      <c r="L170" s="137"/>
      <c r="M170" s="137"/>
      <c r="N170" s="137"/>
      <c r="O170" s="137"/>
      <c r="P170" s="39"/>
      <c r="Q170" s="39"/>
      <c r="R170" s="39"/>
      <c r="S170" s="39"/>
      <c r="T170" s="39"/>
      <c r="U170" s="39"/>
      <c r="V170" s="39"/>
      <c r="W170" s="39"/>
      <c r="X170" s="39"/>
      <c r="Y170" s="39"/>
      <c r="Z170" s="39"/>
      <c r="AA170" s="39"/>
      <c r="AB170" s="39"/>
      <c r="AC170" s="39"/>
      <c r="AD170" s="39"/>
      <c r="AF170" s="123"/>
      <c r="AK170" s="169"/>
      <c r="AL170" s="169"/>
      <c r="AM170" s="169"/>
      <c r="AN170" s="169"/>
      <c r="AO170" s="169"/>
      <c r="AP170" s="169"/>
      <c r="AQ170" s="169"/>
      <c r="AR170" s="169"/>
      <c r="AS170" s="807"/>
      <c r="AT170" s="807"/>
      <c r="AU170" s="807"/>
      <c r="AV170" s="807"/>
      <c r="AW170" s="807"/>
      <c r="AX170" s="807"/>
      <c r="AY170" s="807"/>
      <c r="AZ170" s="807"/>
      <c r="BA170" s="807"/>
      <c r="BB170" s="807"/>
      <c r="BC170" s="807"/>
      <c r="BD170" s="807"/>
      <c r="BE170" s="807"/>
      <c r="BF170" s="807"/>
      <c r="BG170" s="807"/>
      <c r="BH170" s="807"/>
      <c r="BI170" s="807"/>
      <c r="BJ170" s="807"/>
      <c r="BK170" s="807"/>
      <c r="BL170" s="1213"/>
    </row>
    <row r="171" spans="4:64" ht="16" thickBot="1">
      <c r="D171" s="694" t="s">
        <v>1574</v>
      </c>
      <c r="E171" s="695" t="s">
        <v>216</v>
      </c>
      <c r="F171" s="695" t="s">
        <v>217</v>
      </c>
      <c r="G171" s="695" t="s">
        <v>218</v>
      </c>
      <c r="H171" s="695" t="s">
        <v>28</v>
      </c>
      <c r="I171" s="695" t="s">
        <v>17</v>
      </c>
      <c r="J171" s="695" t="s">
        <v>18</v>
      </c>
      <c r="K171" s="695" t="s">
        <v>19</v>
      </c>
      <c r="L171" s="695" t="s">
        <v>20</v>
      </c>
      <c r="M171" s="695" t="s">
        <v>21</v>
      </c>
      <c r="N171" s="695" t="s">
        <v>22</v>
      </c>
      <c r="O171" s="695" t="s">
        <v>23</v>
      </c>
      <c r="P171" s="404" t="s">
        <v>24</v>
      </c>
      <c r="Q171" s="404" t="s">
        <v>25</v>
      </c>
      <c r="R171" s="404" t="s">
        <v>26</v>
      </c>
      <c r="S171" s="404" t="s">
        <v>27</v>
      </c>
      <c r="T171" s="404" t="s">
        <v>712</v>
      </c>
      <c r="U171" s="404" t="s">
        <v>713</v>
      </c>
      <c r="V171" s="404" t="s">
        <v>714</v>
      </c>
      <c r="W171" s="404" t="s">
        <v>715</v>
      </c>
      <c r="X171" s="404" t="s">
        <v>716</v>
      </c>
      <c r="Y171" s="404" t="s">
        <v>717</v>
      </c>
      <c r="Z171" s="404" t="s">
        <v>718</v>
      </c>
      <c r="AA171" s="404" t="s">
        <v>719</v>
      </c>
      <c r="AB171" s="404" t="s">
        <v>720</v>
      </c>
      <c r="AC171" s="404" t="s">
        <v>721</v>
      </c>
      <c r="AD171" s="404" t="s">
        <v>722</v>
      </c>
      <c r="AE171" s="699" t="s">
        <v>1445</v>
      </c>
      <c r="AF171" s="1380" t="s">
        <v>1446</v>
      </c>
      <c r="AK171" s="314"/>
      <c r="AL171" s="314"/>
      <c r="AM171" s="314"/>
      <c r="AN171" s="314"/>
      <c r="AO171" s="314"/>
      <c r="AP171" s="314"/>
      <c r="AQ171" s="314"/>
      <c r="AR171" s="314"/>
      <c r="AS171" s="314"/>
      <c r="AT171" s="314"/>
      <c r="AU171" s="314"/>
      <c r="AV171" s="314"/>
      <c r="AW171" s="314"/>
      <c r="AX171" s="314"/>
      <c r="AY171" s="314"/>
      <c r="AZ171" s="314"/>
      <c r="BA171" s="314"/>
      <c r="BB171" s="314"/>
      <c r="BC171" s="314"/>
      <c r="BD171" s="314"/>
      <c r="BE171" s="314"/>
      <c r="BF171" s="314"/>
      <c r="BG171" s="314"/>
      <c r="BH171" s="314"/>
      <c r="BI171" s="314"/>
      <c r="BJ171" s="314"/>
      <c r="BK171" s="314"/>
      <c r="BL171" s="1329"/>
    </row>
    <row r="172" spans="4:64" s="160" customFormat="1">
      <c r="D172" s="1228" t="s">
        <v>1170</v>
      </c>
      <c r="E172" s="190"/>
      <c r="F172" s="190"/>
      <c r="G172" s="190"/>
      <c r="H172" s="190"/>
      <c r="I172" s="190"/>
      <c r="J172" s="190">
        <v>100000</v>
      </c>
      <c r="K172" s="190">
        <v>100000</v>
      </c>
      <c r="L172" s="1390">
        <v>106000</v>
      </c>
      <c r="M172" s="1390">
        <v>110000</v>
      </c>
      <c r="N172" s="1390">
        <v>110000</v>
      </c>
      <c r="O172" s="1390">
        <v>137000</v>
      </c>
      <c r="P172" s="1390">
        <f>O172*(1+P173)</f>
        <v>142480</v>
      </c>
      <c r="Q172" s="1390">
        <f t="shared" ref="Q172:AD172" si="726">P172*(1+Q173)</f>
        <v>147466.79999999999</v>
      </c>
      <c r="R172" s="1390">
        <f t="shared" si="726"/>
        <v>151890.804</v>
      </c>
      <c r="S172" s="1390">
        <f t="shared" si="726"/>
        <v>155688.0741</v>
      </c>
      <c r="T172" s="1390">
        <f t="shared" si="726"/>
        <v>158801.835582</v>
      </c>
      <c r="U172" s="1426">
        <f t="shared" si="726"/>
        <v>161977.87229364002</v>
      </c>
      <c r="V172" s="1426">
        <f t="shared" si="726"/>
        <v>165217.42973951282</v>
      </c>
      <c r="W172" s="1426">
        <f t="shared" si="726"/>
        <v>168521.77833430309</v>
      </c>
      <c r="X172" s="1426">
        <f t="shared" si="726"/>
        <v>171892.21390098915</v>
      </c>
      <c r="Y172" s="1426">
        <f t="shared" si="726"/>
        <v>175330.05817900895</v>
      </c>
      <c r="Z172" s="1426">
        <f t="shared" si="726"/>
        <v>178836.65934258912</v>
      </c>
      <c r="AA172" s="1426">
        <f t="shared" si="726"/>
        <v>182413.3925294409</v>
      </c>
      <c r="AB172" s="1426">
        <f t="shared" si="726"/>
        <v>186061.66038002973</v>
      </c>
      <c r="AC172" s="1426">
        <f t="shared" si="726"/>
        <v>189782.89358763033</v>
      </c>
      <c r="AD172" s="1545">
        <f t="shared" si="726"/>
        <v>193578.55145938293</v>
      </c>
      <c r="AE172" s="1546">
        <f>(O172/L172)^(1/3)-1</f>
        <v>8.9276750010075734E-2</v>
      </c>
      <c r="AF172" s="1392">
        <f>(T172/P172)^(1/4)-1</f>
        <v>2.7484792930773772E-2</v>
      </c>
      <c r="AK172" s="169"/>
      <c r="AL172" s="169"/>
      <c r="AM172" s="169"/>
      <c r="AN172" s="169"/>
      <c r="AO172" s="169"/>
      <c r="AP172" s="169"/>
      <c r="AQ172" s="169"/>
      <c r="AR172" s="169"/>
      <c r="AS172" s="807"/>
      <c r="AT172" s="807"/>
      <c r="AU172" s="807"/>
      <c r="AV172" s="807"/>
      <c r="AW172" s="807"/>
      <c r="AX172" s="807"/>
      <c r="AY172" s="807"/>
      <c r="AZ172" s="807"/>
      <c r="BA172" s="807"/>
      <c r="BB172" s="807"/>
      <c r="BC172" s="807"/>
      <c r="BD172" s="807"/>
      <c r="BE172" s="807"/>
      <c r="BF172" s="807"/>
      <c r="BG172" s="807"/>
      <c r="BH172" s="807"/>
      <c r="BI172" s="807"/>
      <c r="BJ172" s="807"/>
      <c r="BK172" s="807"/>
      <c r="BL172" s="1219"/>
    </row>
    <row r="173" spans="4:64" s="1553" customFormat="1" ht="14">
      <c r="D173" s="1552" t="s">
        <v>832</v>
      </c>
      <c r="K173" s="1553">
        <f>K172/J172-1</f>
        <v>0</v>
      </c>
      <c r="L173" s="1553">
        <f t="shared" ref="L173:O173" si="727">L172/K172-1</f>
        <v>6.0000000000000053E-2</v>
      </c>
      <c r="M173" s="1553">
        <f t="shared" si="727"/>
        <v>3.7735849056603765E-2</v>
      </c>
      <c r="N173" s="1553">
        <f t="shared" si="727"/>
        <v>0</v>
      </c>
      <c r="O173" s="1553">
        <f t="shared" si="727"/>
        <v>0.24545454545454537</v>
      </c>
      <c r="P173" s="1553">
        <v>0.04</v>
      </c>
      <c r="Q173" s="1553">
        <f>P173-0.5%</f>
        <v>3.5000000000000003E-2</v>
      </c>
      <c r="R173" s="1553">
        <f t="shared" ref="R173:T173" si="728">Q173-0.5%</f>
        <v>3.0000000000000002E-2</v>
      </c>
      <c r="S173" s="1553">
        <f t="shared" si="728"/>
        <v>2.5000000000000001E-2</v>
      </c>
      <c r="T173" s="1553">
        <f t="shared" si="728"/>
        <v>0.02</v>
      </c>
      <c r="U173" s="1553">
        <v>0.02</v>
      </c>
      <c r="V173" s="1553">
        <f t="shared" ref="V173:AD173" si="729">U173</f>
        <v>0.02</v>
      </c>
      <c r="W173" s="1553">
        <f t="shared" si="729"/>
        <v>0.02</v>
      </c>
      <c r="X173" s="1553">
        <f t="shared" si="729"/>
        <v>0.02</v>
      </c>
      <c r="Y173" s="1553">
        <f t="shared" si="729"/>
        <v>0.02</v>
      </c>
      <c r="Z173" s="1553">
        <f t="shared" si="729"/>
        <v>0.02</v>
      </c>
      <c r="AA173" s="1553">
        <f t="shared" si="729"/>
        <v>0.02</v>
      </c>
      <c r="AB173" s="1553">
        <f t="shared" si="729"/>
        <v>0.02</v>
      </c>
      <c r="AC173" s="1553">
        <f t="shared" si="729"/>
        <v>0.02</v>
      </c>
      <c r="AD173" s="1554">
        <f t="shared" si="729"/>
        <v>0.02</v>
      </c>
      <c r="AE173" s="1555"/>
      <c r="AF173" s="1556"/>
      <c r="AK173" s="169"/>
      <c r="AL173" s="169"/>
      <c r="AM173" s="169"/>
      <c r="AN173" s="169"/>
      <c r="AO173" s="169"/>
      <c r="AP173" s="169"/>
      <c r="AQ173" s="169"/>
      <c r="AR173" s="169"/>
      <c r="AS173" s="169"/>
      <c r="AT173" s="169"/>
      <c r="AU173" s="169"/>
      <c r="AV173" s="169"/>
      <c r="AW173" s="429"/>
      <c r="AX173" s="429"/>
      <c r="AY173" s="429"/>
      <c r="AZ173" s="429"/>
      <c r="BA173" s="429"/>
      <c r="BB173" s="429"/>
      <c r="BC173" s="429"/>
      <c r="BD173" s="429"/>
      <c r="BE173" s="429"/>
      <c r="BF173" s="429"/>
      <c r="BG173" s="429"/>
      <c r="BH173" s="429"/>
      <c r="BI173" s="429"/>
      <c r="BJ173" s="429"/>
      <c r="BK173" s="429"/>
      <c r="BL173" s="1219"/>
    </row>
    <row r="174" spans="4:64" s="160" customFormat="1">
      <c r="D174" s="1228" t="s">
        <v>1171</v>
      </c>
      <c r="E174" s="190"/>
      <c r="F174" s="190"/>
      <c r="G174" s="190"/>
      <c r="H174" s="190"/>
      <c r="I174" s="190"/>
      <c r="J174" s="190"/>
      <c r="K174" s="190"/>
      <c r="L174" s="1390">
        <f>L172/L175</f>
        <v>13250</v>
      </c>
      <c r="M174" s="1390">
        <f t="shared" ref="M174:AD174" si="730">M172/M175</f>
        <v>11000</v>
      </c>
      <c r="N174" s="1390">
        <f t="shared" si="730"/>
        <v>11000</v>
      </c>
      <c r="O174" s="1390">
        <f t="shared" si="730"/>
        <v>10538.461538461539</v>
      </c>
      <c r="P174" s="1796">
        <f>P172/P175</f>
        <v>10339.622641509433</v>
      </c>
      <c r="Q174" s="1390">
        <f t="shared" si="730"/>
        <v>10191.913746630726</v>
      </c>
      <c r="R174" s="1390">
        <f t="shared" si="730"/>
        <v>10191.913746630727</v>
      </c>
      <c r="S174" s="1390">
        <f t="shared" si="730"/>
        <v>10241.874108133819</v>
      </c>
      <c r="T174" s="1390">
        <f t="shared" si="730"/>
        <v>10241.874108133819</v>
      </c>
      <c r="U174" s="1390">
        <f t="shared" si="730"/>
        <v>10241.874108133819</v>
      </c>
      <c r="V174" s="1390">
        <f t="shared" si="730"/>
        <v>10241.874108133819</v>
      </c>
      <c r="W174" s="1390">
        <f t="shared" si="730"/>
        <v>10241.874108133819</v>
      </c>
      <c r="X174" s="1390">
        <f t="shared" si="730"/>
        <v>10241.874108133819</v>
      </c>
      <c r="Y174" s="1390">
        <f t="shared" si="730"/>
        <v>10241.874108133819</v>
      </c>
      <c r="Z174" s="1390">
        <f t="shared" si="730"/>
        <v>10241.874108133819</v>
      </c>
      <c r="AA174" s="1390">
        <f t="shared" si="730"/>
        <v>10241.874108133819</v>
      </c>
      <c r="AB174" s="1390">
        <f t="shared" si="730"/>
        <v>10241.874108133819</v>
      </c>
      <c r="AC174" s="1390">
        <f t="shared" si="730"/>
        <v>10241.874108133821</v>
      </c>
      <c r="AD174" s="1547">
        <f t="shared" si="730"/>
        <v>10241.874108133821</v>
      </c>
      <c r="AE174" s="1548"/>
      <c r="AF174" s="1549"/>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787"/>
    </row>
    <row r="175" spans="4:64" s="160" customFormat="1">
      <c r="D175" s="1228" t="s">
        <v>1172</v>
      </c>
      <c r="E175" s="190"/>
      <c r="F175" s="190"/>
      <c r="G175" s="190"/>
      <c r="H175" s="190"/>
      <c r="I175" s="190"/>
      <c r="J175" s="190"/>
      <c r="K175" s="190"/>
      <c r="L175" s="190">
        <v>8</v>
      </c>
      <c r="M175" s="190">
        <v>10</v>
      </c>
      <c r="N175" s="190">
        <v>10</v>
      </c>
      <c r="O175" s="190">
        <v>13</v>
      </c>
      <c r="P175" s="1455">
        <f>O175*(1+P176)</f>
        <v>13.780000000000001</v>
      </c>
      <c r="Q175" s="1455">
        <f t="shared" ref="Q175:AD175" si="731">P175*(1+Q176)</f>
        <v>14.469000000000001</v>
      </c>
      <c r="R175" s="1455">
        <f t="shared" si="731"/>
        <v>14.903070000000001</v>
      </c>
      <c r="S175" s="1455">
        <f t="shared" si="731"/>
        <v>15.201131400000001</v>
      </c>
      <c r="T175" s="1455">
        <f t="shared" si="731"/>
        <v>15.505154028000002</v>
      </c>
      <c r="U175" s="1455">
        <f t="shared" si="731"/>
        <v>15.815257108560003</v>
      </c>
      <c r="V175" s="1455">
        <f t="shared" si="731"/>
        <v>16.131562250731204</v>
      </c>
      <c r="W175" s="1455">
        <f t="shared" si="731"/>
        <v>16.454193495745827</v>
      </c>
      <c r="X175" s="1455">
        <f t="shared" si="731"/>
        <v>16.783277365660744</v>
      </c>
      <c r="Y175" s="1455">
        <f t="shared" si="731"/>
        <v>17.11894291297396</v>
      </c>
      <c r="Z175" s="1455">
        <f t="shared" si="731"/>
        <v>17.46132177123344</v>
      </c>
      <c r="AA175" s="1455">
        <f t="shared" si="731"/>
        <v>17.810548206658108</v>
      </c>
      <c r="AB175" s="1455">
        <f t="shared" si="731"/>
        <v>18.16675917079127</v>
      </c>
      <c r="AC175" s="1455">
        <f t="shared" si="731"/>
        <v>18.530094354207094</v>
      </c>
      <c r="AD175" s="1550">
        <f t="shared" si="731"/>
        <v>18.900696241291236</v>
      </c>
      <c r="AE175" s="1548"/>
      <c r="AF175" s="1549"/>
      <c r="AK175" s="109"/>
      <c r="AL175" s="109"/>
      <c r="AM175" s="109"/>
      <c r="AN175" s="109"/>
      <c r="AO175" s="109"/>
      <c r="AP175" s="109"/>
      <c r="AQ175" s="109"/>
      <c r="AR175" s="109"/>
      <c r="AS175" s="919"/>
      <c r="AT175" s="919"/>
      <c r="AU175" s="919"/>
      <c r="AV175" s="919"/>
      <c r="AW175" s="919"/>
      <c r="AX175" s="919"/>
      <c r="AY175" s="919"/>
      <c r="AZ175" s="919"/>
      <c r="BA175" s="919"/>
      <c r="BB175" s="919"/>
      <c r="BC175" s="919"/>
      <c r="BD175" s="919"/>
      <c r="BE175" s="919"/>
      <c r="BF175" s="919"/>
      <c r="BG175" s="919"/>
      <c r="BH175" s="919"/>
      <c r="BI175" s="919"/>
      <c r="BJ175" s="919"/>
      <c r="BK175" s="919"/>
      <c r="BL175" s="1213"/>
    </row>
    <row r="176" spans="4:64" s="1402" customFormat="1" thickBot="1">
      <c r="D176" s="1418" t="s">
        <v>832</v>
      </c>
      <c r="M176" s="1402">
        <f>M175/L175-1</f>
        <v>0.25</v>
      </c>
      <c r="N176" s="1402">
        <f t="shared" ref="N176:O176" si="732">N175/M175-1</f>
        <v>0</v>
      </c>
      <c r="O176" s="1402">
        <f t="shared" si="732"/>
        <v>0.30000000000000004</v>
      </c>
      <c r="P176" s="1402">
        <v>0.06</v>
      </c>
      <c r="Q176" s="1402">
        <v>0.05</v>
      </c>
      <c r="R176" s="1402">
        <v>0.03</v>
      </c>
      <c r="S176" s="1402">
        <v>0.02</v>
      </c>
      <c r="T176" s="1402">
        <f>S176</f>
        <v>0.02</v>
      </c>
      <c r="U176" s="1402">
        <f>T176</f>
        <v>0.02</v>
      </c>
      <c r="V176" s="1402">
        <f t="shared" ref="V176:AD176" si="733">U176</f>
        <v>0.02</v>
      </c>
      <c r="W176" s="1402">
        <f t="shared" si="733"/>
        <v>0.02</v>
      </c>
      <c r="X176" s="1402">
        <f t="shared" si="733"/>
        <v>0.02</v>
      </c>
      <c r="Y176" s="1402">
        <f t="shared" si="733"/>
        <v>0.02</v>
      </c>
      <c r="Z176" s="1402">
        <f t="shared" si="733"/>
        <v>0.02</v>
      </c>
      <c r="AA176" s="1402">
        <f t="shared" si="733"/>
        <v>0.02</v>
      </c>
      <c r="AB176" s="1402">
        <f t="shared" si="733"/>
        <v>0.02</v>
      </c>
      <c r="AC176" s="1402">
        <f t="shared" si="733"/>
        <v>0.02</v>
      </c>
      <c r="AD176" s="1452">
        <f t="shared" si="733"/>
        <v>0.02</v>
      </c>
      <c r="AE176" s="1558"/>
      <c r="AF176" s="1299"/>
      <c r="BL176" s="1300"/>
    </row>
    <row r="177" spans="4:65" s="20" customFormat="1" ht="16" thickBot="1">
      <c r="D177" s="172" t="s">
        <v>1173</v>
      </c>
      <c r="E177" s="174"/>
      <c r="F177" s="174"/>
      <c r="G177" s="174"/>
      <c r="H177" s="174"/>
      <c r="I177" s="174"/>
      <c r="J177" s="174"/>
      <c r="K177" s="174"/>
      <c r="L177" s="843">
        <f>'3c. Commercial Cold Stor Div.'!L5/'3h. Segmental Volume Drivers'!L172*1000</f>
        <v>2639.5283018867922</v>
      </c>
      <c r="M177" s="843">
        <f>'3c. Commercial Cold Stor Div.'!M5/'3h. Segmental Volume Drivers'!M172*1000</f>
        <v>2966.5454545454545</v>
      </c>
      <c r="N177" s="843">
        <f>'3c. Commercial Cold Stor Div.'!N5/'3h. Segmental Volume Drivers'!N172*1000</f>
        <v>3124.4636363636364</v>
      </c>
      <c r="O177" s="843">
        <f>'3c. Commercial Cold Stor Div.'!O5/'3h. Segmental Volume Drivers'!O172*1000</f>
        <v>3347.2043795620439</v>
      </c>
      <c r="P177" s="843">
        <f>'3c. Commercial Cold Stor Div.'!P5/'3h. Segmental Volume Drivers'!P172*1000</f>
        <v>3514.5645985401466</v>
      </c>
      <c r="Q177" s="843">
        <f>'3c. Commercial Cold Stor Div.'!Q5/'3h. Segmental Volume Drivers'!Q172*1000</f>
        <v>3690.2928284671539</v>
      </c>
      <c r="R177" s="843">
        <f>'3c. Commercial Cold Stor Div.'!R5/'3h. Segmental Volume Drivers'!R172*1000</f>
        <v>3837.9045416058402</v>
      </c>
      <c r="S177" s="843">
        <f>'3c. Commercial Cold Stor Div.'!S5/'3h. Segmental Volume Drivers'!S172*1000</f>
        <v>3991.4207232700737</v>
      </c>
      <c r="T177" s="843">
        <f>'3c. Commercial Cold Stor Div.'!T5/'3h. Segmental Volume Drivers'!T172*1000</f>
        <v>4151.0775522008771</v>
      </c>
      <c r="U177" s="843">
        <f>'3c. Commercial Cold Stor Div.'!U5/'3h. Segmental Volume Drivers'!U172*1000</f>
        <v>4317.1206542889113</v>
      </c>
      <c r="V177" s="843">
        <f>'3c. Commercial Cold Stor Div.'!V5/'3h. Segmental Volume Drivers'!V172*1000</f>
        <v>4489.8054804604672</v>
      </c>
      <c r="W177" s="843">
        <f>'3c. Commercial Cold Stor Div.'!W5/'3h. Segmental Volume Drivers'!W172*1000</f>
        <v>4669.3976996788851</v>
      </c>
      <c r="X177" s="843">
        <f>'3c. Commercial Cold Stor Div.'!X5/'3h. Segmental Volume Drivers'!X172*1000</f>
        <v>4856.1736076660409</v>
      </c>
      <c r="Y177" s="843">
        <f>'3c. Commercial Cold Stor Div.'!Y5/'3h. Segmental Volume Drivers'!Y172*1000</f>
        <v>5050.4205519726829</v>
      </c>
      <c r="Z177" s="843">
        <f>'3c. Commercial Cold Stor Div.'!Z5/'3h. Segmental Volume Drivers'!Z172*1000</f>
        <v>5252.4373740515903</v>
      </c>
      <c r="AA177" s="843">
        <f>'3c. Commercial Cold Stor Div.'!AA5/'3h. Segmental Volume Drivers'!AA172*1000</f>
        <v>5462.5348690136534</v>
      </c>
      <c r="AB177" s="843">
        <f>'3c. Commercial Cold Stor Div.'!AB5/'3h. Segmental Volume Drivers'!AB172*1000</f>
        <v>5681.0362637741982</v>
      </c>
      <c r="AC177" s="843">
        <f>'3c. Commercial Cold Stor Div.'!AC5/'3h. Segmental Volume Drivers'!AC172*1000</f>
        <v>5908.277714325166</v>
      </c>
      <c r="AD177" s="843">
        <f>'3c. Commercial Cold Stor Div.'!AD5/'3h. Segmental Volume Drivers'!AD172*1000</f>
        <v>6144.6088228981725</v>
      </c>
      <c r="AE177" s="1551">
        <f>(O177/L177)^(1/3)-1</f>
        <v>8.2393816837721401E-2</v>
      </c>
      <c r="AF177" s="1399">
        <f>(T177/P177)^(1/4)-1</f>
        <v>4.2491035806741406E-2</v>
      </c>
      <c r="AK177" s="50" t="s">
        <v>1649</v>
      </c>
    </row>
    <row r="178" spans="4:65" s="1402" customFormat="1" thickBot="1">
      <c r="D178" s="1420" t="s">
        <v>832</v>
      </c>
      <c r="E178" s="1411"/>
      <c r="F178" s="1411"/>
      <c r="G178" s="1411"/>
      <c r="H178" s="1411"/>
      <c r="I178" s="1411"/>
      <c r="J178" s="1411"/>
      <c r="K178" s="1411"/>
      <c r="L178" s="1411"/>
      <c r="M178" s="1411">
        <f>M177/L177-1</f>
        <v>0.12389226985173951</v>
      </c>
      <c r="N178" s="1411">
        <f t="shared" ref="N178:T178" si="734">N177/M177-1</f>
        <v>5.3233022799705765E-2</v>
      </c>
      <c r="O178" s="1411">
        <f t="shared" si="734"/>
        <v>7.1289273655186891E-2</v>
      </c>
      <c r="P178" s="1411">
        <f t="shared" si="734"/>
        <v>5.0000000000000044E-2</v>
      </c>
      <c r="Q178" s="1411">
        <f t="shared" si="734"/>
        <v>5.0000000000000044E-2</v>
      </c>
      <c r="R178" s="1411">
        <f t="shared" si="734"/>
        <v>4.0000000000000036E-2</v>
      </c>
      <c r="S178" s="1411">
        <f t="shared" si="734"/>
        <v>4.0000000000000036E-2</v>
      </c>
      <c r="T178" s="1411">
        <f t="shared" si="734"/>
        <v>4.0000000000000036E-2</v>
      </c>
      <c r="U178" s="1411">
        <f t="shared" ref="U178" si="735">U177/T177-1</f>
        <v>3.9999999999999813E-2</v>
      </c>
      <c r="V178" s="1411">
        <f t="shared" ref="V178" si="736">V177/U177-1</f>
        <v>3.9999999999999813E-2</v>
      </c>
      <c r="W178" s="1411">
        <f t="shared" ref="W178" si="737">W177/V177-1</f>
        <v>3.9999999999999813E-2</v>
      </c>
      <c r="X178" s="1411">
        <f t="shared" ref="X178" si="738">X177/W177-1</f>
        <v>4.0000000000000036E-2</v>
      </c>
      <c r="Y178" s="1411">
        <f t="shared" ref="Y178" si="739">Y177/X177-1</f>
        <v>4.0000000000000036E-2</v>
      </c>
      <c r="Z178" s="1411">
        <f t="shared" ref="Z178" si="740">Z177/Y177-1</f>
        <v>4.0000000000000036E-2</v>
      </c>
      <c r="AA178" s="1411">
        <f t="shared" ref="AA178" si="741">AA177/Z177-1</f>
        <v>3.9999999999999813E-2</v>
      </c>
      <c r="AB178" s="1411">
        <f t="shared" ref="AB178" si="742">AB177/AA177-1</f>
        <v>3.9999999999999813E-2</v>
      </c>
      <c r="AC178" s="1411">
        <f t="shared" ref="AC178" si="743">AC177/AB177-1</f>
        <v>4.0000000000000036E-2</v>
      </c>
      <c r="AD178" s="1411">
        <f t="shared" ref="AD178" si="744">AD177/AC177-1</f>
        <v>4.0000000000000036E-2</v>
      </c>
      <c r="AE178" s="1557"/>
      <c r="AF178" s="1302"/>
    </row>
    <row r="181" spans="4:65" ht="20">
      <c r="AK181" s="1210" t="s">
        <v>1816</v>
      </c>
    </row>
    <row r="182" spans="4:65">
      <c r="AK182" s="336"/>
      <c r="AL182" s="336"/>
      <c r="AM182" s="336"/>
      <c r="AN182" s="336"/>
      <c r="AO182" s="336"/>
      <c r="AP182" s="336"/>
      <c r="AQ182" s="336"/>
      <c r="AR182" s="336"/>
      <c r="AS182" s="336"/>
      <c r="AT182" s="336"/>
      <c r="AU182" s="336"/>
      <c r="AV182" s="336"/>
      <c r="AW182" s="620"/>
      <c r="AX182" s="620"/>
      <c r="AY182" s="620"/>
      <c r="AZ182" s="620"/>
      <c r="BA182" s="620"/>
      <c r="BB182" s="620"/>
      <c r="BC182" s="620"/>
      <c r="BD182" s="620"/>
      <c r="BE182" s="620"/>
      <c r="BF182" s="620"/>
      <c r="BG182" s="620"/>
      <c r="BH182" s="620"/>
      <c r="BI182" s="620"/>
      <c r="BJ182" s="620"/>
      <c r="BK182" s="620"/>
      <c r="BL182" s="620"/>
      <c r="BM182" s="620"/>
    </row>
    <row r="183" spans="4:65">
      <c r="AK183" s="169"/>
      <c r="AL183" s="169"/>
      <c r="AM183" s="169"/>
      <c r="AN183" s="169"/>
      <c r="AO183" s="169"/>
      <c r="AP183" s="169"/>
      <c r="AQ183" s="169"/>
      <c r="AR183" s="169"/>
      <c r="AS183" s="807"/>
      <c r="AT183" s="807"/>
      <c r="AU183" s="807"/>
      <c r="AV183" s="807"/>
      <c r="AW183" s="807"/>
      <c r="AX183" s="807"/>
      <c r="AY183" s="807"/>
      <c r="AZ183" s="807"/>
      <c r="BA183" s="807"/>
      <c r="BB183" s="807"/>
      <c r="BC183" s="807"/>
      <c r="BD183" s="807"/>
      <c r="BE183" s="807"/>
      <c r="BF183" s="807"/>
      <c r="BG183" s="807"/>
      <c r="BH183" s="807"/>
      <c r="BI183" s="807"/>
      <c r="BJ183" s="807"/>
      <c r="BK183" s="807"/>
      <c r="BL183" s="1213"/>
      <c r="BM183" s="1213"/>
    </row>
    <row r="184" spans="4:65">
      <c r="AK184" s="314"/>
      <c r="AL184" s="314"/>
      <c r="AM184" s="314"/>
      <c r="AN184" s="314"/>
      <c r="AO184" s="314"/>
      <c r="AP184" s="314"/>
      <c r="AQ184" s="314"/>
      <c r="AR184" s="314"/>
      <c r="AS184" s="314"/>
      <c r="AT184" s="314"/>
      <c r="AU184" s="314"/>
      <c r="AV184" s="314"/>
      <c r="AW184" s="314"/>
      <c r="AX184" s="314"/>
      <c r="AY184" s="314"/>
      <c r="AZ184" s="314"/>
      <c r="BA184" s="314"/>
      <c r="BB184" s="314"/>
      <c r="BC184" s="314"/>
      <c r="BD184" s="314"/>
      <c r="BE184" s="314"/>
      <c r="BF184" s="314"/>
      <c r="BG184" s="314"/>
      <c r="BH184" s="314"/>
      <c r="BI184" s="314"/>
      <c r="BJ184" s="314"/>
      <c r="BK184" s="314"/>
      <c r="BL184" s="1329"/>
      <c r="BM184" s="1329"/>
    </row>
    <row r="185" spans="4:65">
      <c r="AK185" s="169"/>
      <c r="AL185" s="169"/>
      <c r="AM185" s="169"/>
      <c r="AN185" s="169"/>
      <c r="AO185" s="169"/>
      <c r="AP185" s="169"/>
      <c r="AQ185" s="169"/>
      <c r="AR185" s="169"/>
      <c r="AS185" s="807"/>
      <c r="AT185" s="807"/>
      <c r="AU185" s="807"/>
      <c r="AV185" s="807"/>
      <c r="AW185" s="807"/>
      <c r="AX185" s="807"/>
      <c r="AY185" s="807"/>
      <c r="AZ185" s="807"/>
      <c r="BA185" s="807"/>
      <c r="BB185" s="807"/>
      <c r="BC185" s="807"/>
      <c r="BD185" s="807"/>
      <c r="BE185" s="807"/>
      <c r="BF185" s="807"/>
      <c r="BG185" s="807"/>
      <c r="BH185" s="807"/>
      <c r="BI185" s="807"/>
      <c r="BJ185" s="807"/>
      <c r="BK185" s="807"/>
      <c r="BL185" s="1219"/>
      <c r="BM185" s="1219"/>
    </row>
    <row r="186" spans="4:65">
      <c r="AK186" s="169"/>
      <c r="AL186" s="169"/>
      <c r="AM186" s="169"/>
      <c r="AN186" s="169"/>
      <c r="AO186" s="169"/>
      <c r="AP186" s="169"/>
      <c r="AQ186" s="169"/>
      <c r="AR186" s="169"/>
      <c r="AS186" s="169"/>
      <c r="AT186" s="169"/>
      <c r="AU186" s="169"/>
      <c r="AV186" s="169"/>
      <c r="AW186" s="429"/>
      <c r="AX186" s="429"/>
      <c r="AY186" s="429"/>
      <c r="AZ186" s="429"/>
      <c r="BA186" s="429"/>
      <c r="BB186" s="429"/>
      <c r="BC186" s="429"/>
      <c r="BD186" s="429"/>
      <c r="BE186" s="429"/>
      <c r="BF186" s="429"/>
      <c r="BG186" s="429"/>
      <c r="BH186" s="429"/>
      <c r="BI186" s="429"/>
      <c r="BJ186" s="429"/>
      <c r="BK186" s="429"/>
      <c r="BL186" s="1219"/>
      <c r="BM186" s="1219"/>
    </row>
    <row r="187" spans="4:65">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787"/>
      <c r="BM187" s="787"/>
    </row>
    <row r="188" spans="4:65">
      <c r="AK188" s="109"/>
      <c r="AL188" s="109"/>
      <c r="AM188" s="109"/>
      <c r="AN188" s="109"/>
      <c r="AO188" s="109"/>
      <c r="AP188" s="109"/>
      <c r="AQ188" s="109"/>
      <c r="AR188" s="109"/>
      <c r="AS188" s="919"/>
      <c r="AT188" s="919"/>
      <c r="AU188" s="919"/>
      <c r="AV188" s="919"/>
      <c r="AW188" s="919"/>
      <c r="AX188" s="919"/>
      <c r="AY188" s="919"/>
      <c r="AZ188" s="919"/>
      <c r="BA188" s="919"/>
      <c r="BB188" s="919"/>
      <c r="BC188" s="919"/>
      <c r="BD188" s="919"/>
      <c r="BE188" s="919"/>
      <c r="BF188" s="919"/>
      <c r="BG188" s="919"/>
      <c r="BH188" s="919"/>
      <c r="BI188" s="919"/>
      <c r="BJ188" s="919"/>
      <c r="BK188" s="919"/>
      <c r="BL188" s="1213"/>
      <c r="BM188" s="1213"/>
    </row>
    <row r="189" spans="4:65">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787"/>
      <c r="BM189" s="787"/>
    </row>
    <row r="190" spans="4:65">
      <c r="AK190" s="50" t="s">
        <v>1658</v>
      </c>
    </row>
  </sheetData>
  <mergeCells count="3">
    <mergeCell ref="D4:AF4"/>
    <mergeCell ref="D108:AF108"/>
    <mergeCell ref="D169:AF169"/>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499984740745262"/>
  </sheetPr>
  <dimension ref="A1"/>
  <sheetViews>
    <sheetView topLeftCell="A3" workbookViewId="0">
      <selection activeCell="M33" sqref="M33"/>
    </sheetView>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2:Q160"/>
  <sheetViews>
    <sheetView showGridLines="0" topLeftCell="D1" zoomScale="75" zoomScaleNormal="75" zoomScalePageLayoutView="75" workbookViewId="0">
      <selection activeCell="K128" sqref="K128"/>
    </sheetView>
  </sheetViews>
  <sheetFormatPr baseColWidth="10" defaultRowHeight="15" x14ac:dyDescent="0"/>
  <cols>
    <col min="1" max="3" width="0" hidden="1" customWidth="1"/>
    <col min="4" max="4" width="46.5" customWidth="1"/>
    <col min="5" max="13" width="13" customWidth="1"/>
    <col min="14" max="14" width="6.33203125" customWidth="1"/>
    <col min="15" max="15" width="2.6640625" customWidth="1"/>
    <col min="16" max="16" width="14.5" bestFit="1" customWidth="1"/>
    <col min="23" max="23" width="5.33203125" customWidth="1"/>
  </cols>
  <sheetData>
    <row r="2" spans="4:13" ht="16" thickBot="1"/>
    <row r="3" spans="4:13" ht="16" thickBot="1">
      <c r="D3" s="408" t="s">
        <v>1224</v>
      </c>
      <c r="E3" s="403" t="s">
        <v>20</v>
      </c>
      <c r="F3" s="403" t="s">
        <v>21</v>
      </c>
      <c r="G3" s="403" t="s">
        <v>22</v>
      </c>
      <c r="H3" s="403" t="s">
        <v>23</v>
      </c>
      <c r="I3" s="404" t="s">
        <v>24</v>
      </c>
      <c r="J3" s="404" t="s">
        <v>25</v>
      </c>
      <c r="K3" s="404" t="s">
        <v>26</v>
      </c>
      <c r="L3" s="404" t="s">
        <v>27</v>
      </c>
      <c r="M3" s="404" t="s">
        <v>712</v>
      </c>
    </row>
    <row r="4" spans="4:13" s="6" customFormat="1" ht="14">
      <c r="D4" s="6" t="s">
        <v>0</v>
      </c>
      <c r="E4" s="6">
        <f>'All Together'!L5</f>
        <v>2933079</v>
      </c>
      <c r="F4" s="6">
        <f>'All Together'!M5</f>
        <v>3001080</v>
      </c>
      <c r="G4" s="6">
        <f>'All Together'!N5</f>
        <v>3491973</v>
      </c>
      <c r="H4" s="6">
        <f>'All Together'!O5</f>
        <v>3821135</v>
      </c>
      <c r="I4" s="6">
        <f>'All Together'!P5</f>
        <v>4533200.2283846727</v>
      </c>
      <c r="J4" s="6">
        <f>'All Together'!Q5</f>
        <v>4984435.9882698003</v>
      </c>
      <c r="K4" s="6">
        <f>'All Together'!R5</f>
        <v>5435226.3518820703</v>
      </c>
      <c r="L4" s="6">
        <f>'All Together'!S5</f>
        <v>5880813.9321678523</v>
      </c>
      <c r="M4" s="6">
        <f>'All Together'!T5</f>
        <v>6310084.4843171323</v>
      </c>
    </row>
    <row r="5" spans="4:13" s="161" customFormat="1" ht="11">
      <c r="D5" s="161" t="s">
        <v>832</v>
      </c>
      <c r="F5" s="161">
        <f>F4/E4-1</f>
        <v>2.3184169263766874E-2</v>
      </c>
      <c r="G5" s="161">
        <f t="shared" ref="G5:M5" si="0">G4/F4-1</f>
        <v>0.16357211403894589</v>
      </c>
      <c r="H5" s="161">
        <f t="shared" si="0"/>
        <v>9.4262469956096551E-2</v>
      </c>
      <c r="I5" s="161">
        <f t="shared" si="0"/>
        <v>0.18634914191324636</v>
      </c>
      <c r="J5" s="161">
        <f t="shared" si="0"/>
        <v>9.9540222613532681E-2</v>
      </c>
      <c r="K5" s="161">
        <f t="shared" si="0"/>
        <v>9.0439593300655208E-2</v>
      </c>
      <c r="L5" s="161">
        <f t="shared" si="0"/>
        <v>8.1981421092331752E-2</v>
      </c>
      <c r="M5" s="161">
        <f t="shared" si="0"/>
        <v>7.2995091683003999E-2</v>
      </c>
    </row>
    <row r="6" spans="4:13" s="161" customFormat="1" ht="11">
      <c r="D6" s="161" t="s">
        <v>1227</v>
      </c>
      <c r="F6" s="161">
        <f>'All Together'!M7</f>
        <v>0.63836141396368262</v>
      </c>
      <c r="G6" s="161">
        <f>'All Together'!N7</f>
        <v>0.69297085570655592</v>
      </c>
      <c r="H6" s="161">
        <f>'All Together'!O7</f>
        <v>0.61943153399774376</v>
      </c>
      <c r="I6" s="161">
        <f>'All Together'!P7</f>
        <v>0.53622271798629673</v>
      </c>
      <c r="J6" s="161">
        <f>'All Together'!Q7</f>
        <v>0.53937531973998443</v>
      </c>
      <c r="K6" s="161">
        <f>'All Together'!R7</f>
        <v>0.54097401404696366</v>
      </c>
      <c r="L6" s="161">
        <f>'All Together'!S7</f>
        <v>0.53901259467451601</v>
      </c>
      <c r="M6" s="161">
        <f>'All Together'!T7</f>
        <v>0.53539638093953246</v>
      </c>
    </row>
    <row r="7" spans="4:13" s="6" customFormat="1" ht="14">
      <c r="D7" s="6" t="s">
        <v>451</v>
      </c>
      <c r="E7" s="6">
        <f>'All Together'!L29</f>
        <v>348479</v>
      </c>
      <c r="F7" s="6">
        <f>'All Together'!M29</f>
        <v>238257</v>
      </c>
      <c r="G7" s="6">
        <f>'All Together'!N29</f>
        <v>425801</v>
      </c>
      <c r="H7" s="6">
        <f>'All Together'!O29</f>
        <v>499078</v>
      </c>
      <c r="I7" s="6">
        <f>'All Together'!P29</f>
        <v>669548.38229873881</v>
      </c>
      <c r="J7" s="6">
        <f>'All Together'!Q29</f>
        <v>736653.62825501838</v>
      </c>
      <c r="K7" s="6">
        <f>'All Together'!R29</f>
        <v>754545.05385980697</v>
      </c>
      <c r="L7" s="6">
        <f>'All Together'!S29</f>
        <v>815386.22337148292</v>
      </c>
      <c r="M7" s="6">
        <f>'All Together'!T29</f>
        <v>873589.9605153976</v>
      </c>
    </row>
    <row r="8" spans="4:13" s="161" customFormat="1" ht="11">
      <c r="D8" s="161" t="s">
        <v>832</v>
      </c>
      <c r="F8" s="161">
        <f>F7/E7-1</f>
        <v>-0.31629452563856075</v>
      </c>
      <c r="G8" s="161">
        <f t="shared" ref="G8:M8" si="1">G7/F7-1</f>
        <v>0.78715001028301379</v>
      </c>
      <c r="H8" s="161">
        <f t="shared" si="1"/>
        <v>0.17209212754314818</v>
      </c>
      <c r="I8" s="161">
        <f t="shared" si="1"/>
        <v>0.34157062082227396</v>
      </c>
      <c r="J8" s="161">
        <f t="shared" si="1"/>
        <v>0.10022464056427016</v>
      </c>
      <c r="K8" s="161">
        <f t="shared" si="1"/>
        <v>2.4287432951588972E-2</v>
      </c>
      <c r="L8" s="161">
        <f t="shared" si="1"/>
        <v>8.0632918074869719E-2</v>
      </c>
      <c r="M8" s="161">
        <f t="shared" si="1"/>
        <v>7.1381801011123569E-2</v>
      </c>
    </row>
    <row r="9" spans="4:13" s="161" customFormat="1" ht="11">
      <c r="D9" s="161" t="s">
        <v>1228</v>
      </c>
      <c r="F9" s="161">
        <f>'All Together'!M31</f>
        <v>0.32042783424045707</v>
      </c>
      <c r="G9" s="161">
        <f>'All Together'!N31</f>
        <v>0.48410352378332039</v>
      </c>
      <c r="H9" s="161">
        <f>'All Together'!O31</f>
        <v>0.49548326888424482</v>
      </c>
      <c r="I9" s="161">
        <f>'All Together'!P31</f>
        <v>0.40484370962615585</v>
      </c>
      <c r="J9" s="161">
        <f>'All Together'!Q31</f>
        <v>0.40896064278094318</v>
      </c>
      <c r="K9" s="161">
        <f>'All Together'!R31</f>
        <v>0.39441238578090504</v>
      </c>
      <c r="L9" s="161">
        <f>'All Together'!S31</f>
        <v>0.39058946996335281</v>
      </c>
      <c r="M9" s="161">
        <f>'All Together'!T31</f>
        <v>0.38538307131967819</v>
      </c>
    </row>
    <row r="10" spans="4:13" s="459" customFormat="1" thickBot="1">
      <c r="D10" s="460" t="s">
        <v>978</v>
      </c>
      <c r="E10" s="460">
        <f>E7/E4</f>
        <v>0.11880996045452577</v>
      </c>
      <c r="F10" s="460">
        <f>F7/F4</f>
        <v>7.9390419448998356E-2</v>
      </c>
      <c r="G10" s="460">
        <f t="shared" ref="G10:M10" si="2">G7/G4</f>
        <v>0.12193708256048945</v>
      </c>
      <c r="H10" s="460">
        <f t="shared" si="2"/>
        <v>0.13060988423596653</v>
      </c>
      <c r="I10" s="460">
        <f t="shared" si="2"/>
        <v>0.14769883273771051</v>
      </c>
      <c r="J10" s="460">
        <f t="shared" si="2"/>
        <v>0.14779076910379302</v>
      </c>
      <c r="K10" s="460">
        <f t="shared" si="2"/>
        <v>0.13882495502667128</v>
      </c>
      <c r="L10" s="460">
        <f t="shared" si="2"/>
        <v>0.13865193369090426</v>
      </c>
      <c r="M10" s="460">
        <f t="shared" si="2"/>
        <v>0.13844346501011012</v>
      </c>
    </row>
    <row r="11" spans="4:13" s="459" customFormat="1" ht="14"/>
    <row r="12" spans="4:13" ht="16" thickBot="1"/>
    <row r="13" spans="4:13" ht="16" thickBot="1">
      <c r="D13" s="408" t="s">
        <v>1223</v>
      </c>
      <c r="E13" s="403" t="s">
        <v>20</v>
      </c>
      <c r="F13" s="403" t="s">
        <v>21</v>
      </c>
      <c r="G13" s="403" t="s">
        <v>22</v>
      </c>
      <c r="H13" s="403" t="s">
        <v>23</v>
      </c>
      <c r="I13" s="404" t="s">
        <v>24</v>
      </c>
      <c r="J13" s="404" t="s">
        <v>25</v>
      </c>
      <c r="K13" s="404" t="s">
        <v>26</v>
      </c>
      <c r="L13" s="404" t="s">
        <v>27</v>
      </c>
      <c r="M13" s="404" t="s">
        <v>712</v>
      </c>
    </row>
    <row r="14" spans="4:13" s="6" customFormat="1" ht="14">
      <c r="D14" s="6" t="s">
        <v>0</v>
      </c>
      <c r="E14" s="6">
        <f>'All Together'!L9</f>
        <v>1435082</v>
      </c>
      <c r="F14" s="6">
        <f>'All Together'!M9</f>
        <v>1373824</v>
      </c>
      <c r="G14" s="6">
        <f>'All Together'!N9</f>
        <v>1203470</v>
      </c>
      <c r="H14" s="6">
        <f>'All Together'!O9</f>
        <v>1314747</v>
      </c>
      <c r="I14" s="6">
        <f>'All Together'!P9</f>
        <v>1385812.527794118</v>
      </c>
      <c r="J14" s="6">
        <f>'All Together'!Q9</f>
        <v>1432369.2609871542</v>
      </c>
      <c r="K14" s="6">
        <f>'All Together'!R9</f>
        <v>1490104.3303733524</v>
      </c>
      <c r="L14" s="6">
        <f>'All Together'!S9</f>
        <v>1559604.7189282947</v>
      </c>
      <c r="M14" s="6">
        <f>'All Together'!T9</f>
        <v>1638265.0020870746</v>
      </c>
    </row>
    <row r="15" spans="4:13" s="161" customFormat="1" ht="11">
      <c r="D15" s="161" t="s">
        <v>832</v>
      </c>
      <c r="F15" s="161">
        <f>F14/E14-1</f>
        <v>-4.2686062538586644E-2</v>
      </c>
      <c r="G15" s="161">
        <f t="shared" ref="G15" si="3">G14/F14-1</f>
        <v>-0.12399987189043138</v>
      </c>
      <c r="H15" s="161">
        <f t="shared" ref="H15" si="4">H14/G14-1</f>
        <v>9.246345982866222E-2</v>
      </c>
      <c r="I15" s="161">
        <f t="shared" ref="I15" si="5">I14/H14-1</f>
        <v>5.4052625938007859E-2</v>
      </c>
      <c r="J15" s="161">
        <f t="shared" ref="J15" si="6">J14/I14-1</f>
        <v>3.3595260729200715E-2</v>
      </c>
      <c r="K15" s="161">
        <f t="shared" ref="K15" si="7">K14/J14-1</f>
        <v>4.0307392066211145E-2</v>
      </c>
      <c r="L15" s="161">
        <f t="shared" ref="L15" si="8">L14/K14-1</f>
        <v>4.6641290236052679E-2</v>
      </c>
      <c r="M15" s="161">
        <f t="shared" ref="M15" si="9">M14/L14-1</f>
        <v>5.0436038185901699E-2</v>
      </c>
    </row>
    <row r="16" spans="4:13" s="161" customFormat="1" ht="11">
      <c r="D16" s="161" t="s">
        <v>1227</v>
      </c>
      <c r="F16" s="161">
        <f>'All Together'!M11</f>
        <v>0.29222687538394254</v>
      </c>
      <c r="G16" s="161">
        <f>'All Together'!N11</f>
        <v>0.23882476631897465</v>
      </c>
      <c r="H16" s="161">
        <f>'All Together'!O11</f>
        <v>0.21312927992047695</v>
      </c>
      <c r="I16" s="161">
        <f>'All Together'!P11</f>
        <v>0.16392484841509297</v>
      </c>
      <c r="J16" s="161">
        <f>'All Together'!Q11</f>
        <v>0.1549994081474505</v>
      </c>
      <c r="K16" s="161">
        <f>'All Together'!R11</f>
        <v>0.14831171118967332</v>
      </c>
      <c r="L16" s="161">
        <f>'All Together'!S11</f>
        <v>0.14294731918278372</v>
      </c>
      <c r="M16" s="161">
        <f>'All Together'!T11</f>
        <v>0.13900307599958164</v>
      </c>
    </row>
    <row r="17" spans="4:13" s="6" customFormat="1" ht="14">
      <c r="D17" s="6" t="s">
        <v>451</v>
      </c>
      <c r="E17" s="6">
        <f>'All Together'!L34</f>
        <v>296578</v>
      </c>
      <c r="F17" s="6">
        <f>'All Together'!M34</f>
        <v>422504</v>
      </c>
      <c r="G17" s="6">
        <f>'All Together'!N34</f>
        <v>347251</v>
      </c>
      <c r="H17" s="6">
        <f>'All Together'!O34</f>
        <v>211020</v>
      </c>
      <c r="I17" s="6">
        <f>'All Together'!P34</f>
        <v>241451.44742854711</v>
      </c>
      <c r="J17" s="6">
        <f>'All Together'!Q34</f>
        <v>249812.01082089977</v>
      </c>
      <c r="K17" s="6">
        <f>'All Together'!R34</f>
        <v>260157.87285216263</v>
      </c>
      <c r="L17" s="6">
        <f>'All Together'!S34</f>
        <v>272593.2802737609</v>
      </c>
      <c r="M17" s="6">
        <f>'All Together'!T34</f>
        <v>286656.57354172331</v>
      </c>
    </row>
    <row r="18" spans="4:13" s="161" customFormat="1" ht="11">
      <c r="D18" s="161" t="s">
        <v>832</v>
      </c>
      <c r="F18" s="161">
        <f>F17/E17-1</f>
        <v>0.42459656481600128</v>
      </c>
      <c r="G18" s="161">
        <f t="shared" ref="G18" si="10">G17/F17-1</f>
        <v>-0.17811192320072711</v>
      </c>
      <c r="H18" s="161">
        <f t="shared" ref="H18" si="11">H17/G17-1</f>
        <v>-0.39231276511802704</v>
      </c>
      <c r="I18" s="161">
        <f t="shared" ref="I18" si="12">I17/H17-1</f>
        <v>0.1442112000215483</v>
      </c>
      <c r="J18" s="161">
        <f t="shared" ref="J18" si="13">J17/I17-1</f>
        <v>3.4626271581274404E-2</v>
      </c>
      <c r="K18" s="161">
        <f t="shared" ref="K18" si="14">K17/J17-1</f>
        <v>4.1414590104237314E-2</v>
      </c>
      <c r="L18" s="161">
        <f t="shared" ref="L18" si="15">L17/K17-1</f>
        <v>4.7799466090594933E-2</v>
      </c>
      <c r="M18" s="161">
        <f t="shared" ref="M18" si="16">M17/L17-1</f>
        <v>5.1590755479514749E-2</v>
      </c>
    </row>
    <row r="19" spans="4:13" s="161" customFormat="1" ht="11">
      <c r="D19" s="161" t="s">
        <v>1228</v>
      </c>
      <c r="F19" s="161">
        <f>'All Together'!M36</f>
        <v>0.56821852737980438</v>
      </c>
      <c r="G19" s="161">
        <f>'All Together'!N36</f>
        <v>0.39479811634374223</v>
      </c>
      <c r="H19" s="161">
        <f>'All Together'!O36</f>
        <v>0.20950007694178732</v>
      </c>
      <c r="I19" s="161">
        <f>'All Together'!P36</f>
        <v>0.14599407937627373</v>
      </c>
      <c r="J19" s="161">
        <f>'All Together'!Q36</f>
        <v>0.13868564085093696</v>
      </c>
      <c r="K19" s="161">
        <f>'All Together'!R36</f>
        <v>0.13598854937344995</v>
      </c>
      <c r="L19" s="161">
        <f>'All Together'!S36</f>
        <v>0.13057868995806199</v>
      </c>
      <c r="M19" s="161">
        <f>'All Together'!T36</f>
        <v>0.12645817342075255</v>
      </c>
    </row>
    <row r="20" spans="4:13" s="459" customFormat="1" thickBot="1">
      <c r="D20" s="460" t="s">
        <v>978</v>
      </c>
      <c r="E20" s="460">
        <f>E17/E14</f>
        <v>0.20666275515963548</v>
      </c>
      <c r="F20" s="460">
        <f>F17/F14</f>
        <v>0.30753866579707445</v>
      </c>
      <c r="G20" s="460">
        <f t="shared" ref="G20:M20" si="17">G17/G14</f>
        <v>0.28854146758955357</v>
      </c>
      <c r="H20" s="460">
        <f t="shared" si="17"/>
        <v>0.16050236281200869</v>
      </c>
      <c r="I20" s="460">
        <f t="shared" si="17"/>
        <v>0.17423096023881385</v>
      </c>
      <c r="J20" s="460">
        <f t="shared" si="17"/>
        <v>0.17440475555076865</v>
      </c>
      <c r="K20" s="460">
        <f t="shared" si="17"/>
        <v>0.17459037434444533</v>
      </c>
      <c r="L20" s="460">
        <f t="shared" si="17"/>
        <v>0.17478356981445745</v>
      </c>
      <c r="M20" s="460">
        <f t="shared" si="17"/>
        <v>0.17497570489300324</v>
      </c>
    </row>
    <row r="21" spans="4:13" s="459" customFormat="1" ht="14"/>
    <row r="22" spans="4:13" ht="16" thickBot="1"/>
    <row r="23" spans="4:13" ht="16" thickBot="1">
      <c r="D23" s="408" t="s">
        <v>1225</v>
      </c>
      <c r="E23" s="403" t="s">
        <v>20</v>
      </c>
      <c r="F23" s="403" t="s">
        <v>21</v>
      </c>
      <c r="G23" s="403" t="s">
        <v>22</v>
      </c>
      <c r="H23" s="403" t="s">
        <v>23</v>
      </c>
      <c r="I23" s="404" t="s">
        <v>24</v>
      </c>
      <c r="J23" s="404" t="s">
        <v>25</v>
      </c>
      <c r="K23" s="404" t="s">
        <v>26</v>
      </c>
      <c r="L23" s="404" t="s">
        <v>27</v>
      </c>
      <c r="M23" s="404" t="s">
        <v>712</v>
      </c>
    </row>
    <row r="24" spans="4:13" s="6" customFormat="1" ht="14">
      <c r="D24" s="6" t="s">
        <v>0</v>
      </c>
      <c r="E24" s="6">
        <f>'All Together'!L13</f>
        <v>279790</v>
      </c>
      <c r="F24" s="6">
        <f>'All Together'!M13</f>
        <v>326320</v>
      </c>
      <c r="G24" s="6">
        <f>'All Together'!N13</f>
        <v>343691</v>
      </c>
      <c r="H24" s="6">
        <f>'All Together'!O13</f>
        <v>458567</v>
      </c>
      <c r="I24" s="6">
        <f>'All Together'!P13</f>
        <v>500755.16400000005</v>
      </c>
      <c r="J24" s="6">
        <f>'All Together'!Q13</f>
        <v>544195.67447700002</v>
      </c>
      <c r="K24" s="6">
        <f>'All Together'!R13</f>
        <v>582942.40649976255</v>
      </c>
      <c r="L24" s="6">
        <f>'All Together'!S13</f>
        <v>621416.60532874684</v>
      </c>
      <c r="M24" s="6">
        <f>'All Together'!T13</f>
        <v>659198.73493273463</v>
      </c>
    </row>
    <row r="25" spans="4:13" s="161" customFormat="1" ht="11">
      <c r="D25" s="161" t="s">
        <v>832</v>
      </c>
      <c r="F25" s="161">
        <f>F24/E24-1</f>
        <v>0.16630329890274842</v>
      </c>
      <c r="G25" s="161">
        <f t="shared" ref="G25" si="18">G24/F24-1</f>
        <v>5.3233022799705765E-2</v>
      </c>
      <c r="H25" s="161">
        <f t="shared" ref="H25" si="19">H24/G24-1</f>
        <v>0.33424209537055094</v>
      </c>
      <c r="I25" s="161">
        <f t="shared" ref="I25" si="20">I24/H24-1</f>
        <v>9.2000000000000082E-2</v>
      </c>
      <c r="J25" s="161">
        <f t="shared" ref="J25" si="21">J24/I24-1</f>
        <v>8.6749999999999883E-2</v>
      </c>
      <c r="K25" s="161">
        <f t="shared" ref="K25" si="22">K24/J24-1</f>
        <v>7.1200000000000152E-2</v>
      </c>
      <c r="L25" s="161">
        <f t="shared" ref="L25" si="23">L24/K24-1</f>
        <v>6.5999999999999837E-2</v>
      </c>
      <c r="M25" s="161">
        <f t="shared" ref="M25" si="24">M24/L24-1</f>
        <v>6.0799999999999965E-2</v>
      </c>
    </row>
    <row r="26" spans="4:13" s="161" customFormat="1" ht="11">
      <c r="D26" s="161" t="s">
        <v>1227</v>
      </c>
      <c r="F26" s="161">
        <f>'All Together'!M15</f>
        <v>6.9411710652374781E-2</v>
      </c>
      <c r="G26" s="161">
        <f>'All Together'!N15</f>
        <v>6.8204377974469418E-2</v>
      </c>
      <c r="H26" s="161">
        <f>'All Together'!O15</f>
        <v>7.4336776965677309E-2</v>
      </c>
      <c r="I26" s="161">
        <f>'All Together'!P15</f>
        <v>5.9233274851712189E-2</v>
      </c>
      <c r="J26" s="161">
        <f>'All Together'!Q15</f>
        <v>5.8888451293771585E-2</v>
      </c>
      <c r="K26" s="161">
        <f>'All Together'!R15</f>
        <v>5.80208942895587E-2</v>
      </c>
      <c r="L26" s="161">
        <f>'All Together'!S15</f>
        <v>5.6956635709881055E-2</v>
      </c>
      <c r="M26" s="161">
        <f>'All Together'!T15</f>
        <v>5.5931520073950025E-2</v>
      </c>
    </row>
    <row r="27" spans="4:13" s="6" customFormat="1" ht="14">
      <c r="D27" s="6" t="s">
        <v>451</v>
      </c>
      <c r="E27" s="6">
        <f>'All Together'!L39</f>
        <v>65968</v>
      </c>
      <c r="F27" s="6">
        <f>'All Together'!M39</f>
        <v>82798</v>
      </c>
      <c r="G27" s="6">
        <f>'All Together'!N39</f>
        <v>106514</v>
      </c>
      <c r="H27" s="6">
        <f>'All Together'!O39</f>
        <v>117545</v>
      </c>
      <c r="I27" s="6">
        <f>'All Together'!P39</f>
        <v>128359.14000000001</v>
      </c>
      <c r="J27" s="6">
        <f>'All Together'!Q39</f>
        <v>139494.29539499999</v>
      </c>
      <c r="K27" s="6">
        <f>'All Together'!R39</f>
        <v>149426.28922712404</v>
      </c>
      <c r="L27" s="6">
        <f>'All Together'!S39</f>
        <v>159288.42431611422</v>
      </c>
      <c r="M27" s="6">
        <f>'All Together'!T39</f>
        <v>168973.16051453396</v>
      </c>
    </row>
    <row r="28" spans="4:13" s="161" customFormat="1" ht="11">
      <c r="D28" s="161" t="s">
        <v>832</v>
      </c>
      <c r="F28" s="161">
        <f>F27/E27-1</f>
        <v>0.25512369633761822</v>
      </c>
      <c r="G28" s="161">
        <f t="shared" ref="G28" si="25">G27/F27-1</f>
        <v>0.28643203942124207</v>
      </c>
      <c r="H28" s="161">
        <f t="shared" ref="H28" si="26">H27/G27-1</f>
        <v>0.10356385076140229</v>
      </c>
      <c r="I28" s="161">
        <f t="shared" ref="I28" si="27">I27/H27-1</f>
        <v>9.2000000000000082E-2</v>
      </c>
      <c r="J28" s="161">
        <f t="shared" ref="J28" si="28">J27/I27-1</f>
        <v>8.6749999999999883E-2</v>
      </c>
      <c r="K28" s="161">
        <f t="shared" ref="K28" si="29">K27/J27-1</f>
        <v>7.1200000000000374E-2</v>
      </c>
      <c r="L28" s="161">
        <f t="shared" ref="L28" si="30">L27/K27-1</f>
        <v>6.6000000000000059E-2</v>
      </c>
      <c r="M28" s="161">
        <f t="shared" ref="M28" si="31">M27/L27-1</f>
        <v>6.0799999999999965E-2</v>
      </c>
    </row>
    <row r="29" spans="4:13" s="161" customFormat="1" ht="11">
      <c r="D29" s="161" t="s">
        <v>1228</v>
      </c>
      <c r="F29" s="161">
        <f>'All Together'!M41</f>
        <v>0.11135363837973852</v>
      </c>
      <c r="G29" s="161">
        <f>'All Together'!N41</f>
        <v>0.12109835987293734</v>
      </c>
      <c r="H29" s="161">
        <f>'All Together'!O41</f>
        <v>0.11669835344575108</v>
      </c>
      <c r="I29" s="161">
        <f>'All Together'!P41</f>
        <v>7.7612599441450367E-2</v>
      </c>
      <c r="J29" s="161">
        <f>'All Together'!Q41</f>
        <v>7.7441655780815508E-2</v>
      </c>
      <c r="K29" s="161">
        <f>'All Together'!R41</f>
        <v>7.8107435640824785E-2</v>
      </c>
      <c r="L29" s="161">
        <f>'All Together'!S41</f>
        <v>7.6302958575476754E-2</v>
      </c>
      <c r="M29" s="161">
        <f>'All Together'!T41</f>
        <v>7.4542289303857326E-2</v>
      </c>
    </row>
    <row r="30" spans="4:13" s="459" customFormat="1" thickBot="1">
      <c r="D30" s="460" t="s">
        <v>978</v>
      </c>
      <c r="E30" s="460">
        <f>E27/E24</f>
        <v>0.23577683262446836</v>
      </c>
      <c r="F30" s="460">
        <f>F27/F24</f>
        <v>0.25373253248345184</v>
      </c>
      <c r="G30" s="460">
        <f t="shared" ref="G30:M30" si="32">G27/G24</f>
        <v>0.30991210127701918</v>
      </c>
      <c r="H30" s="460">
        <f t="shared" si="32"/>
        <v>0.25633113590816609</v>
      </c>
      <c r="I30" s="460">
        <f t="shared" si="32"/>
        <v>0.25633113590816609</v>
      </c>
      <c r="J30" s="460">
        <f t="shared" si="32"/>
        <v>0.25633113590816609</v>
      </c>
      <c r="K30" s="460">
        <f t="shared" si="32"/>
        <v>0.25633113590816609</v>
      </c>
      <c r="L30" s="460">
        <f t="shared" si="32"/>
        <v>0.25633113590816609</v>
      </c>
      <c r="M30" s="460">
        <f t="shared" si="32"/>
        <v>0.25633113590816609</v>
      </c>
    </row>
    <row r="31" spans="4:13" s="459" customFormat="1" ht="14"/>
    <row r="32" spans="4:13" ht="16" thickBot="1"/>
    <row r="33" spans="4:13" ht="16" thickBot="1">
      <c r="D33" s="408" t="s">
        <v>1226</v>
      </c>
      <c r="E33" s="403" t="s">
        <v>20</v>
      </c>
      <c r="F33" s="403" t="s">
        <v>21</v>
      </c>
      <c r="G33" s="403" t="s">
        <v>22</v>
      </c>
      <c r="H33" s="403" t="s">
        <v>23</v>
      </c>
      <c r="I33" s="404" t="s">
        <v>24</v>
      </c>
      <c r="J33" s="404" t="s">
        <v>25</v>
      </c>
      <c r="K33" s="404" t="s">
        <v>26</v>
      </c>
      <c r="L33" s="404" t="s">
        <v>27</v>
      </c>
      <c r="M33" s="404" t="s">
        <v>712</v>
      </c>
    </row>
    <row r="34" spans="4:13" s="6" customFormat="1" ht="14">
      <c r="D34" s="6" t="s">
        <v>0</v>
      </c>
      <c r="H34" s="6">
        <f>'All Together'!O17</f>
        <v>574328</v>
      </c>
      <c r="I34" s="6">
        <f>'All Together'!P17</f>
        <v>2034182.418606593</v>
      </c>
      <c r="J34" s="6">
        <f>'All Together'!Q17</f>
        <v>2280126.3689879999</v>
      </c>
      <c r="K34" s="6">
        <f>'All Together'!R17</f>
        <v>2538838.6222524736</v>
      </c>
      <c r="L34" s="6">
        <f>'All Together'!S17</f>
        <v>2848510.7916465714</v>
      </c>
      <c r="M34" s="6">
        <f>'All Together'!T17</f>
        <v>3178270.1161795962</v>
      </c>
    </row>
    <row r="35" spans="4:13" s="161" customFormat="1" ht="11">
      <c r="D35" s="161" t="s">
        <v>832</v>
      </c>
      <c r="J35" s="161">
        <f t="shared" ref="J35" si="33">J34/I34-1</f>
        <v>0.12090555307713124</v>
      </c>
      <c r="K35" s="161">
        <f t="shared" ref="K35" si="34">K34/J34-1</f>
        <v>0.11346399777802629</v>
      </c>
      <c r="L35" s="161">
        <f t="shared" ref="L35" si="35">L34/K34-1</f>
        <v>0.12197394772549774</v>
      </c>
      <c r="M35" s="161">
        <f t="shared" ref="M35" si="36">M34/L34-1</f>
        <v>0.11576551702035465</v>
      </c>
    </row>
    <row r="36" spans="4:13" s="161" customFormat="1" ht="11">
      <c r="D36" s="161" t="s">
        <v>1227</v>
      </c>
      <c r="I36" s="161">
        <f>'All Together'!P19</f>
        <v>0.24061915874689807</v>
      </c>
      <c r="J36" s="161">
        <f>'All Together'!Q19</f>
        <v>0.24673682081879361</v>
      </c>
      <c r="K36" s="161">
        <f>'All Together'!R19</f>
        <v>0.25269338047380435</v>
      </c>
      <c r="L36" s="161">
        <f>'All Together'!S19</f>
        <v>0.26108345043281922</v>
      </c>
      <c r="M36" s="161">
        <f>'All Together'!T19</f>
        <v>0.26966902298693574</v>
      </c>
    </row>
    <row r="37" spans="4:13" s="6" customFormat="1" ht="14">
      <c r="D37" s="6" t="s">
        <v>451</v>
      </c>
      <c r="H37" s="6">
        <f>'All Together'!O44</f>
        <v>179612</v>
      </c>
      <c r="I37" s="6">
        <f>'All Together'!P44</f>
        <v>614485.13450004382</v>
      </c>
      <c r="J37" s="6">
        <f>'All Together'!Q44</f>
        <v>675322.51472945989</v>
      </c>
      <c r="K37" s="6">
        <f>'All Together'!R44</f>
        <v>748957.39356447966</v>
      </c>
      <c r="L37" s="6">
        <f>'All Together'!S44</f>
        <v>840310.6835357385</v>
      </c>
      <c r="M37" s="6">
        <f>'All Together'!T44</f>
        <v>937589.68427298078</v>
      </c>
    </row>
    <row r="38" spans="4:13" s="161" customFormat="1" ht="11">
      <c r="D38" s="161" t="s">
        <v>832</v>
      </c>
      <c r="J38" s="161">
        <f t="shared" ref="J38" si="37">J37/I37-1</f>
        <v>9.9005454833198669E-2</v>
      </c>
      <c r="K38" s="161">
        <f t="shared" ref="K38" si="38">K37/J37-1</f>
        <v>0.10903661173582901</v>
      </c>
      <c r="L38" s="161">
        <f t="shared" ref="L38" si="39">L37/K37-1</f>
        <v>0.12197394772549774</v>
      </c>
      <c r="M38" s="161">
        <f t="shared" ref="M38" si="40">M37/L37-1</f>
        <v>0.11576551702035442</v>
      </c>
    </row>
    <row r="39" spans="4:13" s="161" customFormat="1" ht="11">
      <c r="D39" s="161" t="s">
        <v>1228</v>
      </c>
      <c r="I39" s="161">
        <f>'All Together'!P46</f>
        <v>0.37154961155612015</v>
      </c>
      <c r="J39" s="161">
        <f>'All Together'!Q46</f>
        <v>0.3749120605873042</v>
      </c>
      <c r="K39" s="161">
        <f>'All Together'!R46</f>
        <v>0.39149162920482022</v>
      </c>
      <c r="L39" s="161">
        <f>'All Together'!S46</f>
        <v>0.4025288815031085</v>
      </c>
      <c r="M39" s="161">
        <f>'All Together'!T46</f>
        <v>0.41361646595571194</v>
      </c>
    </row>
    <row r="40" spans="4:13" s="459" customFormat="1" thickBot="1">
      <c r="D40" s="460" t="s">
        <v>978</v>
      </c>
      <c r="E40" s="460"/>
      <c r="F40" s="460"/>
      <c r="G40" s="460"/>
      <c r="H40" s="460">
        <f t="shared" ref="H40:M40" si="41">H37/H34</f>
        <v>0.312734186736499</v>
      </c>
      <c r="I40" s="460">
        <f t="shared" si="41"/>
        <v>0.30207966054537216</v>
      </c>
      <c r="J40" s="460">
        <f t="shared" si="41"/>
        <v>0.29617766976187015</v>
      </c>
      <c r="K40" s="460">
        <f t="shared" si="41"/>
        <v>0.29499999999999998</v>
      </c>
      <c r="L40" s="460">
        <f t="shared" si="41"/>
        <v>0.29499999999999998</v>
      </c>
      <c r="M40" s="460">
        <f t="shared" si="41"/>
        <v>0.29499999999999998</v>
      </c>
    </row>
    <row r="42" spans="4:13">
      <c r="I42" s="29"/>
      <c r="J42" s="29"/>
      <c r="K42" s="29"/>
      <c r="L42" s="29"/>
      <c r="M42" s="29"/>
    </row>
    <row r="43" spans="4:13" ht="16" thickBot="1">
      <c r="I43" s="29"/>
      <c r="J43" s="29"/>
      <c r="K43" s="29"/>
      <c r="L43" s="29"/>
      <c r="M43" s="29"/>
    </row>
    <row r="44" spans="4:13" ht="16" thickBot="1">
      <c r="D44" s="408" t="s">
        <v>1229</v>
      </c>
      <c r="E44" s="403" t="s">
        <v>20</v>
      </c>
      <c r="F44" s="403" t="s">
        <v>21</v>
      </c>
      <c r="G44" s="403" t="s">
        <v>22</v>
      </c>
      <c r="H44" s="403" t="s">
        <v>23</v>
      </c>
      <c r="I44" s="404" t="s">
        <v>24</v>
      </c>
      <c r="J44" s="404" t="s">
        <v>25</v>
      </c>
      <c r="K44" s="404" t="s">
        <v>26</v>
      </c>
      <c r="L44" s="404" t="s">
        <v>27</v>
      </c>
      <c r="M44" s="404" t="s">
        <v>712</v>
      </c>
    </row>
    <row r="45" spans="4:13" s="4" customFormat="1">
      <c r="D45" s="4" t="s">
        <v>0</v>
      </c>
      <c r="E45" s="4">
        <f>'2a. Income Statement'!L6</f>
        <v>4647951</v>
      </c>
      <c r="F45" s="4">
        <f>'2a. Income Statement'!M6</f>
        <v>4701224</v>
      </c>
      <c r="G45" s="4">
        <f>'2a. Income Statement'!N6</f>
        <v>5039134</v>
      </c>
      <c r="H45" s="4">
        <f>'2a. Income Statement'!O6</f>
        <v>6168777</v>
      </c>
      <c r="I45" s="4">
        <f>'2a. Income Statement'!P6</f>
        <v>8453950.3387853839</v>
      </c>
      <c r="J45" s="4">
        <f>'2a. Income Statement'!Q6</f>
        <v>9241127.2927219532</v>
      </c>
      <c r="K45" s="4">
        <f>'2a. Income Statement'!R6</f>
        <v>10047111.711007658</v>
      </c>
      <c r="L45" s="4">
        <f>'2a. Income Statement'!S6</f>
        <v>10910346.048071465</v>
      </c>
      <c r="M45" s="4">
        <f>'2a. Income Statement'!T6</f>
        <v>11785818.337516539</v>
      </c>
    </row>
    <row r="46" spans="4:13" s="161" customFormat="1" ht="11">
      <c r="D46" s="161" t="s">
        <v>832</v>
      </c>
      <c r="F46" s="161">
        <f>F45/E45-1</f>
        <v>1.1461609642614556E-2</v>
      </c>
      <c r="G46" s="161">
        <f t="shared" ref="G46:M46" si="42">G45/F45-1</f>
        <v>7.1877026068104755E-2</v>
      </c>
      <c r="H46" s="161">
        <f t="shared" si="42"/>
        <v>0.22417403466548014</v>
      </c>
      <c r="I46" s="161">
        <f t="shared" si="42"/>
        <v>0.37044187831483999</v>
      </c>
      <c r="J46" s="161">
        <f t="shared" si="42"/>
        <v>9.3113505803922969E-2</v>
      </c>
      <c r="K46" s="161">
        <f t="shared" si="42"/>
        <v>8.7217110289182553E-2</v>
      </c>
      <c r="L46" s="161">
        <f t="shared" si="42"/>
        <v>8.5918656216198208E-2</v>
      </c>
      <c r="M46" s="161">
        <f t="shared" si="42"/>
        <v>8.0242394291409669E-2</v>
      </c>
    </row>
    <row r="47" spans="4:13" s="4" customFormat="1">
      <c r="D47" s="4" t="s">
        <v>450</v>
      </c>
      <c r="E47" s="4">
        <f>'2a. Income Statement'!L56</f>
        <v>750262</v>
      </c>
      <c r="F47" s="4">
        <f>'2a. Income Statement'!M56</f>
        <v>845928</v>
      </c>
      <c r="G47" s="4">
        <f>'2a. Income Statement'!N56</f>
        <v>993189</v>
      </c>
      <c r="H47" s="4">
        <f>'2a. Income Statement'!O56</f>
        <v>1184426</v>
      </c>
      <c r="I47" s="4">
        <f>'2a. Income Statement'!P56</f>
        <v>1864591.3164273296</v>
      </c>
      <c r="J47" s="4">
        <f>'2a. Income Statement'!Q56</f>
        <v>2030599.0349216142</v>
      </c>
      <c r="K47" s="4">
        <f>'2a. Income Statement'!R56</f>
        <v>2163285.9973571985</v>
      </c>
      <c r="L47" s="4">
        <f>'2a. Income Statement'!S56</f>
        <v>2356637.9312349157</v>
      </c>
      <c r="M47" s="4">
        <f>'2a. Income Statement'!T56</f>
        <v>2556930.4796997467</v>
      </c>
    </row>
    <row r="48" spans="4:13" s="161" customFormat="1" ht="11">
      <c r="D48" s="161" t="s">
        <v>832</v>
      </c>
      <c r="F48" s="161">
        <f>F47/E47-1</f>
        <v>0.12751012313031973</v>
      </c>
      <c r="G48" s="161">
        <f t="shared" ref="G48:M48" si="43">G47/F47-1</f>
        <v>0.17408219139217529</v>
      </c>
      <c r="H48" s="161">
        <f t="shared" si="43"/>
        <v>0.19254844747575728</v>
      </c>
      <c r="I48" s="161">
        <f t="shared" si="43"/>
        <v>0.57425733344871666</v>
      </c>
      <c r="J48" s="161">
        <f t="shared" si="43"/>
        <v>8.9031691305076821E-2</v>
      </c>
      <c r="K48" s="161">
        <f t="shared" si="43"/>
        <v>6.5343753322874232E-2</v>
      </c>
      <c r="L48" s="161">
        <f t="shared" si="43"/>
        <v>8.9378812655343642E-2</v>
      </c>
      <c r="M48" s="161">
        <f t="shared" si="43"/>
        <v>8.4990802282417066E-2</v>
      </c>
    </row>
    <row r="49" spans="4:13" s="161" customFormat="1" ht="11">
      <c r="D49" s="161" t="s">
        <v>976</v>
      </c>
      <c r="F49" s="161">
        <f>F47/F45</f>
        <v>0.17993782044846193</v>
      </c>
      <c r="G49" s="161">
        <f t="shared" ref="G49:M49" si="44">G47/G45</f>
        <v>0.19709517548054883</v>
      </c>
      <c r="H49" s="161">
        <f t="shared" si="44"/>
        <v>0.19200337441278878</v>
      </c>
      <c r="I49" s="161">
        <f t="shared" si="44"/>
        <v>0.22055858405896711</v>
      </c>
      <c r="J49" s="161">
        <f t="shared" si="44"/>
        <v>0.21973499234458721</v>
      </c>
      <c r="K49" s="161">
        <f t="shared" si="44"/>
        <v>0.21531421761610287</v>
      </c>
      <c r="L49" s="161">
        <f t="shared" si="44"/>
        <v>0.21600029191113329</v>
      </c>
      <c r="M49" s="161">
        <f t="shared" si="44"/>
        <v>0.21694976169457342</v>
      </c>
    </row>
    <row r="50" spans="4:13" s="4" customFormat="1">
      <c r="D50" s="4" t="s">
        <v>451</v>
      </c>
      <c r="E50" s="4">
        <f>'2a. Income Statement'!L38</f>
        <v>663070</v>
      </c>
      <c r="F50" s="4">
        <f>'2a. Income Statement'!M38</f>
        <v>743560</v>
      </c>
      <c r="G50" s="4">
        <f>'2a. Income Statement'!N38</f>
        <v>879566</v>
      </c>
      <c r="H50" s="4">
        <f>'2a. Income Statement'!O38</f>
        <v>1025601</v>
      </c>
      <c r="I50" s="4">
        <f>'2a. Income Statement'!P38</f>
        <v>1653844.1042273296</v>
      </c>
      <c r="J50" s="4">
        <f>'2a. Income Statement'!Q38</f>
        <v>1801282.4492003783</v>
      </c>
      <c r="K50" s="4">
        <f>'2a. Income Statement'!R38</f>
        <v>1913086.6095035733</v>
      </c>
      <c r="L50" s="4">
        <f>'2a. Income Statement'!S38</f>
        <v>2087578.6114970965</v>
      </c>
      <c r="M50" s="4">
        <f>'2a. Income Statement'!T38</f>
        <v>2266809.3788446356</v>
      </c>
    </row>
    <row r="51" spans="4:13" s="161" customFormat="1" ht="11">
      <c r="D51" s="161" t="s">
        <v>832</v>
      </c>
      <c r="F51" s="161">
        <f>F50/E50-1</f>
        <v>0.12138989850242066</v>
      </c>
      <c r="G51" s="161">
        <f t="shared" ref="G51:M51" si="45">G50/F50-1</f>
        <v>0.18291193716714194</v>
      </c>
      <c r="H51" s="161">
        <f t="shared" si="45"/>
        <v>0.16603074698203435</v>
      </c>
      <c r="I51" s="161">
        <f t="shared" si="45"/>
        <v>0.61256093181201043</v>
      </c>
      <c r="J51" s="161">
        <f t="shared" si="45"/>
        <v>8.9148877210486255E-2</v>
      </c>
      <c r="K51" s="161">
        <f t="shared" si="45"/>
        <v>6.2069199837497369E-2</v>
      </c>
      <c r="L51" s="161">
        <f t="shared" si="45"/>
        <v>9.120967191276419E-2</v>
      </c>
      <c r="M51" s="161">
        <f t="shared" si="45"/>
        <v>8.5855817050647376E-2</v>
      </c>
    </row>
    <row r="52" spans="4:13" s="161" customFormat="1" ht="11">
      <c r="D52" s="161" t="s">
        <v>978</v>
      </c>
      <c r="E52" s="105">
        <f>E50/E45</f>
        <v>0.14265856072923316</v>
      </c>
      <c r="F52" s="105">
        <f>F50/F45</f>
        <v>0.1581630656186559</v>
      </c>
      <c r="G52" s="105">
        <f t="shared" ref="G52:M52" si="46">G50/G45</f>
        <v>0.17454705510907231</v>
      </c>
      <c r="H52" s="105">
        <f t="shared" si="46"/>
        <v>0.16625677990953475</v>
      </c>
      <c r="I52" s="161">
        <f t="shared" si="46"/>
        <v>0.19562973970165817</v>
      </c>
      <c r="J52" s="161">
        <f t="shared" si="46"/>
        <v>0.19492020747501407</v>
      </c>
      <c r="K52" s="161">
        <f t="shared" si="46"/>
        <v>0.19041159932636037</v>
      </c>
      <c r="L52" s="161">
        <f t="shared" si="46"/>
        <v>0.19133935828424994</v>
      </c>
      <c r="M52" s="161">
        <f t="shared" si="46"/>
        <v>0.19233364319123628</v>
      </c>
    </row>
    <row r="53" spans="4:13" s="7" customFormat="1" ht="16" customHeight="1">
      <c r="D53" s="7" t="s">
        <v>1232</v>
      </c>
      <c r="E53" s="7">
        <f>'2a. Income Statement'!L41</f>
        <v>36279</v>
      </c>
      <c r="F53" s="7">
        <f>'2a. Income Statement'!M41</f>
        <v>16451</v>
      </c>
      <c r="G53" s="7">
        <f>'2a. Income Statement'!N41</f>
        <v>13273</v>
      </c>
      <c r="H53" s="7">
        <f>'2a. Income Statement'!O41</f>
        <v>61558</v>
      </c>
      <c r="I53" s="7">
        <f>'2a. Income Statement'!P41</f>
        <v>53568.098538384831</v>
      </c>
      <c r="J53" s="7">
        <f>'2a. Income Statement'!Q41</f>
        <v>1464.164400403203</v>
      </c>
      <c r="K53" s="7">
        <f>'2a. Income Statement'!R41</f>
        <v>5317.2219369511722</v>
      </c>
      <c r="L53" s="7">
        <f>'2a. Income Statement'!S41</f>
        <v>6919.9562203362038</v>
      </c>
      <c r="M53" s="7">
        <f>'2a. Income Statement'!T41</f>
        <v>8390.0637170864265</v>
      </c>
    </row>
    <row r="54" spans="4:13" s="7" customFormat="1" ht="14">
      <c r="D54" s="7" t="s">
        <v>1233</v>
      </c>
      <c r="E54" s="7">
        <f>'2a. Income Statement'!L42</f>
        <v>-3108</v>
      </c>
      <c r="F54" s="7">
        <f>'2a. Income Statement'!M42</f>
        <v>-7485</v>
      </c>
      <c r="G54" s="7">
        <f>'2a. Income Statement'!N42</f>
        <v>-17102</v>
      </c>
      <c r="H54" s="7">
        <f>'2a. Income Statement'!O42</f>
        <v>-158442</v>
      </c>
      <c r="I54" s="7">
        <f>'2a. Income Statement'!P42</f>
        <v>-220455.89597000001</v>
      </c>
      <c r="J54" s="7">
        <f>'2a. Income Statement'!Q42</f>
        <v>-172211.34640000001</v>
      </c>
      <c r="K54" s="7">
        <f>'2a. Income Statement'!R42</f>
        <v>-177325.01490000001</v>
      </c>
      <c r="L54" s="7">
        <f>'2a. Income Statement'!S42</f>
        <v>-183101.7524</v>
      </c>
      <c r="M54" s="7">
        <f>'2a. Income Statement'!T42</f>
        <v>-189210.02439999999</v>
      </c>
    </row>
    <row r="55" spans="4:13" s="4" customFormat="1">
      <c r="D55" s="4" t="s">
        <v>981</v>
      </c>
      <c r="E55" s="4">
        <f>'2a. Income Statement'!L43</f>
        <v>696241</v>
      </c>
      <c r="F55" s="4">
        <f>'2a. Income Statement'!M43</f>
        <v>752526</v>
      </c>
      <c r="G55" s="4">
        <f>'2a. Income Statement'!N43</f>
        <v>875737</v>
      </c>
      <c r="H55" s="4">
        <f>'2a. Income Statement'!O43</f>
        <v>928717</v>
      </c>
      <c r="I55" s="4">
        <f>'2a. Income Statement'!P43</f>
        <v>1486956.3067957144</v>
      </c>
      <c r="J55" s="4">
        <f>'2a. Income Statement'!Q43</f>
        <v>1630535.2672007815</v>
      </c>
      <c r="K55" s="4">
        <f>'2a. Income Statement'!R43</f>
        <v>1741078.8165405244</v>
      </c>
      <c r="L55" s="4">
        <f>'2a. Income Statement'!S43</f>
        <v>1911396.8153174329</v>
      </c>
      <c r="M55" s="4">
        <f>'2a. Income Statement'!T43</f>
        <v>2085989.4181617219</v>
      </c>
    </row>
    <row r="56" spans="4:13" s="161" customFormat="1" ht="11">
      <c r="D56" s="161" t="s">
        <v>832</v>
      </c>
      <c r="F56" s="161">
        <f>F55/E55-1</f>
        <v>8.0841260425628558E-2</v>
      </c>
      <c r="G56" s="161">
        <f t="shared" ref="G56:M56" si="47">G55/F55-1</f>
        <v>0.16372989106024249</v>
      </c>
      <c r="H56" s="161">
        <f t="shared" si="47"/>
        <v>6.0497615151580808E-2</v>
      </c>
      <c r="I56" s="161">
        <f t="shared" si="47"/>
        <v>0.60108656005620054</v>
      </c>
      <c r="J56" s="161">
        <f t="shared" si="47"/>
        <v>9.6558963937864117E-2</v>
      </c>
      <c r="K56" s="161">
        <f t="shared" si="47"/>
        <v>6.7795865298588831E-2</v>
      </c>
      <c r="L56" s="161">
        <f t="shared" si="47"/>
        <v>9.7823255994421654E-2</v>
      </c>
      <c r="M56" s="161">
        <f t="shared" si="47"/>
        <v>9.1342939072174723E-2</v>
      </c>
    </row>
    <row r="57" spans="4:13" s="161" customFormat="1" ht="11">
      <c r="D57" s="161" t="s">
        <v>1230</v>
      </c>
      <c r="F57" s="161">
        <f>F55/F45</f>
        <v>0.16007022851921116</v>
      </c>
      <c r="G57" s="161">
        <f t="shared" ref="G57:M57" si="48">G55/G45</f>
        <v>0.1737872023248439</v>
      </c>
      <c r="H57" s="161">
        <f t="shared" si="48"/>
        <v>0.15055123568253481</v>
      </c>
      <c r="I57" s="161">
        <f t="shared" si="48"/>
        <v>0.17588893324506469</v>
      </c>
      <c r="J57" s="161">
        <f t="shared" si="48"/>
        <v>0.17644332942853674</v>
      </c>
      <c r="K57" s="161">
        <f t="shared" si="48"/>
        <v>0.17329147586096719</v>
      </c>
      <c r="L57" s="161">
        <f t="shared" si="48"/>
        <v>0.17519121821578659</v>
      </c>
      <c r="M57" s="161">
        <f t="shared" si="48"/>
        <v>0.17699147894733913</v>
      </c>
    </row>
    <row r="58" spans="4:13" s="7" customFormat="1" ht="14">
      <c r="D58" s="7" t="s">
        <v>1231</v>
      </c>
      <c r="E58" s="7">
        <f>'2a. Income Statement'!L46</f>
        <v>232315</v>
      </c>
      <c r="F58" s="7">
        <f>'2a. Income Statement'!M46</f>
        <v>228135</v>
      </c>
      <c r="G58" s="7">
        <f>'2a. Income Statement'!N46</f>
        <v>266818</v>
      </c>
      <c r="H58" s="7">
        <f>'2a. Income Statement'!O46</f>
        <v>286515</v>
      </c>
      <c r="I58" s="7">
        <f>'2a. Income Statement'!P46</f>
        <v>520434.70737850002</v>
      </c>
      <c r="J58" s="7">
        <f>'2a. Income Statement'!Q46</f>
        <v>570687.34352027345</v>
      </c>
      <c r="K58" s="7">
        <f>'2a. Income Statement'!R46</f>
        <v>609377.5857891835</v>
      </c>
      <c r="L58" s="7">
        <f>'2a. Income Statement'!S46</f>
        <v>668988.88536110148</v>
      </c>
      <c r="M58" s="7">
        <f>'2a. Income Statement'!T46</f>
        <v>730096.29635660257</v>
      </c>
    </row>
    <row r="59" spans="4:13" s="7" customFormat="1" ht="14">
      <c r="D59" s="7" t="s">
        <v>1234</v>
      </c>
      <c r="E59" s="7">
        <f>'2a. Income Statement'!L98</f>
        <v>20136</v>
      </c>
      <c r="F59" s="7">
        <f>'2a. Income Statement'!M98</f>
        <v>33374</v>
      </c>
      <c r="G59" s="7">
        <f>'2a. Income Statement'!N98</f>
        <v>34988</v>
      </c>
      <c r="H59" s="7">
        <f>'2a. Income Statement'!O98</f>
        <v>30978</v>
      </c>
      <c r="I59" s="7">
        <f>'2a. Income Statement'!P98</f>
        <v>48985.161097644188</v>
      </c>
      <c r="J59" s="7">
        <f>'2a. Income Statement'!Q98</f>
        <v>53715.117501562076</v>
      </c>
      <c r="K59" s="7">
        <f>'2a. Income Statement'!R98</f>
        <v>57356.780372195848</v>
      </c>
      <c r="L59" s="7">
        <f>'2a. Income Statement'!S98</f>
        <v>62967.607381560993</v>
      </c>
      <c r="M59" s="7">
        <f>'2a. Income Statement'!T98</f>
        <v>68719.25370613554</v>
      </c>
    </row>
    <row r="60" spans="4:13" s="4" customFormat="1">
      <c r="D60" s="4" t="s">
        <v>1235</v>
      </c>
      <c r="E60" s="4">
        <f>'2a. Income Statement'!L90</f>
        <v>443790</v>
      </c>
      <c r="F60" s="4">
        <f>'2a. Income Statement'!M90</f>
        <v>491016</v>
      </c>
      <c r="G60" s="4">
        <f>'2a. Income Statement'!N90</f>
        <v>573931</v>
      </c>
      <c r="H60" s="4">
        <f>'2a. Income Statement'!O90</f>
        <v>611224</v>
      </c>
      <c r="I60" s="4">
        <f>'2a. Income Statement'!P90</f>
        <v>917536.43831957015</v>
      </c>
      <c r="J60" s="4">
        <f>'2a. Income Statement'!Q90</f>
        <v>1006132.8061789459</v>
      </c>
      <c r="K60" s="4">
        <f>'2a. Income Statement'!R90</f>
        <v>1074344.4503791449</v>
      </c>
      <c r="L60" s="4">
        <f>'2a. Income Statement'!S90</f>
        <v>1179440.3225747703</v>
      </c>
      <c r="M60" s="4">
        <f>'2a. Income Statement'!T90</f>
        <v>1287173.8680989838</v>
      </c>
    </row>
    <row r="61" spans="4:13" s="161" customFormat="1" ht="11">
      <c r="D61" s="161" t="s">
        <v>832</v>
      </c>
      <c r="F61" s="161">
        <f>F60/E60-1</f>
        <v>0.10641519637666463</v>
      </c>
      <c r="G61" s="161">
        <f t="shared" ref="G61:M61" si="49">G60/F60-1</f>
        <v>0.16886415106636044</v>
      </c>
      <c r="H61" s="161">
        <f t="shared" si="49"/>
        <v>6.4978194242861997E-2</v>
      </c>
      <c r="I61" s="161">
        <f t="shared" si="49"/>
        <v>0.50114596010557522</v>
      </c>
      <c r="J61" s="161">
        <f t="shared" si="49"/>
        <v>9.6558963937864339E-2</v>
      </c>
      <c r="K61" s="161">
        <f t="shared" si="49"/>
        <v>6.7795865298588831E-2</v>
      </c>
      <c r="L61" s="161">
        <f t="shared" si="49"/>
        <v>9.7823255994421876E-2</v>
      </c>
      <c r="M61" s="161">
        <f t="shared" si="49"/>
        <v>9.1342939072174723E-2</v>
      </c>
    </row>
    <row r="62" spans="4:13" s="161" customFormat="1" ht="12" thickBot="1">
      <c r="D62" s="461" t="s">
        <v>1236</v>
      </c>
      <c r="E62" s="461"/>
      <c r="F62" s="461">
        <f t="shared" ref="F62:M62" si="50">F60/F45</f>
        <v>0.10444428940207912</v>
      </c>
      <c r="G62" s="461">
        <f t="shared" si="50"/>
        <v>0.11389476842647962</v>
      </c>
      <c r="H62" s="461">
        <f t="shared" si="50"/>
        <v>9.9083497425826866E-2</v>
      </c>
      <c r="I62" s="461">
        <f t="shared" si="50"/>
        <v>0.10853345495892712</v>
      </c>
      <c r="J62" s="461">
        <f t="shared" si="50"/>
        <v>0.1088755488706824</v>
      </c>
      <c r="K62" s="461">
        <f t="shared" si="50"/>
        <v>0.10693067632582293</v>
      </c>
      <c r="L62" s="461">
        <f t="shared" si="50"/>
        <v>0.10810292518478372</v>
      </c>
      <c r="M62" s="461">
        <f t="shared" si="50"/>
        <v>0.10921378823578677</v>
      </c>
    </row>
    <row r="68" spans="4:12" ht="16" thickBot="1"/>
    <row r="69" spans="4:12">
      <c r="D69" s="1939" t="s">
        <v>1273</v>
      </c>
      <c r="E69" s="468"/>
      <c r="F69" s="468"/>
      <c r="G69" s="468" t="s">
        <v>1240</v>
      </c>
      <c r="H69" s="468" t="s">
        <v>1241</v>
      </c>
      <c r="I69" s="468" t="s">
        <v>1242</v>
      </c>
      <c r="J69" s="468" t="s">
        <v>1240</v>
      </c>
      <c r="K69" s="468" t="s">
        <v>1243</v>
      </c>
      <c r="L69" s="468" t="s">
        <v>1242</v>
      </c>
    </row>
    <row r="70" spans="4:12" ht="16" thickBot="1">
      <c r="D70" s="1940"/>
      <c r="E70" s="469"/>
      <c r="F70" s="469"/>
      <c r="G70" s="469" t="s">
        <v>1244</v>
      </c>
      <c r="H70" s="469" t="s">
        <v>1245</v>
      </c>
      <c r="I70" s="469" t="s">
        <v>1246</v>
      </c>
      <c r="J70" s="469" t="s">
        <v>1247</v>
      </c>
      <c r="K70" s="469" t="s">
        <v>1248</v>
      </c>
      <c r="L70" s="469" t="s">
        <v>1246</v>
      </c>
    </row>
    <row r="71" spans="4:12" s="7" customFormat="1" ht="14">
      <c r="D71" s="327" t="s">
        <v>1249</v>
      </c>
      <c r="E71" s="327"/>
      <c r="F71" s="327"/>
      <c r="G71" s="462">
        <v>2199.7600000000002</v>
      </c>
      <c r="H71" s="462">
        <v>1729</v>
      </c>
      <c r="I71" s="463">
        <v>-0.21400516419973092</v>
      </c>
      <c r="J71" s="462">
        <v>1951</v>
      </c>
      <c r="K71" s="462">
        <v>1724</v>
      </c>
      <c r="L71" s="463">
        <v>-0.11635058944131216</v>
      </c>
    </row>
    <row r="72" spans="4:12" s="7" customFormat="1" ht="14">
      <c r="D72" s="160" t="s">
        <v>1250</v>
      </c>
      <c r="E72" s="160"/>
      <c r="F72" s="160"/>
      <c r="G72" s="464">
        <v>66.16</v>
      </c>
      <c r="H72" s="464">
        <v>35.32</v>
      </c>
      <c r="I72" s="455">
        <v>-0.46614268440145101</v>
      </c>
      <c r="J72" s="464">
        <v>61.07</v>
      </c>
      <c r="K72" s="464">
        <v>40.207397260273986</v>
      </c>
      <c r="L72" s="455">
        <v>-0.3416178604834782</v>
      </c>
    </row>
    <row r="73" spans="4:12" s="7" customFormat="1" thickBot="1">
      <c r="D73" s="465" t="s">
        <v>1251</v>
      </c>
      <c r="E73" s="465"/>
      <c r="F73" s="465"/>
      <c r="G73" s="466">
        <v>11.481999999999999</v>
      </c>
      <c r="H73" s="466">
        <v>15.002000000000001</v>
      </c>
      <c r="I73" s="467">
        <v>0.30656680020902294</v>
      </c>
      <c r="J73" s="466">
        <v>12.016999999999999</v>
      </c>
      <c r="K73" s="466">
        <v>14.985551369863011</v>
      </c>
      <c r="L73" s="467">
        <v>0.24702932261487986</v>
      </c>
    </row>
    <row r="74" spans="4:12">
      <c r="D74" s="452" t="s">
        <v>1252</v>
      </c>
    </row>
    <row r="77" spans="4:12" ht="21" thickBot="1">
      <c r="D77" s="1197"/>
    </row>
    <row r="78" spans="4:12">
      <c r="D78" s="1941" t="s">
        <v>1253</v>
      </c>
      <c r="E78" s="1942"/>
      <c r="F78" s="1942"/>
      <c r="G78" s="1939" t="s">
        <v>1254</v>
      </c>
      <c r="H78" s="1939"/>
      <c r="I78" s="1939"/>
      <c r="J78" s="1939"/>
      <c r="K78" s="1939"/>
      <c r="L78" s="1945"/>
    </row>
    <row r="79" spans="4:12" ht="16" thickBot="1">
      <c r="D79" s="1943"/>
      <c r="E79" s="1944"/>
      <c r="F79" s="1944"/>
      <c r="G79" s="337">
        <v>1</v>
      </c>
      <c r="H79" s="337">
        <v>2</v>
      </c>
      <c r="I79" s="337">
        <v>3</v>
      </c>
      <c r="J79" s="337">
        <v>4</v>
      </c>
      <c r="K79" s="337">
        <v>5</v>
      </c>
      <c r="L79" s="472" t="s">
        <v>103</v>
      </c>
    </row>
    <row r="80" spans="4:12" s="7" customFormat="1" ht="14">
      <c r="D80" s="622" t="s">
        <v>1256</v>
      </c>
      <c r="E80" s="327"/>
      <c r="F80" s="327"/>
      <c r="G80" s="661">
        <v>0.37634408602150543</v>
      </c>
      <c r="H80" s="661">
        <v>0.39742437855645402</v>
      </c>
      <c r="I80" s="661">
        <v>0.3694223452092702</v>
      </c>
      <c r="J80" s="661">
        <v>0.2813725490196079</v>
      </c>
      <c r="K80" s="661">
        <v>0.27867459643160575</v>
      </c>
      <c r="L80" s="668">
        <v>0.28613744075829378</v>
      </c>
    </row>
    <row r="81" spans="4:12" s="7" customFormat="1" ht="14">
      <c r="D81" s="175" t="s">
        <v>1257</v>
      </c>
      <c r="E81" s="160"/>
      <c r="F81" s="160"/>
      <c r="G81" s="663">
        <v>0.23374295954941116</v>
      </c>
      <c r="H81" s="663">
        <v>0.27613057801737045</v>
      </c>
      <c r="I81" s="663">
        <v>0.29401591144932554</v>
      </c>
      <c r="J81" s="663">
        <v>0.33088235294117652</v>
      </c>
      <c r="K81" s="663">
        <v>0.26338147833474934</v>
      </c>
      <c r="L81" s="669">
        <v>0.29739336492890994</v>
      </c>
    </row>
    <row r="82" spans="4:12" s="7" customFormat="1" ht="14">
      <c r="D82" s="175" t="s">
        <v>1258</v>
      </c>
      <c r="E82" s="160"/>
      <c r="F82" s="160"/>
      <c r="G82" s="663">
        <v>2.4577572964669742E-2</v>
      </c>
      <c r="H82" s="663">
        <v>2.6654687032045519E-2</v>
      </c>
      <c r="I82" s="663">
        <v>2.4904877205119337E-2</v>
      </c>
      <c r="J82" s="663">
        <v>2.3039215686274511E-2</v>
      </c>
      <c r="K82" s="663">
        <v>2.1240441801189461E-2</v>
      </c>
      <c r="L82" s="669">
        <v>2.4881516587677725E-2</v>
      </c>
    </row>
    <row r="83" spans="4:12" s="7" customFormat="1" ht="14">
      <c r="D83" s="175" t="s">
        <v>1259</v>
      </c>
      <c r="E83" s="160"/>
      <c r="F83" s="160"/>
      <c r="G83" s="663">
        <v>8.2437275985663097E-2</v>
      </c>
      <c r="H83" s="663">
        <v>9.4040131775980848E-2</v>
      </c>
      <c r="I83" s="663">
        <v>9.6852300242130762E-2</v>
      </c>
      <c r="J83" s="663">
        <v>0.11470588235294117</v>
      </c>
      <c r="K83" s="663">
        <v>9.2608326253186046E-2</v>
      </c>
      <c r="L83" s="669">
        <v>0.10781990521327012</v>
      </c>
    </row>
    <row r="84" spans="4:12" s="7" customFormat="1" ht="14">
      <c r="D84" s="175" t="s">
        <v>1260</v>
      </c>
      <c r="E84" s="160"/>
      <c r="F84" s="160"/>
      <c r="G84" s="663">
        <v>5.0947260624679989E-2</v>
      </c>
      <c r="H84" s="663">
        <v>5.8700209643605866E-2</v>
      </c>
      <c r="I84" s="663">
        <v>5.499827049463854E-2</v>
      </c>
      <c r="J84" s="663">
        <v>4.5588235294117645E-2</v>
      </c>
      <c r="K84" s="663">
        <v>2.4638912489379779E-2</v>
      </c>
      <c r="L84" s="669">
        <v>4.2654028436018947E-2</v>
      </c>
    </row>
    <row r="85" spans="4:12" s="7" customFormat="1" ht="14">
      <c r="D85" s="175" t="s">
        <v>1261</v>
      </c>
      <c r="E85" s="160"/>
      <c r="F85" s="160"/>
      <c r="G85" s="663">
        <v>6.1443932411674356E-3</v>
      </c>
      <c r="H85" s="663">
        <v>8.385744234800839E-3</v>
      </c>
      <c r="I85" s="663">
        <v>1.0031131096506402E-2</v>
      </c>
      <c r="J85" s="663">
        <v>1.1764705882352943E-2</v>
      </c>
      <c r="K85" s="663">
        <v>1.6142735768903991E-2</v>
      </c>
      <c r="L85" s="669">
        <v>1.3033175355450234E-2</v>
      </c>
    </row>
    <row r="86" spans="4:12" s="7" customFormat="1" ht="14">
      <c r="D86" s="175" t="s">
        <v>1262</v>
      </c>
      <c r="E86" s="160"/>
      <c r="F86" s="160"/>
      <c r="G86" s="663">
        <v>0.12570404505888377</v>
      </c>
      <c r="H86" s="663">
        <v>8.1461515423779565E-2</v>
      </c>
      <c r="I86" s="663">
        <v>8.3708059494984444E-2</v>
      </c>
      <c r="J86" s="663">
        <v>9.9019607843137278E-2</v>
      </c>
      <c r="K86" s="663">
        <v>0.14103653355989804</v>
      </c>
      <c r="L86" s="669">
        <v>0.11492890995260663</v>
      </c>
    </row>
    <row r="87" spans="4:12" s="7" customFormat="1" ht="14">
      <c r="D87" s="175" t="s">
        <v>1263</v>
      </c>
      <c r="E87" s="160"/>
      <c r="F87" s="160"/>
      <c r="G87" s="663">
        <v>5.4275473630312335E-2</v>
      </c>
      <c r="H87" s="663">
        <v>2.4857741838873914E-2</v>
      </c>
      <c r="I87" s="663">
        <v>2.8709789000345903E-2</v>
      </c>
      <c r="J87" s="663">
        <v>4.0686274509803923E-2</v>
      </c>
      <c r="K87" s="663">
        <v>7.0518266779949018E-2</v>
      </c>
      <c r="L87" s="669">
        <v>4.9170616113744063E-2</v>
      </c>
    </row>
    <row r="88" spans="4:12" s="7" customFormat="1" thickBot="1">
      <c r="D88" s="554" t="s">
        <v>1264</v>
      </c>
      <c r="E88" s="465"/>
      <c r="F88" s="465"/>
      <c r="G88" s="665">
        <v>4.5826932923707125E-2</v>
      </c>
      <c r="H88" s="665">
        <v>3.2345013477088951E-2</v>
      </c>
      <c r="I88" s="665">
        <v>3.7357315807679009E-2</v>
      </c>
      <c r="J88" s="665">
        <v>5.2941176470588241E-2</v>
      </c>
      <c r="K88" s="665">
        <v>9.1758708581138479E-2</v>
      </c>
      <c r="L88" s="667">
        <v>6.398104265402843E-2</v>
      </c>
    </row>
    <row r="89" spans="4:12" s="6" customFormat="1" thickBot="1">
      <c r="D89" s="625" t="s">
        <v>103</v>
      </c>
      <c r="E89" s="660"/>
      <c r="F89" s="660"/>
      <c r="G89" s="666">
        <v>1.0000000000000002</v>
      </c>
      <c r="H89" s="666">
        <v>1</v>
      </c>
      <c r="I89" s="666">
        <v>1.0000000000000002</v>
      </c>
      <c r="J89" s="666">
        <v>1</v>
      </c>
      <c r="K89" s="666">
        <v>0.99999999999999989</v>
      </c>
      <c r="L89" s="667">
        <v>0.99999999999999978</v>
      </c>
    </row>
    <row r="90" spans="4:12">
      <c r="D90" s="9" t="s">
        <v>1722</v>
      </c>
      <c r="E90" s="452"/>
    </row>
    <row r="92" spans="4:12" ht="21" thickBot="1">
      <c r="D92" s="1197" t="s">
        <v>1656</v>
      </c>
    </row>
    <row r="93" spans="4:12">
      <c r="D93" s="1941" t="s">
        <v>1255</v>
      </c>
      <c r="E93" s="1942"/>
      <c r="F93" s="1942"/>
      <c r="G93" s="1939" t="s">
        <v>1254</v>
      </c>
      <c r="H93" s="1939"/>
      <c r="I93" s="1939"/>
      <c r="J93" s="1939"/>
      <c r="K93" s="1939"/>
      <c r="L93" s="1945"/>
    </row>
    <row r="94" spans="4:12" ht="16" thickBot="1">
      <c r="D94" s="1943"/>
      <c r="E94" s="1944"/>
      <c r="F94" s="1944"/>
      <c r="G94" s="337">
        <v>1</v>
      </c>
      <c r="H94" s="337">
        <v>2</v>
      </c>
      <c r="I94" s="337">
        <v>3</v>
      </c>
      <c r="J94" s="337">
        <v>4</v>
      </c>
      <c r="K94" s="337">
        <v>5</v>
      </c>
      <c r="L94" s="472" t="s">
        <v>103</v>
      </c>
    </row>
    <row r="95" spans="4:12" s="7" customFormat="1" ht="14">
      <c r="D95" s="622" t="s">
        <v>1265</v>
      </c>
      <c r="E95" s="327"/>
      <c r="F95" s="327"/>
      <c r="G95" s="661">
        <v>0.15460852329038652</v>
      </c>
      <c r="H95" s="661">
        <v>0.18199802176063309</v>
      </c>
      <c r="I95" s="661">
        <v>0.20498915401301521</v>
      </c>
      <c r="J95" s="661">
        <v>0.25761772853185599</v>
      </c>
      <c r="K95" s="661">
        <v>0.28358208955223879</v>
      </c>
      <c r="L95" s="662">
        <v>0.24080882352941177</v>
      </c>
    </row>
    <row r="96" spans="4:12" s="7" customFormat="1" ht="14">
      <c r="D96" s="175" t="s">
        <v>1266</v>
      </c>
      <c r="E96" s="160"/>
      <c r="F96" s="160"/>
      <c r="G96" s="663">
        <v>7.9286422200198214E-3</v>
      </c>
      <c r="H96" s="663">
        <v>8.9020771513353136E-3</v>
      </c>
      <c r="I96" s="663">
        <v>1.5184381778741868E-2</v>
      </c>
      <c r="J96" s="663">
        <v>2.4930747922437674E-2</v>
      </c>
      <c r="K96" s="663">
        <v>4.1791044776119404E-2</v>
      </c>
      <c r="L96" s="664">
        <v>2.5735294117647061E-2</v>
      </c>
    </row>
    <row r="97" spans="4:14" s="7" customFormat="1" ht="14">
      <c r="D97" s="175" t="s">
        <v>1267</v>
      </c>
      <c r="E97" s="160"/>
      <c r="F97" s="160"/>
      <c r="G97" s="663">
        <v>2.0812685827552031E-2</v>
      </c>
      <c r="H97" s="663">
        <v>2.1760633036597435E-2</v>
      </c>
      <c r="I97" s="663">
        <v>3.6876355748373106E-2</v>
      </c>
      <c r="J97" s="663">
        <v>7.2022160664819951E-2</v>
      </c>
      <c r="K97" s="663">
        <v>0.11641791044776119</v>
      </c>
      <c r="L97" s="664">
        <v>7.3529411764705885E-2</v>
      </c>
    </row>
    <row r="98" spans="4:14" s="7" customFormat="1" ht="14">
      <c r="D98" s="175" t="s">
        <v>1268</v>
      </c>
      <c r="E98" s="160"/>
      <c r="F98" s="160"/>
      <c r="G98" s="663">
        <v>0.60753221010901881</v>
      </c>
      <c r="H98" s="663">
        <v>0.56874381800197837</v>
      </c>
      <c r="I98" s="663">
        <v>0.51843817787418667</v>
      </c>
      <c r="J98" s="663">
        <v>0.40443213296398894</v>
      </c>
      <c r="K98" s="663">
        <v>0.24776119402985072</v>
      </c>
      <c r="L98" s="664">
        <v>0.40073529411764708</v>
      </c>
    </row>
    <row r="99" spans="4:14" s="7" customFormat="1" ht="14">
      <c r="D99" s="175" t="s">
        <v>1269</v>
      </c>
      <c r="E99" s="160"/>
      <c r="F99" s="160"/>
      <c r="G99" s="663">
        <v>0.10208126858275521</v>
      </c>
      <c r="H99" s="663">
        <v>0.11869436201780417</v>
      </c>
      <c r="I99" s="663">
        <v>0.1366594360086768</v>
      </c>
      <c r="J99" s="663">
        <v>0.16481994459833796</v>
      </c>
      <c r="K99" s="663">
        <v>0.21791044776119403</v>
      </c>
      <c r="L99" s="664">
        <v>0.16911764705882351</v>
      </c>
    </row>
    <row r="100" spans="4:14" s="7" customFormat="1" ht="14">
      <c r="D100" s="175" t="s">
        <v>1270</v>
      </c>
      <c r="E100" s="160"/>
      <c r="F100" s="160"/>
      <c r="G100" s="663">
        <v>1.1892963330029732E-2</v>
      </c>
      <c r="H100" s="663">
        <v>1.1869436201780418E-2</v>
      </c>
      <c r="I100" s="663">
        <v>9.7613882863340565E-3</v>
      </c>
      <c r="J100" s="663">
        <v>1.1080332409972299E-2</v>
      </c>
      <c r="K100" s="663">
        <v>1.7910447761194027E-2</v>
      </c>
      <c r="L100" s="664">
        <v>1.2867647058823531E-2</v>
      </c>
    </row>
    <row r="101" spans="4:14" s="7" customFormat="1" ht="14">
      <c r="D101" s="175" t="s">
        <v>1271</v>
      </c>
      <c r="E101" s="160"/>
      <c r="F101" s="160"/>
      <c r="G101" s="663">
        <v>1.6848364717542124E-2</v>
      </c>
      <c r="H101" s="663">
        <v>1.9782393669634031E-2</v>
      </c>
      <c r="I101" s="663">
        <v>1.9522776572668113E-2</v>
      </c>
      <c r="J101" s="663">
        <v>1.9390581717451526E-2</v>
      </c>
      <c r="K101" s="663">
        <v>3.5820895522388055E-2</v>
      </c>
      <c r="L101" s="664">
        <v>2.5735294117647061E-2</v>
      </c>
    </row>
    <row r="102" spans="4:14" s="7" customFormat="1" thickBot="1">
      <c r="D102" s="175" t="s">
        <v>1272</v>
      </c>
      <c r="E102" s="160"/>
      <c r="F102" s="160"/>
      <c r="G102" s="663">
        <v>7.8295341922695744E-2</v>
      </c>
      <c r="H102" s="663">
        <v>6.82492581602374E-2</v>
      </c>
      <c r="I102" s="663">
        <v>5.8568329718004353E-2</v>
      </c>
      <c r="J102" s="663">
        <v>4.5706371191135735E-2</v>
      </c>
      <c r="K102" s="663">
        <v>3.880597014925373E-2</v>
      </c>
      <c r="L102" s="664">
        <v>5.1470588235294122E-2</v>
      </c>
    </row>
    <row r="103" spans="4:14" s="6" customFormat="1" thickBot="1">
      <c r="D103" s="488" t="s">
        <v>103</v>
      </c>
      <c r="E103" s="450"/>
      <c r="F103" s="450"/>
      <c r="G103" s="670">
        <v>1</v>
      </c>
      <c r="H103" s="670">
        <v>1.0000000000000002</v>
      </c>
      <c r="I103" s="670">
        <v>1.0000000000000002</v>
      </c>
      <c r="J103" s="670">
        <v>1</v>
      </c>
      <c r="K103" s="670">
        <v>0.99999999999999989</v>
      </c>
      <c r="L103" s="671">
        <v>1</v>
      </c>
    </row>
    <row r="104" spans="4:14">
      <c r="D104" s="9" t="s">
        <v>1655</v>
      </c>
    </row>
    <row r="106" spans="4:14" ht="21" thickBot="1">
      <c r="D106" s="1197" t="s">
        <v>1753</v>
      </c>
      <c r="K106" s="1310" t="s">
        <v>1805</v>
      </c>
      <c r="L106" s="7"/>
      <c r="M106" s="7"/>
      <c r="N106" s="7"/>
    </row>
    <row r="107" spans="4:14" s="7" customFormat="1" ht="31" thickBot="1">
      <c r="D107" s="709" t="s">
        <v>1274</v>
      </c>
      <c r="E107" s="474">
        <v>2013</v>
      </c>
      <c r="F107" s="474">
        <v>2014</v>
      </c>
      <c r="G107" s="475">
        <v>2015</v>
      </c>
    </row>
    <row r="108" spans="4:14" s="7" customFormat="1" ht="16" thickBot="1">
      <c r="D108" s="726" t="s">
        <v>1275</v>
      </c>
      <c r="E108" s="1417">
        <v>0.35</v>
      </c>
      <c r="F108" s="1472">
        <f>E114</f>
        <v>0.33095238095238094</v>
      </c>
      <c r="G108" s="1473">
        <f>F114</f>
        <v>0.41828793774319067</v>
      </c>
      <c r="K108" s="710" t="s">
        <v>1463</v>
      </c>
      <c r="L108" s="422" t="s">
        <v>20</v>
      </c>
      <c r="M108" s="422" t="s">
        <v>21</v>
      </c>
      <c r="N108" s="721" t="s">
        <v>22</v>
      </c>
    </row>
    <row r="109" spans="4:14" ht="16" thickBot="1">
      <c r="D109" s="746" t="s">
        <v>1051</v>
      </c>
      <c r="E109" s="1474">
        <v>0.67</v>
      </c>
      <c r="F109" s="1475">
        <f>E119</f>
        <v>0.31611374407582937</v>
      </c>
      <c r="G109" s="1476">
        <f>F119</f>
        <v>0.4259295308545844</v>
      </c>
      <c r="K109" s="1490" t="s">
        <v>692</v>
      </c>
      <c r="L109" s="1491">
        <f>'3d. Daybrook'!H30</f>
        <v>0.21931489301133938</v>
      </c>
      <c r="M109" s="1491">
        <f>'3d. Daybrook'!I30</f>
        <v>0.30631277693676173</v>
      </c>
      <c r="N109" s="1492">
        <f>'3d. Daybrook'!J30</f>
        <v>0.30050572265105135</v>
      </c>
    </row>
    <row r="110" spans="4:14" ht="16" thickBot="1">
      <c r="D110" t="s">
        <v>1649</v>
      </c>
      <c r="K110" s="1493" t="s">
        <v>510</v>
      </c>
      <c r="L110" s="1494">
        <f>E52</f>
        <v>0.14265856072923316</v>
      </c>
      <c r="M110" s="1494">
        <f>F52</f>
        <v>0.1581630656186559</v>
      </c>
      <c r="N110" s="1495">
        <f>G52</f>
        <v>0.17454705510907231</v>
      </c>
    </row>
    <row r="111" spans="4:14">
      <c r="K111" t="s">
        <v>1649</v>
      </c>
    </row>
    <row r="112" spans="4:14">
      <c r="D112" t="s">
        <v>1141</v>
      </c>
    </row>
    <row r="113" spans="4:10">
      <c r="D113" t="s">
        <v>0</v>
      </c>
      <c r="E113">
        <v>2014</v>
      </c>
      <c r="F113">
        <v>2015</v>
      </c>
    </row>
    <row r="114" spans="4:10">
      <c r="D114" t="s">
        <v>1139</v>
      </c>
      <c r="E114">
        <v>0.33095238095238094</v>
      </c>
      <c r="F114">
        <v>0.41828793774319067</v>
      </c>
    </row>
    <row r="115" spans="4:10">
      <c r="D115" t="s">
        <v>836</v>
      </c>
      <c r="E115">
        <v>0.669047619047619</v>
      </c>
      <c r="F115">
        <v>0.58171206225680938</v>
      </c>
    </row>
    <row r="117" spans="4:10">
      <c r="D117" t="s">
        <v>1141</v>
      </c>
    </row>
    <row r="118" spans="4:10">
      <c r="D118" t="s">
        <v>1140</v>
      </c>
      <c r="E118">
        <v>2014</v>
      </c>
      <c r="F118">
        <v>2015</v>
      </c>
    </row>
    <row r="119" spans="4:10">
      <c r="D119" t="s">
        <v>1139</v>
      </c>
      <c r="E119">
        <v>0.31611374407582937</v>
      </c>
      <c r="F119">
        <v>0.4259295308545844</v>
      </c>
    </row>
    <row r="120" spans="4:10">
      <c r="D120" t="s">
        <v>836</v>
      </c>
      <c r="E120">
        <v>0.68388625592417063</v>
      </c>
      <c r="F120">
        <v>0.5740704691454156</v>
      </c>
    </row>
    <row r="121" spans="4:10" ht="20">
      <c r="D121" s="1197" t="s">
        <v>1804</v>
      </c>
    </row>
    <row r="123" spans="4:10" ht="16" thickBot="1">
      <c r="D123" s="1903" t="s">
        <v>1276</v>
      </c>
      <c r="E123" s="1903"/>
      <c r="F123" s="1903"/>
      <c r="G123" s="1903"/>
      <c r="H123" s="1903"/>
      <c r="I123" s="1903"/>
      <c r="J123" s="1903"/>
    </row>
    <row r="124" spans="4:10" s="7" customFormat="1">
      <c r="D124" s="1934" t="s">
        <v>1146</v>
      </c>
      <c r="E124" s="1936" t="s">
        <v>1142</v>
      </c>
      <c r="F124" s="1937"/>
      <c r="G124" s="1477"/>
      <c r="H124" s="1477"/>
      <c r="I124" s="1937" t="s">
        <v>1143</v>
      </c>
      <c r="J124" s="1938"/>
    </row>
    <row r="125" spans="4:10" s="7" customFormat="1" ht="16" thickBot="1">
      <c r="D125" s="1935"/>
      <c r="E125" s="1478" t="s">
        <v>1144</v>
      </c>
      <c r="F125" s="1479" t="s">
        <v>1145</v>
      </c>
      <c r="G125" s="1479"/>
      <c r="H125" s="1479"/>
      <c r="I125" s="1479" t="s">
        <v>1144</v>
      </c>
      <c r="J125" s="1480" t="s">
        <v>1145</v>
      </c>
    </row>
    <row r="126" spans="4:10" s="7" customFormat="1">
      <c r="D126" s="726" t="s">
        <v>506</v>
      </c>
      <c r="E126" s="1481">
        <f>'All Together'!P32</f>
        <v>0.64419358643185565</v>
      </c>
      <c r="F126" s="1482"/>
      <c r="G126" s="1482"/>
      <c r="H126" s="1482"/>
      <c r="I126" s="1483">
        <f>'All Together'!P31</f>
        <v>0.40484370962615585</v>
      </c>
      <c r="J126" s="1484"/>
    </row>
    <row r="127" spans="4:10" s="7" customFormat="1">
      <c r="D127" s="726" t="s">
        <v>507</v>
      </c>
      <c r="E127" s="1485"/>
      <c r="F127" s="1483">
        <f>'All Together'!P37</f>
        <v>0.23230804222712464</v>
      </c>
      <c r="G127" s="1482"/>
      <c r="H127" s="1482"/>
      <c r="I127" s="1482"/>
      <c r="J127" s="1486">
        <f>'All Together'!P36</f>
        <v>0.14599407937627373</v>
      </c>
    </row>
    <row r="128" spans="4:10" s="7" customFormat="1">
      <c r="D128" s="726" t="s">
        <v>508</v>
      </c>
      <c r="E128" s="1481">
        <f>'All Together'!P42</f>
        <v>0.12349837134101971</v>
      </c>
      <c r="F128" s="1482"/>
      <c r="G128" s="1482"/>
      <c r="H128" s="1482"/>
      <c r="I128" s="1483">
        <f>'All Together'!P41</f>
        <v>7.7612599441450367E-2</v>
      </c>
      <c r="J128" s="1484"/>
    </row>
    <row r="129" spans="4:17" s="7" customFormat="1" ht="16" thickBot="1">
      <c r="D129" s="726" t="s">
        <v>692</v>
      </c>
      <c r="E129" s="1485"/>
      <c r="F129" s="1482"/>
      <c r="G129" s="1482"/>
      <c r="H129" s="1482"/>
      <c r="I129" s="1482"/>
      <c r="J129" s="1486">
        <f>'All Together'!P46</f>
        <v>0.37154961155612015</v>
      </c>
    </row>
    <row r="130" spans="4:17" s="7" customFormat="1" ht="16" thickBot="1">
      <c r="D130" s="172" t="s">
        <v>103</v>
      </c>
      <c r="E130" s="1487">
        <f>SUM(E126:E129)</f>
        <v>0.76769195777287536</v>
      </c>
      <c r="F130" s="1488">
        <f>SUM(F126:F129)</f>
        <v>0.23230804222712464</v>
      </c>
      <c r="G130" s="1488"/>
      <c r="H130" s="1488"/>
      <c r="I130" s="1488">
        <f>SUM(I126:I129)</f>
        <v>0.48245630906760623</v>
      </c>
      <c r="J130" s="1489">
        <f>SUM(J126:J129)</f>
        <v>0.51754369093239383</v>
      </c>
    </row>
    <row r="131" spans="4:17">
      <c r="D131" t="s">
        <v>1649</v>
      </c>
    </row>
    <row r="132" spans="4:17" ht="20">
      <c r="D132" s="1197" t="s">
        <v>1807</v>
      </c>
    </row>
    <row r="133" spans="4:17" ht="21" thickBot="1">
      <c r="D133" s="1197" t="s">
        <v>1754</v>
      </c>
    </row>
    <row r="134" spans="4:17" ht="16" thickBot="1">
      <c r="D134" s="691" t="s">
        <v>1470</v>
      </c>
      <c r="E134" s="1313" t="s">
        <v>22</v>
      </c>
      <c r="F134" s="1313" t="s">
        <v>23</v>
      </c>
      <c r="G134" s="474" t="s">
        <v>1458</v>
      </c>
      <c r="H134" s="474" t="s">
        <v>1472</v>
      </c>
      <c r="I134" s="474" t="s">
        <v>1473</v>
      </c>
      <c r="J134" s="474" t="s">
        <v>1474</v>
      </c>
      <c r="K134" s="1381" t="s">
        <v>1475</v>
      </c>
      <c r="L134" s="832"/>
      <c r="M134" s="832"/>
    </row>
    <row r="135" spans="4:17" s="7" customFormat="1">
      <c r="D135" s="1496" t="s">
        <v>1721</v>
      </c>
      <c r="E135" s="1497">
        <f>'2b. Balance Sheet'!N44-'2b. Balance Sheet'!N23</f>
        <v>-44003</v>
      </c>
      <c r="F135" s="1497">
        <f>'2b. Balance Sheet'!O44-'2b. Balance Sheet'!O23</f>
        <v>3193210</v>
      </c>
      <c r="G135" s="1497">
        <f>'2b. Balance Sheet'!P44-'2b. Balance Sheet'!P23</f>
        <v>3357339.7393480577</v>
      </c>
      <c r="H135" s="1497">
        <f>'2b. Balance Sheet'!Q44-'2b. Balance Sheet'!Q23</f>
        <v>3272372.8848290532</v>
      </c>
      <c r="I135" s="1497">
        <f>'2b. Balance Sheet'!R44-'2b. Balance Sheet'!R23</f>
        <v>3237029.7088195398</v>
      </c>
      <c r="J135" s="1497">
        <f>'2b. Balance Sheet'!S44-'2b. Balance Sheet'!S23</f>
        <v>3204611.192195056</v>
      </c>
      <c r="K135" s="1498">
        <f>'2b. Balance Sheet'!T44-'2b. Balance Sheet'!T23</f>
        <v>3166787.3642521696</v>
      </c>
      <c r="L135" s="807"/>
      <c r="M135" s="807"/>
    </row>
    <row r="136" spans="4:17" s="7" customFormat="1">
      <c r="D136" s="1228" t="s">
        <v>1237</v>
      </c>
      <c r="E136" s="1499">
        <f>E135/'2a. Income Statement'!N56</f>
        <v>-4.4304759718442312E-2</v>
      </c>
      <c r="F136" s="1499">
        <f>F135/'2a. Income Statement'!O56</f>
        <v>2.6959978926501105</v>
      </c>
      <c r="G136" s="1499">
        <f>G135/'2a. Income Statement'!P56</f>
        <v>1.8005767321607637</v>
      </c>
      <c r="H136" s="1499">
        <f>H135/'2a. Income Statement'!Q56</f>
        <v>1.6115307988193615</v>
      </c>
      <c r="I136" s="1499">
        <f>I135/'2a. Income Statement'!R56</f>
        <v>1.4963484776280582</v>
      </c>
      <c r="J136" s="1499">
        <f>J135/'2a. Income Statement'!S56</f>
        <v>1.3598233100303994</v>
      </c>
      <c r="K136" s="1500">
        <f>K135/'2a. Income Statement'!T56</f>
        <v>1.2385113280921258</v>
      </c>
      <c r="L136" s="298"/>
      <c r="M136" s="298"/>
    </row>
    <row r="137" spans="4:17" s="7" customFormat="1">
      <c r="D137" s="1228" t="s">
        <v>1277</v>
      </c>
      <c r="E137" s="1472">
        <f>E135/'2b. Balance Sheet'!N31</f>
        <v>-2.5189105767568491E-2</v>
      </c>
      <c r="F137" s="1472">
        <f>F135/'2b. Balance Sheet'!O31</f>
        <v>0.89589050934745418</v>
      </c>
      <c r="G137" s="1472">
        <f>G135/'2b. Balance Sheet'!P31</f>
        <v>0.88213701685002388</v>
      </c>
      <c r="H137" s="1472">
        <f>H135/'2b. Balance Sheet'!Q31</f>
        <v>0.81445140488789869</v>
      </c>
      <c r="I137" s="1472">
        <f>I135/'2b. Balance Sheet'!R31</f>
        <v>0.77299596073928556</v>
      </c>
      <c r="J137" s="1472">
        <f>J135/'2b. Balance Sheet'!S31</f>
        <v>0.73264962599380601</v>
      </c>
      <c r="K137" s="1473">
        <f>K135/'2b. Balance Sheet'!T31</f>
        <v>0.6918330982017582</v>
      </c>
      <c r="L137" s="238"/>
      <c r="M137" s="238"/>
    </row>
    <row r="138" spans="4:17" s="7" customFormat="1" ht="16" thickBot="1">
      <c r="D138" s="1388" t="s">
        <v>1471</v>
      </c>
      <c r="E138" s="1475">
        <f>('2b. Balance Sheet'!N44)/'2b. Balance Sheet'!N27</f>
        <v>0.10083027005371228</v>
      </c>
      <c r="F138" s="1475">
        <f>('2b. Balance Sheet'!O44)/'2b. Balance Sheet'!O27</f>
        <v>0.41609972126109002</v>
      </c>
      <c r="G138" s="1475">
        <f>('2b. Balance Sheet'!P44)/'2b. Balance Sheet'!P27</f>
        <v>0.32680494575011443</v>
      </c>
      <c r="H138" s="1475">
        <f>('2b. Balance Sheet'!Q44)/'2b. Balance Sheet'!Q27</f>
        <v>0.31410382350201926</v>
      </c>
      <c r="I138" s="1475">
        <f>('2b. Balance Sheet'!R44)/'2b. Balance Sheet'!R27</f>
        <v>0.3033612119872538</v>
      </c>
      <c r="J138" s="1475">
        <f>('2b. Balance Sheet'!S44)/'2b. Balance Sheet'!S27</f>
        <v>0.29252683888445502</v>
      </c>
      <c r="K138" s="1476">
        <f>('2b. Balance Sheet'!T44)/'2b. Balance Sheet'!T27</f>
        <v>0.28196395649037131</v>
      </c>
      <c r="L138" s="238"/>
      <c r="M138" s="238"/>
    </row>
    <row r="139" spans="4:17" s="7" customFormat="1">
      <c r="D139" s="50" t="s">
        <v>1658</v>
      </c>
      <c r="E139" s="464"/>
      <c r="F139" s="464"/>
      <c r="G139" s="464"/>
      <c r="H139" s="464"/>
      <c r="I139" s="464"/>
      <c r="J139" s="464"/>
      <c r="K139" s="464"/>
    </row>
    <row r="140" spans="4:17" s="7" customFormat="1" ht="14">
      <c r="D140" s="160"/>
      <c r="E140" s="464"/>
      <c r="F140" s="464"/>
      <c r="G140" s="464"/>
      <c r="H140" s="464"/>
      <c r="I140" s="464"/>
      <c r="J140" s="464"/>
      <c r="K140" s="464"/>
    </row>
    <row r="141" spans="4:17" s="7" customFormat="1" thickBot="1">
      <c r="D141" s="465"/>
      <c r="E141" s="476"/>
      <c r="F141" s="476"/>
      <c r="G141" s="476"/>
      <c r="H141" s="476"/>
      <c r="I141" s="476"/>
      <c r="J141" s="476"/>
      <c r="K141" s="476"/>
    </row>
    <row r="142" spans="4:17" s="7" customFormat="1" ht="14"/>
    <row r="144" spans="4:17" ht="20">
      <c r="Q144" s="1197" t="s">
        <v>1781</v>
      </c>
    </row>
    <row r="145" spans="1:17" ht="20">
      <c r="D145" s="1197" t="s">
        <v>1782</v>
      </c>
    </row>
    <row r="146" spans="1:17" ht="16" thickBot="1"/>
    <row r="147" spans="1:17" ht="16" thickBot="1">
      <c r="D147" s="473" t="s">
        <v>1447</v>
      </c>
      <c r="E147" s="680" t="s">
        <v>1448</v>
      </c>
    </row>
    <row r="148" spans="1:17" s="7" customFormat="1">
      <c r="D148" s="1228" t="s">
        <v>1449</v>
      </c>
      <c r="E148" s="1387">
        <v>52.26</v>
      </c>
    </row>
    <row r="149" spans="1:17" s="7" customFormat="1">
      <c r="D149" s="1228" t="s">
        <v>1450</v>
      </c>
      <c r="E149" s="1387">
        <v>40.21</v>
      </c>
    </row>
    <row r="150" spans="1:17" s="7" customFormat="1">
      <c r="D150" s="1228" t="s">
        <v>1451</v>
      </c>
      <c r="E150" s="1387">
        <v>39.44</v>
      </c>
    </row>
    <row r="151" spans="1:17" s="7" customFormat="1">
      <c r="D151" s="1228" t="s">
        <v>1452</v>
      </c>
      <c r="E151" s="1387">
        <v>67.84</v>
      </c>
    </row>
    <row r="152" spans="1:17" s="7" customFormat="1" ht="16" thickBot="1">
      <c r="D152" s="1388" t="s">
        <v>1453</v>
      </c>
      <c r="E152" s="1389">
        <v>41.55</v>
      </c>
    </row>
    <row r="153" spans="1:17">
      <c r="D153" t="s">
        <v>1657</v>
      </c>
    </row>
    <row r="155" spans="1:17" s="9" customFormat="1">
      <c r="D155" s="173" t="s">
        <v>1455</v>
      </c>
      <c r="E155" s="173" t="s">
        <v>28</v>
      </c>
      <c r="F155" s="23" t="s">
        <v>17</v>
      </c>
      <c r="G155" s="173" t="s">
        <v>18</v>
      </c>
      <c r="H155" s="23" t="s">
        <v>19</v>
      </c>
      <c r="I155" s="173" t="s">
        <v>20</v>
      </c>
      <c r="J155" s="23" t="s">
        <v>21</v>
      </c>
      <c r="K155" s="173" t="s">
        <v>22</v>
      </c>
      <c r="L155" s="23" t="s">
        <v>23</v>
      </c>
      <c r="M155" s="173" t="s">
        <v>1458</v>
      </c>
    </row>
    <row r="156" spans="1:17">
      <c r="D156" s="169" t="s">
        <v>1449</v>
      </c>
    </row>
    <row r="157" spans="1:17">
      <c r="A157" t="s">
        <v>1454</v>
      </c>
      <c r="D157" s="169" t="s">
        <v>1456</v>
      </c>
      <c r="E157">
        <v>22.71</v>
      </c>
      <c r="F157">
        <v>24.87</v>
      </c>
      <c r="G157">
        <v>22.8</v>
      </c>
      <c r="H157">
        <v>22.8</v>
      </c>
      <c r="I157">
        <v>23.14</v>
      </c>
      <c r="J157">
        <v>24.58</v>
      </c>
      <c r="K157">
        <v>26.43</v>
      </c>
      <c r="L157">
        <v>28.81</v>
      </c>
      <c r="M157">
        <v>40.21</v>
      </c>
    </row>
    <row r="158" spans="1:17">
      <c r="D158" s="169" t="s">
        <v>1457</v>
      </c>
      <c r="E158">
        <v>10.220000000000001</v>
      </c>
      <c r="F158">
        <v>16.170000000000002</v>
      </c>
      <c r="G158">
        <v>12.32</v>
      </c>
      <c r="H158">
        <v>13.31</v>
      </c>
      <c r="I158">
        <v>13.43</v>
      </c>
      <c r="J158">
        <v>14.49</v>
      </c>
      <c r="K158">
        <v>15.03</v>
      </c>
      <c r="L158">
        <v>15.99</v>
      </c>
      <c r="M158">
        <v>16.62</v>
      </c>
    </row>
    <row r="159" spans="1:17">
      <c r="D159" s="169" t="s">
        <v>1459</v>
      </c>
      <c r="E159">
        <f t="shared" ref="E159:L159" si="51">E158*2.5</f>
        <v>25.55</v>
      </c>
      <c r="F159">
        <f t="shared" si="51"/>
        <v>40.425000000000004</v>
      </c>
      <c r="G159">
        <f t="shared" si="51"/>
        <v>30.8</v>
      </c>
      <c r="H159">
        <f t="shared" si="51"/>
        <v>33.274999999999999</v>
      </c>
      <c r="I159">
        <f t="shared" si="51"/>
        <v>33.575000000000003</v>
      </c>
      <c r="J159">
        <f t="shared" si="51"/>
        <v>36.225000000000001</v>
      </c>
      <c r="K159">
        <f t="shared" si="51"/>
        <v>37.574999999999996</v>
      </c>
      <c r="L159">
        <f t="shared" si="51"/>
        <v>39.975000000000001</v>
      </c>
      <c r="M159">
        <f>M158*2.5</f>
        <v>41.550000000000004</v>
      </c>
    </row>
    <row r="160" spans="1:17">
      <c r="Q160" t="s">
        <v>1657</v>
      </c>
    </row>
  </sheetData>
  <mergeCells count="9">
    <mergeCell ref="D123:J123"/>
    <mergeCell ref="D124:D125"/>
    <mergeCell ref="E124:F124"/>
    <mergeCell ref="I124:J124"/>
    <mergeCell ref="D69:D70"/>
    <mergeCell ref="D78:F79"/>
    <mergeCell ref="G78:L78"/>
    <mergeCell ref="D93:F94"/>
    <mergeCell ref="G93:L93"/>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1:AK442"/>
  <sheetViews>
    <sheetView showGridLines="0" topLeftCell="D1" zoomScale="75" zoomScaleNormal="75" zoomScalePageLayoutView="75" workbookViewId="0">
      <selection activeCell="D429" sqref="D429:E441"/>
    </sheetView>
  </sheetViews>
  <sheetFormatPr baseColWidth="10" defaultRowHeight="15" x14ac:dyDescent="0"/>
  <cols>
    <col min="1" max="3" width="0" hidden="1" customWidth="1"/>
    <col min="4" max="4" width="19" customWidth="1"/>
    <col min="5" max="5" width="19.6640625" style="470" customWidth="1"/>
    <col min="6" max="6" width="18" customWidth="1"/>
    <col min="7" max="7" width="42.83203125" bestFit="1" customWidth="1"/>
    <col min="8" max="8" width="21.6640625" style="470" bestFit="1" customWidth="1"/>
    <col min="9" max="9" width="11.33203125" style="470" bestFit="1" customWidth="1"/>
    <col min="10" max="10" width="18.83203125" bestFit="1" customWidth="1"/>
    <col min="11" max="11" width="3.5" customWidth="1"/>
    <col min="12" max="12" width="12.1640625" style="470" bestFit="1" customWidth="1"/>
    <col min="13" max="13" width="11.33203125" style="470" bestFit="1" customWidth="1"/>
    <col min="14" max="14" width="11.33203125" bestFit="1" customWidth="1"/>
    <col min="15" max="15" width="12.1640625" bestFit="1" customWidth="1"/>
    <col min="16" max="16" width="3.33203125" customWidth="1"/>
    <col min="20" max="20" width="16.5" customWidth="1"/>
    <col min="21" max="16384" width="10.83203125" style="18"/>
  </cols>
  <sheetData>
    <row r="1" spans="4:22" customFormat="1">
      <c r="E1" s="470"/>
      <c r="H1" s="470"/>
      <c r="I1" s="470"/>
      <c r="L1" s="470"/>
      <c r="M1" s="470"/>
    </row>
    <row r="2" spans="4:22" customFormat="1" ht="18">
      <c r="D2" s="1949" t="s">
        <v>1283</v>
      </c>
      <c r="E2" s="1949"/>
      <c r="F2" s="1949"/>
      <c r="G2" s="1949"/>
      <c r="H2" s="1949"/>
      <c r="I2" s="1949"/>
      <c r="J2" s="1949"/>
      <c r="K2" s="1949"/>
      <c r="L2" s="1949"/>
      <c r="M2" s="1949"/>
      <c r="P2" s="1949" t="s">
        <v>1286</v>
      </c>
      <c r="Q2" s="1949"/>
      <c r="R2" s="1949"/>
      <c r="S2" s="1949"/>
      <c r="T2" s="1949"/>
      <c r="U2" s="1949"/>
      <c r="V2" s="1949"/>
    </row>
    <row r="3" spans="4:22" customFormat="1" ht="16" thickBot="1">
      <c r="E3" s="470"/>
      <c r="H3" s="470"/>
      <c r="I3" s="470"/>
      <c r="L3" s="470"/>
      <c r="M3" s="470"/>
    </row>
    <row r="4" spans="4:22" s="7" customFormat="1" ht="14">
      <c r="D4" s="483" t="s">
        <v>1278</v>
      </c>
      <c r="E4" s="486">
        <v>2015</v>
      </c>
      <c r="G4" s="491" t="s">
        <v>1281</v>
      </c>
      <c r="H4" s="1950">
        <v>2015</v>
      </c>
      <c r="I4" s="1951"/>
      <c r="K4" s="491" t="s">
        <v>1281</v>
      </c>
      <c r="L4" s="1950">
        <v>2016</v>
      </c>
      <c r="M4" s="1951"/>
      <c r="P4" s="499" t="s">
        <v>1284</v>
      </c>
      <c r="Q4" s="1947">
        <v>2015</v>
      </c>
      <c r="R4" s="1948"/>
      <c r="S4" s="495"/>
      <c r="T4" s="499" t="s">
        <v>1284</v>
      </c>
      <c r="U4" s="1947">
        <v>2016</v>
      </c>
      <c r="V4" s="1948"/>
    </row>
    <row r="5" spans="4:22" s="7" customFormat="1" ht="14">
      <c r="D5" s="477" t="s">
        <v>104</v>
      </c>
      <c r="E5" s="484">
        <v>0.75</v>
      </c>
      <c r="G5" s="175" t="s">
        <v>506</v>
      </c>
      <c r="H5" s="479">
        <f>'All Together'!O5</f>
        <v>3821135</v>
      </c>
      <c r="I5" s="487">
        <f>H5/$H$8</f>
        <v>0.68302258184854303</v>
      </c>
      <c r="K5" s="175" t="s">
        <v>506</v>
      </c>
      <c r="L5" s="479">
        <f>'All Together'!P5</f>
        <v>4533200.2283846727</v>
      </c>
      <c r="M5" s="487">
        <f>L5/$L$8</f>
        <v>0.70613148088045263</v>
      </c>
      <c r="P5" s="492" t="s">
        <v>506</v>
      </c>
      <c r="Q5" s="493">
        <f>'All Together'!O29</f>
        <v>499078</v>
      </c>
      <c r="R5" s="494">
        <f>Q5/$Q$8</f>
        <v>0.60301120168961742</v>
      </c>
      <c r="S5" s="495"/>
      <c r="T5" s="492" t="s">
        <v>506</v>
      </c>
      <c r="U5" s="493">
        <f>'All Together'!P29</f>
        <v>669548.38229873881</v>
      </c>
      <c r="V5" s="494">
        <f>U5/$U$8</f>
        <v>0.64419358643185565</v>
      </c>
    </row>
    <row r="6" spans="4:22" s="7" customFormat="1" ht="14">
      <c r="D6" s="477" t="s">
        <v>105</v>
      </c>
      <c r="E6" s="484">
        <v>0.1</v>
      </c>
      <c r="G6" s="175" t="s">
        <v>1218</v>
      </c>
      <c r="H6" s="479">
        <f>'All Together'!O9</f>
        <v>1314747</v>
      </c>
      <c r="I6" s="487">
        <f t="shared" ref="I6:I7" si="0">H6/$H$8</f>
        <v>0.23500920287234722</v>
      </c>
      <c r="K6" s="175" t="s">
        <v>1218</v>
      </c>
      <c r="L6" s="479">
        <f>'All Together'!P9</f>
        <v>1385812.527794118</v>
      </c>
      <c r="M6" s="487">
        <f t="shared" ref="M6:M7" si="1">L6/$L$8</f>
        <v>0.21586645265449458</v>
      </c>
      <c r="P6" s="492" t="s">
        <v>1218</v>
      </c>
      <c r="Q6" s="493">
        <f>'All Together'!O34</f>
        <v>211020</v>
      </c>
      <c r="R6" s="494">
        <f t="shared" ref="R6:R7" si="2">Q6/$Q$8</f>
        <v>0.2549650030266673</v>
      </c>
      <c r="S6" s="495"/>
      <c r="T6" s="492" t="s">
        <v>1218</v>
      </c>
      <c r="U6" s="493">
        <f>'All Together'!P34</f>
        <v>241451.44742854711</v>
      </c>
      <c r="V6" s="494">
        <f t="shared" ref="V6:V7" si="3">U6/$U$8</f>
        <v>0.23230804222712464</v>
      </c>
    </row>
    <row r="7" spans="4:22" s="7" customFormat="1" thickBot="1">
      <c r="D7" s="477" t="s">
        <v>106</v>
      </c>
      <c r="E7" s="484">
        <v>0.09</v>
      </c>
      <c r="G7" s="175" t="s">
        <v>508</v>
      </c>
      <c r="H7" s="479">
        <f>'All Together'!O13</f>
        <v>458567</v>
      </c>
      <c r="I7" s="487">
        <f t="shared" si="0"/>
        <v>8.1968215279109705E-2</v>
      </c>
      <c r="K7" s="175" t="s">
        <v>508</v>
      </c>
      <c r="L7" s="479">
        <f>'All Together'!P13</f>
        <v>500755.16400000005</v>
      </c>
      <c r="M7" s="487">
        <f t="shared" si="1"/>
        <v>7.8002066465052838E-2</v>
      </c>
      <c r="P7" s="492" t="s">
        <v>508</v>
      </c>
      <c r="Q7" s="493">
        <f>'All Together'!O39</f>
        <v>117545</v>
      </c>
      <c r="R7" s="494">
        <f t="shared" si="2"/>
        <v>0.14202379528371531</v>
      </c>
      <c r="S7" s="495"/>
      <c r="T7" s="492" t="s">
        <v>508</v>
      </c>
      <c r="U7" s="493">
        <f>'All Together'!P39</f>
        <v>128359.14000000001</v>
      </c>
      <c r="V7" s="494">
        <f t="shared" si="3"/>
        <v>0.12349837134101971</v>
      </c>
    </row>
    <row r="8" spans="4:22" s="7" customFormat="1" thickBot="1">
      <c r="D8" s="477" t="s">
        <v>107</v>
      </c>
      <c r="E8" s="484">
        <v>0.06</v>
      </c>
      <c r="G8" s="488" t="s">
        <v>103</v>
      </c>
      <c r="H8" s="489">
        <f>SUM(H5:H7)</f>
        <v>5594449</v>
      </c>
      <c r="I8" s="490">
        <f>SUM(I5:I7)</f>
        <v>1</v>
      </c>
      <c r="K8" s="488" t="s">
        <v>103</v>
      </c>
      <c r="L8" s="489">
        <f>SUM(L5:L7)</f>
        <v>6419767.9201787906</v>
      </c>
      <c r="M8" s="490">
        <f>SUM(M5:M7)</f>
        <v>1</v>
      </c>
      <c r="P8" s="496" t="s">
        <v>103</v>
      </c>
      <c r="Q8" s="497">
        <f>SUM(Q5:Q7)</f>
        <v>827643</v>
      </c>
      <c r="R8" s="498">
        <f>SUM(R5:R7)</f>
        <v>1</v>
      </c>
      <c r="S8" s="495"/>
      <c r="T8" s="496" t="s">
        <v>103</v>
      </c>
      <c r="U8" s="497">
        <f>SUM(U5:U7)</f>
        <v>1039358.9697272859</v>
      </c>
      <c r="V8" s="498">
        <f>SUM(V5:V7)</f>
        <v>1</v>
      </c>
    </row>
    <row r="9" spans="4:22" s="7" customFormat="1" thickBot="1">
      <c r="D9" s="482" t="s">
        <v>103</v>
      </c>
      <c r="E9" s="485">
        <f>SUM(E5:E8)</f>
        <v>1</v>
      </c>
      <c r="H9" s="480"/>
      <c r="I9" s="480"/>
      <c r="L9" s="480"/>
      <c r="M9" s="480"/>
      <c r="P9" s="495"/>
      <c r="Q9" s="493"/>
      <c r="R9" s="493"/>
      <c r="S9" s="495"/>
      <c r="T9" s="495"/>
      <c r="U9" s="493"/>
      <c r="V9" s="493"/>
    </row>
    <row r="10" spans="4:22" s="7" customFormat="1" thickBot="1">
      <c r="D10" s="478"/>
      <c r="E10" s="480"/>
      <c r="H10" s="480"/>
      <c r="I10" s="480"/>
      <c r="L10" s="480"/>
      <c r="M10" s="480"/>
      <c r="P10" s="495"/>
      <c r="Q10" s="493"/>
      <c r="R10" s="493"/>
      <c r="S10" s="495"/>
      <c r="T10" s="495"/>
      <c r="U10" s="493"/>
      <c r="V10" s="493"/>
    </row>
    <row r="11" spans="4:22" s="7" customFormat="1" ht="14">
      <c r="D11" s="483" t="s">
        <v>1279</v>
      </c>
      <c r="E11" s="486">
        <v>2015</v>
      </c>
      <c r="G11" s="491" t="s">
        <v>1282</v>
      </c>
      <c r="H11" s="1950">
        <v>2015</v>
      </c>
      <c r="I11" s="1951"/>
      <c r="K11" s="491" t="s">
        <v>1282</v>
      </c>
      <c r="L11" s="1950">
        <v>2016</v>
      </c>
      <c r="M11" s="1951"/>
      <c r="P11" s="499" t="s">
        <v>1285</v>
      </c>
      <c r="Q11" s="1947">
        <v>2015</v>
      </c>
      <c r="R11" s="1948"/>
      <c r="S11" s="495"/>
      <c r="T11" s="499" t="s">
        <v>1285</v>
      </c>
      <c r="U11" s="1947">
        <v>2016</v>
      </c>
      <c r="V11" s="1948"/>
    </row>
    <row r="12" spans="4:22" s="7" customFormat="1" ht="14">
      <c r="D12" s="477" t="s">
        <v>104</v>
      </c>
      <c r="E12" s="484">
        <v>0.59</v>
      </c>
      <c r="G12" s="175" t="s">
        <v>506</v>
      </c>
      <c r="H12" s="479">
        <f>H5</f>
        <v>3821135</v>
      </c>
      <c r="I12" s="487">
        <f>H12/$H$16</f>
        <v>0.61943153399774376</v>
      </c>
      <c r="K12" s="175" t="s">
        <v>506</v>
      </c>
      <c r="L12" s="479">
        <f>L5</f>
        <v>4533200.2283846727</v>
      </c>
      <c r="M12" s="487">
        <f>L12/$L$16</f>
        <v>0.53622271798629673</v>
      </c>
      <c r="P12" s="492" t="s">
        <v>506</v>
      </c>
      <c r="Q12" s="493">
        <f>Q5</f>
        <v>499078</v>
      </c>
      <c r="R12" s="494">
        <f>Q12/$Q$16</f>
        <v>0.49548326888424482</v>
      </c>
      <c r="S12" s="495"/>
      <c r="T12" s="492" t="s">
        <v>506</v>
      </c>
      <c r="U12" s="493">
        <f>U5</f>
        <v>669548.38229873881</v>
      </c>
      <c r="V12" s="494">
        <f>U12/$U$16</f>
        <v>0.40484370962615585</v>
      </c>
    </row>
    <row r="13" spans="4:22" s="7" customFormat="1" ht="14">
      <c r="D13" s="477" t="s">
        <v>105</v>
      </c>
      <c r="E13" s="484">
        <v>0.13</v>
      </c>
      <c r="G13" s="175" t="s">
        <v>1218</v>
      </c>
      <c r="H13" s="479">
        <f>H6</f>
        <v>1314747</v>
      </c>
      <c r="I13" s="487">
        <f t="shared" ref="I13:I15" si="4">H13/$H$16</f>
        <v>0.21312927992047695</v>
      </c>
      <c r="K13" s="175" t="s">
        <v>1218</v>
      </c>
      <c r="L13" s="479">
        <f t="shared" ref="L13:L14" si="5">L6</f>
        <v>1385812.527794118</v>
      </c>
      <c r="M13" s="487">
        <f t="shared" ref="M13:M15" si="6">L13/$L$16</f>
        <v>0.16392484841509297</v>
      </c>
      <c r="P13" s="492" t="s">
        <v>1218</v>
      </c>
      <c r="Q13" s="493">
        <f t="shared" ref="Q13:Q14" si="7">Q6</f>
        <v>211020</v>
      </c>
      <c r="R13" s="494">
        <f t="shared" ref="R13:R15" si="8">Q13/$Q$16</f>
        <v>0.20950007694178732</v>
      </c>
      <c r="S13" s="495"/>
      <c r="T13" s="492" t="s">
        <v>1218</v>
      </c>
      <c r="U13" s="493">
        <f t="shared" ref="U13:U14" si="9">U6</f>
        <v>241451.44742854711</v>
      </c>
      <c r="V13" s="494">
        <f t="shared" ref="V13:V15" si="10">U13/$U$16</f>
        <v>0.14599407937627373</v>
      </c>
    </row>
    <row r="14" spans="4:22" s="7" customFormat="1" ht="14">
      <c r="D14" s="477" t="s">
        <v>106</v>
      </c>
      <c r="E14" s="484">
        <v>0.1</v>
      </c>
      <c r="G14" s="175" t="s">
        <v>508</v>
      </c>
      <c r="H14" s="479">
        <f>H7</f>
        <v>458567</v>
      </c>
      <c r="I14" s="487">
        <f t="shared" si="4"/>
        <v>7.4336776965677309E-2</v>
      </c>
      <c r="K14" s="175" t="s">
        <v>508</v>
      </c>
      <c r="L14" s="479">
        <f t="shared" si="5"/>
        <v>500755.16400000005</v>
      </c>
      <c r="M14" s="487">
        <f t="shared" si="6"/>
        <v>5.9233274851712189E-2</v>
      </c>
      <c r="P14" s="492" t="s">
        <v>508</v>
      </c>
      <c r="Q14" s="493">
        <f t="shared" si="7"/>
        <v>117545</v>
      </c>
      <c r="R14" s="494">
        <f t="shared" si="8"/>
        <v>0.11669835344575108</v>
      </c>
      <c r="S14" s="495"/>
      <c r="T14" s="492" t="s">
        <v>508</v>
      </c>
      <c r="U14" s="493">
        <f t="shared" si="9"/>
        <v>128359.14000000001</v>
      </c>
      <c r="V14" s="494">
        <f t="shared" si="10"/>
        <v>7.7612599441450367E-2</v>
      </c>
    </row>
    <row r="15" spans="4:22" s="7" customFormat="1" thickBot="1">
      <c r="D15" s="477" t="s">
        <v>107</v>
      </c>
      <c r="E15" s="484">
        <v>0.09</v>
      </c>
      <c r="G15" s="175" t="s">
        <v>692</v>
      </c>
      <c r="H15" s="479">
        <f>'All Together'!O17</f>
        <v>574328</v>
      </c>
      <c r="I15" s="487">
        <f t="shared" si="4"/>
        <v>9.3102409116101945E-2</v>
      </c>
      <c r="K15" s="175" t="s">
        <v>692</v>
      </c>
      <c r="L15" s="479">
        <f>'All Together'!P17</f>
        <v>2034182.418606593</v>
      </c>
      <c r="M15" s="487">
        <f t="shared" si="6"/>
        <v>0.24061915874689807</v>
      </c>
      <c r="P15" s="492" t="s">
        <v>692</v>
      </c>
      <c r="Q15" s="493">
        <f>'All Together'!O44</f>
        <v>179612</v>
      </c>
      <c r="R15" s="494">
        <f t="shared" si="8"/>
        <v>0.17831830072821678</v>
      </c>
      <c r="S15" s="495"/>
      <c r="T15" s="492" t="s">
        <v>692</v>
      </c>
      <c r="U15" s="493">
        <f>'All Together'!P44</f>
        <v>614485.13450004382</v>
      </c>
      <c r="V15" s="494">
        <f t="shared" si="10"/>
        <v>0.37154961155612015</v>
      </c>
    </row>
    <row r="16" spans="4:22" s="7" customFormat="1" thickBot="1">
      <c r="D16" s="477" t="s">
        <v>1280</v>
      </c>
      <c r="E16" s="484">
        <v>0.09</v>
      </c>
      <c r="G16" s="488" t="s">
        <v>103</v>
      </c>
      <c r="H16" s="489">
        <f>SUM(H12:H15)</f>
        <v>6168777</v>
      </c>
      <c r="I16" s="485">
        <f>SUM(I12:I15)</f>
        <v>0.99999999999999989</v>
      </c>
      <c r="K16" s="488" t="s">
        <v>103</v>
      </c>
      <c r="L16" s="489">
        <f>SUM(L12:L15)</f>
        <v>8453950.3387853839</v>
      </c>
      <c r="M16" s="490">
        <f>SUM(M12:M15)</f>
        <v>0.99999999999999989</v>
      </c>
      <c r="P16" s="496" t="s">
        <v>103</v>
      </c>
      <c r="Q16" s="497">
        <f>SUM(Q12:Q15)</f>
        <v>1007255</v>
      </c>
      <c r="R16" s="498">
        <f>SUM(R12:R15)</f>
        <v>1</v>
      </c>
      <c r="S16" s="495"/>
      <c r="T16" s="496" t="s">
        <v>103</v>
      </c>
      <c r="U16" s="497">
        <f>SUM(U12:U15)</f>
        <v>1653844.1042273296</v>
      </c>
      <c r="V16" s="498">
        <f>SUM(V12:V15)</f>
        <v>1.0000000000000002</v>
      </c>
    </row>
    <row r="17" spans="4:13" s="7" customFormat="1" thickBot="1">
      <c r="D17" s="482" t="s">
        <v>103</v>
      </c>
      <c r="E17" s="485">
        <f>SUM(E12:E16)</f>
        <v>0.99999999999999989</v>
      </c>
      <c r="H17" s="480"/>
      <c r="I17" s="480"/>
      <c r="L17" s="480"/>
      <c r="M17" s="480"/>
    </row>
    <row r="18" spans="4:13" s="7" customFormat="1" ht="20">
      <c r="E18" s="480"/>
      <c r="G18" s="1197" t="s">
        <v>1640</v>
      </c>
      <c r="H18" s="480"/>
      <c r="I18" s="480"/>
      <c r="L18" s="480"/>
      <c r="M18" s="480"/>
    </row>
    <row r="19" spans="4:13" s="7" customFormat="1" ht="20">
      <c r="D19" s="1197" t="s">
        <v>1645</v>
      </c>
      <c r="E19" s="480"/>
      <c r="H19" s="480"/>
      <c r="I19" s="480"/>
      <c r="L19" s="480"/>
      <c r="M19" s="480"/>
    </row>
    <row r="20" spans="4:13" s="7" customFormat="1" ht="14">
      <c r="E20" s="480"/>
      <c r="H20" s="480"/>
      <c r="I20" s="480"/>
      <c r="L20" s="480"/>
      <c r="M20" s="480"/>
    </row>
    <row r="21" spans="4:13" customFormat="1">
      <c r="E21" s="470"/>
      <c r="H21" s="470"/>
      <c r="I21" s="470"/>
      <c r="L21" s="470"/>
      <c r="M21" s="470"/>
    </row>
    <row r="22" spans="4:13" customFormat="1">
      <c r="E22" s="470"/>
      <c r="H22" s="470"/>
      <c r="I22" s="470"/>
      <c r="L22" s="470"/>
      <c r="M22" s="470"/>
    </row>
    <row r="23" spans="4:13" customFormat="1">
      <c r="E23" s="470"/>
      <c r="H23" s="470"/>
      <c r="I23" s="470"/>
      <c r="L23" s="470"/>
      <c r="M23" s="470"/>
    </row>
    <row r="24" spans="4:13" customFormat="1">
      <c r="E24" s="470"/>
      <c r="H24" s="470"/>
      <c r="I24" s="470"/>
      <c r="L24" s="470"/>
      <c r="M24" s="470"/>
    </row>
    <row r="25" spans="4:13" customFormat="1">
      <c r="E25" s="470"/>
      <c r="H25" s="470"/>
      <c r="I25" s="470"/>
      <c r="L25" s="470"/>
      <c r="M25" s="470"/>
    </row>
    <row r="26" spans="4:13" customFormat="1">
      <c r="E26" s="470"/>
      <c r="H26" s="470"/>
      <c r="I26" s="470"/>
      <c r="L26" s="470"/>
      <c r="M26" s="470"/>
    </row>
    <row r="27" spans="4:13" customFormat="1">
      <c r="E27" s="470"/>
      <c r="H27" s="470"/>
      <c r="I27" s="470"/>
      <c r="L27" s="470"/>
      <c r="M27" s="470"/>
    </row>
    <row r="28" spans="4:13" customFormat="1">
      <c r="E28" s="470"/>
      <c r="H28" s="470"/>
      <c r="I28" s="470"/>
      <c r="L28" s="470"/>
      <c r="M28" s="470"/>
    </row>
    <row r="29" spans="4:13" customFormat="1">
      <c r="E29" s="470"/>
      <c r="H29" s="470"/>
      <c r="I29" s="470"/>
      <c r="L29" s="470"/>
      <c r="M29" s="470"/>
    </row>
    <row r="30" spans="4:13" customFormat="1">
      <c r="E30" s="470"/>
      <c r="H30" s="470"/>
      <c r="I30" s="470"/>
      <c r="L30" s="470"/>
      <c r="M30" s="470"/>
    </row>
    <row r="31" spans="4:13" customFormat="1">
      <c r="E31" s="470"/>
      <c r="H31" s="470"/>
      <c r="I31" s="470"/>
      <c r="L31" s="470"/>
      <c r="M31" s="470"/>
    </row>
    <row r="32" spans="4:13" customFormat="1">
      <c r="E32" s="470"/>
      <c r="H32" s="470"/>
      <c r="I32" s="470"/>
      <c r="L32" s="470"/>
      <c r="M32" s="470"/>
    </row>
    <row r="33" spans="4:37" customFormat="1" ht="20" customHeight="1">
      <c r="E33" s="470"/>
      <c r="H33" s="470"/>
      <c r="I33" s="470"/>
      <c r="L33" s="470"/>
      <c r="M33" s="470"/>
    </row>
    <row r="34" spans="4:37" customFormat="1" ht="22" customHeight="1">
      <c r="E34" s="470"/>
      <c r="H34" s="470"/>
      <c r="I34" s="470"/>
      <c r="L34" s="470"/>
      <c r="M34" s="470"/>
    </row>
    <row r="35" spans="4:37" customFormat="1" ht="22" customHeight="1">
      <c r="E35" s="470"/>
      <c r="H35" s="470"/>
      <c r="I35" s="470"/>
      <c r="L35" s="470"/>
      <c r="M35" s="470"/>
    </row>
    <row r="36" spans="4:37" customFormat="1" ht="22" customHeight="1">
      <c r="E36" s="470"/>
      <c r="H36" s="470"/>
      <c r="I36" s="470"/>
      <c r="L36" s="470"/>
      <c r="M36" s="470"/>
    </row>
    <row r="37" spans="4:37" customFormat="1">
      <c r="E37" s="470"/>
      <c r="G37" t="s">
        <v>1649</v>
      </c>
      <c r="H37" s="470"/>
      <c r="I37" s="470"/>
      <c r="L37" s="470"/>
      <c r="M37" s="470"/>
    </row>
    <row r="38" spans="4:37" customFormat="1" ht="18">
      <c r="D38" s="1949" t="s">
        <v>1287</v>
      </c>
      <c r="E38" s="1949"/>
      <c r="F38" s="1949"/>
      <c r="G38" s="1949"/>
      <c r="H38" s="1949"/>
      <c r="I38" s="1949"/>
      <c r="J38" s="1949"/>
      <c r="K38" s="1949"/>
      <c r="L38" s="1949"/>
      <c r="M38" s="1949"/>
      <c r="N38" s="500"/>
      <c r="O38" s="500"/>
      <c r="P38" s="500"/>
      <c r="Q38" s="500"/>
      <c r="R38" s="500"/>
      <c r="S38" s="500"/>
      <c r="T38" s="500"/>
      <c r="U38" s="500"/>
      <c r="V38" s="500"/>
      <c r="W38" s="18"/>
      <c r="X38" s="18"/>
      <c r="Y38" s="18"/>
      <c r="Z38" s="18"/>
      <c r="AA38" s="18"/>
      <c r="AB38" s="18"/>
      <c r="AC38" s="18"/>
      <c r="AD38" s="18"/>
      <c r="AE38" s="18"/>
      <c r="AF38" s="18"/>
      <c r="AG38" s="18"/>
      <c r="AH38" s="18"/>
      <c r="AI38" s="18"/>
      <c r="AJ38" s="18"/>
      <c r="AK38" s="18"/>
    </row>
    <row r="39" spans="4:37" customFormat="1" ht="16" thickBot="1">
      <c r="E39" s="470"/>
      <c r="H39" s="470"/>
      <c r="I39" s="470"/>
      <c r="L39" s="470"/>
      <c r="M39" s="470"/>
      <c r="N39" s="18"/>
      <c r="O39" s="18"/>
      <c r="P39" s="18"/>
      <c r="Q39" s="18"/>
      <c r="R39" s="18"/>
      <c r="S39" s="18"/>
      <c r="T39" s="18"/>
      <c r="U39" s="18"/>
      <c r="V39" s="18"/>
      <c r="W39" s="18"/>
      <c r="X39" s="18"/>
      <c r="Y39" s="18"/>
      <c r="Z39" s="18"/>
      <c r="AA39" s="18"/>
      <c r="AB39" s="18"/>
      <c r="AC39" s="18"/>
      <c r="AD39" s="18"/>
      <c r="AE39" s="18"/>
      <c r="AF39" s="18"/>
      <c r="AG39" s="18"/>
      <c r="AH39" s="18"/>
      <c r="AI39" s="18"/>
      <c r="AJ39" s="18"/>
      <c r="AK39" s="18"/>
    </row>
    <row r="40" spans="4:37" customFormat="1">
      <c r="D40" s="502" t="s">
        <v>1290</v>
      </c>
      <c r="E40" s="1939">
        <v>2015</v>
      </c>
      <c r="F40" s="1945"/>
      <c r="H40" s="470"/>
      <c r="I40" s="470"/>
      <c r="L40" s="470"/>
      <c r="M40" s="470"/>
    </row>
    <row r="41" spans="4:37" s="7" customFormat="1" ht="14">
      <c r="D41" s="175" t="s">
        <v>1291</v>
      </c>
      <c r="E41" s="328">
        <v>13508</v>
      </c>
      <c r="F41" s="503">
        <f>E41/$E$49</f>
        <v>7.8327225495198771E-2</v>
      </c>
      <c r="H41" s="480"/>
      <c r="I41" s="480"/>
      <c r="L41" s="480"/>
      <c r="M41" s="480"/>
    </row>
    <row r="42" spans="4:37" s="7" customFormat="1" ht="14">
      <c r="D42" s="175" t="s">
        <v>1292</v>
      </c>
      <c r="E42" s="328">
        <v>7975</v>
      </c>
      <c r="F42" s="503">
        <f t="shared" ref="F42:F48" si="11">E42/$E$49</f>
        <v>4.6243679547246834E-2</v>
      </c>
      <c r="H42" s="480"/>
      <c r="I42" s="480"/>
      <c r="L42" s="480"/>
      <c r="M42" s="480"/>
    </row>
    <row r="43" spans="4:37" s="7" customFormat="1" ht="14">
      <c r="D43" s="175" t="s">
        <v>1293</v>
      </c>
      <c r="E43" s="328">
        <v>77666</v>
      </c>
      <c r="F43" s="503">
        <f t="shared" si="11"/>
        <v>0.4503525536948555</v>
      </c>
      <c r="H43" s="480"/>
      <c r="I43" s="480"/>
      <c r="L43" s="480"/>
      <c r="M43" s="480"/>
    </row>
    <row r="44" spans="4:37" s="7" customFormat="1" ht="14">
      <c r="D44" s="175" t="s">
        <v>1294</v>
      </c>
      <c r="E44" s="328">
        <v>12035</v>
      </c>
      <c r="F44" s="503">
        <f t="shared" si="11"/>
        <v>6.9785916407663406E-2</v>
      </c>
      <c r="H44" s="480"/>
      <c r="I44" s="480"/>
      <c r="L44" s="480"/>
      <c r="M44" s="480"/>
    </row>
    <row r="45" spans="4:37" s="7" customFormat="1" ht="14">
      <c r="D45" s="175" t="s">
        <v>1295</v>
      </c>
      <c r="E45" s="328">
        <v>53015</v>
      </c>
      <c r="F45" s="503">
        <f t="shared" si="11"/>
        <v>0.30741174560467599</v>
      </c>
      <c r="H45" s="480"/>
      <c r="I45" s="480"/>
      <c r="L45" s="480"/>
      <c r="M45" s="480"/>
    </row>
    <row r="46" spans="4:37" s="7" customFormat="1" ht="14">
      <c r="D46" s="175" t="s">
        <v>1296</v>
      </c>
      <c r="E46" s="328">
        <v>7826</v>
      </c>
      <c r="F46" s="503">
        <f t="shared" si="11"/>
        <v>4.5379691051630561E-2</v>
      </c>
      <c r="H46" s="480"/>
      <c r="I46" s="480"/>
      <c r="L46" s="480"/>
      <c r="M46" s="480"/>
    </row>
    <row r="47" spans="4:37" s="7" customFormat="1" ht="14">
      <c r="D47" s="175" t="s">
        <v>1046</v>
      </c>
      <c r="E47" s="328">
        <v>104</v>
      </c>
      <c r="F47" s="503">
        <f t="shared" si="11"/>
        <v>6.0305237277914368E-4</v>
      </c>
      <c r="H47" s="480"/>
      <c r="I47" s="480"/>
      <c r="L47" s="480"/>
      <c r="M47" s="480"/>
    </row>
    <row r="48" spans="4:37" s="7" customFormat="1" thickBot="1">
      <c r="D48" s="175" t="s">
        <v>1297</v>
      </c>
      <c r="E48" s="328">
        <v>327</v>
      </c>
      <c r="F48" s="503">
        <f t="shared" si="11"/>
        <v>1.8961358259498074E-3</v>
      </c>
      <c r="H48" s="480"/>
      <c r="I48" s="480"/>
      <c r="L48" s="480"/>
      <c r="M48" s="480"/>
    </row>
    <row r="49" spans="4:13" s="6" customFormat="1" thickBot="1">
      <c r="D49" s="488" t="s">
        <v>103</v>
      </c>
      <c r="E49" s="504">
        <f>SUM(E41:E48)</f>
        <v>172456</v>
      </c>
      <c r="F49" s="505">
        <f>SUM(F41:F48)</f>
        <v>1</v>
      </c>
      <c r="H49" s="501"/>
      <c r="I49" s="501"/>
      <c r="L49" s="501"/>
      <c r="M49" s="501"/>
    </row>
    <row r="50" spans="4:13" customFormat="1">
      <c r="E50" s="470"/>
      <c r="H50" s="470"/>
      <c r="I50" s="470"/>
      <c r="L50" s="470"/>
      <c r="M50" s="470"/>
    </row>
    <row r="51" spans="4:13" customFormat="1">
      <c r="E51" s="470"/>
      <c r="H51" s="470"/>
      <c r="I51" s="470"/>
      <c r="L51" s="470"/>
      <c r="M51" s="470"/>
    </row>
    <row r="52" spans="4:13" customFormat="1">
      <c r="E52" s="470"/>
      <c r="H52" s="470"/>
      <c r="I52" s="470"/>
      <c r="L52" s="470"/>
      <c r="M52" s="470"/>
    </row>
    <row r="53" spans="4:13" customFormat="1">
      <c r="E53" s="470"/>
      <c r="H53" s="470"/>
      <c r="I53" s="470"/>
      <c r="L53" s="470"/>
      <c r="M53" s="470"/>
    </row>
    <row r="54" spans="4:13" customFormat="1">
      <c r="E54" s="470"/>
      <c r="H54" s="470"/>
      <c r="I54" s="470"/>
      <c r="L54" s="470"/>
      <c r="M54" s="470"/>
    </row>
    <row r="55" spans="4:13" customFormat="1">
      <c r="E55" s="470"/>
      <c r="H55" s="470"/>
      <c r="I55" s="470"/>
      <c r="L55" s="470"/>
      <c r="M55" s="470"/>
    </row>
    <row r="56" spans="4:13" customFormat="1">
      <c r="E56" s="470"/>
      <c r="H56" s="470"/>
      <c r="I56" s="470"/>
      <c r="L56" s="470"/>
      <c r="M56" s="470"/>
    </row>
    <row r="57" spans="4:13" customFormat="1">
      <c r="E57" s="470"/>
      <c r="H57" s="470"/>
      <c r="I57" s="470"/>
      <c r="L57" s="470"/>
      <c r="M57" s="470"/>
    </row>
    <row r="58" spans="4:13" customFormat="1" ht="18">
      <c r="D58" s="1949" t="s">
        <v>1288</v>
      </c>
      <c r="E58" s="1949"/>
      <c r="F58" s="1949"/>
      <c r="G58" s="1949"/>
      <c r="H58" s="1949"/>
      <c r="I58" s="1949"/>
      <c r="J58" s="1949"/>
      <c r="K58" s="1949"/>
      <c r="L58" s="1949"/>
      <c r="M58" s="1949"/>
    </row>
    <row r="59" spans="4:13" customFormat="1">
      <c r="E59" s="470"/>
      <c r="H59" s="470"/>
      <c r="I59" s="470"/>
      <c r="L59" s="470"/>
      <c r="M59" s="470"/>
    </row>
    <row r="60" spans="4:13" customFormat="1">
      <c r="E60" s="470"/>
      <c r="H60" s="470"/>
      <c r="I60" s="470"/>
      <c r="L60" s="470"/>
      <c r="M60" s="470"/>
    </row>
    <row r="61" spans="4:13" customFormat="1">
      <c r="E61" s="470"/>
      <c r="H61" s="470"/>
      <c r="I61" s="470"/>
      <c r="L61" s="470"/>
      <c r="M61" s="470"/>
    </row>
    <row r="62" spans="4:13" customFormat="1">
      <c r="E62" s="470"/>
      <c r="H62" s="470"/>
      <c r="I62" s="470"/>
      <c r="L62" s="470"/>
      <c r="M62" s="470"/>
    </row>
    <row r="63" spans="4:13" customFormat="1">
      <c r="E63" s="470"/>
      <c r="H63" s="470"/>
      <c r="I63" s="470"/>
      <c r="L63" s="470"/>
      <c r="M63" s="470"/>
    </row>
    <row r="64" spans="4:13" customFormat="1">
      <c r="E64" s="470"/>
      <c r="H64" s="470"/>
      <c r="I64" s="470"/>
      <c r="L64" s="470"/>
      <c r="M64" s="470"/>
    </row>
    <row r="65" spans="4:13" customFormat="1">
      <c r="E65" s="470"/>
      <c r="H65" s="470"/>
      <c r="I65" s="470"/>
      <c r="L65" s="470"/>
      <c r="M65" s="470"/>
    </row>
    <row r="66" spans="4:13" customFormat="1">
      <c r="E66" s="470"/>
      <c r="H66" s="470"/>
      <c r="I66" s="470"/>
      <c r="L66" s="470"/>
      <c r="M66" s="470"/>
    </row>
    <row r="67" spans="4:13" customFormat="1">
      <c r="E67" s="470"/>
      <c r="H67" s="470"/>
      <c r="I67" s="470"/>
      <c r="L67" s="470"/>
      <c r="M67" s="470"/>
    </row>
    <row r="68" spans="4:13" customFormat="1">
      <c r="E68" s="470"/>
      <c r="H68" s="470"/>
      <c r="I68" s="470"/>
      <c r="L68" s="470"/>
      <c r="M68" s="470"/>
    </row>
    <row r="69" spans="4:13" customFormat="1">
      <c r="E69" s="470"/>
      <c r="H69" s="470"/>
      <c r="I69" s="470"/>
      <c r="L69" s="470"/>
      <c r="M69" s="470"/>
    </row>
    <row r="70" spans="4:13" customFormat="1">
      <c r="E70" s="470"/>
      <c r="H70" s="470"/>
      <c r="I70" s="470"/>
      <c r="L70" s="470"/>
      <c r="M70" s="470"/>
    </row>
    <row r="71" spans="4:13" customFormat="1">
      <c r="E71" s="470"/>
      <c r="H71" s="470"/>
      <c r="I71" s="470"/>
      <c r="L71" s="470"/>
      <c r="M71" s="470"/>
    </row>
    <row r="72" spans="4:13" customFormat="1">
      <c r="E72" s="470"/>
      <c r="H72" s="470"/>
      <c r="I72" s="470"/>
      <c r="L72" s="470"/>
      <c r="M72" s="470"/>
    </row>
    <row r="73" spans="4:13" customFormat="1">
      <c r="E73" s="470"/>
      <c r="H73" s="470"/>
      <c r="I73" s="470"/>
      <c r="L73" s="470"/>
      <c r="M73" s="470"/>
    </row>
    <row r="74" spans="4:13" customFormat="1">
      <c r="E74" s="470"/>
      <c r="H74" s="470"/>
      <c r="I74" s="470"/>
      <c r="L74" s="470"/>
      <c r="M74" s="470"/>
    </row>
    <row r="75" spans="4:13" customFormat="1">
      <c r="E75" s="470"/>
      <c r="H75" s="470"/>
      <c r="I75" s="470"/>
      <c r="L75" s="470"/>
      <c r="M75" s="470"/>
    </row>
    <row r="76" spans="4:13" customFormat="1" ht="18">
      <c r="D76" s="1946" t="s">
        <v>1289</v>
      </c>
      <c r="E76" s="1946"/>
      <c r="F76" s="1946"/>
      <c r="G76" s="1946"/>
      <c r="H76" s="1946"/>
      <c r="I76" s="1946"/>
      <c r="J76" s="1946"/>
      <c r="K76" s="1946"/>
      <c r="L76" s="1946"/>
      <c r="M76" s="1946"/>
    </row>
    <row r="77" spans="4:13" customFormat="1">
      <c r="E77" s="470"/>
      <c r="H77" s="470"/>
      <c r="I77" s="470"/>
      <c r="L77" s="470"/>
      <c r="M77" s="470"/>
    </row>
    <row r="78" spans="4:13" customFormat="1" ht="16" thickBot="1">
      <c r="E78" s="470"/>
      <c r="H78" s="507"/>
      <c r="I78" s="507"/>
      <c r="J78" s="18"/>
      <c r="L78" s="470"/>
      <c r="M78" s="470"/>
    </row>
    <row r="79" spans="4:13" customFormat="1">
      <c r="D79" s="502" t="s">
        <v>1158</v>
      </c>
      <c r="E79" s="468" t="s">
        <v>21</v>
      </c>
      <c r="F79" s="468" t="s">
        <v>22</v>
      </c>
      <c r="G79" s="513" t="s">
        <v>23</v>
      </c>
      <c r="H79" s="171"/>
      <c r="I79" s="339"/>
      <c r="J79" s="171"/>
      <c r="L79" s="470"/>
      <c r="M79" s="470"/>
    </row>
    <row r="80" spans="4:13" s="7" customFormat="1" ht="14">
      <c r="D80" s="175" t="str">
        <f>'3h. Segmental Volume Drivers'!D7</f>
        <v>Oceana's Own Quota</v>
      </c>
      <c r="E80" s="479">
        <f>'3h. Segmental Volume Drivers'!M7</f>
        <v>13508</v>
      </c>
      <c r="F80" s="479">
        <f>'3h. Segmental Volume Drivers'!N7</f>
        <v>13500</v>
      </c>
      <c r="G80" s="514">
        <f>'3h. Segmental Volume Drivers'!O7</f>
        <v>21368.32</v>
      </c>
      <c r="H80" s="508"/>
      <c r="I80" s="508"/>
      <c r="J80" s="163"/>
      <c r="L80" s="480"/>
      <c r="M80" s="480"/>
    </row>
    <row r="81" spans="4:13" s="185" customFormat="1" ht="11">
      <c r="D81" s="515" t="str">
        <f>'3h. Segmental Volume Drivers'!D8</f>
        <v>YoY Growth</v>
      </c>
      <c r="E81" s="424">
        <f>'3h. Segmental Volume Drivers'!M8</f>
        <v>-6.4996192981241818E-2</v>
      </c>
      <c r="F81" s="424">
        <f>'3h. Segmental Volume Drivers'!N8</f>
        <v>-5.9224163458693191E-4</v>
      </c>
      <c r="G81" s="516">
        <f>'3h. Segmental Volume Drivers'!O8</f>
        <v>0.58283851851851853</v>
      </c>
      <c r="H81" s="506"/>
      <c r="I81" s="506"/>
      <c r="L81" s="506"/>
      <c r="M81" s="506"/>
    </row>
    <row r="82" spans="4:13" s="185" customFormat="1" ht="11">
      <c r="D82" s="515" t="str">
        <f>'3h. Segmental Volume Drivers'!D9</f>
        <v>as % of Total</v>
      </c>
      <c r="E82" s="424">
        <f>'3h. Segmental Volume Drivers'!M9</f>
        <v>0.15008888888888888</v>
      </c>
      <c r="F82" s="424">
        <f>'3h. Segmental Volume Drivers'!N9</f>
        <v>0.15</v>
      </c>
      <c r="G82" s="516">
        <f>'3h. Segmental Volume Drivers'!O9</f>
        <v>0.25600000000000001</v>
      </c>
      <c r="H82" s="506"/>
      <c r="I82" s="506"/>
      <c r="L82" s="506"/>
      <c r="M82" s="506"/>
    </row>
    <row r="83" spans="4:13" s="7" customFormat="1" ht="14">
      <c r="D83" s="175" t="str">
        <f>'3h. Segmental Volume Drivers'!D10</f>
        <v>Oceana's Contracted Quota</v>
      </c>
      <c r="E83" s="479">
        <f>'3h. Segmental Volume Drivers'!M10</f>
        <v>16215</v>
      </c>
      <c r="F83" s="479">
        <f>'3h. Segmental Volume Drivers'!N10</f>
        <v>16200</v>
      </c>
      <c r="G83" s="514">
        <f>'3h. Segmental Volume Drivers'!O10</f>
        <v>15024.599999999999</v>
      </c>
      <c r="H83" s="480"/>
      <c r="I83" s="480"/>
      <c r="L83" s="480"/>
      <c r="M83" s="480"/>
    </row>
    <row r="84" spans="4:13" s="185" customFormat="1" ht="11">
      <c r="D84" s="515" t="str">
        <f>'3h. Segmental Volume Drivers'!D11</f>
        <v>YoY Growth</v>
      </c>
      <c r="E84" s="424">
        <f>'3h. Segmental Volume Drivers'!M11</f>
        <v>3.0767274807704581E-2</v>
      </c>
      <c r="F84" s="424">
        <f>'3h. Segmental Volume Drivers'!N11</f>
        <v>-9.2506938020353591E-4</v>
      </c>
      <c r="G84" s="516">
        <f>'3h. Segmental Volume Drivers'!O11</f>
        <v>-7.2555555555555595E-2</v>
      </c>
      <c r="H84" s="506"/>
      <c r="I84" s="506"/>
      <c r="L84" s="506"/>
      <c r="M84" s="506"/>
    </row>
    <row r="85" spans="4:13" s="185" customFormat="1" ht="11">
      <c r="D85" s="515" t="str">
        <f>'3h. Segmental Volume Drivers'!D12</f>
        <v>as % of Total</v>
      </c>
      <c r="E85" s="424">
        <f>'3h. Segmental Volume Drivers'!M12</f>
        <v>0.18016666666666667</v>
      </c>
      <c r="F85" s="424">
        <f>'3h. Segmental Volume Drivers'!N12</f>
        <v>0.18</v>
      </c>
      <c r="G85" s="516">
        <f>'3h. Segmental Volume Drivers'!O12</f>
        <v>0.18</v>
      </c>
      <c r="H85" s="506"/>
      <c r="I85" s="506"/>
      <c r="L85" s="506"/>
      <c r="M85" s="506"/>
    </row>
    <row r="86" spans="4:13" s="7" customFormat="1" ht="14">
      <c r="D86" s="175" t="str">
        <f>'3h. Segmental Volume Drivers'!D13</f>
        <v>Other than Oceana Quota</v>
      </c>
      <c r="E86" s="479">
        <f>'3h. Segmental Volume Drivers'!M13</f>
        <v>60277</v>
      </c>
      <c r="F86" s="479">
        <f>'3h. Segmental Volume Drivers'!N13</f>
        <v>60299.999999999993</v>
      </c>
      <c r="G86" s="514">
        <f>'3h. Segmental Volume Drivers'!O13</f>
        <v>47077.08</v>
      </c>
      <c r="H86" s="480"/>
      <c r="I86" s="480"/>
      <c r="L86" s="480"/>
      <c r="M86" s="480"/>
    </row>
    <row r="87" spans="4:13" s="185" customFormat="1" ht="11">
      <c r="D87" s="515" t="str">
        <f>'3h. Segmental Volume Drivers'!D14</f>
        <v>YoY Growth</v>
      </c>
      <c r="E87" s="424">
        <f>'3h. Segmental Volume Drivers'!M14</f>
        <v>-0.14399931834642199</v>
      </c>
      <c r="F87" s="424">
        <f>'3h. Segmental Volume Drivers'!N14</f>
        <v>3.8157174378272707E-4</v>
      </c>
      <c r="G87" s="516">
        <f>'3h. Segmental Volume Drivers'!O14</f>
        <v>-0.21928557213930333</v>
      </c>
      <c r="H87" s="506"/>
      <c r="I87" s="506"/>
      <c r="L87" s="506"/>
      <c r="M87" s="506"/>
    </row>
    <row r="88" spans="4:13" s="185" customFormat="1" ht="12" thickBot="1">
      <c r="D88" s="515" t="str">
        <f>'3h. Segmental Volume Drivers'!D15</f>
        <v>as % of Total</v>
      </c>
      <c r="E88" s="424">
        <f>'3h. Segmental Volume Drivers'!M15</f>
        <v>0.66974444444444448</v>
      </c>
      <c r="F88" s="424">
        <f>'3h. Segmental Volume Drivers'!N15</f>
        <v>0.66999999999999993</v>
      </c>
      <c r="G88" s="516">
        <f>'3h. Segmental Volume Drivers'!O15</f>
        <v>0.56400000000000006</v>
      </c>
      <c r="H88" s="506"/>
      <c r="I88" s="506"/>
      <c r="L88" s="506"/>
      <c r="M88" s="506"/>
    </row>
    <row r="89" spans="4:13" s="6" customFormat="1" thickBot="1">
      <c r="D89" s="488" t="str">
        <f>'3h. Segmental Volume Drivers'!D16</f>
        <v>Total</v>
      </c>
      <c r="E89" s="489">
        <f>'3h. Segmental Volume Drivers'!M16</f>
        <v>90000</v>
      </c>
      <c r="F89" s="489">
        <f>'3h. Segmental Volume Drivers'!N16</f>
        <v>90000</v>
      </c>
      <c r="G89" s="517">
        <f>'3h. Segmental Volume Drivers'!O16</f>
        <v>83470</v>
      </c>
      <c r="H89" s="501"/>
      <c r="I89" s="501"/>
      <c r="L89" s="501"/>
      <c r="M89" s="501"/>
    </row>
    <row r="90" spans="4:13" s="185" customFormat="1" ht="12" thickBot="1">
      <c r="D90" s="518" t="str">
        <f>'3h. Segmental Volume Drivers'!D17</f>
        <v>YoY Growth</v>
      </c>
      <c r="E90" s="511">
        <f>'3h. Segmental Volume Drivers'!M17</f>
        <v>-0.10532332620905616</v>
      </c>
      <c r="F90" s="511">
        <f>'3h. Segmental Volume Drivers'!N17</f>
        <v>0</v>
      </c>
      <c r="G90" s="519">
        <f>'3h. Segmental Volume Drivers'!O17</f>
        <v>-7.2555555555555595E-2</v>
      </c>
      <c r="H90" s="506"/>
      <c r="I90" s="506"/>
      <c r="L90" s="506"/>
      <c r="M90" s="506"/>
    </row>
    <row r="91" spans="4:13" s="533" customFormat="1" thickBot="1">
      <c r="D91" s="531" t="str">
        <f>'3h. Segmental Volume Drivers'!D18</f>
        <v>Total Attributable to Oceana</v>
      </c>
      <c r="E91" s="534">
        <f>'3h. Segmental Volume Drivers'!M18</f>
        <v>29723</v>
      </c>
      <c r="F91" s="534">
        <f>'3h. Segmental Volume Drivers'!N18</f>
        <v>29700</v>
      </c>
      <c r="G91" s="535">
        <f>'3h. Segmental Volume Drivers'!O18</f>
        <v>36392.92</v>
      </c>
      <c r="H91" s="532"/>
      <c r="I91" s="532"/>
      <c r="L91" s="532"/>
      <c r="M91" s="532"/>
    </row>
    <row r="92" spans="4:13" customFormat="1">
      <c r="D92" s="536" t="str">
        <f>'3h. Segmental Volume Drivers'!D19</f>
        <v>YoY Growth</v>
      </c>
      <c r="E92" s="537">
        <f>'3h. Segmental Volume Drivers'!M19</f>
        <v>-1.5077208562529032E-2</v>
      </c>
      <c r="F92" s="537">
        <f>'3h. Segmental Volume Drivers'!N19</f>
        <v>-7.7381152642730378E-4</v>
      </c>
      <c r="G92" s="538">
        <f>'3h. Segmental Volume Drivers'!O19</f>
        <v>0.22535084175084164</v>
      </c>
      <c r="H92" s="470"/>
      <c r="I92" s="470"/>
      <c r="L92" s="470"/>
      <c r="M92" s="470"/>
    </row>
    <row r="93" spans="4:13" s="7" customFormat="1" thickBot="1">
      <c r="D93" s="518" t="str">
        <f>'3h. Segmental Volume Drivers'!D20</f>
        <v>as % of Total</v>
      </c>
      <c r="E93" s="511">
        <f>'3h. Segmental Volume Drivers'!M20</f>
        <v>0.33025555555555558</v>
      </c>
      <c r="F93" s="511">
        <f>'3h. Segmental Volume Drivers'!N20</f>
        <v>0.33</v>
      </c>
      <c r="G93" s="519">
        <f>'3h. Segmental Volume Drivers'!O20</f>
        <v>0.436</v>
      </c>
      <c r="H93" s="480"/>
      <c r="I93" s="480"/>
      <c r="L93" s="480"/>
      <c r="M93" s="480"/>
    </row>
    <row r="94" spans="4:13" s="509" customFormat="1" ht="12" thickBot="1">
      <c r="H94" s="510"/>
      <c r="I94" s="510"/>
      <c r="L94" s="510"/>
      <c r="M94" s="510"/>
    </row>
    <row r="95" spans="4:13" s="7" customFormat="1">
      <c r="D95" s="502" t="s">
        <v>1157</v>
      </c>
      <c r="E95" s="468" t="s">
        <v>21</v>
      </c>
      <c r="F95" s="468" t="s">
        <v>22</v>
      </c>
      <c r="G95" s="513" t="s">
        <v>23</v>
      </c>
      <c r="H95" s="480"/>
      <c r="I95" s="480"/>
      <c r="L95" s="480"/>
      <c r="M95" s="480"/>
    </row>
    <row r="96" spans="4:13" s="509" customFormat="1" ht="14">
      <c r="D96" s="175" t="str">
        <f>'3h. Segmental Volume Drivers'!D23</f>
        <v>Oceana's Own Quota</v>
      </c>
      <c r="E96" s="479">
        <f>'3h. Segmental Volume Drivers'!M23</f>
        <v>7975</v>
      </c>
      <c r="F96" s="479">
        <f>'3h. Segmental Volume Drivers'!N23</f>
        <v>6240</v>
      </c>
      <c r="G96" s="514">
        <f>'3h. Segmental Volume Drivers'!O23</f>
        <v>5200</v>
      </c>
      <c r="H96" s="510"/>
      <c r="I96" s="510"/>
      <c r="L96" s="510"/>
      <c r="M96" s="510"/>
    </row>
    <row r="97" spans="4:13" s="161" customFormat="1" ht="11">
      <c r="D97" s="520" t="str">
        <f>'3h. Segmental Volume Drivers'!D24</f>
        <v>YoY Growth</v>
      </c>
      <c r="E97" s="521">
        <f>'3h. Segmental Volume Drivers'!M24</f>
        <v>-0.19541969330104925</v>
      </c>
      <c r="F97" s="521">
        <f>'3h. Segmental Volume Drivers'!N24</f>
        <v>-0.21755485893416926</v>
      </c>
      <c r="G97" s="522">
        <f>'3h. Segmental Volume Drivers'!O24</f>
        <v>-0.16666666666666663</v>
      </c>
      <c r="H97" s="512"/>
      <c r="I97" s="512"/>
      <c r="L97" s="512"/>
      <c r="M97" s="512"/>
    </row>
    <row r="98" spans="4:13" s="161" customFormat="1" ht="11">
      <c r="D98" s="520" t="str">
        <f>'3h. Segmental Volume Drivers'!D25</f>
        <v>as % of Total</v>
      </c>
      <c r="E98" s="521">
        <f>'3h. Segmental Volume Drivers'!M25</f>
        <v>0.31900000000000001</v>
      </c>
      <c r="F98" s="521">
        <f>'3h. Segmental Volume Drivers'!N25</f>
        <v>0.20799999999999999</v>
      </c>
      <c r="G98" s="522">
        <f>'3h. Segmental Volume Drivers'!O25</f>
        <v>0.20799999999999999</v>
      </c>
      <c r="H98" s="512"/>
      <c r="I98" s="512"/>
      <c r="L98" s="512"/>
      <c r="M98" s="512"/>
    </row>
    <row r="99" spans="4:13" s="509" customFormat="1" ht="14">
      <c r="D99" s="175" t="str">
        <f>'3h. Segmental Volume Drivers'!D26</f>
        <v>Oceana's Contracted Quota</v>
      </c>
      <c r="E99" s="479">
        <f>'3h. Segmental Volume Drivers'!M26</f>
        <v>4149</v>
      </c>
      <c r="F99" s="479">
        <f>'3h. Segmental Volume Drivers'!N26</f>
        <v>9120</v>
      </c>
      <c r="G99" s="514">
        <f>'3h. Segmental Volume Drivers'!O26</f>
        <v>7600</v>
      </c>
      <c r="H99" s="510"/>
      <c r="I99" s="510"/>
      <c r="L99" s="510"/>
      <c r="M99" s="510"/>
    </row>
    <row r="100" spans="4:13" s="161" customFormat="1" ht="11">
      <c r="D100" s="520" t="str">
        <f>'3h. Segmental Volume Drivers'!D27</f>
        <v>YoY Growth</v>
      </c>
      <c r="E100" s="521">
        <f>'3h. Segmental Volume Drivers'!M27</f>
        <v>-0.41282196433625817</v>
      </c>
      <c r="F100" s="521">
        <f>'3h. Segmental Volume Drivers'!N27</f>
        <v>1.1981200289226321</v>
      </c>
      <c r="G100" s="522">
        <f>'3h. Segmental Volume Drivers'!O27</f>
        <v>-0.16666666666666663</v>
      </c>
      <c r="H100" s="512"/>
      <c r="I100" s="512"/>
      <c r="L100" s="512"/>
      <c r="M100" s="512"/>
    </row>
    <row r="101" spans="4:13" s="199" customFormat="1" ht="11">
      <c r="D101" s="520" t="str">
        <f>'3h. Segmental Volume Drivers'!D28</f>
        <v>as % of Total</v>
      </c>
      <c r="E101" s="521">
        <f>'3h. Segmental Volume Drivers'!M28</f>
        <v>0.16596</v>
      </c>
      <c r="F101" s="521">
        <f>'3h. Segmental Volume Drivers'!N28</f>
        <v>0.30399999999999999</v>
      </c>
      <c r="G101" s="522">
        <f>'3h. Segmental Volume Drivers'!O28</f>
        <v>0.30399999999999999</v>
      </c>
      <c r="H101" s="545"/>
      <c r="I101" s="545"/>
      <c r="L101" s="545"/>
      <c r="M101" s="545"/>
    </row>
    <row r="102" spans="4:13" s="509" customFormat="1" ht="14">
      <c r="D102" s="175" t="str">
        <f>'3h. Segmental Volume Drivers'!D29</f>
        <v>Other than Oceana Quota</v>
      </c>
      <c r="E102" s="479">
        <f>'3h. Segmental Volume Drivers'!M29</f>
        <v>12876</v>
      </c>
      <c r="F102" s="479">
        <f>'3h. Segmental Volume Drivers'!N29</f>
        <v>14640</v>
      </c>
      <c r="G102" s="514">
        <f>'3h. Segmental Volume Drivers'!O29</f>
        <v>12200</v>
      </c>
      <c r="H102" s="510"/>
      <c r="I102" s="510"/>
      <c r="L102" s="510"/>
      <c r="M102" s="510"/>
    </row>
    <row r="103" spans="4:13" s="161" customFormat="1" ht="11">
      <c r="D103" s="520" t="str">
        <f>'3h. Segmental Volume Drivers'!D30</f>
        <v>YoY Growth</v>
      </c>
      <c r="E103" s="521">
        <f>'3h. Segmental Volume Drivers'!M30</f>
        <v>-8.1728712023962369E-2</v>
      </c>
      <c r="F103" s="521">
        <f>'3h. Segmental Volume Drivers'!N30</f>
        <v>0.13699906803355089</v>
      </c>
      <c r="G103" s="522">
        <f>'3h. Segmental Volume Drivers'!O30</f>
        <v>-0.16666666666666663</v>
      </c>
      <c r="H103" s="512"/>
      <c r="I103" s="512"/>
      <c r="L103" s="512"/>
      <c r="M103" s="512"/>
    </row>
    <row r="104" spans="4:13" s="161" customFormat="1" ht="12" thickBot="1">
      <c r="D104" s="520" t="str">
        <f>'3h. Segmental Volume Drivers'!D31</f>
        <v>as % of Total</v>
      </c>
      <c r="E104" s="521">
        <f>'3h. Segmental Volume Drivers'!M31</f>
        <v>0.51503999999999994</v>
      </c>
      <c r="F104" s="521">
        <f>'3h. Segmental Volume Drivers'!N31</f>
        <v>0.48799999999999999</v>
      </c>
      <c r="G104" s="522">
        <f>'3h. Segmental Volume Drivers'!O31</f>
        <v>0.48799999999999999</v>
      </c>
      <c r="H104" s="512"/>
      <c r="I104" s="512"/>
      <c r="L104" s="512"/>
      <c r="M104" s="512"/>
    </row>
    <row r="105" spans="4:13" s="533" customFormat="1" thickBot="1">
      <c r="D105" s="544" t="str">
        <f>'3h. Segmental Volume Drivers'!D32</f>
        <v>Total</v>
      </c>
      <c r="E105" s="539">
        <f>'3h. Segmental Volume Drivers'!M32</f>
        <v>25000</v>
      </c>
      <c r="F105" s="539">
        <f>'3h. Segmental Volume Drivers'!N32</f>
        <v>30000</v>
      </c>
      <c r="G105" s="540">
        <f>'3h. Segmental Volume Drivers'!O32</f>
        <v>25000</v>
      </c>
      <c r="H105" s="532"/>
      <c r="I105" s="532"/>
      <c r="L105" s="532"/>
      <c r="M105" s="532"/>
    </row>
    <row r="106" spans="4:13" s="161" customFormat="1" ht="12" thickBot="1">
      <c r="D106" s="520" t="str">
        <f>'3h. Segmental Volume Drivers'!D33</f>
        <v>YoY Growth</v>
      </c>
      <c r="E106" s="524">
        <f>'3h. Segmental Volume Drivers'!M33</f>
        <v>-0.19354838709677424</v>
      </c>
      <c r="F106" s="524">
        <f>'3h. Segmental Volume Drivers'!N33</f>
        <v>0.19999999999999996</v>
      </c>
      <c r="G106" s="525">
        <f>'3h. Segmental Volume Drivers'!O33</f>
        <v>-0.16666666666666663</v>
      </c>
      <c r="H106" s="512"/>
      <c r="I106" s="512"/>
      <c r="L106" s="512"/>
      <c r="M106" s="512"/>
    </row>
    <row r="107" spans="4:13" s="543" customFormat="1" thickBot="1">
      <c r="D107" s="544" t="str">
        <f>'3h. Segmental Volume Drivers'!D34</f>
        <v>Total Attributable to Oceana</v>
      </c>
      <c r="E107" s="528">
        <f>'3h. Segmental Volume Drivers'!M34</f>
        <v>12124</v>
      </c>
      <c r="F107" s="528">
        <f>'3h. Segmental Volume Drivers'!N34</f>
        <v>15360</v>
      </c>
      <c r="G107" s="541">
        <f>'3h. Segmental Volume Drivers'!O34</f>
        <v>12800</v>
      </c>
      <c r="H107" s="542"/>
      <c r="I107" s="542"/>
      <c r="L107" s="542"/>
      <c r="M107" s="542"/>
    </row>
    <row r="108" spans="4:13" s="161" customFormat="1" ht="11">
      <c r="D108" s="546" t="str">
        <f>'3h. Segmental Volume Drivers'!D35</f>
        <v>YoY Growth</v>
      </c>
      <c r="E108" s="547">
        <f>'3h. Segmental Volume Drivers'!M35</f>
        <v>-0.28589939922252328</v>
      </c>
      <c r="F108" s="547">
        <f>'3h. Segmental Volume Drivers'!N35</f>
        <v>0.26690861101946561</v>
      </c>
      <c r="G108" s="548">
        <f>'3h. Segmental Volume Drivers'!O35</f>
        <v>0.09</v>
      </c>
      <c r="H108" s="512"/>
      <c r="I108" s="512"/>
      <c r="L108" s="512"/>
      <c r="M108" s="512"/>
    </row>
    <row r="109" spans="4:13" s="161" customFormat="1" ht="12" thickBot="1">
      <c r="D109" s="523" t="str">
        <f>'3h. Segmental Volume Drivers'!D36</f>
        <v>as % of Total</v>
      </c>
      <c r="E109" s="524">
        <f>'3h. Segmental Volume Drivers'!M36</f>
        <v>0.48496</v>
      </c>
      <c r="F109" s="524">
        <f>'3h. Segmental Volume Drivers'!N36</f>
        <v>0.51200000000000001</v>
      </c>
      <c r="G109" s="525">
        <f>'3h. Segmental Volume Drivers'!O36</f>
        <v>0.51200000000000001</v>
      </c>
      <c r="H109" s="512"/>
      <c r="I109" s="512"/>
      <c r="L109" s="512"/>
      <c r="M109" s="512"/>
    </row>
    <row r="110" spans="4:13" s="161" customFormat="1" ht="14">
      <c r="D110" s="175"/>
      <c r="H110" s="512"/>
      <c r="I110" s="512"/>
      <c r="L110" s="512"/>
      <c r="M110" s="512"/>
    </row>
    <row r="111" spans="4:13" s="7" customFormat="1" ht="14">
      <c r="H111" s="480"/>
      <c r="I111" s="480"/>
      <c r="L111" s="480"/>
      <c r="M111" s="480"/>
    </row>
    <row r="112" spans="4:13" s="161" customFormat="1" ht="12" thickBot="1">
      <c r="H112" s="512"/>
      <c r="I112" s="512"/>
      <c r="L112" s="512"/>
      <c r="M112" s="512"/>
    </row>
    <row r="113" spans="4:13" s="161" customFormat="1">
      <c r="D113" s="502" t="s">
        <v>1159</v>
      </c>
      <c r="E113" s="468" t="s">
        <v>21</v>
      </c>
      <c r="F113" s="468" t="s">
        <v>22</v>
      </c>
      <c r="G113" s="513" t="s">
        <v>23</v>
      </c>
      <c r="H113" s="512"/>
      <c r="I113" s="512"/>
      <c r="L113" s="512"/>
      <c r="M113" s="512"/>
    </row>
    <row r="114" spans="4:13" s="6" customFormat="1" ht="14">
      <c r="D114" s="175" t="str">
        <f>'3h. Segmental Volume Drivers'!D39</f>
        <v>Oceana's Own Quota</v>
      </c>
      <c r="E114" s="479">
        <f>'3h. Segmental Volume Drivers'!M39</f>
        <v>77766</v>
      </c>
      <c r="F114" s="479">
        <f>'3h. Segmental Volume Drivers'!N39</f>
        <v>160001</v>
      </c>
      <c r="G114" s="514">
        <f>'3h. Segmental Volume Drivers'!O39</f>
        <v>211170</v>
      </c>
      <c r="H114" s="501"/>
      <c r="I114" s="501"/>
      <c r="L114" s="501"/>
      <c r="M114" s="501"/>
    </row>
    <row r="115" spans="4:13" s="185" customFormat="1" ht="11">
      <c r="D115" s="515" t="str">
        <f>'3h. Segmental Volume Drivers'!D40</f>
        <v>YoY Growth</v>
      </c>
      <c r="E115" s="424">
        <f>'3h. Segmental Volume Drivers'!M40</f>
        <v>0.31583756345177671</v>
      </c>
      <c r="F115" s="424">
        <f>'3h. Segmental Volume Drivers'!N40</f>
        <v>1.0574672736157189</v>
      </c>
      <c r="G115" s="516">
        <f>'3h. Segmental Volume Drivers'!O40</f>
        <v>0.31980425122342981</v>
      </c>
      <c r="H115" s="506"/>
      <c r="I115" s="506"/>
      <c r="L115" s="506"/>
      <c r="M115" s="506"/>
    </row>
    <row r="116" spans="4:13" s="185" customFormat="1" ht="11">
      <c r="D116" s="515" t="str">
        <f>'3h. Segmental Volume Drivers'!D41</f>
        <v>as % of Total</v>
      </c>
      <c r="E116" s="424">
        <f>'3h. Segmental Volume Drivers'!M41</f>
        <v>0.17281333333333335</v>
      </c>
      <c r="F116" s="424">
        <f>'3h. Segmental Volume Drivers'!N41</f>
        <v>0.35555777777777775</v>
      </c>
      <c r="G116" s="516">
        <f>'3h. Segmental Volume Drivers'!O41</f>
        <v>0.46926666666666667</v>
      </c>
      <c r="H116" s="506"/>
      <c r="I116" s="506"/>
      <c r="L116" s="506"/>
      <c r="M116" s="506"/>
    </row>
    <row r="117" spans="4:13" customFormat="1">
      <c r="D117" s="175" t="str">
        <f>'3h. Segmental Volume Drivers'!D42</f>
        <v>Oceana's Contracted Quota</v>
      </c>
      <c r="E117" s="479">
        <f>'3h. Segmental Volume Drivers'!M42</f>
        <v>88256</v>
      </c>
      <c r="F117" s="479">
        <f>'3h. Segmental Volume Drivers'!N42</f>
        <v>108000</v>
      </c>
      <c r="G117" s="514">
        <f>'3h. Segmental Volume Drivers'!O42</f>
        <v>110250</v>
      </c>
      <c r="H117" s="470"/>
      <c r="I117" s="470"/>
      <c r="L117" s="470"/>
      <c r="M117" s="470"/>
    </row>
    <row r="118" spans="4:13" s="185" customFormat="1" ht="11">
      <c r="D118" s="515" t="str">
        <f>'3h. Segmental Volume Drivers'!D43</f>
        <v>YoY Growth</v>
      </c>
      <c r="E118" s="424">
        <f>'3h. Segmental Volume Drivers'!M43</f>
        <v>0.48020931168656911</v>
      </c>
      <c r="F118" s="424">
        <f>'3h. Segmental Volume Drivers'!N43</f>
        <v>0.22371283538796227</v>
      </c>
      <c r="G118" s="516">
        <f>'3h. Segmental Volume Drivers'!O43</f>
        <v>2.0833333333333259E-2</v>
      </c>
      <c r="H118" s="506"/>
      <c r="I118" s="506"/>
      <c r="L118" s="506"/>
      <c r="M118" s="506"/>
    </row>
    <row r="119" spans="4:13" s="185" customFormat="1" ht="11">
      <c r="D119" s="515" t="str">
        <f>'3h. Segmental Volume Drivers'!D44</f>
        <v>as % of Total</v>
      </c>
      <c r="E119" s="424">
        <f>'3h. Segmental Volume Drivers'!M44</f>
        <v>0.19612444444444443</v>
      </c>
      <c r="F119" s="424">
        <f>'3h. Segmental Volume Drivers'!N44</f>
        <v>0.24</v>
      </c>
      <c r="G119" s="516">
        <f>'3h. Segmental Volume Drivers'!O44</f>
        <v>0.245</v>
      </c>
      <c r="H119" s="506"/>
      <c r="I119" s="506"/>
      <c r="L119" s="506"/>
      <c r="M119" s="506"/>
    </row>
    <row r="120" spans="4:13" s="161" customFormat="1" ht="14">
      <c r="D120" s="175" t="str">
        <f>'3h. Segmental Volume Drivers'!D45</f>
        <v>Other than Oceana Quota</v>
      </c>
      <c r="E120" s="479">
        <f>'3h. Segmental Volume Drivers'!M45</f>
        <v>283978</v>
      </c>
      <c r="F120" s="479">
        <f>'3h. Segmental Volume Drivers'!N45</f>
        <v>181999</v>
      </c>
      <c r="G120" s="514">
        <f>'3h. Segmental Volume Drivers'!O45</f>
        <v>128580</v>
      </c>
      <c r="H120" s="512"/>
      <c r="I120" s="512"/>
      <c r="L120" s="512"/>
      <c r="M120" s="512"/>
    </row>
    <row r="121" spans="4:13" s="185" customFormat="1" ht="11">
      <c r="D121" s="515" t="str">
        <f>'3h. Segmental Volume Drivers'!D46</f>
        <v>YoY Growth</v>
      </c>
      <c r="E121" s="424">
        <f>'3h. Segmental Volume Drivers'!M46</f>
        <v>0.21387169579044563</v>
      </c>
      <c r="F121" s="424">
        <f>'3h. Segmental Volume Drivers'!N46</f>
        <v>-0.35910880420314251</v>
      </c>
      <c r="G121" s="516">
        <f>'3h. Segmental Volume Drivers'!O46</f>
        <v>-0.29351260171759186</v>
      </c>
      <c r="H121" s="506"/>
      <c r="I121" s="506"/>
      <c r="L121" s="506"/>
      <c r="M121" s="506"/>
    </row>
    <row r="122" spans="4:13" s="185" customFormat="1" ht="12" thickBot="1">
      <c r="D122" s="515" t="str">
        <f>'3h. Segmental Volume Drivers'!D47</f>
        <v>as % of Total</v>
      </c>
      <c r="E122" s="424">
        <f>'3h. Segmental Volume Drivers'!M47</f>
        <v>0.63106222222222219</v>
      </c>
      <c r="F122" s="424">
        <f>'3h. Segmental Volume Drivers'!N47</f>
        <v>0.4044422222222222</v>
      </c>
      <c r="G122" s="516">
        <f>'3h. Segmental Volume Drivers'!O47</f>
        <v>0.28573333333333334</v>
      </c>
      <c r="H122" s="506"/>
      <c r="I122" s="506"/>
      <c r="L122" s="506"/>
      <c r="M122" s="506"/>
    </row>
    <row r="123" spans="4:13" s="158" customFormat="1" thickBot="1">
      <c r="D123" s="555" t="str">
        <f>'3h. Segmental Volume Drivers'!D48</f>
        <v>Total</v>
      </c>
      <c r="E123" s="549">
        <f>'3h. Segmental Volume Drivers'!M48</f>
        <v>450000</v>
      </c>
      <c r="F123" s="549">
        <f>'3h. Segmental Volume Drivers'!N48</f>
        <v>450000</v>
      </c>
      <c r="G123" s="550">
        <f>'3h. Segmental Volume Drivers'!O48</f>
        <v>450000</v>
      </c>
      <c r="H123" s="553"/>
      <c r="I123" s="553"/>
      <c r="L123" s="553"/>
      <c r="M123" s="553"/>
    </row>
    <row r="124" spans="4:13" s="185" customFormat="1" ht="12" thickBot="1">
      <c r="D124" s="515" t="str">
        <f>'3h. Segmental Volume Drivers'!D49</f>
        <v>YoY Growth</v>
      </c>
      <c r="E124" s="511">
        <f>'3h. Segmental Volume Drivers'!M49</f>
        <v>0.27598761441355601</v>
      </c>
      <c r="F124" s="511">
        <f>'3h. Segmental Volume Drivers'!N49</f>
        <v>0</v>
      </c>
      <c r="G124" s="519">
        <f>'3h. Segmental Volume Drivers'!O49</f>
        <v>0</v>
      </c>
      <c r="H124" s="506"/>
      <c r="I124" s="506"/>
      <c r="L124" s="506"/>
      <c r="M124" s="506"/>
    </row>
    <row r="125" spans="4:13" s="552" customFormat="1" thickBot="1">
      <c r="D125" s="555" t="str">
        <f>'3h. Segmental Volume Drivers'!D50</f>
        <v>Total Attributable to Oceana</v>
      </c>
      <c r="E125" s="556">
        <f>'3h. Segmental Volume Drivers'!M50</f>
        <v>166022</v>
      </c>
      <c r="F125" s="556">
        <f>'3h. Segmental Volume Drivers'!N50</f>
        <v>268001</v>
      </c>
      <c r="G125" s="557">
        <f>'3h. Segmental Volume Drivers'!O50</f>
        <v>321420</v>
      </c>
      <c r="H125" s="551"/>
      <c r="I125" s="551"/>
      <c r="L125" s="551"/>
      <c r="M125" s="551"/>
    </row>
    <row r="126" spans="4:13" s="185" customFormat="1" ht="11">
      <c r="D126" s="515" t="str">
        <f>'3h. Segmental Volume Drivers'!D51</f>
        <v>YoY Growth</v>
      </c>
      <c r="E126" s="424">
        <f>'3h. Segmental Volume Drivers'!M51</f>
        <v>0.39838617297260881</v>
      </c>
      <c r="F126" s="424">
        <f>'3h. Segmental Volume Drivers'!N51</f>
        <v>0.61424991868547552</v>
      </c>
      <c r="G126" s="516">
        <f>'3h. Segmental Volume Drivers'!O51</f>
        <v>0.19932388311983917</v>
      </c>
      <c r="H126" s="506"/>
      <c r="I126" s="506"/>
      <c r="L126" s="506"/>
      <c r="M126" s="506"/>
    </row>
    <row r="127" spans="4:13" s="161" customFormat="1" thickBot="1">
      <c r="D127" s="554" t="str">
        <f>'3h. Segmental Volume Drivers'!D52</f>
        <v>as % of Total</v>
      </c>
      <c r="E127" s="524">
        <f>'3h. Segmental Volume Drivers'!M52</f>
        <v>0.36893777777777775</v>
      </c>
      <c r="F127" s="524">
        <f>'3h. Segmental Volume Drivers'!N52</f>
        <v>0.59555777777777774</v>
      </c>
      <c r="G127" s="525">
        <f>'3h. Segmental Volume Drivers'!O52</f>
        <v>0.71426666666666672</v>
      </c>
      <c r="H127" s="512"/>
      <c r="I127" s="512"/>
      <c r="L127" s="512"/>
      <c r="M127" s="512"/>
    </row>
    <row r="128" spans="4:13" s="6" customFormat="1" ht="14">
      <c r="H128" s="501"/>
      <c r="I128" s="501"/>
      <c r="L128" s="501"/>
      <c r="M128" s="501"/>
    </row>
    <row r="129" spans="4:13" s="161" customFormat="1" ht="12" thickBot="1">
      <c r="H129" s="512"/>
      <c r="I129" s="512"/>
      <c r="L129" s="512"/>
      <c r="M129" s="512"/>
    </row>
    <row r="130" spans="4:13" s="526" customFormat="1">
      <c r="D130" s="502" t="s">
        <v>1156</v>
      </c>
      <c r="E130" s="468" t="s">
        <v>21</v>
      </c>
      <c r="F130" s="468" t="s">
        <v>22</v>
      </c>
      <c r="G130" s="513" t="s">
        <v>23</v>
      </c>
      <c r="H130" s="527"/>
      <c r="I130" s="527"/>
      <c r="L130" s="527"/>
      <c r="M130" s="527"/>
    </row>
    <row r="131" spans="4:13" s="161" customFormat="1" ht="14">
      <c r="D131" s="175" t="str">
        <f>'3h. Segmental Volume Drivers'!D55</f>
        <v>Oceana's Own Quota</v>
      </c>
      <c r="E131" s="479">
        <f>'3h. Segmental Volume Drivers'!M55</f>
        <v>328</v>
      </c>
      <c r="F131" s="479">
        <f>'3h. Segmental Volume Drivers'!N55</f>
        <v>288</v>
      </c>
      <c r="G131" s="514">
        <f>'3h. Segmental Volume Drivers'!O55</f>
        <v>238</v>
      </c>
      <c r="H131" s="512"/>
      <c r="I131" s="512"/>
      <c r="L131" s="512"/>
      <c r="M131" s="512"/>
    </row>
    <row r="132" spans="4:13" s="161" customFormat="1" ht="11">
      <c r="D132" s="520" t="str">
        <f>'3h. Segmental Volume Drivers'!D56</f>
        <v>YoY Growth</v>
      </c>
      <c r="E132" s="521">
        <f>'3h. Segmental Volume Drivers'!M56</f>
        <v>3.0581039755350758E-3</v>
      </c>
      <c r="F132" s="521">
        <f>'3h. Segmental Volume Drivers'!N56</f>
        <v>-0.12195121951219512</v>
      </c>
      <c r="G132" s="522">
        <f>'3h. Segmental Volume Drivers'!O56</f>
        <v>-0.17361111111111116</v>
      </c>
      <c r="H132" s="512"/>
      <c r="I132" s="512"/>
      <c r="L132" s="512"/>
      <c r="M132" s="512"/>
    </row>
    <row r="133" spans="4:13" customFormat="1">
      <c r="D133" s="520" t="str">
        <f>'3h. Segmental Volume Drivers'!D57</f>
        <v>as % of Total</v>
      </c>
      <c r="E133" s="521">
        <f>'3h. Segmental Volume Drivers'!M57</f>
        <v>0.13486842105263158</v>
      </c>
      <c r="F133" s="521">
        <f>'3h. Segmental Volume Drivers'!N57</f>
        <v>0.13290263036455929</v>
      </c>
      <c r="G133" s="522">
        <f>'3h. Segmental Volume Drivers'!O57</f>
        <v>0.13214880621876735</v>
      </c>
      <c r="H133" s="470"/>
      <c r="I133" s="470"/>
      <c r="L133" s="470"/>
      <c r="M133" s="470"/>
    </row>
    <row r="134" spans="4:13" customFormat="1">
      <c r="D134" s="175" t="str">
        <f>'3h. Segmental Volume Drivers'!D58</f>
        <v>Oceana's Contracted Quota</v>
      </c>
      <c r="E134" s="479">
        <f>'3h. Segmental Volume Drivers'!M58</f>
        <v>180</v>
      </c>
      <c r="F134" s="479">
        <f>'3h. Segmental Volume Drivers'!N58</f>
        <v>324</v>
      </c>
      <c r="G134" s="514">
        <f>'3h. Segmental Volume Drivers'!O58</f>
        <v>208</v>
      </c>
      <c r="H134" s="470"/>
      <c r="I134" s="470"/>
      <c r="L134" s="470"/>
      <c r="M134" s="470"/>
    </row>
    <row r="135" spans="4:13" s="7" customFormat="1" ht="14">
      <c r="D135" s="520" t="str">
        <f>'3h. Segmental Volume Drivers'!D59</f>
        <v>YoY Growth</v>
      </c>
      <c r="E135" s="521">
        <f>'3h. Segmental Volume Drivers'!M59</f>
        <v>-0.10447761194029848</v>
      </c>
      <c r="F135" s="521">
        <f>'3h. Segmental Volume Drivers'!N59</f>
        <v>0.8</v>
      </c>
      <c r="G135" s="522">
        <f>'3h. Segmental Volume Drivers'!O59</f>
        <v>-0.35802469135802473</v>
      </c>
      <c r="H135" s="480"/>
      <c r="I135" s="480"/>
      <c r="L135" s="480"/>
      <c r="M135" s="480"/>
    </row>
    <row r="136" spans="4:13" s="161" customFormat="1" ht="11">
      <c r="D136" s="520" t="str">
        <f>'3h. Segmental Volume Drivers'!D60</f>
        <v>as % of Total</v>
      </c>
      <c r="E136" s="521">
        <f>'3h. Segmental Volume Drivers'!M60</f>
        <v>7.4013157894736836E-2</v>
      </c>
      <c r="F136" s="521">
        <f>'3h. Segmental Volume Drivers'!N60</f>
        <v>0.1495154591601292</v>
      </c>
      <c r="G136" s="522">
        <f>'3h. Segmental Volume Drivers'!O60</f>
        <v>0.11549139367018323</v>
      </c>
      <c r="H136" s="512"/>
      <c r="I136" s="512"/>
      <c r="L136" s="512"/>
      <c r="M136" s="512"/>
    </row>
    <row r="137" spans="4:13" s="161" customFormat="1" ht="14">
      <c r="D137" s="175" t="str">
        <f>'3h. Segmental Volume Drivers'!D61</f>
        <v>Other than Oceana Quota</v>
      </c>
      <c r="E137" s="479">
        <f>'3h. Segmental Volume Drivers'!M61</f>
        <v>1924</v>
      </c>
      <c r="F137" s="479">
        <f>'3h. Segmental Volume Drivers'!N61</f>
        <v>1555</v>
      </c>
      <c r="G137" s="514">
        <f>'3h. Segmental Volume Drivers'!O61</f>
        <v>1355</v>
      </c>
      <c r="H137" s="512"/>
      <c r="I137" s="512"/>
      <c r="L137" s="512"/>
      <c r="M137" s="512"/>
    </row>
    <row r="138" spans="4:13" s="7" customFormat="1" ht="14">
      <c r="D138" s="520" t="str">
        <f>'3h. Segmental Volume Drivers'!D62</f>
        <v>YoY Growth</v>
      </c>
      <c r="E138" s="521">
        <f>'3h. Segmental Volume Drivers'!M62</f>
        <v>1.4232999472851837E-2</v>
      </c>
      <c r="F138" s="521">
        <f>'3h. Segmental Volume Drivers'!N62</f>
        <v>-0.19178794178794178</v>
      </c>
      <c r="G138" s="522">
        <f>'3h. Segmental Volume Drivers'!O62</f>
        <v>-0.12861736334405149</v>
      </c>
      <c r="H138" s="480"/>
      <c r="I138" s="480"/>
      <c r="L138" s="480"/>
      <c r="M138" s="480"/>
    </row>
    <row r="139" spans="4:13" s="161" customFormat="1" ht="12" thickBot="1">
      <c r="D139" s="520" t="str">
        <f>'3h. Segmental Volume Drivers'!D63</f>
        <v>as % of Total</v>
      </c>
      <c r="E139" s="521">
        <f>'3h. Segmental Volume Drivers'!M63</f>
        <v>0.79111842105263153</v>
      </c>
      <c r="F139" s="521">
        <f>'3h. Segmental Volume Drivers'!N63</f>
        <v>0.7175819104753115</v>
      </c>
      <c r="G139" s="522">
        <f>'3h. Segmental Volume Drivers'!O63</f>
        <v>0.75235980011104941</v>
      </c>
      <c r="H139" s="512"/>
      <c r="I139" s="512"/>
      <c r="L139" s="512"/>
      <c r="M139" s="512"/>
    </row>
    <row r="140" spans="4:13" s="161" customFormat="1" thickBot="1">
      <c r="D140" s="488" t="str">
        <f>'3h. Segmental Volume Drivers'!D64</f>
        <v>Total</v>
      </c>
      <c r="E140" s="489">
        <f>'3h. Segmental Volume Drivers'!M64</f>
        <v>2432</v>
      </c>
      <c r="F140" s="489">
        <f>'3h. Segmental Volume Drivers'!N64</f>
        <v>2167</v>
      </c>
      <c r="G140" s="517">
        <f>'3h. Segmental Volume Drivers'!O64</f>
        <v>1801</v>
      </c>
      <c r="H140" s="512"/>
      <c r="I140" s="512"/>
      <c r="L140" s="512"/>
      <c r="M140" s="512"/>
    </row>
    <row r="141" spans="4:13" s="7" customFormat="1" thickBot="1">
      <c r="D141" s="520" t="str">
        <f>'3h. Segmental Volume Drivers'!D65</f>
        <v>YoY Growth</v>
      </c>
      <c r="E141" s="521">
        <f>'3h. Segmental Volume Drivers'!M65</f>
        <v>2.8865979381442752E-3</v>
      </c>
      <c r="F141" s="521">
        <f>'3h. Segmental Volume Drivers'!N65</f>
        <v>-0.10896381578947367</v>
      </c>
      <c r="G141" s="522">
        <f>'3h. Segmental Volume Drivers'!O65</f>
        <v>-0.16889709275496079</v>
      </c>
      <c r="H141" s="480"/>
      <c r="I141" s="480"/>
      <c r="L141" s="480"/>
      <c r="M141" s="480"/>
    </row>
    <row r="142" spans="4:13" s="161" customFormat="1" thickBot="1">
      <c r="D142" s="529" t="str">
        <f>'3h. Segmental Volume Drivers'!D66</f>
        <v>Total Attributable to Oceana</v>
      </c>
      <c r="E142" s="528">
        <f>'3h. Segmental Volume Drivers'!M66</f>
        <v>508</v>
      </c>
      <c r="F142" s="528">
        <f>'3h. Segmental Volume Drivers'!N66</f>
        <v>612</v>
      </c>
      <c r="G142" s="530">
        <f>'3h. Segmental Volume Drivers'!O66</f>
        <v>446</v>
      </c>
      <c r="H142" s="512"/>
      <c r="I142" s="512"/>
      <c r="L142" s="512"/>
      <c r="M142" s="512"/>
    </row>
    <row r="143" spans="4:13" s="161" customFormat="1" ht="11">
      <c r="D143" s="520" t="str">
        <f>'3h. Segmental Volume Drivers'!D67</f>
        <v>YoY Growth</v>
      </c>
      <c r="E143" s="521">
        <f>'3h. Segmental Volume Drivers'!M67</f>
        <v>-3.7878787878787845E-2</v>
      </c>
      <c r="F143" s="521">
        <f>'3h. Segmental Volume Drivers'!N67</f>
        <v>0.20472440944881898</v>
      </c>
      <c r="G143" s="522">
        <f>'3h. Segmental Volume Drivers'!O67</f>
        <v>-0.27124183006535951</v>
      </c>
      <c r="H143" s="512"/>
      <c r="I143" s="512"/>
      <c r="L143" s="512"/>
      <c r="M143" s="512"/>
    </row>
    <row r="144" spans="4:13" s="6" customFormat="1" thickBot="1">
      <c r="D144" s="523" t="str">
        <f>'3h. Segmental Volume Drivers'!D68</f>
        <v>as % of Total</v>
      </c>
      <c r="E144" s="524">
        <f>'3h. Segmental Volume Drivers'!M68</f>
        <v>0.20888157894736842</v>
      </c>
      <c r="F144" s="524">
        <f>'3h. Segmental Volume Drivers'!N68</f>
        <v>0.2824180895246885</v>
      </c>
      <c r="G144" s="525">
        <f>'3h. Segmental Volume Drivers'!O68</f>
        <v>0.24764019988895059</v>
      </c>
      <c r="H144" s="501"/>
      <c r="I144" s="501"/>
      <c r="L144" s="501"/>
      <c r="M144" s="501"/>
    </row>
    <row r="145" spans="4:13" s="161" customFormat="1" ht="16" thickBot="1">
      <c r="E145" s="470"/>
      <c r="F145"/>
      <c r="G145"/>
      <c r="H145" s="512"/>
      <c r="I145" s="512"/>
      <c r="L145" s="512"/>
      <c r="M145" s="512"/>
    </row>
    <row r="146" spans="4:13" s="6" customFormat="1">
      <c r="D146" s="502" t="s">
        <v>1160</v>
      </c>
      <c r="E146" s="468" t="s">
        <v>21</v>
      </c>
      <c r="F146" s="468" t="s">
        <v>22</v>
      </c>
      <c r="G146" s="513" t="s">
        <v>23</v>
      </c>
      <c r="H146" s="501"/>
      <c r="I146" s="501"/>
      <c r="L146" s="501"/>
      <c r="M146" s="501"/>
    </row>
    <row r="147" spans="4:13" s="161" customFormat="1" ht="14">
      <c r="D147" s="175" t="str">
        <f>'3h. Segmental Volume Drivers'!D71</f>
        <v>Oceana's Own Permits</v>
      </c>
      <c r="E147" s="479">
        <f>'3h. Segmental Volume Drivers'!M71</f>
        <v>104</v>
      </c>
      <c r="F147" s="479">
        <f>'3h. Segmental Volume Drivers'!N71</f>
        <v>104</v>
      </c>
      <c r="G147" s="514">
        <f>'3h. Segmental Volume Drivers'!O71</f>
        <v>104</v>
      </c>
      <c r="H147" s="512"/>
      <c r="I147" s="512"/>
      <c r="L147" s="512"/>
      <c r="M147" s="512"/>
    </row>
    <row r="148" spans="4:13" s="161" customFormat="1" ht="11">
      <c r="D148" s="520" t="str">
        <f>'3h. Segmental Volume Drivers'!D72</f>
        <v>YoY Growth</v>
      </c>
      <c r="E148" s="521">
        <f>'3h. Segmental Volume Drivers'!M72</f>
        <v>0</v>
      </c>
      <c r="F148" s="521">
        <f>'3h. Segmental Volume Drivers'!N72</f>
        <v>0</v>
      </c>
      <c r="G148" s="522">
        <f>'3h. Segmental Volume Drivers'!O72</f>
        <v>0</v>
      </c>
      <c r="H148" s="512"/>
      <c r="I148" s="512"/>
      <c r="L148" s="512"/>
      <c r="M148" s="512"/>
    </row>
    <row r="149" spans="4:13" customFormat="1">
      <c r="D149" s="520" t="str">
        <f>'3h. Segmental Volume Drivers'!D73</f>
        <v>as % of Total</v>
      </c>
      <c r="E149" s="521">
        <f>'3h. Segmental Volume Drivers'!M73</f>
        <v>4.2921997523730909E-2</v>
      </c>
      <c r="F149" s="521">
        <f>'3h. Segmental Volume Drivers'!N73</f>
        <v>4.2921997523730909E-2</v>
      </c>
      <c r="G149" s="522">
        <f>'3h. Segmental Volume Drivers'!O73</f>
        <v>4.2921997523730909E-2</v>
      </c>
      <c r="H149" s="470"/>
      <c r="I149" s="470"/>
      <c r="L149" s="470"/>
      <c r="M149" s="470"/>
    </row>
    <row r="150" spans="4:13" customFormat="1">
      <c r="D150" s="175" t="str">
        <f>'3h. Segmental Volume Drivers'!D74</f>
        <v>Oceana's Contracted Permits</v>
      </c>
      <c r="E150" s="479">
        <f>'3h. Segmental Volume Drivers'!M74</f>
        <v>270</v>
      </c>
      <c r="F150" s="479">
        <f>'3h. Segmental Volume Drivers'!N74</f>
        <v>233</v>
      </c>
      <c r="G150" s="514">
        <f>'3h. Segmental Volume Drivers'!O74</f>
        <v>257</v>
      </c>
      <c r="H150" s="470"/>
      <c r="I150" s="470"/>
      <c r="L150" s="470"/>
      <c r="M150" s="470"/>
    </row>
    <row r="151" spans="4:13" customFormat="1">
      <c r="D151" s="520" t="str">
        <f>'3h. Segmental Volume Drivers'!D75</f>
        <v>YoY Growth</v>
      </c>
      <c r="E151" s="521">
        <f>'3h. Segmental Volume Drivers'!M75</f>
        <v>0</v>
      </c>
      <c r="F151" s="521">
        <f>'3h. Segmental Volume Drivers'!N75</f>
        <v>-0.13703703703703707</v>
      </c>
      <c r="G151" s="522">
        <f>'3h. Segmental Volume Drivers'!O75</f>
        <v>0.10300429184549365</v>
      </c>
      <c r="H151" s="470"/>
      <c r="I151" s="470"/>
      <c r="L151" s="470"/>
      <c r="M151" s="470"/>
    </row>
    <row r="152" spans="4:13" customFormat="1">
      <c r="D152" s="520" t="str">
        <f>'3h. Segmental Volume Drivers'!D76</f>
        <v>as % of Total</v>
      </c>
      <c r="E152" s="521">
        <f>'3h. Segmental Volume Drivers'!M76</f>
        <v>0.11143210895583987</v>
      </c>
      <c r="F152" s="521">
        <f>'3h. Segmental Volume Drivers'!N76</f>
        <v>9.6161782913743291E-2</v>
      </c>
      <c r="G152" s="522">
        <f>'3h. Segmental Volume Drivers'!O76</f>
        <v>0.1060668592653735</v>
      </c>
      <c r="H152" s="470"/>
      <c r="I152" s="470"/>
      <c r="L152" s="470"/>
      <c r="M152" s="470"/>
    </row>
    <row r="153" spans="4:13" customFormat="1">
      <c r="D153" s="175" t="str">
        <f>'3h. Segmental Volume Drivers'!D77</f>
        <v>Other than Oceana Permits</v>
      </c>
      <c r="E153" s="479">
        <f>'3h. Segmental Volume Drivers'!M77</f>
        <v>2049</v>
      </c>
      <c r="F153" s="479">
        <f>'3h. Segmental Volume Drivers'!N77</f>
        <v>2085</v>
      </c>
      <c r="G153" s="514">
        <f>'3h. Segmental Volume Drivers'!O77</f>
        <v>2061</v>
      </c>
      <c r="H153" s="470"/>
      <c r="I153" s="470"/>
      <c r="L153" s="470"/>
      <c r="M153" s="470"/>
    </row>
    <row r="154" spans="4:13" customFormat="1">
      <c r="D154" s="520" t="str">
        <f>'3h. Segmental Volume Drivers'!D78</f>
        <v>YoY Growth</v>
      </c>
      <c r="E154" s="521">
        <f>'3h. Segmental Volume Drivers'!M78</f>
        <v>0</v>
      </c>
      <c r="F154" s="521">
        <f>'3h. Segmental Volume Drivers'!N78</f>
        <v>1.7569546120058455E-2</v>
      </c>
      <c r="G154" s="522">
        <f>'3h. Segmental Volume Drivers'!O78</f>
        <v>-1.151079136690647E-2</v>
      </c>
      <c r="H154" s="470"/>
      <c r="I154" s="470"/>
      <c r="L154" s="470"/>
      <c r="M154" s="470"/>
    </row>
    <row r="155" spans="4:13" customFormat="1" ht="16" thickBot="1">
      <c r="D155" s="520" t="str">
        <f>'3h. Segmental Volume Drivers'!D79</f>
        <v>as % of Total</v>
      </c>
      <c r="E155" s="521">
        <f>'3h. Segmental Volume Drivers'!M79</f>
        <v>0.84564589352042918</v>
      </c>
      <c r="F155" s="521">
        <f>'3h. Segmental Volume Drivers'!N79</f>
        <v>0.86050350804787457</v>
      </c>
      <c r="G155" s="522">
        <f>'3h. Segmental Volume Drivers'!O79</f>
        <v>0.85059843169624427</v>
      </c>
      <c r="H155" s="470"/>
      <c r="I155" s="470"/>
      <c r="L155" s="470"/>
      <c r="M155" s="470"/>
    </row>
    <row r="156" spans="4:13" customFormat="1" ht="16" thickBot="1">
      <c r="D156" s="488" t="str">
        <f>'3h. Segmental Volume Drivers'!D80</f>
        <v>Total</v>
      </c>
      <c r="E156" s="489">
        <f>'3h. Segmental Volume Drivers'!M80</f>
        <v>2423</v>
      </c>
      <c r="F156" s="489">
        <f>'3h. Segmental Volume Drivers'!N80</f>
        <v>2423</v>
      </c>
      <c r="G156" s="517">
        <f>'3h. Segmental Volume Drivers'!O80</f>
        <v>2423</v>
      </c>
      <c r="H156" s="470"/>
      <c r="I156" s="470"/>
      <c r="L156" s="470"/>
      <c r="M156" s="470"/>
    </row>
    <row r="157" spans="4:13" customFormat="1" ht="16" thickBot="1">
      <c r="D157" s="520" t="str">
        <f>'3h. Segmental Volume Drivers'!D81</f>
        <v>YoY Growth</v>
      </c>
      <c r="E157" s="521">
        <f>'3h. Segmental Volume Drivers'!M81</f>
        <v>0</v>
      </c>
      <c r="F157" s="521">
        <f>'3h. Segmental Volume Drivers'!N81</f>
        <v>0</v>
      </c>
      <c r="G157" s="522">
        <f>'3h. Segmental Volume Drivers'!O81</f>
        <v>0</v>
      </c>
      <c r="H157" s="470"/>
      <c r="I157" s="470"/>
      <c r="L157" s="470"/>
      <c r="M157" s="470"/>
    </row>
    <row r="158" spans="4:13" customFormat="1" ht="16" thickBot="1">
      <c r="D158" s="488" t="str">
        <f>'3h. Segmental Volume Drivers'!D82</f>
        <v>Total Attributable to Oceana</v>
      </c>
      <c r="E158" s="489">
        <f>'3h. Segmental Volume Drivers'!M82</f>
        <v>374</v>
      </c>
      <c r="F158" s="489">
        <f>'3h. Segmental Volume Drivers'!N82</f>
        <v>337</v>
      </c>
      <c r="G158" s="517">
        <f>'3h. Segmental Volume Drivers'!O82</f>
        <v>361</v>
      </c>
      <c r="H158" s="470"/>
      <c r="I158" s="470"/>
      <c r="L158" s="470"/>
      <c r="M158" s="470"/>
    </row>
    <row r="159" spans="4:13" customFormat="1">
      <c r="D159" s="520" t="str">
        <f>'3h. Segmental Volume Drivers'!D83</f>
        <v>YoY Growth</v>
      </c>
      <c r="E159" s="521">
        <f>'3h. Segmental Volume Drivers'!M83</f>
        <v>0</v>
      </c>
      <c r="F159" s="521">
        <f>'3h. Segmental Volume Drivers'!N83</f>
        <v>-9.8930481283422411E-2</v>
      </c>
      <c r="G159" s="522">
        <f>'3h. Segmental Volume Drivers'!O83</f>
        <v>7.1216617210682509E-2</v>
      </c>
      <c r="H159" s="470"/>
      <c r="I159" s="470"/>
      <c r="L159" s="470"/>
      <c r="M159" s="470"/>
    </row>
    <row r="160" spans="4:13" customFormat="1" ht="16" thickBot="1">
      <c r="D160" s="523" t="str">
        <f>'3h. Segmental Volume Drivers'!D84</f>
        <v>as % of Total</v>
      </c>
      <c r="E160" s="524">
        <f>'3h. Segmental Volume Drivers'!M84</f>
        <v>0.15435410647957079</v>
      </c>
      <c r="F160" s="524">
        <f>'3h. Segmental Volume Drivers'!N84</f>
        <v>0.13908378043747421</v>
      </c>
      <c r="G160" s="525">
        <f>'3h. Segmental Volume Drivers'!O84</f>
        <v>0.14898885678910442</v>
      </c>
      <c r="H160" s="470"/>
      <c r="I160" s="470"/>
      <c r="L160" s="470"/>
      <c r="M160" s="470"/>
    </row>
    <row r="161" spans="4:13" customFormat="1" ht="16" thickBot="1">
      <c r="E161" s="470"/>
      <c r="H161" s="470"/>
      <c r="I161" s="470"/>
      <c r="L161" s="470"/>
      <c r="M161" s="470"/>
    </row>
    <row r="162" spans="4:13" customFormat="1">
      <c r="D162" s="502" t="s">
        <v>1298</v>
      </c>
      <c r="E162" s="468" t="s">
        <v>21</v>
      </c>
      <c r="F162" s="468" t="s">
        <v>22</v>
      </c>
      <c r="G162" s="513" t="s">
        <v>23</v>
      </c>
      <c r="H162" s="470"/>
      <c r="I162" s="470"/>
      <c r="L162" s="470"/>
      <c r="M162" s="470"/>
    </row>
    <row r="163" spans="4:13" s="7" customFormat="1" ht="14">
      <c r="D163" s="175" t="str">
        <f>'3h. Segmental Volume Drivers'!D111</f>
        <v>Oceana's Own Quota</v>
      </c>
      <c r="E163" s="479">
        <f>'3h. Segmental Volume Drivers'!M111</f>
        <v>12035</v>
      </c>
      <c r="F163" s="479">
        <f>'3h. Segmental Volume Drivers'!N111</f>
        <v>13239</v>
      </c>
      <c r="G163" s="514">
        <f>'3h. Segmental Volume Drivers'!O111</f>
        <v>15103</v>
      </c>
      <c r="H163" s="480"/>
      <c r="I163" s="480"/>
      <c r="L163" s="480"/>
      <c r="M163" s="480"/>
    </row>
    <row r="164" spans="4:13" s="161" customFormat="1" ht="11">
      <c r="D164" s="520" t="str">
        <f>'3h. Segmental Volume Drivers'!D112</f>
        <v>YoY Growth</v>
      </c>
      <c r="E164" s="521">
        <f>'3h. Segmental Volume Drivers'!M112</f>
        <v>9.9890330835313401E-2</v>
      </c>
      <c r="F164" s="521">
        <f>'3h. Segmental Volume Drivers'!N112</f>
        <v>0.10004154549231403</v>
      </c>
      <c r="G164" s="522">
        <f>'3h. Segmental Volume Drivers'!O112</f>
        <v>0.14079613263841684</v>
      </c>
      <c r="H164" s="512"/>
      <c r="I164" s="512"/>
      <c r="L164" s="512"/>
      <c r="M164" s="512"/>
    </row>
    <row r="165" spans="4:13" s="161" customFormat="1" ht="11">
      <c r="D165" s="520" t="str">
        <f>'3h. Segmental Volume Drivers'!D113</f>
        <v>as % of Total</v>
      </c>
      <c r="E165" s="521">
        <f>'3h. Segmental Volume Drivers'!M113</f>
        <v>0.34733044733044732</v>
      </c>
      <c r="F165" s="521">
        <f>'3h. Segmental Volume Drivers'!N113</f>
        <v>0.34733044733044732</v>
      </c>
      <c r="G165" s="522">
        <f>'3h. Segmental Volume Drivers'!O113</f>
        <v>0.36022133708588738</v>
      </c>
      <c r="H165" s="512"/>
      <c r="I165" s="512"/>
      <c r="L165" s="512"/>
      <c r="M165" s="512"/>
    </row>
    <row r="166" spans="4:13" s="7" customFormat="1" ht="14">
      <c r="D166" s="175" t="str">
        <f>'3h. Segmental Volume Drivers'!D114</f>
        <v>Oceana's Contracted Quota</v>
      </c>
      <c r="E166" s="479">
        <f>'3h. Segmental Volume Drivers'!M114</f>
        <v>13589</v>
      </c>
      <c r="F166" s="479">
        <f>'3h. Segmental Volume Drivers'!N114</f>
        <v>11435</v>
      </c>
      <c r="G166" s="514">
        <f>'3h. Segmental Volume Drivers'!O114</f>
        <v>10000</v>
      </c>
      <c r="H166" s="480"/>
      <c r="I166" s="480"/>
      <c r="L166" s="480"/>
      <c r="M166" s="480"/>
    </row>
    <row r="167" spans="4:13" s="161" customFormat="1" ht="11">
      <c r="D167" s="520" t="str">
        <f>'3h. Segmental Volume Drivers'!D115</f>
        <v>YoY Growth</v>
      </c>
      <c r="E167" s="521">
        <f>'3h. Segmental Volume Drivers'!M115</f>
        <v>-0.11223623178937736</v>
      </c>
      <c r="F167" s="521">
        <f>'3h. Segmental Volume Drivers'!N115</f>
        <v>-0.15851056001177422</v>
      </c>
      <c r="G167" s="522">
        <f>'3h. Segmental Volume Drivers'!O115</f>
        <v>-0.12549191080017486</v>
      </c>
      <c r="H167" s="512"/>
      <c r="I167" s="512"/>
      <c r="L167" s="512"/>
      <c r="M167" s="512"/>
    </row>
    <row r="168" spans="4:13" s="161" customFormat="1" ht="11">
      <c r="D168" s="520" t="str">
        <f>'3h. Segmental Volume Drivers'!D116</f>
        <v>as % of Total</v>
      </c>
      <c r="E168" s="521">
        <f>'3h. Segmental Volume Drivers'!M116</f>
        <v>0.39217893217893218</v>
      </c>
      <c r="F168" s="521">
        <f>'3h. Segmental Volume Drivers'!N116</f>
        <v>0.30000524714030852</v>
      </c>
      <c r="G168" s="522">
        <f>'3h. Segmental Volume Drivers'!O116</f>
        <v>0.23850979082691345</v>
      </c>
      <c r="H168" s="512"/>
      <c r="I168" s="512"/>
      <c r="L168" s="512"/>
      <c r="M168" s="512"/>
    </row>
    <row r="169" spans="4:13" s="7" customFormat="1" ht="14">
      <c r="D169" s="175" t="str">
        <f>'3h. Segmental Volume Drivers'!D117</f>
        <v>Other than Oceana Quota</v>
      </c>
      <c r="E169" s="479">
        <f>'3h. Segmental Volume Drivers'!M117</f>
        <v>9026</v>
      </c>
      <c r="F169" s="479">
        <f>'3h. Segmental Volume Drivers'!N117</f>
        <v>13442</v>
      </c>
      <c r="G169" s="514">
        <f>'3h. Segmental Volume Drivers'!O117</f>
        <v>16824</v>
      </c>
      <c r="H169" s="480"/>
      <c r="I169" s="480"/>
      <c r="L169" s="480"/>
      <c r="M169" s="480"/>
    </row>
    <row r="170" spans="4:13" s="161" customFormat="1" ht="11">
      <c r="D170" s="520" t="str">
        <f>'3h. Segmental Volume Drivers'!D118</f>
        <v>YoY Growth</v>
      </c>
      <c r="E170" s="521">
        <f>'3h. Segmental Volume Drivers'!M118</f>
        <v>0.71891068367929911</v>
      </c>
      <c r="F170" s="521">
        <f>'3h. Segmental Volume Drivers'!N118</f>
        <v>0.48925326833591853</v>
      </c>
      <c r="G170" s="522">
        <f>'3h. Segmental Volume Drivers'!O118</f>
        <v>0.2515994643654218</v>
      </c>
      <c r="H170" s="512"/>
      <c r="I170" s="512"/>
      <c r="L170" s="512"/>
      <c r="M170" s="512"/>
    </row>
    <row r="171" spans="4:13" s="161" customFormat="1" ht="12" thickBot="1">
      <c r="D171" s="520" t="str">
        <f>'3h. Segmental Volume Drivers'!D119</f>
        <v>as % of Total</v>
      </c>
      <c r="E171" s="521">
        <f>'3h. Segmental Volume Drivers'!M119</f>
        <v>0.26049062049062049</v>
      </c>
      <c r="F171" s="521">
        <f>'3h. Segmental Volume Drivers'!N119</f>
        <v>0.35266030013642563</v>
      </c>
      <c r="G171" s="522">
        <f>'3h. Segmental Volume Drivers'!O119</f>
        <v>0.40126887208719919</v>
      </c>
      <c r="H171" s="512"/>
      <c r="I171" s="512"/>
      <c r="L171" s="512"/>
      <c r="M171" s="512"/>
    </row>
    <row r="172" spans="4:13" s="7" customFormat="1" thickBot="1">
      <c r="D172" s="488" t="str">
        <f>'3h. Segmental Volume Drivers'!D120</f>
        <v>Total</v>
      </c>
      <c r="E172" s="489">
        <f>'3h. Segmental Volume Drivers'!M120</f>
        <v>34650</v>
      </c>
      <c r="F172" s="489">
        <f>'3h. Segmental Volume Drivers'!N120</f>
        <v>38116</v>
      </c>
      <c r="G172" s="517">
        <f>'3h. Segmental Volume Drivers'!O120</f>
        <v>41927</v>
      </c>
      <c r="H172" s="480"/>
      <c r="I172" s="480"/>
      <c r="L172" s="480"/>
      <c r="M172" s="480"/>
    </row>
    <row r="173" spans="4:13" s="161" customFormat="1" ht="12" thickBot="1">
      <c r="D173" s="520" t="str">
        <f>'3h. Segmental Volume Drivers'!D121</f>
        <v>YoY Growth</v>
      </c>
      <c r="E173" s="521">
        <f>'3h. Segmental Volume Drivers'!M121</f>
        <v>0.10000000000000009</v>
      </c>
      <c r="F173" s="521">
        <f>'3h. Segmental Volume Drivers'!N121</f>
        <v>0.10002886002886013</v>
      </c>
      <c r="G173" s="522">
        <f>'3h. Segmental Volume Drivers'!O121</f>
        <v>9.9984258579074448E-2</v>
      </c>
      <c r="H173" s="512"/>
      <c r="I173" s="512"/>
      <c r="L173" s="512"/>
      <c r="M173" s="512"/>
    </row>
    <row r="174" spans="4:13" s="6" customFormat="1" thickBot="1">
      <c r="D174" s="488" t="str">
        <f>'3h. Segmental Volume Drivers'!D122</f>
        <v>Total Attributable to Oceana</v>
      </c>
      <c r="E174" s="489">
        <f>'3h. Segmental Volume Drivers'!M122</f>
        <v>25624</v>
      </c>
      <c r="F174" s="489">
        <f>'3h. Segmental Volume Drivers'!N122</f>
        <v>24674</v>
      </c>
      <c r="G174" s="517">
        <f>'3h. Segmental Volume Drivers'!O122</f>
        <v>25103</v>
      </c>
      <c r="H174" s="501"/>
      <c r="I174" s="501"/>
      <c r="L174" s="501"/>
      <c r="M174" s="501"/>
    </row>
    <row r="175" spans="4:13" s="161" customFormat="1" ht="11">
      <c r="D175" s="520" t="e">
        <f>'3h. Segmental Volume Drivers'!#REF!</f>
        <v>#REF!</v>
      </c>
      <c r="E175" s="521" t="e">
        <f>'3h. Segmental Volume Drivers'!#REF!</f>
        <v>#REF!</v>
      </c>
      <c r="F175" s="521" t="e">
        <f>'3h. Segmental Volume Drivers'!#REF!</f>
        <v>#REF!</v>
      </c>
      <c r="G175" s="522" t="e">
        <f>'3h. Segmental Volume Drivers'!#REF!</f>
        <v>#REF!</v>
      </c>
      <c r="H175" s="512"/>
      <c r="I175" s="512"/>
      <c r="L175" s="512"/>
      <c r="M175" s="512"/>
    </row>
    <row r="176" spans="4:13" s="161" customFormat="1" ht="12" thickBot="1">
      <c r="D176" s="523" t="str">
        <f>'3h. Segmental Volume Drivers'!D124</f>
        <v>as % of Total</v>
      </c>
      <c r="E176" s="524">
        <f>'3h. Segmental Volume Drivers'!M124</f>
        <v>0.73950937950937956</v>
      </c>
      <c r="F176" s="524">
        <f>'3h. Segmental Volume Drivers'!N124</f>
        <v>0.64733969986357431</v>
      </c>
      <c r="G176" s="525">
        <f>'3h. Segmental Volume Drivers'!O124</f>
        <v>0.59873112791280081</v>
      </c>
      <c r="H176" s="512"/>
      <c r="I176" s="512"/>
      <c r="L176" s="512"/>
      <c r="M176" s="512"/>
    </row>
    <row r="177" spans="4:13" customFormat="1" ht="16" thickBot="1">
      <c r="E177" s="470"/>
      <c r="H177" s="470"/>
      <c r="I177" s="470"/>
      <c r="L177" s="470"/>
      <c r="M177" s="470"/>
    </row>
    <row r="178" spans="4:13" customFormat="1">
      <c r="D178" s="502" t="s">
        <v>1299</v>
      </c>
      <c r="E178" s="468" t="s">
        <v>21</v>
      </c>
      <c r="F178" s="468" t="s">
        <v>22</v>
      </c>
      <c r="G178" s="513" t="s">
        <v>23</v>
      </c>
      <c r="H178" s="470"/>
      <c r="I178" s="470"/>
      <c r="L178" s="470"/>
      <c r="M178" s="470"/>
    </row>
    <row r="179" spans="4:13" s="7" customFormat="1" ht="14">
      <c r="D179" s="175" t="str">
        <f>'3h. Segmental Volume Drivers'!D127</f>
        <v>Oceana's Own Quota or Co-owned or Contracted (since FY14)</v>
      </c>
      <c r="E179" s="479">
        <f>'3h. Segmental Volume Drivers'!M127</f>
        <v>53015</v>
      </c>
      <c r="F179" s="479">
        <f>'3h. Segmental Volume Drivers'!N127</f>
        <v>73316</v>
      </c>
      <c r="G179" s="514">
        <f>'3h. Segmental Volume Drivers'!O127</f>
        <v>79731</v>
      </c>
      <c r="H179" s="480"/>
      <c r="I179" s="480"/>
      <c r="L179" s="480"/>
      <c r="M179" s="480"/>
    </row>
    <row r="180" spans="4:13" s="161" customFormat="1" ht="11">
      <c r="D180" s="520" t="str">
        <f>'3h. Segmental Volume Drivers'!D128</f>
        <v>YoY Growth</v>
      </c>
      <c r="E180" s="521">
        <f>'3h. Segmental Volume Drivers'!M128</f>
        <v>0.15611915561758538</v>
      </c>
      <c r="F180" s="521">
        <f>'3h. Segmental Volume Drivers'!N128</f>
        <v>0.38292935961520325</v>
      </c>
      <c r="G180" s="522">
        <f>'3h. Segmental Volume Drivers'!O128</f>
        <v>8.7497954061869221E-2</v>
      </c>
      <c r="H180" s="512"/>
      <c r="I180" s="512"/>
      <c r="L180" s="512"/>
      <c r="M180" s="512"/>
    </row>
    <row r="181" spans="4:13" s="161" customFormat="1" ht="11">
      <c r="D181" s="520" t="str">
        <f>'3h. Segmental Volume Drivers'!D129</f>
        <v>as % of Total</v>
      </c>
      <c r="E181" s="521">
        <f>'3h. Segmental Volume Drivers'!M129</f>
        <v>0.15147142857142856</v>
      </c>
      <c r="F181" s="521">
        <f>'3h. Segmental Volume Drivers'!N129</f>
        <v>0.20947428571428572</v>
      </c>
      <c r="G181" s="522">
        <f>'3h. Segmental Volume Drivers'!O129</f>
        <v>0.22780285714285714</v>
      </c>
      <c r="H181" s="512"/>
      <c r="I181" s="512"/>
      <c r="L181" s="512"/>
      <c r="M181" s="512"/>
    </row>
    <row r="182" spans="4:13" s="7" customFormat="1" ht="14">
      <c r="D182" s="175" t="str">
        <f>'3h. Segmental Volume Drivers'!D130</f>
        <v>Oceana's Contracted Quota</v>
      </c>
      <c r="E182" s="479">
        <f>'3h. Segmental Volume Drivers'!M130</f>
        <v>17860</v>
      </c>
      <c r="F182" s="479">
        <f>'3h. Segmental Volume Drivers'!N130</f>
        <v>0</v>
      </c>
      <c r="G182" s="514">
        <f>'3h. Segmental Volume Drivers'!O130</f>
        <v>0</v>
      </c>
      <c r="H182" s="480"/>
      <c r="I182" s="480"/>
      <c r="L182" s="480"/>
      <c r="M182" s="480"/>
    </row>
    <row r="183" spans="4:13" s="161" customFormat="1" ht="11">
      <c r="D183" s="520" t="str">
        <f>'3h. Segmental Volume Drivers'!D131</f>
        <v>YoY Growth</v>
      </c>
      <c r="E183" s="521">
        <f>'3h. Segmental Volume Drivers'!M131</f>
        <v>-0.60973691110916883</v>
      </c>
      <c r="F183" s="521">
        <f>'3h. Segmental Volume Drivers'!N131</f>
        <v>0</v>
      </c>
      <c r="G183" s="522">
        <f>'3h. Segmental Volume Drivers'!O131</f>
        <v>0</v>
      </c>
      <c r="H183" s="512"/>
      <c r="I183" s="512"/>
      <c r="L183" s="512"/>
      <c r="M183" s="512"/>
    </row>
    <row r="184" spans="4:13" s="161" customFormat="1" ht="11">
      <c r="D184" s="520" t="str">
        <f>'3h. Segmental Volume Drivers'!D132</f>
        <v>as % of Total</v>
      </c>
      <c r="E184" s="521">
        <f>'3h. Segmental Volume Drivers'!M132</f>
        <v>5.102857142857143E-2</v>
      </c>
      <c r="F184" s="521">
        <f>'3h. Segmental Volume Drivers'!N132</f>
        <v>0</v>
      </c>
      <c r="G184" s="522">
        <f>'3h. Segmental Volume Drivers'!O132</f>
        <v>0</v>
      </c>
      <c r="H184" s="512"/>
      <c r="I184" s="512"/>
      <c r="L184" s="512"/>
      <c r="M184" s="512"/>
    </row>
    <row r="185" spans="4:13" s="7" customFormat="1" ht="14">
      <c r="D185" s="175" t="e">
        <f>'3h. Segmental Volume Drivers'!#REF!</f>
        <v>#REF!</v>
      </c>
      <c r="E185" s="479" t="e">
        <f>'3h. Segmental Volume Drivers'!#REF!</f>
        <v>#REF!</v>
      </c>
      <c r="F185" s="479" t="e">
        <f>'3h. Segmental Volume Drivers'!#REF!</f>
        <v>#REF!</v>
      </c>
      <c r="G185" s="514" t="e">
        <f>'3h. Segmental Volume Drivers'!#REF!</f>
        <v>#REF!</v>
      </c>
      <c r="H185" s="480"/>
      <c r="I185" s="480"/>
      <c r="L185" s="480"/>
      <c r="M185" s="480"/>
    </row>
    <row r="186" spans="4:13" s="161" customFormat="1" ht="11">
      <c r="D186" s="520" t="str">
        <f>'3h. Segmental Volume Drivers'!D134</f>
        <v>YoY Growth</v>
      </c>
      <c r="E186" s="521">
        <f>'3h. Segmental Volume Drivers'!M134</f>
        <v>0.22219546370084942</v>
      </c>
      <c r="F186" s="521">
        <f>'3h. Segmental Volume Drivers'!N134</f>
        <v>-8.7451858486341516E-3</v>
      </c>
      <c r="G186" s="522">
        <f>'3h. Segmental Volume Drivers'!O134</f>
        <v>-2.3185294415289603E-2</v>
      </c>
      <c r="H186" s="512"/>
      <c r="I186" s="512"/>
      <c r="L186" s="512"/>
      <c r="M186" s="512"/>
    </row>
    <row r="187" spans="4:13" s="161" customFormat="1" ht="12" thickBot="1">
      <c r="D187" s="520" t="str">
        <f>'3h. Segmental Volume Drivers'!D135</f>
        <v>as % of Total</v>
      </c>
      <c r="E187" s="521">
        <f>'3h. Segmental Volume Drivers'!M135</f>
        <v>0.79749999999999999</v>
      </c>
      <c r="F187" s="521">
        <f>'3h. Segmental Volume Drivers'!N135</f>
        <v>0.79052571428571428</v>
      </c>
      <c r="G187" s="522">
        <f>'3h. Segmental Volume Drivers'!O135</f>
        <v>0.7721971428571428</v>
      </c>
      <c r="H187" s="512"/>
      <c r="I187" s="512"/>
      <c r="L187" s="512"/>
      <c r="M187" s="512"/>
    </row>
    <row r="188" spans="4:13" s="7" customFormat="1" thickBot="1">
      <c r="D188" s="488" t="str">
        <f>'3h. Segmental Volume Drivers'!D136</f>
        <v>Total</v>
      </c>
      <c r="E188" s="489">
        <f>'3h. Segmental Volume Drivers'!M136</f>
        <v>350000</v>
      </c>
      <c r="F188" s="489">
        <f>'3h. Segmental Volume Drivers'!N136</f>
        <v>350000</v>
      </c>
      <c r="G188" s="517">
        <f>'3h. Segmental Volume Drivers'!O136</f>
        <v>350000</v>
      </c>
      <c r="H188" s="480"/>
      <c r="I188" s="480"/>
      <c r="L188" s="480"/>
      <c r="M188" s="480"/>
    </row>
    <row r="189" spans="4:13" s="161" customFormat="1" ht="12" thickBot="1">
      <c r="D189" s="520" t="str">
        <f>'3h. Segmental Volume Drivers'!D137</f>
        <v>YoY Growth</v>
      </c>
      <c r="E189" s="521">
        <f>'3h. Segmental Volume Drivers'!M137</f>
        <v>9.375E-2</v>
      </c>
      <c r="F189" s="521">
        <f>'3h. Segmental Volume Drivers'!N137</f>
        <v>0</v>
      </c>
      <c r="G189" s="522">
        <f>'3h. Segmental Volume Drivers'!O137</f>
        <v>0</v>
      </c>
      <c r="H189" s="512"/>
      <c r="I189" s="512"/>
      <c r="L189" s="512"/>
      <c r="M189" s="512"/>
    </row>
    <row r="190" spans="4:13" s="6" customFormat="1" thickBot="1">
      <c r="D190" s="488" t="str">
        <f>'3h. Segmental Volume Drivers'!D138</f>
        <v>Total Attributable to Oceana</v>
      </c>
      <c r="E190" s="489">
        <f>'3h. Segmental Volume Drivers'!M138</f>
        <v>70875</v>
      </c>
      <c r="F190" s="489">
        <f>'3h. Segmental Volume Drivers'!N138</f>
        <v>73316</v>
      </c>
      <c r="G190" s="517">
        <f>'3h. Segmental Volume Drivers'!O138</f>
        <v>79731</v>
      </c>
      <c r="H190" s="501"/>
      <c r="I190" s="501"/>
      <c r="L190" s="501"/>
      <c r="M190" s="501"/>
    </row>
    <row r="191" spans="4:13" s="161" customFormat="1" ht="11">
      <c r="D191" s="520" t="str">
        <f>'3h. Segmental Volume Drivers'!D139</f>
        <v>YoY Growth</v>
      </c>
      <c r="E191" s="521">
        <f>'3h. Segmental Volume Drivers'!M139</f>
        <v>-0.22642436149312373</v>
      </c>
      <c r="F191" s="521">
        <f>'3h. Segmental Volume Drivers'!N139</f>
        <v>3.444091710758368E-2</v>
      </c>
      <c r="G191" s="522">
        <f>'3h. Segmental Volume Drivers'!O139</f>
        <v>8.7497954061869221E-2</v>
      </c>
      <c r="H191" s="512"/>
      <c r="I191" s="512"/>
      <c r="L191" s="512"/>
      <c r="M191" s="512"/>
    </row>
    <row r="192" spans="4:13" s="161" customFormat="1" ht="12" thickBot="1">
      <c r="D192" s="523" t="str">
        <f>'3h. Segmental Volume Drivers'!D140</f>
        <v>as % of Total</v>
      </c>
      <c r="E192" s="524">
        <f>'3h. Segmental Volume Drivers'!M140</f>
        <v>0.20250000000000001</v>
      </c>
      <c r="F192" s="524">
        <f>'3h. Segmental Volume Drivers'!N140</f>
        <v>0.20947428571428572</v>
      </c>
      <c r="G192" s="525">
        <f>'3h. Segmental Volume Drivers'!O140</f>
        <v>0.22780285714285714</v>
      </c>
      <c r="H192" s="512"/>
      <c r="I192" s="512"/>
      <c r="L192" s="512"/>
      <c r="M192" s="512"/>
    </row>
    <row r="193" spans="4:13" customFormat="1" ht="16" thickBot="1">
      <c r="E193" s="470"/>
      <c r="H193" s="470"/>
      <c r="I193" s="470"/>
      <c r="L193" s="470"/>
      <c r="M193" s="470"/>
    </row>
    <row r="194" spans="4:13" customFormat="1">
      <c r="D194" s="502" t="s">
        <v>1300</v>
      </c>
      <c r="E194" s="468" t="s">
        <v>21</v>
      </c>
      <c r="F194" s="468" t="s">
        <v>22</v>
      </c>
      <c r="G194" s="513" t="s">
        <v>23</v>
      </c>
      <c r="H194" s="470"/>
      <c r="I194" s="470"/>
      <c r="L194" s="470"/>
      <c r="M194" s="470"/>
    </row>
    <row r="195" spans="4:13" s="7" customFormat="1" ht="14">
      <c r="D195" s="175" t="str">
        <f>'3h. Segmental Volume Drivers'!D143</f>
        <v>Oceana's Own Quota</v>
      </c>
      <c r="E195" s="479">
        <f>'3h. Segmental Volume Drivers'!M143</f>
        <v>7826</v>
      </c>
      <c r="F195" s="479">
        <f>'3h. Segmental Volume Drivers'!N143</f>
        <v>7783</v>
      </c>
      <c r="G195" s="514">
        <f>'3h. Segmental Volume Drivers'!O143</f>
        <v>13444</v>
      </c>
      <c r="H195" s="480"/>
      <c r="I195" s="480"/>
      <c r="L195" s="480"/>
      <c r="M195" s="480"/>
    </row>
    <row r="196" spans="4:13" s="161" customFormat="1" ht="11">
      <c r="D196" s="520" t="str">
        <f>'3h. Segmental Volume Drivers'!D144</f>
        <v>YoY Growth</v>
      </c>
      <c r="E196" s="521">
        <f>'3h. Segmental Volume Drivers'!M144</f>
        <v>0.81409364858599909</v>
      </c>
      <c r="F196" s="521">
        <f>'3h. Segmental Volume Drivers'!N144</f>
        <v>-5.494505494505475E-3</v>
      </c>
      <c r="G196" s="522">
        <f>'3h. Segmental Volume Drivers'!O144</f>
        <v>0.72735449055634072</v>
      </c>
      <c r="H196" s="512"/>
      <c r="I196" s="512"/>
      <c r="L196" s="512"/>
      <c r="M196" s="512"/>
    </row>
    <row r="197" spans="4:13" s="161" customFormat="1" ht="11">
      <c r="D197" s="520" t="str">
        <f>'3h. Segmental Volume Drivers'!D145</f>
        <v>as % of Total</v>
      </c>
      <c r="E197" s="521">
        <f>'3h. Segmental Volume Drivers'!M145</f>
        <v>6.0182871029014817E-2</v>
      </c>
      <c r="F197" s="521">
        <f>'3h. Segmental Volume Drivers'!N145</f>
        <v>6.0068844159051615E-2</v>
      </c>
      <c r="G197" s="522">
        <f>'3h. Segmental Volume Drivers'!O145</f>
        <v>0.109283043407576</v>
      </c>
      <c r="H197" s="512"/>
      <c r="I197" s="512"/>
      <c r="L197" s="512"/>
      <c r="M197" s="512"/>
    </row>
    <row r="198" spans="4:13" s="7" customFormat="1" ht="14">
      <c r="D198" s="175" t="str">
        <f>'3h. Segmental Volume Drivers'!D146</f>
        <v>Oceana's Contracted Quota</v>
      </c>
      <c r="E198" s="479">
        <f>'3h. Segmental Volume Drivers'!M146</f>
        <v>2858</v>
      </c>
      <c r="F198" s="479">
        <f>'3h. Segmental Volume Drivers'!N146</f>
        <v>2591</v>
      </c>
      <c r="G198" s="514">
        <f>'3h. Segmental Volume Drivers'!O146</f>
        <v>2460</v>
      </c>
      <c r="H198" s="480"/>
      <c r="I198" s="480"/>
      <c r="L198" s="480"/>
      <c r="M198" s="480"/>
    </row>
    <row r="199" spans="4:13" s="161" customFormat="1" ht="11">
      <c r="D199" s="520" t="str">
        <f>'3h. Segmental Volume Drivers'!D147</f>
        <v>YoY Growth</v>
      </c>
      <c r="E199" s="521">
        <f>'3h. Segmental Volume Drivers'!M147</f>
        <v>2.8797696184305277E-2</v>
      </c>
      <c r="F199" s="521">
        <f>'3h. Segmental Volume Drivers'!N147</f>
        <v>-9.3421973407977643E-2</v>
      </c>
      <c r="G199" s="522">
        <f>'3h. Segmental Volume Drivers'!O147</f>
        <v>-5.0559629486684687E-2</v>
      </c>
      <c r="H199" s="512"/>
      <c r="I199" s="512"/>
      <c r="L199" s="512"/>
      <c r="M199" s="512"/>
    </row>
    <row r="200" spans="4:13" s="161" customFormat="1" ht="11">
      <c r="D200" s="520" t="str">
        <f>'3h. Segmental Volume Drivers'!D148</f>
        <v>as % of Total</v>
      </c>
      <c r="E200" s="521">
        <f>'3h. Segmental Volume Drivers'!M148</f>
        <v>2.1978360005229281E-2</v>
      </c>
      <c r="F200" s="521">
        <f>'3h. Segmental Volume Drivers'!N148</f>
        <v>1.9997221536181772E-2</v>
      </c>
      <c r="G200" s="522">
        <f>'3h. Segmental Volume Drivers'!O148</f>
        <v>1.9996748496179485E-2</v>
      </c>
      <c r="H200" s="512"/>
      <c r="I200" s="512"/>
      <c r="L200" s="512"/>
      <c r="M200" s="512"/>
    </row>
    <row r="201" spans="4:13" s="7" customFormat="1" ht="14">
      <c r="D201" s="175" t="str">
        <f>'3h. Segmental Volume Drivers'!D149</f>
        <v>Other than Oceana Quota</v>
      </c>
      <c r="E201" s="479">
        <f>'3h. Segmental Volume Drivers'!M149</f>
        <v>119353</v>
      </c>
      <c r="F201" s="479">
        <f>'3h. Segmental Volume Drivers'!N149</f>
        <v>119194</v>
      </c>
      <c r="G201" s="514">
        <f>'3h. Segmental Volume Drivers'!O149</f>
        <v>107116</v>
      </c>
      <c r="H201" s="480"/>
      <c r="I201" s="480"/>
      <c r="L201" s="480"/>
      <c r="M201" s="480"/>
    </row>
    <row r="202" spans="4:13" s="161" customFormat="1" ht="11">
      <c r="D202" s="520" t="str">
        <f>'3h. Segmental Volume Drivers'!D150</f>
        <v>YoY Growth</v>
      </c>
      <c r="E202" s="521">
        <f>'3h. Segmental Volume Drivers'!M150</f>
        <v>-8.0556197519451533E-2</v>
      </c>
      <c r="F202" s="521">
        <f>'3h. Segmental Volume Drivers'!N150</f>
        <v>-1.3321826849764795E-3</v>
      </c>
      <c r="G202" s="522">
        <f>'3h. Segmental Volume Drivers'!O150</f>
        <v>-0.10133060388945747</v>
      </c>
      <c r="H202" s="512"/>
      <c r="I202" s="512"/>
      <c r="L202" s="512"/>
      <c r="M202" s="512"/>
    </row>
    <row r="203" spans="4:13" s="161" customFormat="1" ht="12" thickBot="1">
      <c r="D203" s="520" t="str">
        <f>'3h. Segmental Volume Drivers'!D151</f>
        <v>as % of Total</v>
      </c>
      <c r="E203" s="521">
        <f>'3h. Segmental Volume Drivers'!M151</f>
        <v>0.91783876896575589</v>
      </c>
      <c r="F203" s="521">
        <f>'3h. Segmental Volume Drivers'!N151</f>
        <v>0.91993393430476655</v>
      </c>
      <c r="G203" s="522">
        <f>'3h. Segmental Volume Drivers'!O151</f>
        <v>0.87072020809624451</v>
      </c>
      <c r="H203" s="512"/>
      <c r="I203" s="512"/>
      <c r="L203" s="512"/>
      <c r="M203" s="512"/>
    </row>
    <row r="204" spans="4:13" s="7" customFormat="1" thickBot="1">
      <c r="D204" s="488" t="str">
        <f>'3h. Segmental Volume Drivers'!D152</f>
        <v>Total</v>
      </c>
      <c r="E204" s="489">
        <f>'3h. Segmental Volume Drivers'!M152</f>
        <v>130037</v>
      </c>
      <c r="F204" s="489">
        <f>'3h. Segmental Volume Drivers'!N152</f>
        <v>129568</v>
      </c>
      <c r="G204" s="517">
        <f>'3h. Segmental Volume Drivers'!O152</f>
        <v>123020</v>
      </c>
      <c r="H204" s="480"/>
      <c r="I204" s="480"/>
      <c r="L204" s="480"/>
      <c r="M204" s="480"/>
    </row>
    <row r="205" spans="4:13" s="161" customFormat="1" ht="12" thickBot="1">
      <c r="D205" s="520" t="str">
        <f>'3h. Segmental Volume Drivers'!D153</f>
        <v>YoY Growth</v>
      </c>
      <c r="E205" s="521">
        <f>'3h. Segmental Volume Drivers'!M153</f>
        <v>-5.0145359454208172E-2</v>
      </c>
      <c r="F205" s="521">
        <f>'3h. Segmental Volume Drivers'!N153</f>
        <v>-3.6066657951198122E-3</v>
      </c>
      <c r="G205" s="522">
        <f>'3h. Segmental Volume Drivers'!O153</f>
        <v>-5.0537169671523885E-2</v>
      </c>
      <c r="H205" s="512"/>
      <c r="I205" s="512"/>
      <c r="L205" s="512"/>
      <c r="M205" s="512"/>
    </row>
    <row r="206" spans="4:13" s="6" customFormat="1" thickBot="1">
      <c r="D206" s="488" t="str">
        <f>'3h. Segmental Volume Drivers'!D154</f>
        <v>Total Attributable to Oceana</v>
      </c>
      <c r="E206" s="489">
        <f>'3h. Segmental Volume Drivers'!M154</f>
        <v>10684</v>
      </c>
      <c r="F206" s="489">
        <f>'3h. Segmental Volume Drivers'!N154</f>
        <v>10374</v>
      </c>
      <c r="G206" s="517">
        <f>'3h. Segmental Volume Drivers'!O154</f>
        <v>15904</v>
      </c>
      <c r="H206" s="501"/>
      <c r="I206" s="501"/>
      <c r="L206" s="501"/>
      <c r="M206" s="501"/>
    </row>
    <row r="207" spans="4:13" s="161" customFormat="1" ht="11">
      <c r="D207" s="520" t="str">
        <f>'3h. Segmental Volume Drivers'!D155</f>
        <v>YoY Growth</v>
      </c>
      <c r="E207" s="521">
        <f>'3h. Segmental Volume Drivers'!M155</f>
        <v>0.50648618161308523</v>
      </c>
      <c r="F207" s="521">
        <f>'3h. Segmental Volume Drivers'!N155</f>
        <v>-2.901535005615874E-2</v>
      </c>
      <c r="G207" s="522">
        <f>'3h. Segmental Volume Drivers'!O155</f>
        <v>0.53306342780026994</v>
      </c>
      <c r="H207" s="512"/>
      <c r="I207" s="512"/>
      <c r="L207" s="512"/>
      <c r="M207" s="512"/>
    </row>
    <row r="208" spans="4:13" s="161" customFormat="1" ht="12" thickBot="1">
      <c r="D208" s="523" t="str">
        <f>'3h. Segmental Volume Drivers'!D156</f>
        <v>as % of Total</v>
      </c>
      <c r="E208" s="524">
        <f>'3h. Segmental Volume Drivers'!M156</f>
        <v>8.2161231034244095E-2</v>
      </c>
      <c r="F208" s="524">
        <f>'3h. Segmental Volume Drivers'!N156</f>
        <v>8.006606569523339E-2</v>
      </c>
      <c r="G208" s="525">
        <f>'3h. Segmental Volume Drivers'!O156</f>
        <v>0.12927979190375549</v>
      </c>
      <c r="H208" s="512"/>
      <c r="I208" s="512"/>
      <c r="L208" s="512"/>
      <c r="M208" s="512"/>
    </row>
    <row r="209" spans="1:20" customFormat="1">
      <c r="E209" s="470"/>
      <c r="H209" s="470"/>
      <c r="I209" s="470"/>
      <c r="L209" s="470"/>
      <c r="M209" s="470"/>
    </row>
    <row r="210" spans="1:20" customFormat="1">
      <c r="E210" s="470"/>
      <c r="H210" s="470"/>
      <c r="I210" s="470"/>
      <c r="L210" s="470"/>
      <c r="M210" s="470"/>
    </row>
    <row r="211" spans="1:20" customFormat="1" ht="18">
      <c r="D211" s="1946" t="s">
        <v>1301</v>
      </c>
      <c r="E211" s="1946"/>
      <c r="F211" s="1946"/>
      <c r="G211" s="1946"/>
      <c r="H211" s="1946"/>
      <c r="I211" s="1946"/>
      <c r="J211" s="1946"/>
      <c r="K211" s="1946"/>
      <c r="L211" s="1946"/>
      <c r="M211" s="1946"/>
    </row>
    <row r="212" spans="1:20" ht="19" thickBot="1">
      <c r="A212" s="18"/>
      <c r="B212" s="18"/>
      <c r="C212" s="18"/>
      <c r="D212" s="558"/>
      <c r="E212" s="558"/>
      <c r="F212" s="558"/>
      <c r="G212" s="558"/>
      <c r="H212" s="558"/>
      <c r="I212" s="558"/>
      <c r="J212" s="558"/>
      <c r="K212" s="558"/>
      <c r="L212" s="558"/>
      <c r="M212" s="558"/>
      <c r="N212" s="18"/>
      <c r="O212" s="18"/>
      <c r="P212" s="18"/>
      <c r="Q212" s="18"/>
      <c r="R212" s="18"/>
      <c r="S212" s="18"/>
      <c r="T212" s="18"/>
    </row>
    <row r="213" spans="1:20" s="171" customFormat="1">
      <c r="A213" s="23"/>
      <c r="B213" s="23"/>
      <c r="C213" s="23"/>
      <c r="D213" s="502" t="str">
        <f>'3h. Segmental Volume Drivers'!D86</f>
        <v xml:space="preserve">Inshore Fishing - Volumes Sold </v>
      </c>
      <c r="E213" s="468" t="str">
        <f>'3h. Segmental Volume Drivers'!L86</f>
        <v>2012A</v>
      </c>
      <c r="F213" s="468" t="str">
        <f>'3h. Segmental Volume Drivers'!M86</f>
        <v>2013A</v>
      </c>
      <c r="G213" s="468" t="str">
        <f>'3h. Segmental Volume Drivers'!N86</f>
        <v>2014A</v>
      </c>
      <c r="H213" s="471" t="str">
        <f>'3h. Segmental Volume Drivers'!O86</f>
        <v>2015A</v>
      </c>
      <c r="I213" s="339"/>
      <c r="L213" s="339"/>
      <c r="M213" s="339"/>
    </row>
    <row r="214" spans="1:20" s="7" customFormat="1" ht="14">
      <c r="D214" s="175" t="str">
        <f>'3h. Segmental Volume Drivers'!D87</f>
        <v>Canned Fish (in thousands of cartons)</v>
      </c>
      <c r="E214" s="479">
        <f>'3h. Segmental Volume Drivers'!L87</f>
        <v>8639</v>
      </c>
      <c r="F214" s="479">
        <f>'3h. Segmental Volume Drivers'!M87</f>
        <v>8600</v>
      </c>
      <c r="G214" s="479">
        <f>'3h. Segmental Volume Drivers'!N87</f>
        <v>8600</v>
      </c>
      <c r="H214" s="514">
        <f>'3h. Segmental Volume Drivers'!O87</f>
        <v>8300</v>
      </c>
      <c r="I214" s="480"/>
      <c r="L214" s="480"/>
      <c r="M214" s="480"/>
    </row>
    <row r="215" spans="1:20" s="161" customFormat="1" ht="11">
      <c r="D215" s="520" t="str">
        <f>'3h. Segmental Volume Drivers'!D88</f>
        <v>YoY Growth</v>
      </c>
      <c r="E215" s="521">
        <f>'3h. Segmental Volume Drivers'!L88</f>
        <v>0</v>
      </c>
      <c r="F215" s="521">
        <f>'3h. Segmental Volume Drivers'!M88</f>
        <v>-4.5144113902072514E-3</v>
      </c>
      <c r="G215" s="521">
        <f>'3h. Segmental Volume Drivers'!N88</f>
        <v>0</v>
      </c>
      <c r="H215" s="522">
        <f>'3h. Segmental Volume Drivers'!O88</f>
        <v>-3.4883720930232509E-2</v>
      </c>
      <c r="I215" s="512"/>
      <c r="L215" s="512"/>
      <c r="M215" s="512"/>
    </row>
    <row r="216" spans="1:20" s="161" customFormat="1" ht="11">
      <c r="D216" s="520" t="str">
        <f>'3h. Segmental Volume Drivers'!D89</f>
        <v>as % of Total</v>
      </c>
      <c r="E216" s="521">
        <f>'3h. Segmental Volume Drivers'!L89</f>
        <v>0.12305391353892173</v>
      </c>
      <c r="F216" s="521">
        <f>'3h. Segmental Volume Drivers'!M89</f>
        <v>0.17357607072215719</v>
      </c>
      <c r="G216" s="521">
        <f>'3h. Segmental Volume Drivers'!N89</f>
        <v>0.13644526245567609</v>
      </c>
      <c r="H216" s="522">
        <f>'3h. Segmental Volume Drivers'!O89</f>
        <v>0.11866993844191236</v>
      </c>
      <c r="I216" s="512"/>
      <c r="L216" s="512"/>
      <c r="M216" s="512"/>
    </row>
    <row r="217" spans="1:20" s="7" customFormat="1" ht="14">
      <c r="D217" s="175" t="str">
        <f>'3h. Segmental Volume Drivers'!D90</f>
        <v>FishMeal and FIshOil (in tons)</v>
      </c>
      <c r="E217" s="479">
        <f>'3h. Segmental Volume Drivers'!L90</f>
        <v>41968</v>
      </c>
      <c r="F217" s="479">
        <f>'3h. Segmental Volume Drivers'!M90</f>
        <v>20958</v>
      </c>
      <c r="G217" s="479">
        <f>'3h. Segmental Volume Drivers'!N90</f>
        <v>33831.449795810193</v>
      </c>
      <c r="H217" s="514">
        <f>'3h. Segmental Volume Drivers'!O90</f>
        <v>40574.865740684967</v>
      </c>
      <c r="I217" s="480"/>
      <c r="L217" s="480"/>
      <c r="M217" s="480"/>
    </row>
    <row r="218" spans="1:20" s="161" customFormat="1" ht="11">
      <c r="D218" s="520" t="str">
        <f>'3h. Segmental Volume Drivers'!D91</f>
        <v>YoY Growth</v>
      </c>
      <c r="E218" s="521">
        <f>'3h. Segmental Volume Drivers'!L91</f>
        <v>0</v>
      </c>
      <c r="F218" s="521">
        <f>'3h. Segmental Volume Drivers'!M91</f>
        <v>-0.50061951963400686</v>
      </c>
      <c r="G218" s="521">
        <f>'3h. Segmental Volume Drivers'!N91</f>
        <v>0.61424991868547552</v>
      </c>
      <c r="H218" s="522">
        <f>'3h. Segmental Volume Drivers'!O91</f>
        <v>0.19932388311983917</v>
      </c>
      <c r="I218" s="512"/>
      <c r="L218" s="512"/>
      <c r="M218" s="512"/>
    </row>
    <row r="219" spans="1:20" s="161" customFormat="1" ht="11">
      <c r="D219" s="520" t="str">
        <f>'3h. Segmental Volume Drivers'!D92</f>
        <v>as % of Total</v>
      </c>
      <c r="E219" s="521">
        <f>'3h. Segmental Volume Drivers'!L92</f>
        <v>0.59779218004415635</v>
      </c>
      <c r="F219" s="521">
        <f>'3h. Segmental Volume Drivers'!M92</f>
        <v>0.42300084769708957</v>
      </c>
      <c r="G219" s="521">
        <f>'3h. Segmental Volume Drivers'!N92</f>
        <v>0.53676058681922689</v>
      </c>
      <c r="H219" s="522">
        <f>'3h. Segmental Volume Drivers'!O92</f>
        <v>0.58012250840192092</v>
      </c>
      <c r="I219" s="512"/>
      <c r="L219" s="512"/>
      <c r="M219" s="512"/>
    </row>
    <row r="220" spans="1:20" s="7" customFormat="1" ht="14">
      <c r="D220" s="175" t="str">
        <f>'3h. Segmental Volume Drivers'!D93</f>
        <v>Lobster (in tons)</v>
      </c>
      <c r="E220" s="479">
        <f>'3h. Segmental Volume Drivers'!L93</f>
        <v>458</v>
      </c>
      <c r="F220" s="479">
        <f>'3h. Segmental Volume Drivers'!M93</f>
        <v>465</v>
      </c>
      <c r="G220" s="479">
        <f>'3h. Segmental Volume Drivers'!N93</f>
        <v>560.19685039370086</v>
      </c>
      <c r="H220" s="514">
        <f>'3h. Segmental Volume Drivers'!O93</f>
        <v>408.24803149606305</v>
      </c>
      <c r="I220" s="480"/>
      <c r="L220" s="480"/>
      <c r="M220" s="480"/>
    </row>
    <row r="221" spans="1:20" s="161" customFormat="1" ht="11">
      <c r="D221" s="520" t="str">
        <f>'3h. Segmental Volume Drivers'!D94</f>
        <v>YoY Growth</v>
      </c>
      <c r="E221" s="521">
        <f>'3h. Segmental Volume Drivers'!L94</f>
        <v>0</v>
      </c>
      <c r="F221" s="521">
        <f>'3h. Segmental Volume Drivers'!M94</f>
        <v>1.5283842794759916E-2</v>
      </c>
      <c r="G221" s="521">
        <f>'3h. Segmental Volume Drivers'!N94</f>
        <v>0.20472440944881898</v>
      </c>
      <c r="H221" s="522">
        <f>'3h. Segmental Volume Drivers'!O94</f>
        <v>-0.27124183006535951</v>
      </c>
      <c r="I221" s="512"/>
      <c r="L221" s="512"/>
      <c r="M221" s="512"/>
    </row>
    <row r="222" spans="1:20" s="161" customFormat="1" ht="11">
      <c r="D222" s="520" t="str">
        <f>'3h. Segmental Volume Drivers'!D95</f>
        <v>as % of Total</v>
      </c>
      <c r="E222" s="521">
        <f>'3h. Segmental Volume Drivers'!L95</f>
        <v>6.5237518695249628E-3</v>
      </c>
      <c r="F222" s="521">
        <f>'3h. Segmental Volume Drivers'!M95</f>
        <v>9.3852177774189638E-3</v>
      </c>
      <c r="G222" s="521">
        <f>'3h. Segmental Volume Drivers'!N95</f>
        <v>8.8879309626525137E-3</v>
      </c>
      <c r="H222" s="522">
        <f>'3h. Segmental Volume Drivers'!O95</f>
        <v>5.8369600923698431E-3</v>
      </c>
      <c r="I222" s="512"/>
      <c r="L222" s="512"/>
      <c r="M222" s="512"/>
    </row>
    <row r="223" spans="1:20" s="7" customFormat="1" ht="14">
      <c r="D223" s="175" t="str">
        <f>'3h. Segmental Volume Drivers'!D96</f>
        <v>Squid (in permits)</v>
      </c>
      <c r="E223" s="479">
        <f>'3h. Segmental Volume Drivers'!L96</f>
        <v>683</v>
      </c>
      <c r="F223" s="479">
        <f>'3h. Segmental Volume Drivers'!M96</f>
        <v>553</v>
      </c>
      <c r="G223" s="479">
        <f>'3h. Segmental Volume Drivers'!N96</f>
        <v>498.2914438502674</v>
      </c>
      <c r="H223" s="514">
        <f>'3h. Segmental Volume Drivers'!O96</f>
        <v>533.77807486631013</v>
      </c>
      <c r="I223" s="480"/>
      <c r="L223" s="480"/>
      <c r="M223" s="480"/>
    </row>
    <row r="224" spans="1:20" s="161" customFormat="1" ht="11">
      <c r="D224" s="520" t="str">
        <f>'3h. Segmental Volume Drivers'!D97</f>
        <v>YoY Growth</v>
      </c>
      <c r="E224" s="521">
        <f>'3h. Segmental Volume Drivers'!L97</f>
        <v>0</v>
      </c>
      <c r="F224" s="521">
        <f>'3h. Segmental Volume Drivers'!M97</f>
        <v>-0.19033674963396774</v>
      </c>
      <c r="G224" s="521">
        <f>'3h. Segmental Volume Drivers'!N97</f>
        <v>-9.8930481283422411E-2</v>
      </c>
      <c r="H224" s="522">
        <f>'3h. Segmental Volume Drivers'!O97</f>
        <v>7.1216617210682509E-2</v>
      </c>
      <c r="I224" s="512"/>
      <c r="L224" s="512"/>
      <c r="M224" s="512"/>
    </row>
    <row r="225" spans="4:13" s="161" customFormat="1" ht="11">
      <c r="D225" s="520" t="str">
        <f>'3h. Segmental Volume Drivers'!D98</f>
        <v>as % of Total</v>
      </c>
      <c r="E225" s="521">
        <f>'3h. Segmental Volume Drivers'!L98</f>
        <v>9.7286518054269643E-3</v>
      </c>
      <c r="F225" s="521">
        <f>'3h. Segmental Volume Drivers'!M98</f>
        <v>1.1161345012715457E-2</v>
      </c>
      <c r="G225" s="521">
        <f>'3h. Segmental Volume Drivers'!N98</f>
        <v>7.9057566087869201E-3</v>
      </c>
      <c r="H225" s="522">
        <f>'3h. Segmental Volume Drivers'!O98</f>
        <v>7.6317362995213869E-3</v>
      </c>
      <c r="I225" s="512"/>
      <c r="L225" s="512"/>
      <c r="M225" s="512"/>
    </row>
    <row r="226" spans="4:13" s="7" customFormat="1" ht="14">
      <c r="D226" s="175" t="str">
        <f>'3h. Segmental Volume Drivers'!D99</f>
        <v>French Fries</v>
      </c>
      <c r="E226" s="479">
        <f>'3h. Segmental Volume Drivers'!L99</f>
        <v>18457</v>
      </c>
      <c r="F226" s="479">
        <f>'3h. Segmental Volume Drivers'!M99</f>
        <v>18970</v>
      </c>
      <c r="G226" s="479">
        <f>'3h. Segmental Volume Drivers'!N99</f>
        <v>19539</v>
      </c>
      <c r="H226" s="514">
        <f>'3h. Segmental Volume Drivers'!O99</f>
        <v>20125</v>
      </c>
      <c r="I226" s="480"/>
      <c r="L226" s="480"/>
      <c r="M226" s="480"/>
    </row>
    <row r="227" spans="4:13" s="161" customFormat="1" ht="11">
      <c r="D227" s="520" t="str">
        <f>'3h. Segmental Volume Drivers'!D100</f>
        <v>YoY Growth</v>
      </c>
      <c r="E227" s="521">
        <f>'3h. Segmental Volume Drivers'!L100</f>
        <v>0</v>
      </c>
      <c r="F227" s="521">
        <f>'3h. Segmental Volume Drivers'!M100</f>
        <v>2.779433277347354E-2</v>
      </c>
      <c r="G227" s="521">
        <f>'3h. Segmental Volume Drivers'!N100</f>
        <v>2.9994728518713654E-2</v>
      </c>
      <c r="H227" s="522">
        <f>'3h. Segmental Volume Drivers'!O100</f>
        <v>2.9991299452377218E-2</v>
      </c>
      <c r="I227" s="512"/>
      <c r="L227" s="512"/>
      <c r="M227" s="512"/>
    </row>
    <row r="228" spans="4:13" s="161" customFormat="1" ht="12" thickBot="1">
      <c r="D228" s="520" t="str">
        <f>'3h. Segmental Volume Drivers'!D101</f>
        <v>as % of Total</v>
      </c>
      <c r="E228" s="521">
        <f>'3h. Segmental Volume Drivers'!L101</f>
        <v>0.26290150274196994</v>
      </c>
      <c r="F228" s="521">
        <f>'3h. Segmental Volume Drivers'!M101</f>
        <v>0.38287651879061879</v>
      </c>
      <c r="G228" s="521">
        <f>'3h. Segmental Volume Drivers'!N101</f>
        <v>0.31000046315365754</v>
      </c>
      <c r="H228" s="522">
        <f>'3h. Segmental Volume Drivers'!O101</f>
        <v>0.28773885676427546</v>
      </c>
      <c r="I228" s="512"/>
      <c r="L228" s="512"/>
      <c r="M228" s="512"/>
    </row>
    <row r="229" spans="4:13" s="7" customFormat="1" thickBot="1">
      <c r="D229" s="488" t="str">
        <f>'3h. Segmental Volume Drivers'!D102</f>
        <v>Total</v>
      </c>
      <c r="E229" s="489">
        <f>'3h. Segmental Volume Drivers'!L102</f>
        <v>70205</v>
      </c>
      <c r="F229" s="489">
        <f>'3h. Segmental Volume Drivers'!M102</f>
        <v>49546</v>
      </c>
      <c r="G229" s="489">
        <f>'3h. Segmental Volume Drivers'!N102</f>
        <v>63028.938090054166</v>
      </c>
      <c r="H229" s="517">
        <f>'3h. Segmental Volume Drivers'!O102</f>
        <v>69941.891847047344</v>
      </c>
      <c r="I229" s="480"/>
      <c r="L229" s="480"/>
      <c r="M229" s="480"/>
    </row>
    <row r="230" spans="4:13" s="161" customFormat="1" ht="12" thickBot="1">
      <c r="D230" s="523" t="str">
        <f>'3h. Segmental Volume Drivers'!D103</f>
        <v>YoY Growth</v>
      </c>
      <c r="E230" s="524">
        <f>'3h. Segmental Volume Drivers'!L103</f>
        <v>0</v>
      </c>
      <c r="F230" s="524">
        <f>'3h. Segmental Volume Drivers'!M103</f>
        <v>-0.29426679011466417</v>
      </c>
      <c r="G230" s="524">
        <f>'3h. Segmental Volume Drivers'!N103</f>
        <v>0.27212969947229171</v>
      </c>
      <c r="H230" s="525">
        <f>'3h. Segmental Volume Drivers'!O103</f>
        <v>0.1096790453159171</v>
      </c>
      <c r="I230" s="512"/>
      <c r="L230" s="512"/>
      <c r="M230" s="512"/>
    </row>
    <row r="231" spans="4:13" customFormat="1" ht="16" thickBot="1">
      <c r="E231" s="470"/>
      <c r="H231" s="470"/>
      <c r="I231" s="470"/>
      <c r="L231" s="470"/>
      <c r="M231" s="470"/>
    </row>
    <row r="232" spans="4:13" customFormat="1">
      <c r="D232" s="502" t="str">
        <f>'3h. Segmental Volume Drivers'!D158</f>
        <v>Horse Mackerel and Hake - Volumes Sold</v>
      </c>
      <c r="E232" s="468" t="s">
        <v>20</v>
      </c>
      <c r="F232" s="468" t="s">
        <v>21</v>
      </c>
      <c r="G232" s="468" t="s">
        <v>22</v>
      </c>
      <c r="H232" s="471" t="s">
        <v>23</v>
      </c>
      <c r="I232" s="470"/>
      <c r="L232" s="470"/>
      <c r="M232" s="470"/>
    </row>
    <row r="233" spans="4:13" s="7" customFormat="1" ht="14">
      <c r="D233" s="175" t="str">
        <f>'3h. Segmental Volume Drivers'!D159</f>
        <v>Horse Mackerel (in tons)</v>
      </c>
      <c r="E233" s="479">
        <f>'3h. Segmental Volume Drivers'!L159</f>
        <v>130228</v>
      </c>
      <c r="F233" s="479">
        <f>'3h. Segmental Volume Drivers'!M159</f>
        <v>115988</v>
      </c>
      <c r="G233" s="479">
        <f>'3h. Segmental Volume Drivers'!N159</f>
        <v>117494.24994345268</v>
      </c>
      <c r="H233" s="514">
        <f>'3h. Segmental Volume Drivers'!O159</f>
        <v>125303.45647095365</v>
      </c>
      <c r="I233" s="480"/>
      <c r="L233" s="480"/>
      <c r="M233" s="480"/>
    </row>
    <row r="234" spans="4:13" s="185" customFormat="1" ht="11">
      <c r="D234" s="515" t="str">
        <f>'3h. Segmental Volume Drivers'!D160</f>
        <v>YoY Growth</v>
      </c>
      <c r="E234" s="424">
        <f>'3h. Segmental Volume Drivers'!L160</f>
        <v>0</v>
      </c>
      <c r="F234" s="424">
        <f>'3h. Segmental Volume Drivers'!M160</f>
        <v>-0.10934668427680683</v>
      </c>
      <c r="G234" s="424">
        <f>'3h. Segmental Volume Drivers'!N160</f>
        <v>1.2986256711493402E-2</v>
      </c>
      <c r="H234" s="516">
        <f>'3h. Segmental Volume Drivers'!O160</f>
        <v>6.6464584703160898E-2</v>
      </c>
      <c r="I234" s="506"/>
      <c r="L234" s="506"/>
      <c r="M234" s="506"/>
    </row>
    <row r="235" spans="4:13" s="185" customFormat="1" ht="11">
      <c r="D235" s="515" t="str">
        <f>'3h. Segmental Volume Drivers'!D161</f>
        <v>as % of Total</v>
      </c>
      <c r="E235" s="424">
        <f>'3h. Segmental Volume Drivers'!L161</f>
        <v>0.97164771540275163</v>
      </c>
      <c r="F235" s="424">
        <f>'3h. Segmental Volume Drivers'!M161</f>
        <v>0.92523931078493937</v>
      </c>
      <c r="G235" s="424">
        <f>'3h. Segmental Volume Drivers'!N161</f>
        <v>0.92811629876368551</v>
      </c>
      <c r="H235" s="516">
        <f>'3h. Segmental Volume Drivers'!O161</f>
        <v>0.89981661020949721</v>
      </c>
      <c r="I235" s="506"/>
      <c r="L235" s="506"/>
      <c r="M235" s="506"/>
    </row>
    <row r="236" spans="4:13" s="7" customFormat="1" ht="14">
      <c r="D236" s="175" t="str">
        <f>'3h. Segmental Volume Drivers'!D162</f>
        <v>Hake (in tons)</v>
      </c>
      <c r="E236" s="479">
        <f>'3h. Segmental Volume Drivers'!L162</f>
        <v>3800</v>
      </c>
      <c r="F236" s="479">
        <f>'3h. Segmental Volume Drivers'!M162</f>
        <v>9372</v>
      </c>
      <c r="G236" s="479">
        <f>'3h. Segmental Volume Drivers'!N162</f>
        <v>9100.0681392736806</v>
      </c>
      <c r="H236" s="514">
        <f>'3h. Segmental Volume Drivers'!O162</f>
        <v>13950.981654810934</v>
      </c>
      <c r="I236" s="480"/>
      <c r="L236" s="480"/>
      <c r="M236" s="480"/>
    </row>
    <row r="237" spans="4:13" s="185" customFormat="1" ht="11">
      <c r="D237" s="515" t="str">
        <f>'3h. Segmental Volume Drivers'!D163</f>
        <v>YoY Growth</v>
      </c>
      <c r="E237" s="424">
        <f>'3h. Segmental Volume Drivers'!L163</f>
        <v>0</v>
      </c>
      <c r="F237" s="424">
        <f>'3h. Segmental Volume Drivers'!M163</f>
        <v>1.466315789473684</v>
      </c>
      <c r="G237" s="424">
        <f>'3h. Segmental Volume Drivers'!N163</f>
        <v>-2.901535005615874E-2</v>
      </c>
      <c r="H237" s="516">
        <f>'3h. Segmental Volume Drivers'!O163</f>
        <v>0.53306342780026994</v>
      </c>
      <c r="I237" s="506"/>
      <c r="L237" s="506"/>
      <c r="M237" s="506"/>
    </row>
    <row r="238" spans="4:13" s="185" customFormat="1" ht="12" thickBot="1">
      <c r="D238" s="515" t="str">
        <f>'3h. Segmental Volume Drivers'!D164</f>
        <v>as % of Total</v>
      </c>
      <c r="E238" s="424">
        <f>'3h. Segmental Volume Drivers'!L164</f>
        <v>2.8352284597248336E-2</v>
      </c>
      <c r="F238" s="424">
        <f>'3h. Segmental Volume Drivers'!M164</f>
        <v>7.4760689215060627E-2</v>
      </c>
      <c r="G238" s="424">
        <f>'3h. Segmental Volume Drivers'!N164</f>
        <v>7.1883701236314601E-2</v>
      </c>
      <c r="H238" s="516">
        <f>'3h. Segmental Volume Drivers'!O164</f>
        <v>0.10018338979050286</v>
      </c>
      <c r="I238" s="506"/>
      <c r="L238" s="506"/>
      <c r="M238" s="506"/>
    </row>
    <row r="239" spans="4:13" s="7" customFormat="1" thickBot="1">
      <c r="D239" s="488" t="str">
        <f>'3h. Segmental Volume Drivers'!D165</f>
        <v>Total</v>
      </c>
      <c r="E239" s="489">
        <f>'3h. Segmental Volume Drivers'!L165</f>
        <v>134028</v>
      </c>
      <c r="F239" s="489">
        <f>'3h. Segmental Volume Drivers'!M165</f>
        <v>125360</v>
      </c>
      <c r="G239" s="489">
        <f>'3h. Segmental Volume Drivers'!N165</f>
        <v>126594.31808272636</v>
      </c>
      <c r="H239" s="517">
        <f>'3h. Segmental Volume Drivers'!O165</f>
        <v>139254.43812576457</v>
      </c>
      <c r="I239" s="480"/>
      <c r="L239" s="480"/>
      <c r="M239" s="480"/>
    </row>
    <row r="240" spans="4:13" s="185" customFormat="1" ht="12" thickBot="1">
      <c r="D240" s="518" t="str">
        <f>'3h. Segmental Volume Drivers'!D166</f>
        <v>YoY Growth</v>
      </c>
      <c r="E240" s="511">
        <f>'3h. Segmental Volume Drivers'!L166</f>
        <v>0</v>
      </c>
      <c r="F240" s="511">
        <f>'3h. Segmental Volume Drivers'!M166</f>
        <v>-6.4673053391828605E-2</v>
      </c>
      <c r="G240" s="511">
        <f>'3h. Segmental Volume Drivers'!N166</f>
        <v>9.8461876414035476E-3</v>
      </c>
      <c r="H240" s="519">
        <f>'3h. Segmental Volume Drivers'!O166</f>
        <v>0.10000543653756355</v>
      </c>
      <c r="I240" s="506"/>
      <c r="L240" s="506"/>
      <c r="M240" s="506"/>
    </row>
    <row r="241" spans="1:13" customFormat="1" ht="16" thickBot="1">
      <c r="E241" s="470"/>
      <c r="H241" s="470"/>
      <c r="I241" s="470"/>
      <c r="L241" s="470"/>
      <c r="M241" s="470"/>
    </row>
    <row r="242" spans="1:13" customFormat="1">
      <c r="D242" s="502" t="str">
        <f>'3h. Segmental Volume Drivers'!D171</f>
        <v>Commercial Cold Storage - Volumes</v>
      </c>
      <c r="E242" s="468" t="str">
        <f>E232</f>
        <v>2012A</v>
      </c>
      <c r="F242" s="468" t="str">
        <f t="shared" ref="F242:H242" si="12">F232</f>
        <v>2013A</v>
      </c>
      <c r="G242" s="468" t="str">
        <f t="shared" si="12"/>
        <v>2014A</v>
      </c>
      <c r="H242" s="471" t="str">
        <f t="shared" si="12"/>
        <v>2015A</v>
      </c>
      <c r="I242" s="470"/>
      <c r="L242" s="470"/>
      <c r="M242" s="470"/>
    </row>
    <row r="243" spans="1:13" s="7" customFormat="1" ht="14">
      <c r="D243" s="175" t="str">
        <f>'3h. Segmental Volume Drivers'!D172</f>
        <v>Cold Storage (pallets)</v>
      </c>
      <c r="E243" s="479">
        <f>'3h. Segmental Volume Drivers'!L172</f>
        <v>106000</v>
      </c>
      <c r="F243" s="479">
        <f>'3h. Segmental Volume Drivers'!M172</f>
        <v>110000</v>
      </c>
      <c r="G243" s="479">
        <f>'3h. Segmental Volume Drivers'!N172</f>
        <v>110000</v>
      </c>
      <c r="H243" s="514">
        <f>'3h. Segmental Volume Drivers'!O172</f>
        <v>137000</v>
      </c>
      <c r="I243" s="480"/>
      <c r="L243" s="480"/>
      <c r="M243" s="480"/>
    </row>
    <row r="244" spans="1:13" s="161" customFormat="1" ht="11">
      <c r="D244" s="520" t="str">
        <f>'3h. Segmental Volume Drivers'!D173</f>
        <v>YoY Growth</v>
      </c>
      <c r="E244" s="521">
        <f>'3h. Segmental Volume Drivers'!L173</f>
        <v>6.0000000000000053E-2</v>
      </c>
      <c r="F244" s="521">
        <f>'3h. Segmental Volume Drivers'!M173</f>
        <v>3.7735849056603765E-2</v>
      </c>
      <c r="G244" s="521">
        <f>'3h. Segmental Volume Drivers'!N173</f>
        <v>0</v>
      </c>
      <c r="H244" s="522">
        <f>'3h. Segmental Volume Drivers'!O173</f>
        <v>0.24545454545454537</v>
      </c>
      <c r="I244" s="512"/>
      <c r="L244" s="512"/>
      <c r="M244" s="512"/>
    </row>
    <row r="245" spans="1:13" s="7" customFormat="1" ht="14">
      <c r="D245" s="175" t="str">
        <f>'3h. Segmental Volume Drivers'!D174</f>
        <v>Average Capacity per Store</v>
      </c>
      <c r="E245" s="479">
        <f>'3h. Segmental Volume Drivers'!L174</f>
        <v>13250</v>
      </c>
      <c r="F245" s="479">
        <f>'3h. Segmental Volume Drivers'!M174</f>
        <v>11000</v>
      </c>
      <c r="G245" s="479">
        <f>'3h. Segmental Volume Drivers'!N174</f>
        <v>11000</v>
      </c>
      <c r="H245" s="514">
        <f>'3h. Segmental Volume Drivers'!O174</f>
        <v>10538.461538461539</v>
      </c>
      <c r="I245" s="480"/>
      <c r="L245" s="480"/>
      <c r="M245" s="480"/>
    </row>
    <row r="246" spans="1:13" s="7" customFormat="1" ht="14">
      <c r="D246" s="175" t="str">
        <f>'3h. Segmental Volume Drivers'!D175</f>
        <v>Cold Storage Warehouse</v>
      </c>
      <c r="E246" s="479">
        <f>'3h. Segmental Volume Drivers'!L175</f>
        <v>8</v>
      </c>
      <c r="F246" s="479">
        <f>'3h. Segmental Volume Drivers'!M175</f>
        <v>10</v>
      </c>
      <c r="G246" s="479">
        <f>'3h. Segmental Volume Drivers'!N175</f>
        <v>10</v>
      </c>
      <c r="H246" s="514">
        <f>'3h. Segmental Volume Drivers'!O175</f>
        <v>13</v>
      </c>
      <c r="I246" s="480"/>
      <c r="L246" s="480"/>
      <c r="M246" s="480"/>
    </row>
    <row r="247" spans="1:13" s="161" customFormat="1" ht="12" thickBot="1">
      <c r="D247" s="520" t="str">
        <f>'3h. Segmental Volume Drivers'!D176</f>
        <v>YoY Growth</v>
      </c>
      <c r="E247" s="521">
        <f>'3h. Segmental Volume Drivers'!L176</f>
        <v>0</v>
      </c>
      <c r="F247" s="521">
        <f>'3h. Segmental Volume Drivers'!M176</f>
        <v>0.25</v>
      </c>
      <c r="G247" s="521">
        <f>'3h. Segmental Volume Drivers'!N176</f>
        <v>0</v>
      </c>
      <c r="H247" s="522">
        <f>'3h. Segmental Volume Drivers'!O176</f>
        <v>0.30000000000000004</v>
      </c>
      <c r="I247" s="512"/>
      <c r="L247" s="512"/>
      <c r="M247" s="512"/>
    </row>
    <row r="248" spans="1:13" s="6" customFormat="1" thickBot="1">
      <c r="A248" s="450"/>
      <c r="B248" s="450"/>
      <c r="C248" s="450"/>
      <c r="D248" s="488" t="str">
        <f>'3h. Segmental Volume Drivers'!D177</f>
        <v>Revenue per Pallet</v>
      </c>
      <c r="E248" s="489">
        <f>'3h. Segmental Volume Drivers'!L177</f>
        <v>2639.5283018867922</v>
      </c>
      <c r="F248" s="489">
        <f>'3h. Segmental Volume Drivers'!M177</f>
        <v>2966.5454545454545</v>
      </c>
      <c r="G248" s="489">
        <f>'3h. Segmental Volume Drivers'!N177</f>
        <v>3124.4636363636364</v>
      </c>
      <c r="H248" s="517">
        <f>'3h. Segmental Volume Drivers'!O177</f>
        <v>3347.2043795620439</v>
      </c>
      <c r="I248" s="501"/>
      <c r="L248" s="501"/>
      <c r="M248" s="501"/>
    </row>
    <row r="249" spans="1:13" s="161" customFormat="1" ht="12" thickBot="1">
      <c r="D249" s="523" t="str">
        <f>'3h. Segmental Volume Drivers'!D178</f>
        <v>YoY Growth</v>
      </c>
      <c r="E249" s="524">
        <f>'3h. Segmental Volume Drivers'!L178</f>
        <v>0</v>
      </c>
      <c r="F249" s="524">
        <f>'3h. Segmental Volume Drivers'!M178</f>
        <v>0.12389226985173951</v>
      </c>
      <c r="G249" s="524">
        <f>'3h. Segmental Volume Drivers'!N178</f>
        <v>5.3233022799705765E-2</v>
      </c>
      <c r="H249" s="525">
        <f>'3h. Segmental Volume Drivers'!O178</f>
        <v>7.1289273655186891E-2</v>
      </c>
      <c r="I249" s="512"/>
      <c r="L249" s="512"/>
      <c r="M249" s="512"/>
    </row>
    <row r="250" spans="1:13" customFormat="1">
      <c r="E250" s="470"/>
      <c r="H250" s="470"/>
      <c r="I250" s="470"/>
      <c r="L250" s="470"/>
      <c r="M250" s="470"/>
    </row>
    <row r="251" spans="1:13" customFormat="1">
      <c r="E251" s="470"/>
      <c r="H251" s="470"/>
      <c r="I251" s="470"/>
      <c r="L251" s="470"/>
      <c r="M251" s="470"/>
    </row>
    <row r="252" spans="1:13" customFormat="1" ht="18">
      <c r="D252" s="1946" t="s">
        <v>1302</v>
      </c>
      <c r="E252" s="1946"/>
      <c r="F252" s="1946"/>
      <c r="G252" s="1946"/>
      <c r="H252" s="1946"/>
      <c r="I252" s="1946"/>
      <c r="J252" s="1946"/>
      <c r="K252" s="1946"/>
      <c r="L252" s="1946"/>
      <c r="M252" s="1946"/>
    </row>
    <row r="253" spans="1:13" customFormat="1">
      <c r="E253" s="470"/>
      <c r="H253" s="470"/>
      <c r="I253" s="470"/>
      <c r="L253" s="470"/>
      <c r="M253" s="470"/>
    </row>
    <row r="254" spans="1:13" customFormat="1">
      <c r="D254" s="23" t="s">
        <v>1303</v>
      </c>
      <c r="E254" s="294" t="s">
        <v>17</v>
      </c>
      <c r="F254" s="23" t="s">
        <v>18</v>
      </c>
      <c r="G254" s="23" t="s">
        <v>19</v>
      </c>
      <c r="H254" s="294" t="s">
        <v>20</v>
      </c>
      <c r="I254" s="294" t="s">
        <v>21</v>
      </c>
      <c r="J254" s="294" t="s">
        <v>22</v>
      </c>
      <c r="K254" s="294" t="s">
        <v>23</v>
      </c>
      <c r="L254" s="470"/>
      <c r="M254" s="470"/>
    </row>
    <row r="255" spans="1:13" s="7" customFormat="1" ht="14">
      <c r="D255" s="7" t="s">
        <v>1304</v>
      </c>
      <c r="E255" s="480">
        <v>105360</v>
      </c>
      <c r="F255" s="7">
        <v>123423</v>
      </c>
      <c r="G255" s="7">
        <v>87919</v>
      </c>
      <c r="H255" s="480">
        <v>129276</v>
      </c>
      <c r="I255" s="480">
        <v>36780</v>
      </c>
      <c r="J255" s="7">
        <v>81260</v>
      </c>
      <c r="K255" s="7">
        <v>144365</v>
      </c>
      <c r="L255" s="480"/>
      <c r="M255" s="480"/>
    </row>
    <row r="256" spans="1:13" s="562" customFormat="1" ht="14">
      <c r="D256" s="562" t="s">
        <v>832</v>
      </c>
      <c r="E256" s="563"/>
      <c r="F256" s="562">
        <f>F255/E255-1</f>
        <v>0.17144077448747153</v>
      </c>
      <c r="G256" s="562">
        <f t="shared" ref="G256:K256" si="13">G255/F255-1</f>
        <v>-0.28766113285206163</v>
      </c>
      <c r="H256" s="562">
        <f t="shared" si="13"/>
        <v>0.47039888988728262</v>
      </c>
      <c r="I256" s="562">
        <f t="shared" si="13"/>
        <v>-0.71549243479068036</v>
      </c>
      <c r="J256" s="562">
        <f t="shared" si="13"/>
        <v>1.2093529091897772</v>
      </c>
      <c r="K256" s="562">
        <f t="shared" si="13"/>
        <v>0.77658134383460498</v>
      </c>
      <c r="L256" s="563"/>
      <c r="M256" s="563"/>
    </row>
    <row r="257" spans="1:20" s="7" customFormat="1" ht="14">
      <c r="D257" s="7" t="s">
        <v>1305</v>
      </c>
      <c r="E257" s="480">
        <v>11446</v>
      </c>
      <c r="F257" s="7">
        <v>10995</v>
      </c>
      <c r="G257" s="7">
        <v>8679</v>
      </c>
      <c r="H257" s="480">
        <v>6301</v>
      </c>
      <c r="I257" s="480">
        <v>4726</v>
      </c>
      <c r="L257" s="480"/>
      <c r="M257" s="480"/>
    </row>
    <row r="258" spans="1:20" s="562" customFormat="1" ht="14">
      <c r="D258" s="562" t="s">
        <v>832</v>
      </c>
      <c r="E258" s="563"/>
      <c r="F258" s="562">
        <f>F257/E257-1</f>
        <v>-3.9402411322732811E-2</v>
      </c>
      <c r="G258" s="562">
        <f t="shared" ref="G258:I258" si="14">G257/F257-1</f>
        <v>-0.21064120054570257</v>
      </c>
      <c r="H258" s="562">
        <f t="shared" si="14"/>
        <v>-0.27399469985021319</v>
      </c>
      <c r="I258" s="562">
        <f t="shared" si="14"/>
        <v>-0.2499603237581336</v>
      </c>
      <c r="L258" s="563"/>
      <c r="M258" s="563"/>
    </row>
    <row r="259" spans="1:20" customFormat="1">
      <c r="E259" s="470"/>
      <c r="H259" s="470"/>
      <c r="I259" s="470"/>
      <c r="L259" s="470"/>
      <c r="M259" s="470"/>
    </row>
    <row r="260" spans="1:20" customFormat="1">
      <c r="E260" s="470"/>
      <c r="H260" s="470"/>
      <c r="I260" s="470"/>
      <c r="L260" s="470"/>
      <c r="M260" s="470"/>
    </row>
    <row r="261" spans="1:20" customFormat="1">
      <c r="E261" s="470"/>
      <c r="H261" s="470"/>
      <c r="I261" s="470"/>
      <c r="L261" s="470"/>
      <c r="M261" s="470"/>
    </row>
    <row r="262" spans="1:20" customFormat="1">
      <c r="E262" s="470"/>
      <c r="H262" s="470"/>
      <c r="I262" s="470"/>
      <c r="L262" s="470"/>
      <c r="M262" s="470"/>
    </row>
    <row r="263" spans="1:20" customFormat="1">
      <c r="E263" s="470"/>
      <c r="H263" s="470"/>
      <c r="I263" s="470"/>
      <c r="L263" s="470"/>
      <c r="M263" s="470"/>
    </row>
    <row r="264" spans="1:20" customFormat="1" ht="18">
      <c r="D264" s="1946" t="s">
        <v>1306</v>
      </c>
      <c r="E264" s="1946"/>
      <c r="F264" s="1946"/>
      <c r="G264" s="1946"/>
      <c r="H264" s="1946"/>
      <c r="I264" s="1946"/>
      <c r="J264" s="1946"/>
      <c r="K264" s="1946"/>
      <c r="L264" s="1946"/>
      <c r="M264" s="1946"/>
    </row>
    <row r="265" spans="1:20" customFormat="1">
      <c r="E265" s="470"/>
      <c r="H265" s="470"/>
      <c r="I265" s="470"/>
      <c r="L265" s="470"/>
      <c r="M265" s="470"/>
    </row>
    <row r="266" spans="1:20">
      <c r="D266" s="23" t="s">
        <v>1307</v>
      </c>
      <c r="E266" s="294" t="s">
        <v>216</v>
      </c>
      <c r="F266" s="23" t="s">
        <v>217</v>
      </c>
      <c r="G266" s="23" t="s">
        <v>218</v>
      </c>
      <c r="H266" s="294" t="s">
        <v>28</v>
      </c>
      <c r="I266" s="294" t="s">
        <v>17</v>
      </c>
      <c r="J266" s="294" t="s">
        <v>18</v>
      </c>
      <c r="K266" s="294" t="s">
        <v>19</v>
      </c>
      <c r="L266" s="294" t="s">
        <v>20</v>
      </c>
      <c r="M266" s="294" t="s">
        <v>21</v>
      </c>
      <c r="N266" s="294" t="s">
        <v>22</v>
      </c>
      <c r="O266" s="23" t="s">
        <v>23</v>
      </c>
      <c r="P266" s="294" t="s">
        <v>24</v>
      </c>
      <c r="Q266" s="294" t="s">
        <v>25</v>
      </c>
      <c r="R266" s="294" t="s">
        <v>26</v>
      </c>
      <c r="S266" s="294" t="s">
        <v>27</v>
      </c>
      <c r="T266" s="294" t="s">
        <v>712</v>
      </c>
    </row>
    <row r="267" spans="1:20">
      <c r="A267" s="572"/>
      <c r="B267" s="572"/>
      <c r="C267" s="572"/>
      <c r="D267" s="570" t="s">
        <v>506</v>
      </c>
      <c r="E267" s="571"/>
      <c r="F267" s="572"/>
      <c r="G267" s="572"/>
      <c r="H267" s="571"/>
      <c r="I267" s="571"/>
      <c r="J267" s="572"/>
      <c r="K267" s="572"/>
      <c r="L267" s="571"/>
      <c r="M267" s="571"/>
      <c r="N267" s="572"/>
      <c r="O267" s="572"/>
      <c r="P267" s="572"/>
      <c r="Q267" s="572"/>
      <c r="R267" s="572"/>
      <c r="S267" s="572"/>
      <c r="T267" s="572"/>
    </row>
    <row r="268" spans="1:20" s="163" customFormat="1" ht="14">
      <c r="A268" s="7"/>
      <c r="B268" s="7"/>
      <c r="C268" s="7"/>
      <c r="D268" s="7" t="s">
        <v>0</v>
      </c>
      <c r="E268" s="480">
        <f>'All Together'!E5</f>
        <v>1470587</v>
      </c>
      <c r="F268" s="480">
        <f>'All Together'!F5</f>
        <v>1318949</v>
      </c>
      <c r="G268" s="480">
        <f>'All Together'!G5</f>
        <v>1409041</v>
      </c>
      <c r="H268" s="480">
        <f>'All Together'!H5</f>
        <v>1879711</v>
      </c>
      <c r="I268" s="480">
        <f>'All Together'!I5</f>
        <v>2142497</v>
      </c>
      <c r="J268" s="480">
        <f>'All Together'!J5</f>
        <v>2280069</v>
      </c>
      <c r="K268" s="480">
        <f>'All Together'!K5</f>
        <v>2268296</v>
      </c>
      <c r="L268" s="480">
        <f>'All Together'!L5</f>
        <v>2933079</v>
      </c>
      <c r="M268" s="480">
        <f>'All Together'!M5</f>
        <v>3001080</v>
      </c>
      <c r="N268" s="480">
        <f>'All Together'!N5</f>
        <v>3491973</v>
      </c>
      <c r="O268" s="480">
        <f>'All Together'!O5</f>
        <v>3821135</v>
      </c>
      <c r="P268" s="480">
        <f>'All Together'!P5</f>
        <v>4533200.2283846727</v>
      </c>
      <c r="Q268" s="480">
        <f>'All Together'!Q5</f>
        <v>4984435.9882698003</v>
      </c>
      <c r="R268" s="480">
        <f>'All Together'!R5</f>
        <v>5435226.3518820703</v>
      </c>
      <c r="S268" s="480">
        <f>'All Together'!S5</f>
        <v>5880813.9321678523</v>
      </c>
      <c r="T268" s="480">
        <f>'All Together'!T5</f>
        <v>6310084.4843171323</v>
      </c>
    </row>
    <row r="269" spans="1:20" s="185" customFormat="1" ht="11">
      <c r="A269" s="161"/>
      <c r="B269" s="161"/>
      <c r="C269" s="161"/>
      <c r="D269" s="161" t="s">
        <v>832</v>
      </c>
      <c r="E269" s="512"/>
      <c r="F269" s="161">
        <f>F268/E268-1</f>
        <v>-0.1031139266156984</v>
      </c>
      <c r="G269" s="161">
        <f t="shared" ref="G269:T269" si="15">G268/F268-1</f>
        <v>6.830590113795143E-2</v>
      </c>
      <c r="H269" s="161">
        <f t="shared" si="15"/>
        <v>0.33403570229681034</v>
      </c>
      <c r="I269" s="161">
        <f t="shared" si="15"/>
        <v>0.13980127796241026</v>
      </c>
      <c r="J269" s="161">
        <f t="shared" si="15"/>
        <v>6.4211058405216015E-2</v>
      </c>
      <c r="K269" s="161">
        <f t="shared" si="15"/>
        <v>-5.1634402292211057E-3</v>
      </c>
      <c r="L269" s="161">
        <f t="shared" si="15"/>
        <v>0.29307594775990431</v>
      </c>
      <c r="M269" s="161">
        <f t="shared" si="15"/>
        <v>2.3184169263766874E-2</v>
      </c>
      <c r="N269" s="161">
        <f t="shared" si="15"/>
        <v>0.16357211403894589</v>
      </c>
      <c r="O269" s="161">
        <f t="shared" si="15"/>
        <v>9.4262469956096551E-2</v>
      </c>
      <c r="P269" s="161">
        <f t="shared" si="15"/>
        <v>0.18634914191324636</v>
      </c>
      <c r="Q269" s="161">
        <f t="shared" si="15"/>
        <v>9.9540222613532681E-2</v>
      </c>
      <c r="R269" s="161">
        <f t="shared" si="15"/>
        <v>9.0439593300655208E-2</v>
      </c>
      <c r="S269" s="161">
        <f t="shared" si="15"/>
        <v>8.1981421092331752E-2</v>
      </c>
      <c r="T269" s="161">
        <f t="shared" si="15"/>
        <v>7.2995091683003999E-2</v>
      </c>
    </row>
    <row r="270" spans="1:20" s="163" customFormat="1" ht="14">
      <c r="A270" s="7"/>
      <c r="B270" s="7"/>
      <c r="C270" s="7"/>
      <c r="D270" s="7" t="s">
        <v>451</v>
      </c>
      <c r="E270" s="480">
        <f>'All Together'!E29</f>
        <v>102518</v>
      </c>
      <c r="F270" s="480">
        <f>'All Together'!F29</f>
        <v>77939</v>
      </c>
      <c r="G270" s="480">
        <f>'All Together'!G29</f>
        <v>105682</v>
      </c>
      <c r="H270" s="480">
        <f>'All Together'!H29</f>
        <v>164345</v>
      </c>
      <c r="I270" s="480">
        <f>'All Together'!I29</f>
        <v>165451</v>
      </c>
      <c r="J270" s="480">
        <f>'All Together'!J29</f>
        <v>211060</v>
      </c>
      <c r="K270" s="480">
        <f>'All Together'!K29</f>
        <v>185160</v>
      </c>
      <c r="L270" s="480">
        <f>'All Together'!L29</f>
        <v>348479</v>
      </c>
      <c r="M270" s="480">
        <f>'All Together'!M29</f>
        <v>238257</v>
      </c>
      <c r="N270" s="480">
        <f>'All Together'!N29</f>
        <v>425801</v>
      </c>
      <c r="O270" s="480">
        <f>'All Together'!O29</f>
        <v>499078</v>
      </c>
      <c r="P270" s="480">
        <f>'All Together'!P29</f>
        <v>669548.38229873881</v>
      </c>
      <c r="Q270" s="480">
        <f>'All Together'!Q29</f>
        <v>736653.62825501838</v>
      </c>
      <c r="R270" s="480">
        <f>'All Together'!R29</f>
        <v>754545.05385980697</v>
      </c>
      <c r="S270" s="480">
        <f>'All Together'!S29</f>
        <v>815386.22337148292</v>
      </c>
      <c r="T270" s="480">
        <f>'All Together'!T29</f>
        <v>873589.9605153976</v>
      </c>
    </row>
    <row r="271" spans="1:20" s="185" customFormat="1" ht="11">
      <c r="A271" s="161"/>
      <c r="B271" s="161"/>
      <c r="C271" s="161"/>
      <c r="D271" s="161" t="s">
        <v>832</v>
      </c>
      <c r="E271" s="512"/>
      <c r="F271" s="161">
        <f>F270/E270-1</f>
        <v>-0.23975301898203238</v>
      </c>
      <c r="G271" s="161">
        <f t="shared" ref="G271:T271" si="16">G270/F270-1</f>
        <v>0.35595786448376288</v>
      </c>
      <c r="H271" s="161">
        <f t="shared" si="16"/>
        <v>0.5550897976949718</v>
      </c>
      <c r="I271" s="161">
        <f t="shared" si="16"/>
        <v>6.7297453527639384E-3</v>
      </c>
      <c r="J271" s="161">
        <f t="shared" si="16"/>
        <v>0.27566469830946927</v>
      </c>
      <c r="K271" s="161">
        <f t="shared" si="16"/>
        <v>-0.12271392021226191</v>
      </c>
      <c r="L271" s="161">
        <f t="shared" si="16"/>
        <v>0.88204255778785923</v>
      </c>
      <c r="M271" s="161">
        <f t="shared" si="16"/>
        <v>-0.31629452563856075</v>
      </c>
      <c r="N271" s="161">
        <f t="shared" si="16"/>
        <v>0.78715001028301379</v>
      </c>
      <c r="O271" s="161">
        <f t="shared" si="16"/>
        <v>0.17209212754314818</v>
      </c>
      <c r="P271" s="161">
        <f t="shared" si="16"/>
        <v>0.34157062082227396</v>
      </c>
      <c r="Q271" s="161">
        <f t="shared" si="16"/>
        <v>0.10022464056427016</v>
      </c>
      <c r="R271" s="161">
        <f t="shared" si="16"/>
        <v>2.4287432951588972E-2</v>
      </c>
      <c r="S271" s="161">
        <f t="shared" si="16"/>
        <v>8.0632918074869719E-2</v>
      </c>
      <c r="T271" s="161">
        <f t="shared" si="16"/>
        <v>7.1381801011123569E-2</v>
      </c>
    </row>
    <row r="272" spans="1:20" s="185" customFormat="1" ht="11">
      <c r="A272" s="161"/>
      <c r="B272" s="161"/>
      <c r="C272" s="161"/>
      <c r="D272" s="564" t="s">
        <v>978</v>
      </c>
      <c r="E272" s="565"/>
      <c r="F272" s="564">
        <f>F270/F268</f>
        <v>5.9091746534551376E-2</v>
      </c>
      <c r="G272" s="564">
        <f t="shared" ref="G272:T272" si="17">G270/G268</f>
        <v>7.5002785582534509E-2</v>
      </c>
      <c r="H272" s="564">
        <f t="shared" si="17"/>
        <v>8.7430993381429373E-2</v>
      </c>
      <c r="I272" s="564">
        <f t="shared" si="17"/>
        <v>7.7223445353715781E-2</v>
      </c>
      <c r="J272" s="564">
        <f t="shared" si="17"/>
        <v>9.2567374057539481E-2</v>
      </c>
      <c r="K272" s="564">
        <f t="shared" si="17"/>
        <v>8.1629558047097914E-2</v>
      </c>
      <c r="L272" s="564">
        <f t="shared" si="17"/>
        <v>0.11880996045452577</v>
      </c>
      <c r="M272" s="564">
        <f t="shared" si="17"/>
        <v>7.9390419448998356E-2</v>
      </c>
      <c r="N272" s="564">
        <f t="shared" si="17"/>
        <v>0.12193708256048945</v>
      </c>
      <c r="O272" s="564">
        <f t="shared" si="17"/>
        <v>0.13060988423596653</v>
      </c>
      <c r="P272" s="564">
        <f t="shared" si="17"/>
        <v>0.14769883273771051</v>
      </c>
      <c r="Q272" s="564">
        <f t="shared" si="17"/>
        <v>0.14779076910379302</v>
      </c>
      <c r="R272" s="564">
        <f t="shared" si="17"/>
        <v>0.13882495502667128</v>
      </c>
      <c r="S272" s="564">
        <f t="shared" si="17"/>
        <v>0.13865193369090426</v>
      </c>
      <c r="T272" s="564">
        <f t="shared" si="17"/>
        <v>0.13844346501011012</v>
      </c>
    </row>
    <row r="273" spans="1:20">
      <c r="D273" s="564"/>
      <c r="E273" s="566"/>
      <c r="F273" s="567"/>
      <c r="G273" s="567"/>
      <c r="H273" s="566"/>
      <c r="I273" s="566"/>
      <c r="J273" s="567"/>
      <c r="K273" s="567"/>
      <c r="L273" s="566"/>
      <c r="M273" s="566"/>
      <c r="N273" s="567"/>
      <c r="O273" s="567"/>
      <c r="P273" s="567"/>
      <c r="Q273" s="567"/>
      <c r="R273" s="567"/>
      <c r="S273" s="567"/>
      <c r="T273" s="567"/>
    </row>
    <row r="274" spans="1:20">
      <c r="A274" s="572"/>
      <c r="B274" s="572"/>
      <c r="C274" s="572"/>
      <c r="D274" s="570" t="s">
        <v>1218</v>
      </c>
      <c r="E274" s="571"/>
      <c r="F274" s="572"/>
      <c r="G274" s="572"/>
      <c r="H274" s="571"/>
      <c r="I274" s="571"/>
      <c r="J274" s="572"/>
      <c r="K274" s="572"/>
      <c r="L274" s="571"/>
      <c r="M274" s="571"/>
      <c r="N274" s="572"/>
      <c r="O274" s="572"/>
      <c r="P274" s="572"/>
      <c r="Q274" s="572"/>
      <c r="R274" s="572"/>
      <c r="S274" s="572"/>
      <c r="T274" s="572"/>
    </row>
    <row r="275" spans="1:20" s="163" customFormat="1" ht="14">
      <c r="A275" s="7"/>
      <c r="B275" s="7"/>
      <c r="C275" s="7"/>
      <c r="D275" s="7" t="s">
        <v>0</v>
      </c>
      <c r="E275" s="480">
        <f>'All Together'!E9</f>
        <v>939091</v>
      </c>
      <c r="F275" s="480">
        <f>'All Together'!F9</f>
        <v>1071362</v>
      </c>
      <c r="G275" s="480">
        <f>'All Together'!G9</f>
        <v>1023667</v>
      </c>
      <c r="H275" s="480">
        <f>'All Together'!H9</f>
        <v>934384</v>
      </c>
      <c r="I275" s="480">
        <f>'All Together'!I9</f>
        <v>948267</v>
      </c>
      <c r="J275" s="480">
        <f>'All Together'!J9</f>
        <v>909034</v>
      </c>
      <c r="K275" s="480">
        <f>'All Together'!K9</f>
        <v>1170907</v>
      </c>
      <c r="L275" s="480">
        <f>'All Together'!L9</f>
        <v>1435082</v>
      </c>
      <c r="M275" s="480">
        <f>'All Together'!M9</f>
        <v>1373824</v>
      </c>
      <c r="N275" s="480">
        <f>'All Together'!N9</f>
        <v>1203470</v>
      </c>
      <c r="O275" s="480">
        <f>'All Together'!O9</f>
        <v>1314747</v>
      </c>
      <c r="P275" s="480">
        <f>'All Together'!P9</f>
        <v>1385812.527794118</v>
      </c>
      <c r="Q275" s="480">
        <f>'All Together'!Q9</f>
        <v>1432369.2609871542</v>
      </c>
      <c r="R275" s="480">
        <f>'All Together'!R9</f>
        <v>1490104.3303733524</v>
      </c>
      <c r="S275" s="480">
        <f>'All Together'!S9</f>
        <v>1559604.7189282947</v>
      </c>
      <c r="T275" s="480">
        <f>'All Together'!T9</f>
        <v>1638265.0020870746</v>
      </c>
    </row>
    <row r="276" spans="1:20" s="185" customFormat="1" ht="11">
      <c r="A276" s="161"/>
      <c r="B276" s="161"/>
      <c r="C276" s="161"/>
      <c r="D276" s="161" t="s">
        <v>832</v>
      </c>
      <c r="E276" s="512"/>
      <c r="F276" s="161">
        <f>F275/E275-1</f>
        <v>0.14085003476766356</v>
      </c>
      <c r="G276" s="161">
        <f t="shared" ref="G276:T276" si="18">G275/F275-1</f>
        <v>-4.4518099391242183E-2</v>
      </c>
      <c r="H276" s="161">
        <f t="shared" si="18"/>
        <v>-8.7218792830090264E-2</v>
      </c>
      <c r="I276" s="161">
        <f t="shared" si="18"/>
        <v>1.4857917087621297E-2</v>
      </c>
      <c r="J276" s="161">
        <f t="shared" si="18"/>
        <v>-4.1373368471116279E-2</v>
      </c>
      <c r="K276" s="161">
        <f t="shared" si="18"/>
        <v>0.28807833370368985</v>
      </c>
      <c r="L276" s="161">
        <f t="shared" si="18"/>
        <v>0.22561569791623071</v>
      </c>
      <c r="M276" s="161">
        <f t="shared" si="18"/>
        <v>-4.2686062538586644E-2</v>
      </c>
      <c r="N276" s="161">
        <f t="shared" si="18"/>
        <v>-0.12399987189043138</v>
      </c>
      <c r="O276" s="161">
        <f t="shared" si="18"/>
        <v>9.246345982866222E-2</v>
      </c>
      <c r="P276" s="161">
        <f t="shared" si="18"/>
        <v>5.4052625938007859E-2</v>
      </c>
      <c r="Q276" s="161">
        <f t="shared" si="18"/>
        <v>3.3595260729200715E-2</v>
      </c>
      <c r="R276" s="161">
        <f t="shared" si="18"/>
        <v>4.0307392066211145E-2</v>
      </c>
      <c r="S276" s="161">
        <f t="shared" si="18"/>
        <v>4.6641290236052679E-2</v>
      </c>
      <c r="T276" s="161">
        <f t="shared" si="18"/>
        <v>5.0436038185901699E-2</v>
      </c>
    </row>
    <row r="277" spans="1:20" s="163" customFormat="1" ht="14">
      <c r="A277" s="7"/>
      <c r="B277" s="7"/>
      <c r="C277" s="7"/>
      <c r="D277" s="7" t="s">
        <v>451</v>
      </c>
      <c r="E277" s="480">
        <f>'All Together'!E34</f>
        <v>16867</v>
      </c>
      <c r="F277" s="480">
        <f>'All Together'!F34</f>
        <v>46705</v>
      </c>
      <c r="G277" s="480">
        <f>'All Together'!G34</f>
        <v>73587</v>
      </c>
      <c r="H277" s="480">
        <f>'All Together'!H34</f>
        <v>94267</v>
      </c>
      <c r="I277" s="480">
        <f>'All Together'!I34</f>
        <v>177681</v>
      </c>
      <c r="J277" s="480">
        <f>'All Together'!J34</f>
        <v>196993</v>
      </c>
      <c r="K277" s="480">
        <f>'All Together'!K34</f>
        <v>273795</v>
      </c>
      <c r="L277" s="480">
        <f>'All Together'!L34</f>
        <v>296578</v>
      </c>
      <c r="M277" s="480">
        <f>'All Together'!M34</f>
        <v>422504</v>
      </c>
      <c r="N277" s="480">
        <f>'All Together'!N34</f>
        <v>347251</v>
      </c>
      <c r="O277" s="480">
        <f>'All Together'!O34</f>
        <v>211020</v>
      </c>
      <c r="P277" s="480">
        <f>'All Together'!P34</f>
        <v>241451.44742854711</v>
      </c>
      <c r="Q277" s="480">
        <f>'All Together'!Q34</f>
        <v>249812.01082089977</v>
      </c>
      <c r="R277" s="480">
        <f>'All Together'!R34</f>
        <v>260157.87285216263</v>
      </c>
      <c r="S277" s="480">
        <f>'All Together'!S34</f>
        <v>272593.2802737609</v>
      </c>
      <c r="T277" s="480">
        <f>'All Together'!T34</f>
        <v>286656.57354172331</v>
      </c>
    </row>
    <row r="278" spans="1:20" s="185" customFormat="1" ht="11">
      <c r="A278" s="161"/>
      <c r="B278" s="161"/>
      <c r="C278" s="161"/>
      <c r="D278" s="161" t="s">
        <v>832</v>
      </c>
      <c r="E278" s="512"/>
      <c r="F278" s="161">
        <f>F277/E277-1</f>
        <v>1.7690164226003438</v>
      </c>
      <c r="G278" s="161">
        <f t="shared" ref="G278:T278" si="19">G277/F277-1</f>
        <v>0.57557006744459915</v>
      </c>
      <c r="H278" s="161">
        <f t="shared" si="19"/>
        <v>0.28102789894954272</v>
      </c>
      <c r="I278" s="161">
        <f t="shared" si="19"/>
        <v>0.88486957259698507</v>
      </c>
      <c r="J278" s="161">
        <f t="shared" si="19"/>
        <v>0.10868916766564807</v>
      </c>
      <c r="K278" s="161">
        <f t="shared" si="19"/>
        <v>0.38987172133019965</v>
      </c>
      <c r="L278" s="161">
        <f t="shared" si="19"/>
        <v>8.321189210905966E-2</v>
      </c>
      <c r="M278" s="161">
        <f t="shared" si="19"/>
        <v>0.42459656481600128</v>
      </c>
      <c r="N278" s="161">
        <f t="shared" si="19"/>
        <v>-0.17811192320072711</v>
      </c>
      <c r="O278" s="161">
        <f t="shared" si="19"/>
        <v>-0.39231276511802704</v>
      </c>
      <c r="P278" s="161">
        <f t="shared" si="19"/>
        <v>0.1442112000215483</v>
      </c>
      <c r="Q278" s="161">
        <f t="shared" si="19"/>
        <v>3.4626271581274404E-2</v>
      </c>
      <c r="R278" s="161">
        <f t="shared" si="19"/>
        <v>4.1414590104237314E-2</v>
      </c>
      <c r="S278" s="161">
        <f t="shared" si="19"/>
        <v>4.7799466090594933E-2</v>
      </c>
      <c r="T278" s="161">
        <f t="shared" si="19"/>
        <v>5.1590755479514749E-2</v>
      </c>
    </row>
    <row r="279" spans="1:20" s="185" customFormat="1" ht="11">
      <c r="A279" s="161"/>
      <c r="B279" s="161"/>
      <c r="C279" s="161"/>
      <c r="D279" s="564" t="s">
        <v>978</v>
      </c>
      <c r="E279" s="565"/>
      <c r="F279" s="564">
        <f>F277/F275</f>
        <v>4.3594041976474804E-2</v>
      </c>
      <c r="G279" s="564">
        <f t="shared" ref="G279:T279" si="20">G277/G275</f>
        <v>7.1885681574183791E-2</v>
      </c>
      <c r="H279" s="564">
        <f t="shared" si="20"/>
        <v>0.10088678744499049</v>
      </c>
      <c r="I279" s="564">
        <f t="shared" si="20"/>
        <v>0.18737444200842168</v>
      </c>
      <c r="J279" s="564">
        <f t="shared" si="20"/>
        <v>0.21670586578719828</v>
      </c>
      <c r="K279" s="564">
        <f t="shared" si="20"/>
        <v>0.23383155109671391</v>
      </c>
      <c r="L279" s="564">
        <f t="shared" si="20"/>
        <v>0.20666275515963548</v>
      </c>
      <c r="M279" s="564">
        <f t="shared" si="20"/>
        <v>0.30753866579707445</v>
      </c>
      <c r="N279" s="564">
        <f t="shared" si="20"/>
        <v>0.28854146758955357</v>
      </c>
      <c r="O279" s="564">
        <f t="shared" si="20"/>
        <v>0.16050236281200869</v>
      </c>
      <c r="P279" s="564">
        <f t="shared" si="20"/>
        <v>0.17423096023881385</v>
      </c>
      <c r="Q279" s="564">
        <f t="shared" si="20"/>
        <v>0.17440475555076865</v>
      </c>
      <c r="R279" s="564">
        <f t="shared" si="20"/>
        <v>0.17459037434444533</v>
      </c>
      <c r="S279" s="564">
        <f t="shared" si="20"/>
        <v>0.17478356981445745</v>
      </c>
      <c r="T279" s="564">
        <f t="shared" si="20"/>
        <v>0.17497570489300324</v>
      </c>
    </row>
    <row r="280" spans="1:20">
      <c r="D280" s="567"/>
      <c r="E280" s="566"/>
      <c r="F280" s="567"/>
      <c r="G280" s="567"/>
      <c r="H280" s="566"/>
      <c r="I280" s="566"/>
      <c r="J280" s="567"/>
      <c r="K280" s="567"/>
      <c r="L280" s="566"/>
      <c r="M280" s="566"/>
      <c r="N280" s="567"/>
      <c r="O280" s="567"/>
      <c r="P280" s="567"/>
      <c r="Q280" s="567"/>
      <c r="R280" s="567"/>
      <c r="S280" s="567"/>
      <c r="T280" s="567"/>
    </row>
    <row r="281" spans="1:20">
      <c r="A281" s="572"/>
      <c r="B281" s="572"/>
      <c r="C281" s="572"/>
      <c r="D281" s="570" t="s">
        <v>508</v>
      </c>
      <c r="E281" s="571"/>
      <c r="F281" s="572"/>
      <c r="G281" s="572"/>
      <c r="H281" s="571"/>
      <c r="I281" s="571"/>
      <c r="J281" s="572"/>
      <c r="K281" s="572"/>
      <c r="L281" s="571"/>
      <c r="M281" s="571"/>
      <c r="N281" s="572"/>
      <c r="O281" s="572"/>
      <c r="P281" s="572"/>
      <c r="Q281" s="572"/>
      <c r="R281" s="572"/>
      <c r="S281" s="572"/>
      <c r="T281" s="572"/>
    </row>
    <row r="282" spans="1:20" s="163" customFormat="1" ht="14">
      <c r="A282" s="7"/>
      <c r="B282" s="7"/>
      <c r="C282" s="7"/>
      <c r="D282" s="7" t="s">
        <v>0</v>
      </c>
      <c r="E282" s="480">
        <f>'All Together'!E13</f>
        <v>166835</v>
      </c>
      <c r="F282" s="480">
        <f>'All Together'!F13</f>
        <v>154247</v>
      </c>
      <c r="G282" s="480">
        <f>'All Together'!G13</f>
        <v>176186</v>
      </c>
      <c r="H282" s="480">
        <f>'All Together'!H13</f>
        <v>188381</v>
      </c>
      <c r="I282" s="480">
        <f>'All Together'!I13</f>
        <v>210524</v>
      </c>
      <c r="J282" s="480">
        <f>'All Together'!J13</f>
        <v>234116</v>
      </c>
      <c r="K282" s="480">
        <f>'All Together'!K13</f>
        <v>217993</v>
      </c>
      <c r="L282" s="480">
        <f>'All Together'!L13</f>
        <v>279790</v>
      </c>
      <c r="M282" s="480">
        <f>'All Together'!M13</f>
        <v>326320</v>
      </c>
      <c r="N282" s="480">
        <f>'All Together'!N13</f>
        <v>343691</v>
      </c>
      <c r="O282" s="480">
        <f>'All Together'!O13</f>
        <v>458567</v>
      </c>
      <c r="P282" s="480">
        <f>'All Together'!P13</f>
        <v>500755.16400000005</v>
      </c>
      <c r="Q282" s="480">
        <f>'All Together'!Q13</f>
        <v>544195.67447700002</v>
      </c>
      <c r="R282" s="480">
        <f>'All Together'!R13</f>
        <v>582942.40649976255</v>
      </c>
      <c r="S282" s="480">
        <f>'All Together'!S13</f>
        <v>621416.60532874684</v>
      </c>
      <c r="T282" s="480">
        <f>'All Together'!T13</f>
        <v>659198.73493273463</v>
      </c>
    </row>
    <row r="283" spans="1:20" s="313" customFormat="1" ht="11">
      <c r="A283" s="509"/>
      <c r="B283" s="509"/>
      <c r="C283" s="509"/>
      <c r="D283" s="509" t="s">
        <v>832</v>
      </c>
      <c r="E283" s="510"/>
      <c r="F283" s="509">
        <f>F282/E282-1</f>
        <v>-7.5451793688374735E-2</v>
      </c>
      <c r="G283" s="509">
        <f t="shared" ref="G283:S283" si="21">G282/F282-1</f>
        <v>0.14223291214739997</v>
      </c>
      <c r="H283" s="509">
        <f t="shared" si="21"/>
        <v>6.9216623341241679E-2</v>
      </c>
      <c r="I283" s="509">
        <f t="shared" si="21"/>
        <v>0.11754370132869019</v>
      </c>
      <c r="J283" s="509">
        <f t="shared" si="21"/>
        <v>0.11206323269555973</v>
      </c>
      <c r="K283" s="509">
        <f t="shared" si="21"/>
        <v>-6.8867569922602456E-2</v>
      </c>
      <c r="L283" s="509">
        <f t="shared" si="21"/>
        <v>0.28348157968375132</v>
      </c>
      <c r="M283" s="509">
        <f t="shared" si="21"/>
        <v>0.16630329890274842</v>
      </c>
      <c r="N283" s="509">
        <f t="shared" si="21"/>
        <v>5.3233022799705765E-2</v>
      </c>
      <c r="O283" s="509">
        <f t="shared" si="21"/>
        <v>0.33424209537055094</v>
      </c>
      <c r="P283" s="509">
        <f t="shared" si="21"/>
        <v>9.2000000000000082E-2</v>
      </c>
      <c r="Q283" s="509">
        <f t="shared" si="21"/>
        <v>8.6749999999999883E-2</v>
      </c>
      <c r="R283" s="509">
        <f t="shared" si="21"/>
        <v>7.1200000000000152E-2</v>
      </c>
      <c r="S283" s="509">
        <f t="shared" si="21"/>
        <v>6.5999999999999837E-2</v>
      </c>
      <c r="T283" s="509">
        <f>T282/S282-1</f>
        <v>6.0799999999999965E-2</v>
      </c>
    </row>
    <row r="284" spans="1:20" s="163" customFormat="1" ht="14">
      <c r="A284" s="7"/>
      <c r="B284" s="7"/>
      <c r="C284" s="7"/>
      <c r="D284" s="7" t="s">
        <v>451</v>
      </c>
      <c r="E284" s="480">
        <f>'All Together'!E39</f>
        <v>61287</v>
      </c>
      <c r="F284" s="480">
        <f>'All Together'!F39</f>
        <v>58681</v>
      </c>
      <c r="G284" s="480">
        <f>'All Together'!G39</f>
        <v>57274</v>
      </c>
      <c r="H284" s="480">
        <f>'All Together'!H39</f>
        <v>58672</v>
      </c>
      <c r="I284" s="480">
        <f>'All Together'!I39</f>
        <v>67734</v>
      </c>
      <c r="J284" s="480">
        <f>'All Together'!J39</f>
        <v>76421</v>
      </c>
      <c r="K284" s="480">
        <f>'All Together'!K39</f>
        <v>53734</v>
      </c>
      <c r="L284" s="480">
        <f>'All Together'!L39</f>
        <v>65968</v>
      </c>
      <c r="M284" s="480">
        <f>'All Together'!M39</f>
        <v>82798</v>
      </c>
      <c r="N284" s="480">
        <f>'All Together'!N39</f>
        <v>106514</v>
      </c>
      <c r="O284" s="480">
        <f>'All Together'!O39</f>
        <v>117545</v>
      </c>
      <c r="P284" s="480">
        <f>'All Together'!P39</f>
        <v>128359.14000000001</v>
      </c>
      <c r="Q284" s="480">
        <f>'All Together'!Q39</f>
        <v>139494.29539499999</v>
      </c>
      <c r="R284" s="480">
        <f>'All Together'!R39</f>
        <v>149426.28922712404</v>
      </c>
      <c r="S284" s="480">
        <f>'All Together'!S39</f>
        <v>159288.42431611422</v>
      </c>
      <c r="T284" s="480">
        <f>'All Together'!T39</f>
        <v>168973.16051453396</v>
      </c>
    </row>
    <row r="285" spans="1:20" s="313" customFormat="1" ht="11">
      <c r="A285" s="509"/>
      <c r="B285" s="509"/>
      <c r="C285" s="509"/>
      <c r="D285" s="509" t="s">
        <v>832</v>
      </c>
      <c r="E285" s="510"/>
      <c r="F285" s="509">
        <f>F284/E284-1</f>
        <v>-4.2521252467896953E-2</v>
      </c>
      <c r="G285" s="509">
        <f t="shared" ref="G285:T285" si="22">G284/F284-1</f>
        <v>-2.3977096504831152E-2</v>
      </c>
      <c r="H285" s="509">
        <f t="shared" si="22"/>
        <v>2.4408981387715301E-2</v>
      </c>
      <c r="I285" s="509">
        <f t="shared" si="22"/>
        <v>0.15445186801199884</v>
      </c>
      <c r="J285" s="509">
        <f t="shared" si="22"/>
        <v>0.12825169043611773</v>
      </c>
      <c r="K285" s="509">
        <f t="shared" si="22"/>
        <v>-0.29686866175527671</v>
      </c>
      <c r="L285" s="509">
        <f t="shared" si="22"/>
        <v>0.22767707596679942</v>
      </c>
      <c r="M285" s="509">
        <f t="shared" si="22"/>
        <v>0.25512369633761822</v>
      </c>
      <c r="N285" s="509">
        <f t="shared" si="22"/>
        <v>0.28643203942124207</v>
      </c>
      <c r="O285" s="509">
        <f t="shared" si="22"/>
        <v>0.10356385076140229</v>
      </c>
      <c r="P285" s="509">
        <f t="shared" si="22"/>
        <v>9.2000000000000082E-2</v>
      </c>
      <c r="Q285" s="509">
        <f t="shared" si="22"/>
        <v>8.6749999999999883E-2</v>
      </c>
      <c r="R285" s="509">
        <f t="shared" si="22"/>
        <v>7.1200000000000374E-2</v>
      </c>
      <c r="S285" s="509">
        <f t="shared" si="22"/>
        <v>6.6000000000000059E-2</v>
      </c>
      <c r="T285" s="509">
        <f t="shared" si="22"/>
        <v>6.0799999999999965E-2</v>
      </c>
    </row>
    <row r="286" spans="1:20" s="313" customFormat="1" ht="11">
      <c r="A286" s="509"/>
      <c r="B286" s="509"/>
      <c r="C286" s="509"/>
      <c r="D286" s="568" t="s">
        <v>978</v>
      </c>
      <c r="E286" s="569"/>
      <c r="F286" s="568">
        <f>F284/F282</f>
        <v>0.38043527588867204</v>
      </c>
      <c r="G286" s="568">
        <f t="shared" ref="G286:T286" si="23">G284/G282</f>
        <v>0.32507690735926803</v>
      </c>
      <c r="H286" s="568">
        <f t="shared" si="23"/>
        <v>0.31145391520376259</v>
      </c>
      <c r="I286" s="568">
        <f t="shared" si="23"/>
        <v>0.32174003914043053</v>
      </c>
      <c r="J286" s="568">
        <f t="shared" si="23"/>
        <v>0.32642365323173128</v>
      </c>
      <c r="K286" s="568">
        <f t="shared" si="23"/>
        <v>0.24649415348199255</v>
      </c>
      <c r="L286" s="568">
        <f t="shared" si="23"/>
        <v>0.23577683262446836</v>
      </c>
      <c r="M286" s="568">
        <f t="shared" si="23"/>
        <v>0.25373253248345184</v>
      </c>
      <c r="N286" s="568">
        <f t="shared" si="23"/>
        <v>0.30991210127701918</v>
      </c>
      <c r="O286" s="568">
        <f t="shared" si="23"/>
        <v>0.25633113590816609</v>
      </c>
      <c r="P286" s="568">
        <f t="shared" si="23"/>
        <v>0.25633113590816609</v>
      </c>
      <c r="Q286" s="568">
        <f t="shared" si="23"/>
        <v>0.25633113590816609</v>
      </c>
      <c r="R286" s="568">
        <f t="shared" si="23"/>
        <v>0.25633113590816609</v>
      </c>
      <c r="S286" s="568">
        <f t="shared" si="23"/>
        <v>0.25633113590816609</v>
      </c>
      <c r="T286" s="568">
        <f t="shared" si="23"/>
        <v>0.25633113590816609</v>
      </c>
    </row>
    <row r="287" spans="1:20">
      <c r="D287" s="567"/>
      <c r="E287" s="566"/>
      <c r="F287" s="567"/>
      <c r="G287" s="567"/>
      <c r="H287" s="566"/>
      <c r="I287" s="566"/>
      <c r="J287" s="567"/>
      <c r="K287" s="567"/>
      <c r="L287" s="566"/>
      <c r="M287" s="566"/>
      <c r="N287" s="567"/>
      <c r="O287" s="567"/>
      <c r="P287" s="567"/>
      <c r="Q287" s="567"/>
      <c r="R287" s="567"/>
      <c r="S287" s="567"/>
      <c r="T287" s="567"/>
    </row>
    <row r="288" spans="1:20">
      <c r="A288" s="572"/>
      <c r="B288" s="572"/>
      <c r="C288" s="572"/>
      <c r="D288" s="570" t="s">
        <v>692</v>
      </c>
      <c r="E288" s="571"/>
      <c r="F288" s="572"/>
      <c r="G288" s="572"/>
      <c r="H288" s="571"/>
      <c r="I288" s="571"/>
      <c r="J288" s="572"/>
      <c r="K288" s="572"/>
      <c r="L288" s="571"/>
      <c r="M288" s="571"/>
      <c r="N288" s="572"/>
      <c r="O288" s="572"/>
      <c r="P288" s="572"/>
      <c r="Q288" s="572"/>
      <c r="R288" s="572"/>
      <c r="S288" s="572"/>
      <c r="T288" s="572"/>
    </row>
    <row r="289" spans="1:20" s="163" customFormat="1" ht="14">
      <c r="A289" s="7"/>
      <c r="B289" s="7"/>
      <c r="C289" s="7"/>
      <c r="D289" s="7" t="s">
        <v>0</v>
      </c>
      <c r="E289" s="480">
        <f>'All Together'!E17</f>
        <v>0</v>
      </c>
      <c r="F289" s="480">
        <f>'All Together'!F17</f>
        <v>0</v>
      </c>
      <c r="G289" s="480">
        <f>'All Together'!G17</f>
        <v>0</v>
      </c>
      <c r="H289" s="480">
        <f>'All Together'!H17</f>
        <v>0</v>
      </c>
      <c r="I289" s="480">
        <f>'All Together'!I17</f>
        <v>0</v>
      </c>
      <c r="J289" s="480">
        <f>'All Together'!J17</f>
        <v>0</v>
      </c>
      <c r="K289" s="480">
        <f>'All Together'!K17</f>
        <v>0</v>
      </c>
      <c r="L289" s="480">
        <f>'All Together'!L17</f>
        <v>0</v>
      </c>
      <c r="M289" s="480">
        <f>'All Together'!M17</f>
        <v>0</v>
      </c>
      <c r="N289" s="480">
        <f>'All Together'!N17</f>
        <v>0</v>
      </c>
      <c r="O289" s="480">
        <f>'All Together'!O17</f>
        <v>574328</v>
      </c>
      <c r="P289" s="480">
        <f>'All Together'!P17</f>
        <v>2034182.418606593</v>
      </c>
      <c r="Q289" s="480">
        <f>'All Together'!Q17</f>
        <v>2280126.3689879999</v>
      </c>
      <c r="R289" s="480">
        <f>'All Together'!R17</f>
        <v>2538838.6222524736</v>
      </c>
      <c r="S289" s="480">
        <f>'All Together'!S17</f>
        <v>2848510.7916465714</v>
      </c>
      <c r="T289" s="480">
        <f>'All Together'!T17</f>
        <v>3178270.1161795962</v>
      </c>
    </row>
    <row r="290" spans="1:20" s="185" customFormat="1" ht="11">
      <c r="A290" s="161"/>
      <c r="B290" s="161"/>
      <c r="C290" s="161"/>
      <c r="D290" s="161" t="s">
        <v>832</v>
      </c>
      <c r="E290" s="512"/>
      <c r="F290" s="161"/>
      <c r="G290" s="161"/>
      <c r="H290" s="512"/>
      <c r="I290" s="512"/>
      <c r="J290" s="161"/>
      <c r="K290" s="161"/>
      <c r="L290" s="512"/>
      <c r="M290" s="512"/>
      <c r="N290" s="161"/>
      <c r="O290" s="161"/>
      <c r="P290" s="161">
        <f>P289/O289-1</f>
        <v>2.5418478963355313</v>
      </c>
      <c r="Q290" s="161">
        <f t="shared" ref="Q290:T290" si="24">Q289/P289-1</f>
        <v>0.12090555307713124</v>
      </c>
      <c r="R290" s="161">
        <f t="shared" si="24"/>
        <v>0.11346399777802629</v>
      </c>
      <c r="S290" s="161">
        <f t="shared" si="24"/>
        <v>0.12197394772549774</v>
      </c>
      <c r="T290" s="161">
        <f t="shared" si="24"/>
        <v>0.11576551702035465</v>
      </c>
    </row>
    <row r="291" spans="1:20" s="163" customFormat="1" ht="14">
      <c r="A291" s="7"/>
      <c r="B291" s="7"/>
      <c r="C291" s="7"/>
      <c r="D291" s="7" t="s">
        <v>451</v>
      </c>
      <c r="E291" s="480">
        <f>'All Together'!E44</f>
        <v>0</v>
      </c>
      <c r="F291" s="480">
        <f>'All Together'!F44</f>
        <v>0</v>
      </c>
      <c r="G291" s="480">
        <f>'All Together'!G44</f>
        <v>0</v>
      </c>
      <c r="H291" s="480">
        <f>'All Together'!H44</f>
        <v>0</v>
      </c>
      <c r="I291" s="480">
        <f>'All Together'!I44</f>
        <v>0</v>
      </c>
      <c r="J291" s="480">
        <f>'All Together'!J44</f>
        <v>0</v>
      </c>
      <c r="K291" s="480">
        <f>'All Together'!K44</f>
        <v>0</v>
      </c>
      <c r="L291" s="480">
        <f>'All Together'!L44</f>
        <v>0</v>
      </c>
      <c r="M291" s="480">
        <f>'All Together'!M44</f>
        <v>0</v>
      </c>
      <c r="N291" s="480">
        <f>'All Together'!N44</f>
        <v>0</v>
      </c>
      <c r="O291" s="480">
        <f>'All Together'!O44</f>
        <v>179612</v>
      </c>
      <c r="P291" s="480">
        <f>'All Together'!P44</f>
        <v>614485.13450004382</v>
      </c>
      <c r="Q291" s="480">
        <f>'All Together'!Q44</f>
        <v>675322.51472945989</v>
      </c>
      <c r="R291" s="480">
        <f>'All Together'!R44</f>
        <v>748957.39356447966</v>
      </c>
      <c r="S291" s="480">
        <f>'All Together'!S44</f>
        <v>840310.6835357385</v>
      </c>
      <c r="T291" s="480">
        <f>'All Together'!T44</f>
        <v>937589.68427298078</v>
      </c>
    </row>
    <row r="292" spans="1:20" s="185" customFormat="1" ht="11">
      <c r="A292" s="161"/>
      <c r="B292" s="161"/>
      <c r="C292" s="161"/>
      <c r="D292" s="161" t="s">
        <v>832</v>
      </c>
      <c r="E292" s="512"/>
      <c r="F292" s="161"/>
      <c r="G292" s="161"/>
      <c r="H292" s="512"/>
      <c r="I292" s="512"/>
      <c r="J292" s="161"/>
      <c r="K292" s="161"/>
      <c r="L292" s="512"/>
      <c r="M292" s="512"/>
      <c r="N292" s="161"/>
      <c r="O292" s="161"/>
      <c r="P292" s="161">
        <f>P291/O291-1</f>
        <v>2.4211808481618369</v>
      </c>
      <c r="Q292" s="161">
        <f t="shared" ref="Q292:T292" si="25">Q291/P291-1</f>
        <v>9.9005454833198669E-2</v>
      </c>
      <c r="R292" s="161">
        <f t="shared" si="25"/>
        <v>0.10903661173582901</v>
      </c>
      <c r="S292" s="161">
        <f t="shared" si="25"/>
        <v>0.12197394772549774</v>
      </c>
      <c r="T292" s="161">
        <f t="shared" si="25"/>
        <v>0.11576551702035442</v>
      </c>
    </row>
    <row r="293" spans="1:20" s="185" customFormat="1" ht="11">
      <c r="A293" s="161"/>
      <c r="B293" s="161"/>
      <c r="C293" s="161"/>
      <c r="D293" s="564" t="s">
        <v>978</v>
      </c>
      <c r="E293" s="565"/>
      <c r="F293" s="564"/>
      <c r="G293" s="564"/>
      <c r="H293" s="565"/>
      <c r="I293" s="565"/>
      <c r="J293" s="564"/>
      <c r="K293" s="564"/>
      <c r="L293" s="565"/>
      <c r="M293" s="565"/>
      <c r="N293" s="564"/>
      <c r="O293" s="564"/>
      <c r="P293" s="564">
        <f>P291/P289</f>
        <v>0.30207966054537216</v>
      </c>
      <c r="Q293" s="564">
        <f t="shared" ref="Q293:T293" si="26">Q291/Q289</f>
        <v>0.29617766976187015</v>
      </c>
      <c r="R293" s="564">
        <f t="shared" si="26"/>
        <v>0.29499999999999998</v>
      </c>
      <c r="S293" s="564">
        <f t="shared" si="26"/>
        <v>0.29499999999999998</v>
      </c>
      <c r="T293" s="564">
        <f t="shared" si="26"/>
        <v>0.29499999999999998</v>
      </c>
    </row>
    <row r="294" spans="1:20">
      <c r="D294" s="48"/>
    </row>
    <row r="295" spans="1:20">
      <c r="D295" s="39"/>
    </row>
    <row r="297" spans="1:20" s="46" customFormat="1">
      <c r="A297" s="4"/>
      <c r="B297" s="4"/>
      <c r="C297" s="4"/>
      <c r="D297" s="23" t="s">
        <v>1310</v>
      </c>
      <c r="E297" s="573" t="s">
        <v>1308</v>
      </c>
      <c r="F297" s="574" t="s">
        <v>1309</v>
      </c>
      <c r="G297" s="4"/>
      <c r="H297" s="580"/>
      <c r="I297" s="580"/>
      <c r="J297" s="4"/>
      <c r="K297" s="4"/>
      <c r="L297" s="580"/>
      <c r="M297" s="580"/>
      <c r="N297" s="4"/>
      <c r="O297" s="4"/>
      <c r="P297" s="4"/>
      <c r="Q297" s="4"/>
      <c r="R297" s="4"/>
      <c r="S297" s="4"/>
      <c r="T297" s="4"/>
    </row>
    <row r="298" spans="1:20" s="163" customFormat="1" ht="14">
      <c r="A298" s="7"/>
      <c r="B298" s="7"/>
      <c r="C298" s="7"/>
      <c r="D298" s="7" t="s">
        <v>506</v>
      </c>
      <c r="E298" s="575">
        <f>'All Together'!AE5</f>
        <v>6.8358858145051382E-2</v>
      </c>
      <c r="F298" s="575">
        <f>'All Together'!AF5</f>
        <v>8.6194421478143379E-2</v>
      </c>
      <c r="G298" s="7"/>
      <c r="H298" s="480"/>
      <c r="I298" s="480"/>
      <c r="J298" s="7"/>
      <c r="K298" s="7"/>
      <c r="L298" s="480"/>
      <c r="M298" s="480"/>
      <c r="N298" s="7"/>
      <c r="O298" s="7"/>
      <c r="P298" s="7"/>
      <c r="Q298" s="7"/>
      <c r="R298" s="7"/>
      <c r="S298" s="7"/>
      <c r="T298" s="7"/>
    </row>
    <row r="299" spans="1:20" s="163" customFormat="1" ht="14">
      <c r="A299" s="7"/>
      <c r="B299" s="7"/>
      <c r="C299" s="7"/>
      <c r="D299" s="7" t="s">
        <v>1218</v>
      </c>
      <c r="E299" s="575">
        <f>'All Together'!AE9</f>
        <v>-2.165649126270297E-2</v>
      </c>
      <c r="F299" s="575">
        <f>'All Together'!AF9</f>
        <v>4.2725315692242916E-2</v>
      </c>
      <c r="G299" s="7"/>
      <c r="H299" s="480"/>
      <c r="I299" s="480"/>
      <c r="J299" s="7"/>
      <c r="K299" s="7"/>
      <c r="L299" s="480"/>
      <c r="M299" s="480"/>
      <c r="N299" s="7"/>
      <c r="O299" s="7"/>
      <c r="P299" s="7"/>
      <c r="Q299" s="7"/>
      <c r="R299" s="7"/>
      <c r="S299" s="7"/>
      <c r="T299" s="7"/>
    </row>
    <row r="300" spans="1:20" s="163" customFormat="1" ht="14">
      <c r="A300" s="7"/>
      <c r="B300" s="7"/>
      <c r="C300" s="7"/>
      <c r="D300" s="7" t="s">
        <v>508</v>
      </c>
      <c r="E300" s="575">
        <f>'All Together'!AE13</f>
        <v>0.13146898135882812</v>
      </c>
      <c r="F300" s="575">
        <f>'All Together'!AF13</f>
        <v>7.1143686058077416E-2</v>
      </c>
      <c r="G300" s="7"/>
      <c r="H300" s="480"/>
      <c r="I300" s="480"/>
      <c r="J300" s="7"/>
      <c r="K300" s="7"/>
      <c r="L300" s="480"/>
      <c r="M300" s="480"/>
      <c r="N300" s="7"/>
      <c r="O300" s="7"/>
      <c r="P300" s="7"/>
      <c r="Q300" s="7"/>
      <c r="R300" s="7"/>
      <c r="S300" s="7"/>
      <c r="T300" s="7"/>
    </row>
    <row r="301" spans="1:20" s="163" customFormat="1" ht="14">
      <c r="A301" s="7"/>
      <c r="B301" s="7"/>
      <c r="C301" s="7"/>
      <c r="D301" s="7" t="s">
        <v>692</v>
      </c>
      <c r="E301" s="575">
        <f>'All Together'!AE17</f>
        <v>0</v>
      </c>
      <c r="F301" s="575">
        <f>'All Together'!AF17</f>
        <v>0.11802168464572671</v>
      </c>
      <c r="G301" s="7"/>
      <c r="H301" s="480"/>
      <c r="I301" s="480"/>
      <c r="J301" s="7"/>
      <c r="K301" s="7"/>
      <c r="L301" s="480"/>
      <c r="M301" s="480"/>
      <c r="N301" s="7"/>
      <c r="O301" s="7"/>
      <c r="P301" s="7"/>
      <c r="Q301" s="7"/>
      <c r="R301" s="7"/>
      <c r="S301" s="7"/>
      <c r="T301" s="7"/>
    </row>
    <row r="303" spans="1:20" s="46" customFormat="1">
      <c r="A303" s="4"/>
      <c r="B303" s="4"/>
      <c r="C303" s="4"/>
      <c r="D303" s="23" t="s">
        <v>1311</v>
      </c>
      <c r="E303" s="294" t="s">
        <v>1308</v>
      </c>
      <c r="F303" s="23" t="s">
        <v>1309</v>
      </c>
      <c r="G303" s="294" t="s">
        <v>1312</v>
      </c>
      <c r="H303" s="23" t="s">
        <v>1313</v>
      </c>
      <c r="I303" s="580"/>
      <c r="J303" s="4"/>
      <c r="K303" s="4"/>
      <c r="L303" s="580"/>
      <c r="M303" s="580"/>
      <c r="N303" s="4"/>
      <c r="O303" s="4"/>
      <c r="P303" s="4"/>
      <c r="Q303" s="4"/>
      <c r="R303" s="4"/>
      <c r="S303" s="4"/>
      <c r="T303" s="4"/>
    </row>
    <row r="304" spans="1:20" s="163" customFormat="1" ht="14">
      <c r="A304" s="7"/>
      <c r="B304" s="7"/>
      <c r="C304" s="7"/>
      <c r="D304" s="7" t="s">
        <v>506</v>
      </c>
      <c r="E304" s="575">
        <f>'All Together'!AE15+'All Together'!AE33</f>
        <v>0</v>
      </c>
      <c r="F304" s="575">
        <f>'All Together'!AF15+'All Together'!AF33</f>
        <v>0</v>
      </c>
      <c r="G304" s="575">
        <f>'All Together'!AG15+'All Together'!AG33</f>
        <v>0</v>
      </c>
      <c r="H304" s="575">
        <f>'All Together'!AH15+'All Together'!AH33</f>
        <v>0</v>
      </c>
      <c r="I304" s="480"/>
      <c r="J304" s="7"/>
      <c r="K304" s="7"/>
      <c r="L304" s="480"/>
      <c r="M304" s="480"/>
      <c r="N304" s="7"/>
      <c r="O304" s="7"/>
      <c r="P304" s="7"/>
      <c r="Q304" s="7"/>
      <c r="R304" s="7"/>
      <c r="S304" s="7"/>
      <c r="T304" s="7"/>
    </row>
    <row r="305" spans="1:20" s="163" customFormat="1" ht="14">
      <c r="A305" s="7"/>
      <c r="B305" s="7"/>
      <c r="C305" s="7"/>
      <c r="D305" s="7" t="s">
        <v>1218</v>
      </c>
      <c r="E305" s="575">
        <f>'All Together'!AE38</f>
        <v>0</v>
      </c>
      <c r="F305" s="575">
        <f>'All Together'!AF38</f>
        <v>0</v>
      </c>
      <c r="G305" s="575">
        <f>'All Together'!AG38</f>
        <v>0</v>
      </c>
      <c r="H305" s="575">
        <f>'All Together'!AH38</f>
        <v>0</v>
      </c>
      <c r="I305" s="480"/>
      <c r="J305" s="7"/>
      <c r="K305" s="7"/>
      <c r="L305" s="480"/>
      <c r="M305" s="480"/>
      <c r="N305" s="7"/>
      <c r="O305" s="7"/>
      <c r="P305" s="7"/>
      <c r="Q305" s="7"/>
      <c r="R305" s="7"/>
      <c r="S305" s="7"/>
      <c r="T305" s="7"/>
    </row>
    <row r="306" spans="1:20" s="163" customFormat="1" ht="14">
      <c r="A306" s="7"/>
      <c r="B306" s="7"/>
      <c r="C306" s="7"/>
      <c r="D306" s="7" t="s">
        <v>508</v>
      </c>
      <c r="E306" s="575">
        <f>'All Together'!AE43</f>
        <v>0</v>
      </c>
      <c r="F306" s="575">
        <f>'All Together'!AF43</f>
        <v>0</v>
      </c>
      <c r="G306" s="575">
        <f>'All Together'!AG43</f>
        <v>0</v>
      </c>
      <c r="H306" s="575">
        <f>'All Together'!AH43</f>
        <v>0</v>
      </c>
      <c r="I306" s="480"/>
      <c r="J306" s="7"/>
      <c r="K306" s="7"/>
      <c r="L306" s="480"/>
      <c r="M306" s="480"/>
      <c r="N306" s="7"/>
      <c r="O306" s="7"/>
      <c r="P306" s="7"/>
      <c r="Q306" s="7"/>
      <c r="R306" s="7"/>
      <c r="S306" s="7"/>
      <c r="T306" s="7"/>
    </row>
    <row r="307" spans="1:20" s="163" customFormat="1" ht="14">
      <c r="A307" s="7"/>
      <c r="B307" s="7"/>
      <c r="C307" s="7"/>
      <c r="D307" s="7" t="s">
        <v>692</v>
      </c>
      <c r="E307" s="575">
        <f>'All Together'!AE47</f>
        <v>0</v>
      </c>
      <c r="F307" s="575">
        <f>'All Together'!AF47</f>
        <v>0</v>
      </c>
      <c r="G307" s="575">
        <f>'All Together'!AG47</f>
        <v>0</v>
      </c>
      <c r="H307" s="575">
        <f>'All Together'!AH47</f>
        <v>0</v>
      </c>
      <c r="I307" s="480"/>
      <c r="J307" s="7"/>
      <c r="K307" s="7"/>
      <c r="L307" s="480"/>
      <c r="M307" s="480"/>
      <c r="N307" s="7"/>
      <c r="O307" s="7"/>
      <c r="P307" s="7"/>
      <c r="Q307" s="7"/>
      <c r="R307" s="7"/>
      <c r="S307" s="7"/>
      <c r="T307" s="7"/>
    </row>
    <row r="308" spans="1:20" s="163" customFormat="1" ht="14">
      <c r="A308" s="7"/>
      <c r="B308" s="7"/>
      <c r="C308" s="7"/>
      <c r="D308" s="7"/>
      <c r="E308" s="575"/>
      <c r="F308" s="575"/>
      <c r="G308" s="575"/>
      <c r="H308" s="575"/>
      <c r="I308" s="480"/>
      <c r="J308" s="7"/>
      <c r="K308" s="7"/>
      <c r="L308" s="480"/>
      <c r="M308" s="480"/>
      <c r="N308" s="7"/>
      <c r="O308" s="7"/>
      <c r="P308" s="7"/>
      <c r="Q308" s="7"/>
      <c r="R308" s="7"/>
      <c r="S308" s="7"/>
      <c r="T308" s="7"/>
    </row>
    <row r="309" spans="1:20" s="578" customFormat="1">
      <c r="A309" s="576"/>
      <c r="B309" s="576"/>
      <c r="C309" s="576"/>
      <c r="D309" s="574" t="s">
        <v>1318</v>
      </c>
      <c r="E309" s="294" t="s">
        <v>17</v>
      </c>
      <c r="F309" s="294" t="s">
        <v>18</v>
      </c>
      <c r="G309" s="294" t="s">
        <v>19</v>
      </c>
      <c r="H309" s="294" t="s">
        <v>20</v>
      </c>
      <c r="I309" s="294" t="s">
        <v>21</v>
      </c>
      <c r="J309" s="294" t="s">
        <v>22</v>
      </c>
      <c r="K309" s="23" t="s">
        <v>23</v>
      </c>
      <c r="L309" s="294" t="s">
        <v>24</v>
      </c>
      <c r="M309" s="294" t="s">
        <v>25</v>
      </c>
      <c r="N309" s="294" t="s">
        <v>26</v>
      </c>
      <c r="O309" s="294" t="s">
        <v>27</v>
      </c>
      <c r="P309" s="294" t="s">
        <v>712</v>
      </c>
    </row>
    <row r="310" spans="1:20" s="397" customFormat="1" ht="14">
      <c r="A310" s="456"/>
      <c r="B310" s="456"/>
      <c r="C310" s="456"/>
      <c r="D310" s="456" t="s">
        <v>1319</v>
      </c>
      <c r="E310" s="577">
        <f>'2a. Income Statement'!I6</f>
        <v>3301288</v>
      </c>
      <c r="F310" s="577">
        <f>'2a. Income Statement'!J6</f>
        <v>3423219</v>
      </c>
      <c r="G310" s="577">
        <f>'2a. Income Statement'!K6</f>
        <v>3657196</v>
      </c>
      <c r="H310" s="577">
        <f>'2a. Income Statement'!L6</f>
        <v>4647951</v>
      </c>
      <c r="I310" s="577">
        <f>'2a. Income Statement'!M6</f>
        <v>4701224</v>
      </c>
      <c r="J310" s="577">
        <f>'2a. Income Statement'!N6</f>
        <v>5039134</v>
      </c>
      <c r="K310" s="577">
        <f>'2a. Income Statement'!O6</f>
        <v>6168777</v>
      </c>
      <c r="L310" s="577">
        <f>'2a. Income Statement'!P6</f>
        <v>8453950.3387853839</v>
      </c>
      <c r="M310" s="577">
        <f>'2a. Income Statement'!Q6</f>
        <v>9241127.2927219532</v>
      </c>
      <c r="N310" s="577">
        <f>'2a. Income Statement'!R6</f>
        <v>10047111.711007658</v>
      </c>
      <c r="O310" s="577">
        <f>'2a. Income Statement'!S6</f>
        <v>10910346.048071465</v>
      </c>
      <c r="P310" s="577">
        <f>'2a. Income Statement'!T6</f>
        <v>11785818.337516539</v>
      </c>
      <c r="Q310" s="456"/>
      <c r="R310" s="456"/>
      <c r="S310" s="456"/>
      <c r="T310" s="456"/>
    </row>
    <row r="311" spans="1:20" s="397" customFormat="1" ht="14">
      <c r="A311" s="456"/>
      <c r="B311" s="456"/>
      <c r="C311" s="456"/>
      <c r="D311" s="456" t="s">
        <v>450</v>
      </c>
      <c r="E311" s="577">
        <f>'2a. Income Statement'!I56</f>
        <v>502230</v>
      </c>
      <c r="F311" s="577">
        <f>'2a. Income Statement'!J56</f>
        <v>541652</v>
      </c>
      <c r="G311" s="577">
        <f>'2a. Income Statement'!K56</f>
        <v>589898</v>
      </c>
      <c r="H311" s="577">
        <f>'2a. Income Statement'!L56</f>
        <v>750262</v>
      </c>
      <c r="I311" s="577">
        <f>'2a. Income Statement'!M56</f>
        <v>845928</v>
      </c>
      <c r="J311" s="577">
        <f>'2a. Income Statement'!N56</f>
        <v>993189</v>
      </c>
      <c r="K311" s="577">
        <f>'2a. Income Statement'!O56</f>
        <v>1184426</v>
      </c>
      <c r="L311" s="577">
        <f>'2a. Income Statement'!P56</f>
        <v>1864591.3164273296</v>
      </c>
      <c r="M311" s="577">
        <f>'2a. Income Statement'!Q56</f>
        <v>2030599.0349216142</v>
      </c>
      <c r="N311" s="577">
        <f>'2a. Income Statement'!R56</f>
        <v>2163285.9973571985</v>
      </c>
      <c r="O311" s="577">
        <f>'2a. Income Statement'!S56</f>
        <v>2356637.9312349157</v>
      </c>
      <c r="P311" s="577">
        <f>'2a. Income Statement'!T56</f>
        <v>2556930.4796997467</v>
      </c>
      <c r="Q311" s="456"/>
      <c r="R311" s="456"/>
      <c r="S311" s="456"/>
      <c r="T311" s="456"/>
    </row>
    <row r="312" spans="1:20" s="112" customFormat="1" ht="11">
      <c r="D312" s="112" t="s">
        <v>976</v>
      </c>
      <c r="E312" s="579">
        <f>E311/E310</f>
        <v>0.15213153169308463</v>
      </c>
      <c r="F312" s="579">
        <f t="shared" ref="F312:P312" si="27">F311/F310</f>
        <v>0.15822884834420467</v>
      </c>
      <c r="G312" s="579">
        <f t="shared" si="27"/>
        <v>0.16129789051502846</v>
      </c>
      <c r="H312" s="579">
        <f t="shared" si="27"/>
        <v>0.16141779463681954</v>
      </c>
      <c r="I312" s="579">
        <f t="shared" si="27"/>
        <v>0.17993782044846193</v>
      </c>
      <c r="J312" s="579">
        <f t="shared" si="27"/>
        <v>0.19709517548054883</v>
      </c>
      <c r="K312" s="579">
        <f t="shared" si="27"/>
        <v>0.19200337441278878</v>
      </c>
      <c r="L312" s="579">
        <f t="shared" si="27"/>
        <v>0.22055858405896711</v>
      </c>
      <c r="M312" s="579">
        <f t="shared" si="27"/>
        <v>0.21973499234458721</v>
      </c>
      <c r="N312" s="579">
        <f t="shared" si="27"/>
        <v>0.21531421761610287</v>
      </c>
      <c r="O312" s="579">
        <f t="shared" si="27"/>
        <v>0.21600029191113329</v>
      </c>
      <c r="P312" s="579">
        <f t="shared" si="27"/>
        <v>0.21694976169457342</v>
      </c>
    </row>
    <row r="313" spans="1:20" s="163" customFormat="1" ht="14">
      <c r="A313" s="7"/>
      <c r="B313" s="7"/>
      <c r="C313" s="7"/>
      <c r="D313" s="7"/>
      <c r="E313" s="575"/>
      <c r="F313" s="575"/>
      <c r="G313" s="575"/>
      <c r="H313" s="575"/>
      <c r="I313" s="480"/>
      <c r="J313" s="7"/>
      <c r="K313" s="7"/>
      <c r="L313" s="480"/>
      <c r="M313" s="480"/>
      <c r="N313" s="7"/>
      <c r="O313" s="7"/>
      <c r="P313" s="7"/>
      <c r="Q313" s="7"/>
      <c r="R313" s="7"/>
      <c r="S313" s="7"/>
      <c r="T313" s="7"/>
    </row>
    <row r="317" spans="1:20" ht="18">
      <c r="D317" s="1946" t="s">
        <v>1314</v>
      </c>
      <c r="E317" s="1946"/>
      <c r="F317" s="1946"/>
      <c r="G317" s="1946"/>
      <c r="H317" s="1946"/>
      <c r="I317" s="1946"/>
      <c r="J317" s="1946"/>
      <c r="K317" s="1946"/>
      <c r="L317" s="1946"/>
      <c r="M317" s="1946"/>
    </row>
    <row r="320" spans="1:20">
      <c r="D320" s="23" t="s">
        <v>1322</v>
      </c>
      <c r="E320" s="294" t="s">
        <v>17</v>
      </c>
      <c r="F320" s="294" t="s">
        <v>18</v>
      </c>
      <c r="G320" s="294" t="s">
        <v>19</v>
      </c>
      <c r="H320" s="294" t="s">
        <v>20</v>
      </c>
      <c r="I320" s="294" t="s">
        <v>21</v>
      </c>
      <c r="J320" s="294" t="s">
        <v>22</v>
      </c>
      <c r="K320" s="23" t="s">
        <v>23</v>
      </c>
      <c r="L320" s="294" t="s">
        <v>24</v>
      </c>
      <c r="M320" s="294" t="s">
        <v>25</v>
      </c>
      <c r="N320" s="294" t="s">
        <v>26</v>
      </c>
      <c r="O320" s="294" t="s">
        <v>27</v>
      </c>
      <c r="P320" s="294" t="s">
        <v>712</v>
      </c>
    </row>
    <row r="321" spans="1:20" s="163" customFormat="1" ht="14">
      <c r="A321" s="7"/>
      <c r="B321" s="7"/>
      <c r="C321" s="7"/>
      <c r="D321" s="7" t="s">
        <v>1320</v>
      </c>
      <c r="E321" s="582">
        <f>'2a. Income Statement'!I125</f>
        <v>2.714690637782708</v>
      </c>
      <c r="F321" s="582">
        <f>'2a. Income Statement'!J125</f>
        <v>2.9918030497924177</v>
      </c>
      <c r="G321" s="582">
        <f>'2a. Income Statement'!K125</f>
        <v>3.1274291227052129</v>
      </c>
      <c r="H321" s="582">
        <f>'2a. Income Statement'!L125</f>
        <v>4.19806123008114</v>
      </c>
      <c r="I321" s="582">
        <f>'2a. Income Statement'!M125</f>
        <v>4.4322098072844467</v>
      </c>
      <c r="J321" s="582">
        <f>'2a. Income Statement'!N125</f>
        <v>5.1098172733025642</v>
      </c>
      <c r="K321" s="582">
        <f>'2a. Income Statement'!O125</f>
        <v>5.3216867420412086</v>
      </c>
      <c r="L321" s="582">
        <f>'2a. Income Statement'!P125</f>
        <v>7.1907244382411459</v>
      </c>
      <c r="M321" s="582">
        <f>'2a. Income Statement'!Q125</f>
        <v>7.8850533399603915</v>
      </c>
      <c r="N321" s="582">
        <f>'2a. Income Statement'!R125</f>
        <v>8.4196273540685347</v>
      </c>
      <c r="O321" s="582">
        <f>'2a. Income Statement'!S125</f>
        <v>9.2432627161032155</v>
      </c>
      <c r="P321" s="582">
        <f>'2a. Income Statement'!T125</f>
        <v>10.087569499208337</v>
      </c>
      <c r="Q321" s="7"/>
      <c r="R321" s="7"/>
      <c r="S321" s="7"/>
      <c r="T321" s="7"/>
    </row>
    <row r="322" spans="1:20" s="163" customFormat="1" ht="14">
      <c r="A322" s="7"/>
      <c r="B322" s="7"/>
      <c r="C322" s="7"/>
      <c r="D322" s="7" t="s">
        <v>1315</v>
      </c>
      <c r="E322" s="582">
        <f>'2a. Income Statement'!I136</f>
        <v>184</v>
      </c>
      <c r="F322" s="582">
        <f>'2a. Income Statement'!J136</f>
        <v>208</v>
      </c>
      <c r="G322" s="582">
        <f>'2a. Income Statement'!K136</f>
        <v>220</v>
      </c>
      <c r="H322" s="582">
        <f>'2a. Income Statement'!L136</f>
        <v>2.0143714903307059</v>
      </c>
      <c r="I322" s="582">
        <f>'2a. Income Statement'!M136</f>
        <v>3.2221500091742961</v>
      </c>
      <c r="J322" s="582">
        <f>'2a. Income Statement'!N136</f>
        <v>3.7740770857179506</v>
      </c>
      <c r="K322" s="582">
        <f>'2a. Income Statement'!O136</f>
        <v>3.6433949284937164</v>
      </c>
      <c r="L322" s="582">
        <f>'2a. Income Statement'!P136</f>
        <v>5.6809655138159156</v>
      </c>
      <c r="M322" s="582">
        <f>'2a. Income Statement'!Q136</f>
        <v>6.6448145685298314</v>
      </c>
      <c r="N322" s="582">
        <f>'2a. Income Statement'!R136</f>
        <v>7.5387621170739783</v>
      </c>
      <c r="O322" s="582">
        <f>'2a. Income Statement'!S136</f>
        <v>8.2762283735335576</v>
      </c>
      <c r="P322" s="582">
        <f>'2a. Income Statement'!T136</f>
        <v>9.0322033976046345</v>
      </c>
      <c r="Q322" s="7"/>
      <c r="R322" s="7"/>
      <c r="S322" s="7"/>
      <c r="T322" s="7"/>
    </row>
    <row r="323" spans="1:20" s="163" customFormat="1" ht="14">
      <c r="A323" s="7"/>
      <c r="B323" s="7"/>
      <c r="C323" s="7"/>
      <c r="D323" s="7" t="s">
        <v>1321</v>
      </c>
      <c r="E323" s="583">
        <f>E322/E321</f>
        <v>67.779362200286158</v>
      </c>
      <c r="F323" s="583">
        <f t="shared" ref="F323:P323" si="28">F322/F321</f>
        <v>69.523292990302892</v>
      </c>
      <c r="G323" s="583">
        <f t="shared" si="28"/>
        <v>70.345319228114406</v>
      </c>
      <c r="H323" s="583">
        <f t="shared" si="28"/>
        <v>0.47983375656761734</v>
      </c>
      <c r="I323" s="583">
        <f t="shared" si="28"/>
        <v>0.72698499152242579</v>
      </c>
      <c r="J323" s="583">
        <f t="shared" si="28"/>
        <v>0.73859335546820815</v>
      </c>
      <c r="K323" s="583">
        <f t="shared" si="28"/>
        <v>0.68463160368139975</v>
      </c>
      <c r="L323" s="583">
        <f t="shared" si="28"/>
        <v>0.7900407758088811</v>
      </c>
      <c r="M323" s="583">
        <f t="shared" si="28"/>
        <v>0.84271016086280648</v>
      </c>
      <c r="N323" s="583">
        <f t="shared" si="28"/>
        <v>0.89537954591673174</v>
      </c>
      <c r="O323" s="583">
        <f t="shared" si="28"/>
        <v>0.89537954591673219</v>
      </c>
      <c r="P323" s="583">
        <f t="shared" si="28"/>
        <v>0.89537954591673186</v>
      </c>
      <c r="Q323" s="7"/>
      <c r="R323" s="7"/>
      <c r="S323" s="7"/>
      <c r="T323" s="7"/>
    </row>
    <row r="324" spans="1:20" s="163" customFormat="1" ht="14">
      <c r="A324" s="7"/>
      <c r="B324" s="7"/>
      <c r="C324" s="7"/>
      <c r="D324" s="7" t="s">
        <v>1316</v>
      </c>
      <c r="E324" s="583" t="e">
        <f>'2b. Balance Sheet'!#REF!</f>
        <v>#REF!</v>
      </c>
      <c r="F324" s="583" t="e">
        <f>'2b. Balance Sheet'!#REF!</f>
        <v>#REF!</v>
      </c>
      <c r="G324" s="583" t="e">
        <f>'2b. Balance Sheet'!#REF!</f>
        <v>#REF!</v>
      </c>
      <c r="H324" s="583" t="e">
        <f>'2b. Balance Sheet'!#REF!</f>
        <v>#REF!</v>
      </c>
      <c r="I324" s="583" t="e">
        <f>'2b. Balance Sheet'!#REF!</f>
        <v>#REF!</v>
      </c>
      <c r="J324" s="583" t="e">
        <f>'2b. Balance Sheet'!#REF!</f>
        <v>#REF!</v>
      </c>
      <c r="K324" s="583" t="e">
        <f>'2b. Balance Sheet'!#REF!</f>
        <v>#REF!</v>
      </c>
      <c r="L324" s="583" t="e">
        <f>'2b. Balance Sheet'!#REF!</f>
        <v>#REF!</v>
      </c>
      <c r="M324" s="583" t="e">
        <f>'2b. Balance Sheet'!#REF!</f>
        <v>#REF!</v>
      </c>
      <c r="N324" s="583" t="e">
        <f>'2b. Balance Sheet'!#REF!</f>
        <v>#REF!</v>
      </c>
      <c r="O324" s="583" t="e">
        <f>'2b. Balance Sheet'!#REF!</f>
        <v>#REF!</v>
      </c>
      <c r="P324" s="583" t="e">
        <f>'2b. Balance Sheet'!#REF!</f>
        <v>#REF!</v>
      </c>
      <c r="Q324" s="7"/>
      <c r="R324" s="7"/>
      <c r="S324" s="7"/>
      <c r="T324" s="7"/>
    </row>
    <row r="325" spans="1:20">
      <c r="E325" s="581"/>
      <c r="F325" s="581"/>
      <c r="G325" s="581"/>
      <c r="H325" s="581"/>
      <c r="I325" s="581"/>
      <c r="J325" s="581"/>
      <c r="K325" s="581"/>
      <c r="L325" s="581"/>
      <c r="M325" s="581"/>
      <c r="N325" s="581"/>
      <c r="O325" s="581"/>
      <c r="P325" s="581"/>
    </row>
    <row r="326" spans="1:20">
      <c r="D326" s="23" t="s">
        <v>1324</v>
      </c>
      <c r="E326" s="294" t="s">
        <v>17</v>
      </c>
      <c r="F326" s="294" t="s">
        <v>18</v>
      </c>
      <c r="G326" s="294" t="s">
        <v>19</v>
      </c>
      <c r="H326" s="294" t="s">
        <v>20</v>
      </c>
      <c r="I326" s="294" t="s">
        <v>21</v>
      </c>
      <c r="J326" s="294" t="s">
        <v>22</v>
      </c>
      <c r="K326" s="23" t="s">
        <v>23</v>
      </c>
      <c r="L326" s="294" t="s">
        <v>24</v>
      </c>
      <c r="M326" s="294" t="s">
        <v>25</v>
      </c>
      <c r="N326" s="294" t="s">
        <v>26</v>
      </c>
      <c r="O326" s="294" t="s">
        <v>27</v>
      </c>
      <c r="P326" s="294" t="s">
        <v>712</v>
      </c>
    </row>
    <row r="327" spans="1:20" s="163" customFormat="1" ht="14">
      <c r="A327" s="7"/>
      <c r="B327" s="7"/>
      <c r="C327" s="7"/>
      <c r="D327" s="7" t="s">
        <v>1232</v>
      </c>
      <c r="E327" s="582">
        <f>'2a. Income Statement'!I41</f>
        <v>31561</v>
      </c>
      <c r="F327" s="582">
        <f>'2a. Income Statement'!J41</f>
        <v>19750</v>
      </c>
      <c r="G327" s="582">
        <f>'2a. Income Statement'!K41</f>
        <v>25826</v>
      </c>
      <c r="H327" s="582">
        <f>'2a. Income Statement'!L41</f>
        <v>36279</v>
      </c>
      <c r="I327" s="582">
        <f>'2a. Income Statement'!M41</f>
        <v>16451</v>
      </c>
      <c r="J327" s="582">
        <f>'2a. Income Statement'!N41</f>
        <v>13273</v>
      </c>
      <c r="K327" s="582">
        <f>'2a. Income Statement'!O41</f>
        <v>61558</v>
      </c>
      <c r="L327" s="582">
        <f>'2a. Income Statement'!P41</f>
        <v>53568.098538384831</v>
      </c>
      <c r="M327" s="582">
        <f>'2a. Income Statement'!Q41</f>
        <v>1464.164400403203</v>
      </c>
      <c r="N327" s="582">
        <f>'2a. Income Statement'!R41</f>
        <v>5317.2219369511722</v>
      </c>
      <c r="O327" s="582">
        <f>'2a. Income Statement'!S41</f>
        <v>6919.9562203362038</v>
      </c>
      <c r="P327" s="582">
        <f>'2a. Income Statement'!T41</f>
        <v>8390.0637170864265</v>
      </c>
      <c r="Q327" s="7"/>
      <c r="R327" s="7"/>
      <c r="S327" s="7"/>
      <c r="T327" s="7"/>
    </row>
    <row r="328" spans="1:20" s="163" customFormat="1" ht="14">
      <c r="A328" s="7"/>
      <c r="B328" s="7"/>
      <c r="C328" s="7"/>
      <c r="D328" s="7" t="s">
        <v>1233</v>
      </c>
      <c r="E328" s="582">
        <f>'2a. Income Statement'!I42</f>
        <v>-5600</v>
      </c>
      <c r="F328" s="582">
        <f>'2a. Income Statement'!J42</f>
        <v>-5497</v>
      </c>
      <c r="G328" s="582">
        <f>'2a. Income Statement'!K42</f>
        <v>-2872</v>
      </c>
      <c r="H328" s="582">
        <f>'2a. Income Statement'!L42</f>
        <v>-3108</v>
      </c>
      <c r="I328" s="582">
        <f>'2a. Income Statement'!M42</f>
        <v>-7485</v>
      </c>
      <c r="J328" s="582">
        <f>'2a. Income Statement'!N42</f>
        <v>-17102</v>
      </c>
      <c r="K328" s="582">
        <f>'2a. Income Statement'!O42</f>
        <v>-158442</v>
      </c>
      <c r="L328" s="582">
        <f>'2a. Income Statement'!P42</f>
        <v>-220455.89597000001</v>
      </c>
      <c r="M328" s="582">
        <f>'2a. Income Statement'!Q42</f>
        <v>-172211.34640000001</v>
      </c>
      <c r="N328" s="582">
        <f>'2a. Income Statement'!R42</f>
        <v>-177325.01490000001</v>
      </c>
      <c r="O328" s="582">
        <f>'2a. Income Statement'!S42</f>
        <v>-183101.7524</v>
      </c>
      <c r="P328" s="582">
        <f>'2a. Income Statement'!T42</f>
        <v>-189210.02439999999</v>
      </c>
      <c r="Q328" s="7"/>
      <c r="R328" s="7"/>
      <c r="S328" s="7"/>
      <c r="T328" s="7"/>
    </row>
    <row r="329" spans="1:20" s="163" customFormat="1" ht="14">
      <c r="A329" s="7"/>
      <c r="B329" s="7"/>
      <c r="C329" s="7"/>
      <c r="D329" s="7" t="s">
        <v>1317</v>
      </c>
      <c r="E329" s="582">
        <f>E327+E328</f>
        <v>25961</v>
      </c>
      <c r="F329" s="582">
        <f t="shared" ref="F329:P329" si="29">F327+F328</f>
        <v>14253</v>
      </c>
      <c r="G329" s="582">
        <f t="shared" si="29"/>
        <v>22954</v>
      </c>
      <c r="H329" s="582">
        <f t="shared" si="29"/>
        <v>33171</v>
      </c>
      <c r="I329" s="582">
        <f t="shared" si="29"/>
        <v>8966</v>
      </c>
      <c r="J329" s="582">
        <f t="shared" si="29"/>
        <v>-3829</v>
      </c>
      <c r="K329" s="582">
        <f t="shared" si="29"/>
        <v>-96884</v>
      </c>
      <c r="L329" s="582">
        <f t="shared" si="29"/>
        <v>-166887.79743161518</v>
      </c>
      <c r="M329" s="582">
        <f t="shared" si="29"/>
        <v>-170747.1819995968</v>
      </c>
      <c r="N329" s="582">
        <f t="shared" si="29"/>
        <v>-172007.79296304885</v>
      </c>
      <c r="O329" s="582">
        <f t="shared" si="29"/>
        <v>-176181.7961796638</v>
      </c>
      <c r="P329" s="582">
        <f t="shared" si="29"/>
        <v>-180819.96068291357</v>
      </c>
      <c r="Q329" s="7"/>
      <c r="R329" s="7"/>
      <c r="S329" s="7"/>
      <c r="T329" s="7"/>
    </row>
    <row r="331" spans="1:20">
      <c r="D331" s="23" t="s">
        <v>1325</v>
      </c>
      <c r="E331" s="294" t="s">
        <v>17</v>
      </c>
      <c r="F331" s="294" t="s">
        <v>18</v>
      </c>
      <c r="G331" s="294" t="s">
        <v>19</v>
      </c>
      <c r="H331" s="294" t="s">
        <v>20</v>
      </c>
      <c r="I331" s="294" t="s">
        <v>21</v>
      </c>
      <c r="J331" s="294" t="s">
        <v>22</v>
      </c>
      <c r="K331" s="23" t="s">
        <v>23</v>
      </c>
      <c r="L331" s="294" t="s">
        <v>24</v>
      </c>
      <c r="M331" s="294" t="s">
        <v>25</v>
      </c>
      <c r="N331" s="294" t="s">
        <v>26</v>
      </c>
      <c r="O331" s="294" t="s">
        <v>27</v>
      </c>
      <c r="P331" s="294" t="s">
        <v>712</v>
      </c>
    </row>
    <row r="332" spans="1:20" s="163" customFormat="1" ht="14">
      <c r="A332" s="7"/>
      <c r="B332" s="7"/>
      <c r="C332" s="7"/>
      <c r="D332" s="7" t="s">
        <v>480</v>
      </c>
      <c r="E332" s="583" t="e">
        <f>'2b. Balance Sheet'!#REF!</f>
        <v>#REF!</v>
      </c>
      <c r="F332" s="583" t="e">
        <f>'2b. Balance Sheet'!#REF!</f>
        <v>#REF!</v>
      </c>
      <c r="G332" s="583" t="e">
        <f>'2b. Balance Sheet'!#REF!</f>
        <v>#REF!</v>
      </c>
      <c r="H332" s="583" t="e">
        <f>'2b. Balance Sheet'!#REF!</f>
        <v>#REF!</v>
      </c>
      <c r="I332" s="583" t="e">
        <f>'2b. Balance Sheet'!#REF!</f>
        <v>#REF!</v>
      </c>
      <c r="J332" s="583" t="e">
        <f>'2b. Balance Sheet'!#REF!</f>
        <v>#REF!</v>
      </c>
      <c r="K332" s="583" t="e">
        <f>'2b. Balance Sheet'!#REF!</f>
        <v>#REF!</v>
      </c>
      <c r="L332" s="583" t="e">
        <f>'2b. Balance Sheet'!#REF!</f>
        <v>#REF!</v>
      </c>
      <c r="M332" s="583" t="e">
        <f>'2b. Balance Sheet'!#REF!</f>
        <v>#REF!</v>
      </c>
      <c r="N332" s="583" t="e">
        <f>'2b. Balance Sheet'!#REF!</f>
        <v>#REF!</v>
      </c>
      <c r="O332" s="583" t="e">
        <f>'2b. Balance Sheet'!#REF!</f>
        <v>#REF!</v>
      </c>
      <c r="P332" s="583" t="e">
        <f>'2b. Balance Sheet'!#REF!</f>
        <v>#REF!</v>
      </c>
      <c r="Q332" s="7"/>
      <c r="R332" s="7"/>
      <c r="S332" s="7"/>
      <c r="T332" s="7"/>
    </row>
    <row r="333" spans="1:20" s="163" customFormat="1" ht="14">
      <c r="A333" s="7"/>
      <c r="B333" s="7"/>
      <c r="C333" s="7"/>
      <c r="D333" s="7" t="s">
        <v>478</v>
      </c>
      <c r="E333" s="575" t="e">
        <f>'2b. Balance Sheet'!#REF!</f>
        <v>#REF!</v>
      </c>
      <c r="F333" s="575" t="e">
        <f>'2b. Balance Sheet'!#REF!</f>
        <v>#REF!</v>
      </c>
      <c r="G333" s="575" t="e">
        <f>'2b. Balance Sheet'!#REF!</f>
        <v>#REF!</v>
      </c>
      <c r="H333" s="575" t="e">
        <f>'2b. Balance Sheet'!#REF!</f>
        <v>#REF!</v>
      </c>
      <c r="I333" s="575" t="e">
        <f>'2b. Balance Sheet'!#REF!</f>
        <v>#REF!</v>
      </c>
      <c r="J333" s="575" t="e">
        <f>'2b. Balance Sheet'!#REF!</f>
        <v>#REF!</v>
      </c>
      <c r="K333" s="575" t="e">
        <f>'2b. Balance Sheet'!#REF!</f>
        <v>#REF!</v>
      </c>
      <c r="L333" s="575" t="e">
        <f>'2b. Balance Sheet'!#REF!</f>
        <v>#REF!</v>
      </c>
      <c r="M333" s="575" t="e">
        <f>'2b. Balance Sheet'!#REF!</f>
        <v>#REF!</v>
      </c>
      <c r="N333" s="575" t="e">
        <f>'2b. Balance Sheet'!#REF!</f>
        <v>#REF!</v>
      </c>
      <c r="O333" s="575" t="e">
        <f>'2b. Balance Sheet'!#REF!</f>
        <v>#REF!</v>
      </c>
      <c r="P333" s="575" t="e">
        <f>'2b. Balance Sheet'!#REF!</f>
        <v>#REF!</v>
      </c>
      <c r="Q333" s="7"/>
      <c r="R333" s="7"/>
      <c r="S333" s="7"/>
      <c r="T333" s="7"/>
    </row>
    <row r="334" spans="1:20" s="163" customFormat="1" ht="14">
      <c r="A334" s="7"/>
      <c r="B334" s="7"/>
      <c r="C334" s="7"/>
      <c r="D334" s="7" t="s">
        <v>479</v>
      </c>
      <c r="E334" s="575" t="e">
        <f>'2b. Balance Sheet'!#REF!</f>
        <v>#REF!</v>
      </c>
      <c r="F334" s="575" t="e">
        <f>'2b. Balance Sheet'!#REF!</f>
        <v>#REF!</v>
      </c>
      <c r="G334" s="575" t="e">
        <f>'2b. Balance Sheet'!#REF!</f>
        <v>#REF!</v>
      </c>
      <c r="H334" s="575" t="e">
        <f>'2b. Balance Sheet'!#REF!</f>
        <v>#REF!</v>
      </c>
      <c r="I334" s="575" t="e">
        <f>'2b. Balance Sheet'!#REF!</f>
        <v>#REF!</v>
      </c>
      <c r="J334" s="575" t="e">
        <f>'2b. Balance Sheet'!#REF!</f>
        <v>#REF!</v>
      </c>
      <c r="K334" s="575" t="e">
        <f>'2b. Balance Sheet'!#REF!</f>
        <v>#REF!</v>
      </c>
      <c r="L334" s="575" t="e">
        <f>'2b. Balance Sheet'!#REF!</f>
        <v>#REF!</v>
      </c>
      <c r="M334" s="575" t="e">
        <f>'2b. Balance Sheet'!#REF!</f>
        <v>#REF!</v>
      </c>
      <c r="N334" s="575" t="e">
        <f>'2b. Balance Sheet'!#REF!</f>
        <v>#REF!</v>
      </c>
      <c r="O334" s="575" t="e">
        <f>'2b. Balance Sheet'!#REF!</f>
        <v>#REF!</v>
      </c>
      <c r="P334" s="575" t="e">
        <f>'2b. Balance Sheet'!#REF!</f>
        <v>#REF!</v>
      </c>
      <c r="Q334" s="7"/>
      <c r="R334" s="7"/>
      <c r="S334" s="7"/>
      <c r="T334" s="7"/>
    </row>
    <row r="335" spans="1:20" s="163" customFormat="1" ht="14">
      <c r="A335" s="7"/>
      <c r="B335" s="7"/>
      <c r="C335" s="7"/>
      <c r="D335" s="7" t="s">
        <v>1323</v>
      </c>
      <c r="E335" s="480"/>
      <c r="F335" s="7"/>
      <c r="G335" s="7"/>
      <c r="H335" s="480"/>
      <c r="I335" s="480"/>
      <c r="J335" s="7"/>
      <c r="K335" s="7"/>
      <c r="L335" s="480"/>
      <c r="M335" s="480"/>
      <c r="N335" s="7"/>
      <c r="O335" s="7"/>
      <c r="P335" s="7"/>
      <c r="Q335" s="7"/>
      <c r="R335" s="7"/>
      <c r="S335" s="7"/>
      <c r="T335" s="7"/>
    </row>
    <row r="338" spans="1:20" ht="18">
      <c r="D338" s="1946" t="s">
        <v>1326</v>
      </c>
      <c r="E338" s="1946"/>
      <c r="F338" s="1946"/>
      <c r="G338" s="1946"/>
      <c r="H338" s="1946"/>
      <c r="I338" s="1946"/>
      <c r="J338" s="1946"/>
      <c r="K338" s="1946"/>
      <c r="L338" s="1946"/>
      <c r="M338" s="1946"/>
    </row>
    <row r="340" spans="1:20">
      <c r="D340" s="23" t="s">
        <v>1327</v>
      </c>
      <c r="E340" s="294" t="s">
        <v>17</v>
      </c>
      <c r="F340" s="294" t="s">
        <v>18</v>
      </c>
      <c r="G340" s="294" t="s">
        <v>19</v>
      </c>
      <c r="H340" s="294" t="s">
        <v>20</v>
      </c>
      <c r="I340" s="294" t="s">
        <v>21</v>
      </c>
      <c r="J340" s="294" t="s">
        <v>22</v>
      </c>
      <c r="K340" s="23" t="s">
        <v>23</v>
      </c>
      <c r="L340" s="294" t="s">
        <v>24</v>
      </c>
      <c r="M340" s="294" t="s">
        <v>25</v>
      </c>
      <c r="N340" s="294" t="s">
        <v>26</v>
      </c>
      <c r="O340" s="294" t="s">
        <v>27</v>
      </c>
      <c r="P340" s="294" t="s">
        <v>712</v>
      </c>
    </row>
    <row r="341" spans="1:20" s="163" customFormat="1" ht="14">
      <c r="A341" s="7"/>
      <c r="B341" s="7"/>
      <c r="C341" s="7"/>
      <c r="D341" s="7" t="s">
        <v>1328</v>
      </c>
      <c r="E341" s="480">
        <f>'2a. Income Statement'!I38</f>
        <v>430195</v>
      </c>
      <c r="F341" s="480">
        <f>'2a. Income Statement'!J38</f>
        <v>464777</v>
      </c>
      <c r="G341" s="480">
        <f>'2a. Income Statement'!K38</f>
        <v>512689</v>
      </c>
      <c r="H341" s="480">
        <f>'2a. Income Statement'!L38</f>
        <v>663070</v>
      </c>
      <c r="I341" s="480">
        <f>'2a. Income Statement'!M38</f>
        <v>743560</v>
      </c>
      <c r="J341" s="480">
        <f>'2a. Income Statement'!N38</f>
        <v>879566</v>
      </c>
      <c r="K341" s="480">
        <f>'2a. Income Statement'!O38</f>
        <v>1025601</v>
      </c>
      <c r="L341" s="480">
        <f>'2a. Income Statement'!P38</f>
        <v>1653844.1042273296</v>
      </c>
      <c r="M341" s="480">
        <f>'2a. Income Statement'!Q38</f>
        <v>1801282.4492003783</v>
      </c>
      <c r="N341" s="480">
        <f>'2a. Income Statement'!R38</f>
        <v>1913086.6095035733</v>
      </c>
      <c r="O341" s="480">
        <f>'2a. Income Statement'!S38</f>
        <v>2087578.6114970965</v>
      </c>
      <c r="P341" s="480">
        <f>'2a. Income Statement'!T38</f>
        <v>2266809.3788446356</v>
      </c>
      <c r="Q341" s="7"/>
      <c r="R341" s="7"/>
      <c r="S341" s="7"/>
      <c r="T341" s="7"/>
    </row>
    <row r="342" spans="1:20" s="163" customFormat="1" ht="14">
      <c r="A342" s="7"/>
      <c r="B342" s="7"/>
      <c r="C342" s="7"/>
      <c r="D342" s="7" t="s">
        <v>1329</v>
      </c>
      <c r="E342" s="480">
        <f>'2a. Income Statement'!I47*'4b. Information for Graphs'!E341</f>
        <v>139787.25147756469</v>
      </c>
      <c r="F342" s="480">
        <f>'2a. Income Statement'!J47*'4b. Information for Graphs'!F341</f>
        <v>170292.74816817316</v>
      </c>
      <c r="G342" s="480">
        <f>'2a. Income Statement'!K47*'4b. Information for Graphs'!G341</f>
        <v>181308.49560994914</v>
      </c>
      <c r="H342" s="480">
        <f>'2a. Income Statement'!L47*'4b. Information for Graphs'!H341</f>
        <v>221246.81977935802</v>
      </c>
      <c r="I342" s="480">
        <f>'2a. Income Statement'!M47*'4b. Information for Graphs'!I341</f>
        <v>225416.87675907541</v>
      </c>
      <c r="J342" s="480">
        <f>'2a. Income Statement'!N47*'4b. Information for Graphs'!J341</f>
        <v>267984.61294658098</v>
      </c>
      <c r="K342" s="480">
        <f>'2a. Income Statement'!O47*'4b. Information for Graphs'!K341</f>
        <v>316404.31963127624</v>
      </c>
      <c r="L342" s="480">
        <f>'2a. Income Statement'!P47*'4b. Information for Graphs'!L341</f>
        <v>578845.43647956534</v>
      </c>
      <c r="M342" s="480">
        <f>'2a. Income Statement'!Q47*'4b. Information for Graphs'!M341</f>
        <v>630448.85722013237</v>
      </c>
      <c r="N342" s="480">
        <f>'2a. Income Statement'!R47*'4b. Information for Graphs'!N341</f>
        <v>669580.31332625065</v>
      </c>
      <c r="O342" s="480">
        <f>'2a. Income Statement'!S47*'4b. Information for Graphs'!O341</f>
        <v>730652.51402398373</v>
      </c>
      <c r="P342" s="480">
        <f>'2a. Income Statement'!T47*'4b. Information for Graphs'!P341</f>
        <v>793383.28259562235</v>
      </c>
      <c r="Q342" s="7"/>
      <c r="R342" s="7"/>
      <c r="S342" s="7"/>
      <c r="T342" s="7"/>
    </row>
    <row r="343" spans="1:20" s="163" customFormat="1" ht="14">
      <c r="A343" s="7"/>
      <c r="B343" s="7"/>
      <c r="C343" s="7"/>
      <c r="D343" s="7" t="s">
        <v>497</v>
      </c>
      <c r="E343" s="480">
        <f>'2a. Income Statement'!I59</f>
        <v>72035</v>
      </c>
      <c r="F343" s="480">
        <f>'2a. Income Statement'!J59</f>
        <v>76875</v>
      </c>
      <c r="G343" s="480">
        <f>'2a. Income Statement'!K59</f>
        <v>77209</v>
      </c>
      <c r="H343" s="480">
        <f>'2a. Income Statement'!L59</f>
        <v>87192</v>
      </c>
      <c r="I343" s="480">
        <f>'2a. Income Statement'!M59</f>
        <v>102368</v>
      </c>
      <c r="J343" s="480">
        <f>'2a. Income Statement'!N59</f>
        <v>113623</v>
      </c>
      <c r="K343" s="480">
        <f>'2a. Income Statement'!O59</f>
        <v>177171</v>
      </c>
      <c r="L343" s="480">
        <f>'2a. Income Statement'!P59</f>
        <v>210747.21220000001</v>
      </c>
      <c r="M343" s="480">
        <f>'2a. Income Statement'!Q59</f>
        <v>229316.58572123601</v>
      </c>
      <c r="N343" s="480">
        <f>'2a. Income Statement'!R59</f>
        <v>250199.38785362514</v>
      </c>
      <c r="O343" s="480">
        <f>'2a. Income Statement'!S59</f>
        <v>269059.31973781931</v>
      </c>
      <c r="P343" s="480">
        <f>'2a. Income Statement'!T59</f>
        <v>290121.10085511114</v>
      </c>
      <c r="Q343" s="7"/>
      <c r="R343" s="7"/>
      <c r="S343" s="7"/>
      <c r="T343" s="7"/>
    </row>
    <row r="344" spans="1:20" s="291" customFormat="1" ht="14">
      <c r="A344" s="6"/>
      <c r="B344" s="6"/>
      <c r="C344" s="6"/>
      <c r="D344" s="6" t="s">
        <v>481</v>
      </c>
      <c r="E344" s="501">
        <f>E341-E342+E343</f>
        <v>362442.74852243531</v>
      </c>
      <c r="F344" s="501">
        <f t="shared" ref="F344:P344" si="30">F341-F342+F343</f>
        <v>371359.25183182687</v>
      </c>
      <c r="G344" s="501">
        <f t="shared" si="30"/>
        <v>408589.50439005089</v>
      </c>
      <c r="H344" s="501">
        <f t="shared" si="30"/>
        <v>529015.18022064201</v>
      </c>
      <c r="I344" s="501">
        <f t="shared" si="30"/>
        <v>620511.12324092456</v>
      </c>
      <c r="J344" s="501">
        <f t="shared" si="30"/>
        <v>725204.38705341902</v>
      </c>
      <c r="K344" s="501">
        <f t="shared" si="30"/>
        <v>886367.68036872381</v>
      </c>
      <c r="L344" s="501">
        <f t="shared" si="30"/>
        <v>1285745.8799477643</v>
      </c>
      <c r="M344" s="501">
        <f t="shared" si="30"/>
        <v>1400150.1777014819</v>
      </c>
      <c r="N344" s="501">
        <f t="shared" si="30"/>
        <v>1493705.6840309477</v>
      </c>
      <c r="O344" s="501">
        <f t="shared" si="30"/>
        <v>1625985.4172109321</v>
      </c>
      <c r="P344" s="501">
        <f t="shared" si="30"/>
        <v>1763547.1971041244</v>
      </c>
      <c r="Q344" s="6"/>
      <c r="R344" s="6"/>
      <c r="S344" s="6"/>
      <c r="T344" s="6"/>
    </row>
    <row r="345" spans="1:20" s="163" customFormat="1" ht="14">
      <c r="A345" s="7"/>
      <c r="B345" s="7"/>
      <c r="C345" s="7"/>
      <c r="D345" s="7" t="s">
        <v>498</v>
      </c>
      <c r="E345" s="480">
        <f>-SUM('2c. Cash Flow Statement'!I30:I31)</f>
        <v>91138</v>
      </c>
      <c r="F345" s="480">
        <f>-SUM('2c. Cash Flow Statement'!J30:J31)</f>
        <v>91852</v>
      </c>
      <c r="G345" s="480">
        <f>-SUM('2c. Cash Flow Statement'!K30:K31)</f>
        <v>125988</v>
      </c>
      <c r="H345" s="480">
        <f>-SUM('2c. Cash Flow Statement'!L30:L31)</f>
        <v>69746</v>
      </c>
      <c r="I345" s="480">
        <f>-SUM('2c. Cash Flow Statement'!M30:M31)</f>
        <v>127172</v>
      </c>
      <c r="J345" s="480">
        <f>-SUM('2c. Cash Flow Statement'!N30:N31)</f>
        <v>158950</v>
      </c>
      <c r="K345" s="480">
        <f>-SUM('2c. Cash Flow Statement'!O30:O31)</f>
        <v>160613</v>
      </c>
      <c r="L345" s="480">
        <f>-SUM('2c. Cash Flow Statement'!P30:P31)</f>
        <v>185367.46000000002</v>
      </c>
      <c r="M345" s="480">
        <f>-SUM('2c. Cash Flow Statement'!Q30:Q31)</f>
        <v>207803.93608752286</v>
      </c>
      <c r="N345" s="480">
        <f>-SUM('2c. Cash Flow Statement'!R30:R31)</f>
        <v>232547.6432728238</v>
      </c>
      <c r="O345" s="480">
        <f>-SUM('2c. Cash Flow Statement'!S30:S31)</f>
        <v>260136.99150612624</v>
      </c>
      <c r="P345" s="480">
        <f>-SUM('2c. Cash Flow Statement'!T30:T31)</f>
        <v>290507.32575574948</v>
      </c>
      <c r="Q345" s="7"/>
      <c r="R345" s="7"/>
      <c r="S345" s="7"/>
      <c r="T345" s="7"/>
    </row>
    <row r="346" spans="1:20" s="163" customFormat="1" ht="14">
      <c r="A346" s="7"/>
      <c r="B346" s="7"/>
      <c r="C346" s="7"/>
      <c r="D346" s="7" t="s">
        <v>1009</v>
      </c>
      <c r="E346" s="480">
        <f>-'2c. Cash Flow Statement'!I20</f>
        <v>206875</v>
      </c>
      <c r="F346" s="480">
        <f>-'2c. Cash Flow Statement'!J20</f>
        <v>168970</v>
      </c>
      <c r="G346" s="480">
        <f>-'2c. Cash Flow Statement'!K20</f>
        <v>-118875</v>
      </c>
      <c r="H346" s="480">
        <f>-'2c. Cash Flow Statement'!L20</f>
        <v>357295</v>
      </c>
      <c r="I346" s="480">
        <f>-'2c. Cash Flow Statement'!M20</f>
        <v>468732</v>
      </c>
      <c r="J346" s="480">
        <f>-'2c. Cash Flow Statement'!N20</f>
        <v>-325800</v>
      </c>
      <c r="K346" s="480">
        <f>-'2c. Cash Flow Statement'!O20</f>
        <v>92760</v>
      </c>
      <c r="L346" s="480">
        <f>-'2c. Cash Flow Statement'!P20</f>
        <v>431139.89140236098</v>
      </c>
      <c r="M346" s="480">
        <f>-'2c. Cash Flow Statement'!Q20</f>
        <v>148515.37985081039</v>
      </c>
      <c r="N346" s="480">
        <f>-'2c. Cash Flow Statement'!R20</f>
        <v>152063.75318398932</v>
      </c>
      <c r="O346" s="480">
        <f>-'2c. Cash Flow Statement'!S20</f>
        <v>162865.00110065844</v>
      </c>
      <c r="P346" s="480">
        <f>-'2c. Cash Flow Statement'!T20</f>
        <v>165173.91542724334</v>
      </c>
      <c r="Q346" s="7"/>
      <c r="R346" s="7"/>
      <c r="S346" s="7"/>
      <c r="T346" s="7"/>
    </row>
    <row r="347" spans="1:20" s="291" customFormat="1" ht="14">
      <c r="A347" s="6"/>
      <c r="B347" s="6"/>
      <c r="C347" s="6"/>
      <c r="D347" s="6" t="s">
        <v>1239</v>
      </c>
      <c r="E347" s="501">
        <f>E344-E345-E346</f>
        <v>64429.748522435315</v>
      </c>
      <c r="F347" s="501">
        <f t="shared" ref="F347:P347" si="31">F344-F345-F346</f>
        <v>110537.25183182687</v>
      </c>
      <c r="G347" s="501">
        <f t="shared" si="31"/>
        <v>401476.50439005089</v>
      </c>
      <c r="H347" s="501">
        <f t="shared" si="31"/>
        <v>101974.18022064201</v>
      </c>
      <c r="I347" s="501">
        <f t="shared" si="31"/>
        <v>24607.123240924557</v>
      </c>
      <c r="J347" s="501">
        <f t="shared" si="31"/>
        <v>892054.38705341902</v>
      </c>
      <c r="K347" s="501">
        <f t="shared" si="31"/>
        <v>632994.68036872381</v>
      </c>
      <c r="L347" s="501">
        <f t="shared" si="31"/>
        <v>669238.52854540339</v>
      </c>
      <c r="M347" s="501">
        <f t="shared" si="31"/>
        <v>1043830.8617631486</v>
      </c>
      <c r="N347" s="501">
        <f t="shared" si="31"/>
        <v>1109094.2875741345</v>
      </c>
      <c r="O347" s="501">
        <f t="shared" si="31"/>
        <v>1202983.4246041474</v>
      </c>
      <c r="P347" s="501">
        <f t="shared" si="31"/>
        <v>1307865.9559211317</v>
      </c>
      <c r="Q347" s="6"/>
      <c r="R347" s="6"/>
      <c r="S347" s="6"/>
      <c r="T347" s="6"/>
    </row>
    <row r="348" spans="1:20" s="185" customFormat="1" ht="11">
      <c r="A348" s="161"/>
      <c r="B348" s="161"/>
      <c r="C348" s="161"/>
      <c r="D348" s="161" t="s">
        <v>1196</v>
      </c>
      <c r="E348" s="512">
        <f>E347/'2a. Income Statement'!I6</f>
        <v>1.9516548850762282E-2</v>
      </c>
      <c r="F348" s="512">
        <f>F347/'2a. Income Statement'!J6</f>
        <v>3.2290441199300093E-2</v>
      </c>
      <c r="G348" s="512">
        <f>G347/'2a. Income Statement'!K6</f>
        <v>0.1097771364701402</v>
      </c>
      <c r="H348" s="512">
        <f>H347/'2a. Income Statement'!L6</f>
        <v>2.1939598808301122E-2</v>
      </c>
      <c r="I348" s="512">
        <f>I347/'2a. Income Statement'!M6</f>
        <v>5.234195018345128E-3</v>
      </c>
      <c r="J348" s="512">
        <f>J347/'2a. Income Statement'!N6</f>
        <v>0.17702533551467753</v>
      </c>
      <c r="K348" s="512">
        <f>K347/'2a. Income Statement'!O6</f>
        <v>0.10261267028597788</v>
      </c>
      <c r="L348" s="512">
        <f>L347/'2a. Income Statement'!P6</f>
        <v>7.9162817585412479E-2</v>
      </c>
      <c r="M348" s="512">
        <f>M347/'2a. Income Statement'!Q6</f>
        <v>0.11295492732637065</v>
      </c>
      <c r="N348" s="512">
        <f>N347/'2a. Income Statement'!R6</f>
        <v>0.11038936556851518</v>
      </c>
      <c r="O348" s="512">
        <f>O347/'2a. Income Statement'!S6</f>
        <v>0.11026079459842517</v>
      </c>
      <c r="P348" s="512">
        <f>P347/'2a. Income Statement'!T6</f>
        <v>0.11096946503561331</v>
      </c>
      <c r="Q348" s="161"/>
      <c r="R348" s="161"/>
      <c r="S348" s="161"/>
      <c r="T348" s="161"/>
    </row>
    <row r="349" spans="1:20" s="163" customFormat="1" ht="14">
      <c r="A349" s="7"/>
      <c r="B349" s="7"/>
      <c r="C349" s="7"/>
      <c r="D349" s="7" t="s">
        <v>1330</v>
      </c>
      <c r="E349" s="480" t="e">
        <f>E347/'2b. Balance Sheet'!#REF!/1000</f>
        <v>#REF!</v>
      </c>
      <c r="F349" s="480" t="e">
        <f>F347/'2b. Balance Sheet'!#REF!/1000</f>
        <v>#REF!</v>
      </c>
      <c r="G349" s="480" t="e">
        <f>G347/'2b. Balance Sheet'!#REF!/1000</f>
        <v>#REF!</v>
      </c>
      <c r="H349" s="480" t="e">
        <f>H347/'2b. Balance Sheet'!#REF!/1000</f>
        <v>#REF!</v>
      </c>
      <c r="I349" s="480" t="e">
        <f>I347/'2b. Balance Sheet'!#REF!/1000</f>
        <v>#REF!</v>
      </c>
      <c r="J349" s="480" t="e">
        <f>J347/'2b. Balance Sheet'!#REF!/1000</f>
        <v>#REF!</v>
      </c>
      <c r="K349" s="480" t="e">
        <f>K347/'2b. Balance Sheet'!#REF!/1000</f>
        <v>#REF!</v>
      </c>
      <c r="L349" s="480" t="e">
        <f>L347/'2b. Balance Sheet'!#REF!/1000</f>
        <v>#REF!</v>
      </c>
      <c r="M349" s="480" t="e">
        <f>M347/'2b. Balance Sheet'!#REF!/1000</f>
        <v>#REF!</v>
      </c>
      <c r="N349" s="480" t="e">
        <f>N347/'2b. Balance Sheet'!#REF!/1000</f>
        <v>#REF!</v>
      </c>
      <c r="O349" s="480" t="e">
        <f>O347/'2b. Balance Sheet'!#REF!/1000</f>
        <v>#REF!</v>
      </c>
      <c r="P349" s="480" t="e">
        <f>P347/'2b. Balance Sheet'!#REF!/1000</f>
        <v>#REF!</v>
      </c>
      <c r="Q349" s="7"/>
      <c r="R349" s="7"/>
      <c r="S349" s="7"/>
      <c r="T349" s="7"/>
    </row>
    <row r="353" spans="1:20" ht="18">
      <c r="D353" s="1946" t="s">
        <v>1331</v>
      </c>
      <c r="E353" s="1946"/>
      <c r="F353" s="1946"/>
      <c r="G353" s="1946"/>
      <c r="H353" s="1946"/>
      <c r="I353" s="1946"/>
      <c r="J353" s="1946"/>
      <c r="K353" s="1946"/>
      <c r="L353" s="1946"/>
      <c r="M353" s="1946"/>
    </row>
    <row r="355" spans="1:20">
      <c r="D355" s="23" t="s">
        <v>1332</v>
      </c>
      <c r="E355" s="294" t="s">
        <v>17</v>
      </c>
      <c r="F355" s="294" t="s">
        <v>18</v>
      </c>
      <c r="G355" s="294" t="s">
        <v>19</v>
      </c>
      <c r="H355" s="294" t="s">
        <v>20</v>
      </c>
      <c r="I355" s="294" t="s">
        <v>21</v>
      </c>
      <c r="J355" s="294" t="s">
        <v>22</v>
      </c>
      <c r="K355" s="23" t="s">
        <v>23</v>
      </c>
      <c r="L355" s="294" t="s">
        <v>24</v>
      </c>
      <c r="M355" s="294" t="s">
        <v>25</v>
      </c>
      <c r="N355" s="294" t="s">
        <v>26</v>
      </c>
      <c r="O355" s="294" t="s">
        <v>27</v>
      </c>
      <c r="P355" s="294" t="s">
        <v>712</v>
      </c>
    </row>
    <row r="356" spans="1:20" s="163" customFormat="1" ht="14">
      <c r="A356" s="7"/>
      <c r="B356" s="7"/>
      <c r="C356" s="7"/>
      <c r="D356" s="7" t="s">
        <v>44</v>
      </c>
      <c r="E356" s="582">
        <f>'2b. Balance Sheet'!I11</f>
        <v>36117</v>
      </c>
      <c r="F356" s="582">
        <f>'2b. Balance Sheet'!J11</f>
        <v>16183</v>
      </c>
      <c r="G356" s="582">
        <f>'2b. Balance Sheet'!K11</f>
        <v>18101</v>
      </c>
      <c r="H356" s="582">
        <f>'2b. Balance Sheet'!L11</f>
        <v>88638</v>
      </c>
      <c r="I356" s="582">
        <f>'2b. Balance Sheet'!M11</f>
        <v>102802</v>
      </c>
      <c r="J356" s="582">
        <f>'2b. Balance Sheet'!N11</f>
        <v>97625</v>
      </c>
      <c r="K356" s="582">
        <f>'2b. Balance Sheet'!O11</f>
        <v>4469232</v>
      </c>
      <c r="L356" s="582">
        <f>'2b. Balance Sheet'!P11</f>
        <v>4469232</v>
      </c>
      <c r="M356" s="582">
        <f>'2b. Balance Sheet'!Q11</f>
        <v>4469232</v>
      </c>
      <c r="N356" s="582">
        <f>'2b. Balance Sheet'!R11</f>
        <v>4469232</v>
      </c>
      <c r="O356" s="582">
        <f>'2b. Balance Sheet'!S11</f>
        <v>4469232</v>
      </c>
      <c r="P356" s="582">
        <f>'2b. Balance Sheet'!T11</f>
        <v>4469232</v>
      </c>
      <c r="Q356" s="7"/>
      <c r="R356" s="7"/>
      <c r="S356" s="7"/>
      <c r="T356" s="7"/>
    </row>
    <row r="357" spans="1:20" s="163" customFormat="1" ht="14">
      <c r="A357" s="7"/>
      <c r="B357" s="7"/>
      <c r="C357" s="7"/>
      <c r="D357" s="7" t="s">
        <v>1333</v>
      </c>
      <c r="E357" s="582">
        <f>'2b. Balance Sheet'!I7</f>
        <v>352170</v>
      </c>
      <c r="F357" s="582">
        <f>'2b. Balance Sheet'!J7</f>
        <v>364538</v>
      </c>
      <c r="G357" s="582">
        <f>'2b. Balance Sheet'!K7</f>
        <v>415623</v>
      </c>
      <c r="H357" s="582">
        <f>'2b. Balance Sheet'!L7</f>
        <v>435850</v>
      </c>
      <c r="I357" s="582">
        <f>'2b. Balance Sheet'!M7</f>
        <v>458200</v>
      </c>
      <c r="J357" s="582">
        <f>'2b. Balance Sheet'!N7</f>
        <v>512342</v>
      </c>
      <c r="K357" s="582">
        <f>'2b. Balance Sheet'!O7</f>
        <v>1537293</v>
      </c>
      <c r="L357" s="582">
        <f>'2b. Balance Sheet'!P7</f>
        <v>1511913.2478</v>
      </c>
      <c r="M357" s="582">
        <f>'2b. Balance Sheet'!Q7</f>
        <v>1490400.5981662867</v>
      </c>
      <c r="N357" s="582">
        <f>'2b. Balance Sheet'!R7</f>
        <v>1472748.8535854851</v>
      </c>
      <c r="O357" s="582">
        <f>'2b. Balance Sheet'!S7</f>
        <v>1463826.5253537921</v>
      </c>
      <c r="P357" s="582">
        <f>'2b. Balance Sheet'!T7</f>
        <v>1464212.7502544303</v>
      </c>
      <c r="Q357" s="7"/>
      <c r="R357" s="7"/>
      <c r="S357" s="7"/>
      <c r="T357" s="7"/>
    </row>
    <row r="358" spans="1:20" s="163" customFormat="1" ht="14">
      <c r="A358" s="7"/>
      <c r="B358" s="7"/>
      <c r="C358" s="7"/>
      <c r="D358" s="7" t="s">
        <v>1334</v>
      </c>
      <c r="E358" s="582">
        <f>'2b. Balance Sheet'!I13+'2b. Balance Sheet'!I14</f>
        <v>140111</v>
      </c>
      <c r="F358" s="582">
        <f>'2b. Balance Sheet'!J13+'2b. Balance Sheet'!J14</f>
        <v>151897</v>
      </c>
      <c r="G358" s="582">
        <f>'2b. Balance Sheet'!K13+'2b. Balance Sheet'!K14</f>
        <v>153445</v>
      </c>
      <c r="H358" s="582">
        <f>'2b. Balance Sheet'!L13+'2b. Balance Sheet'!L14</f>
        <v>142940</v>
      </c>
      <c r="I358" s="582">
        <f>'2b. Balance Sheet'!M13+'2b. Balance Sheet'!M14</f>
        <v>224773</v>
      </c>
      <c r="J358" s="582">
        <f>'2b. Balance Sheet'!N13+'2b. Balance Sheet'!N14</f>
        <v>225554</v>
      </c>
      <c r="K358" s="582">
        <f>'2b. Balance Sheet'!O13+'2b. Balance Sheet'!O14</f>
        <v>470778</v>
      </c>
      <c r="L358" s="582">
        <f>'2b. Balance Sheet'!P13+'2b. Balance Sheet'!P14</f>
        <v>470778</v>
      </c>
      <c r="M358" s="582">
        <f>'2b. Balance Sheet'!Q13+'2b. Balance Sheet'!Q14</f>
        <v>470778</v>
      </c>
      <c r="N358" s="582">
        <f>'2b. Balance Sheet'!R13+'2b. Balance Sheet'!R14</f>
        <v>470778</v>
      </c>
      <c r="O358" s="582">
        <f>'2b. Balance Sheet'!S13+'2b. Balance Sheet'!S14</f>
        <v>470778</v>
      </c>
      <c r="P358" s="582">
        <f>'2b. Balance Sheet'!T13+'2b. Balance Sheet'!T14</f>
        <v>470778</v>
      </c>
      <c r="Q358" s="7"/>
      <c r="R358" s="7"/>
      <c r="S358" s="7"/>
      <c r="T358" s="7"/>
    </row>
    <row r="359" spans="1:20" s="163" customFormat="1" ht="14">
      <c r="A359" s="7"/>
      <c r="B359" s="7"/>
      <c r="C359" s="7"/>
      <c r="D359" s="7" t="s">
        <v>1335</v>
      </c>
      <c r="E359" s="582">
        <f>'2b. Balance Sheet'!I12</f>
        <v>5878</v>
      </c>
      <c r="F359" s="582">
        <f>'2b. Balance Sheet'!J12</f>
        <v>8528</v>
      </c>
      <c r="G359" s="582">
        <f>'2b. Balance Sheet'!K12</f>
        <v>13204</v>
      </c>
      <c r="H359" s="582">
        <f>'2b. Balance Sheet'!L12</f>
        <v>23187</v>
      </c>
      <c r="I359" s="582">
        <f>'2b. Balance Sheet'!M12</f>
        <v>28502</v>
      </c>
      <c r="J359" s="582">
        <f>'2b. Balance Sheet'!N12</f>
        <v>24119</v>
      </c>
      <c r="K359" s="582">
        <f>'2b. Balance Sheet'!O12</f>
        <v>25583</v>
      </c>
      <c r="L359" s="582">
        <f>'2b. Balance Sheet'!P12</f>
        <v>25583</v>
      </c>
      <c r="M359" s="582">
        <f>'2b. Balance Sheet'!Q12</f>
        <v>25583</v>
      </c>
      <c r="N359" s="582">
        <f>'2b. Balance Sheet'!R12</f>
        <v>25583</v>
      </c>
      <c r="O359" s="582">
        <f>'2b. Balance Sheet'!S12</f>
        <v>25583</v>
      </c>
      <c r="P359" s="582">
        <f>'2b. Balance Sheet'!T12</f>
        <v>25583</v>
      </c>
      <c r="Q359" s="7"/>
      <c r="R359" s="7"/>
      <c r="S359" s="7"/>
      <c r="T359" s="7"/>
    </row>
    <row r="360" spans="1:20" s="163" customFormat="1" ht="14">
      <c r="A360" s="7"/>
      <c r="B360" s="7"/>
      <c r="C360" s="7"/>
      <c r="D360" s="7" t="s">
        <v>1337</v>
      </c>
      <c r="E360" s="582">
        <f>'2b. Balance Sheet'!I1+'2b. Balance Sheet'!I25</f>
        <v>0</v>
      </c>
      <c r="F360" s="582">
        <f>'2b. Balance Sheet'!J1+'2b. Balance Sheet'!J25</f>
        <v>0</v>
      </c>
      <c r="G360" s="582">
        <f>'2b. Balance Sheet'!K1+'2b. Balance Sheet'!K25</f>
        <v>0</v>
      </c>
      <c r="H360" s="582">
        <f>'2b. Balance Sheet'!L1+'2b. Balance Sheet'!L25</f>
        <v>0</v>
      </c>
      <c r="I360" s="582">
        <f>'2b. Balance Sheet'!M1+'2b. Balance Sheet'!M25</f>
        <v>0</v>
      </c>
      <c r="J360" s="582">
        <f>'2b. Balance Sheet'!N1+'2b. Balance Sheet'!N25</f>
        <v>0</v>
      </c>
      <c r="K360" s="582">
        <f>'2b. Balance Sheet'!O1+'2b. Balance Sheet'!O25</f>
        <v>39478</v>
      </c>
      <c r="L360" s="582">
        <f>'2b. Balance Sheet'!P1+'2b. Balance Sheet'!P25</f>
        <v>39478</v>
      </c>
      <c r="M360" s="582">
        <f>'2b. Balance Sheet'!Q1+'2b. Balance Sheet'!Q25</f>
        <v>39478</v>
      </c>
      <c r="N360" s="582">
        <f>'2b. Balance Sheet'!R1+'2b. Balance Sheet'!R25</f>
        <v>39478</v>
      </c>
      <c r="O360" s="582">
        <f>'2b. Balance Sheet'!S1+'2b. Balance Sheet'!S25</f>
        <v>39478</v>
      </c>
      <c r="P360" s="582">
        <f>'2b. Balance Sheet'!T1+'2b. Balance Sheet'!T25</f>
        <v>39478</v>
      </c>
      <c r="Q360" s="7"/>
      <c r="R360" s="7"/>
      <c r="S360" s="7"/>
      <c r="T360" s="7"/>
    </row>
    <row r="361" spans="1:20" s="163" customFormat="1" ht="14">
      <c r="A361" s="7"/>
      <c r="B361" s="7"/>
      <c r="C361" s="7"/>
      <c r="D361" s="7" t="s">
        <v>50</v>
      </c>
      <c r="E361" s="582">
        <f>'2b. Balance Sheet'!I19</f>
        <v>589814</v>
      </c>
      <c r="F361" s="582">
        <f>'2b. Balance Sheet'!J19</f>
        <v>574838</v>
      </c>
      <c r="G361" s="582">
        <f>'2b. Balance Sheet'!K19</f>
        <v>489850</v>
      </c>
      <c r="H361" s="582">
        <f>'2b. Balance Sheet'!L19</f>
        <v>777979</v>
      </c>
      <c r="I361" s="582">
        <f>'2b. Balance Sheet'!M19</f>
        <v>1213169</v>
      </c>
      <c r="J361" s="582">
        <f>'2b. Balance Sheet'!N19</f>
        <v>838615</v>
      </c>
      <c r="K361" s="582">
        <f>'2b. Balance Sheet'!O19</f>
        <v>1316266</v>
      </c>
      <c r="L361" s="582">
        <f>'2b. Balance Sheet'!P19</f>
        <v>1803866.0494019613</v>
      </c>
      <c r="M361" s="582">
        <f>'2b. Balance Sheet'!Q19</f>
        <v>1971830.3412624502</v>
      </c>
      <c r="N361" s="582">
        <f>'2b. Balance Sheet'!R19</f>
        <v>2143807.6856078939</v>
      </c>
      <c r="O361" s="582">
        <f>'2b. Balance Sheet'!S19</f>
        <v>2328000.761141282</v>
      </c>
      <c r="P361" s="582">
        <f>'2b. Balance Sheet'!T19</f>
        <v>2514805.1161274826</v>
      </c>
      <c r="Q361" s="7"/>
      <c r="R361" s="7"/>
      <c r="S361" s="7"/>
      <c r="T361" s="7"/>
    </row>
    <row r="362" spans="1:20" s="163" customFormat="1" ht="14">
      <c r="A362" s="7"/>
      <c r="B362" s="7"/>
      <c r="C362" s="7"/>
      <c r="D362" s="7" t="s">
        <v>51</v>
      </c>
      <c r="E362" s="582">
        <f>'2b. Balance Sheet'!I20</f>
        <v>408793</v>
      </c>
      <c r="F362" s="582">
        <f>'2b. Balance Sheet'!J20</f>
        <v>545515</v>
      </c>
      <c r="G362" s="582">
        <f>'2b. Balance Sheet'!K20</f>
        <v>536913</v>
      </c>
      <c r="H362" s="582">
        <f>'2b. Balance Sheet'!L20</f>
        <v>819164</v>
      </c>
      <c r="I362" s="582">
        <f>'2b. Balance Sheet'!M20</f>
        <v>681872</v>
      </c>
      <c r="J362" s="582">
        <f>'2b. Balance Sheet'!N20</f>
        <v>900818</v>
      </c>
      <c r="K362" s="582">
        <f>'2b. Balance Sheet'!O20</f>
        <v>1445221</v>
      </c>
      <c r="L362" s="582">
        <f>'2b. Balance Sheet'!P20</f>
        <v>2018881.527900168</v>
      </c>
      <c r="M362" s="582">
        <f>'2b. Balance Sheet'!Q20</f>
        <v>2206866.6647657333</v>
      </c>
      <c r="N362" s="582">
        <f>'2b. Balance Sheet'!R20</f>
        <v>2399343.1980601265</v>
      </c>
      <c r="O362" s="582">
        <f>'2b. Balance Sheet'!S20</f>
        <v>2605491.5414389279</v>
      </c>
      <c r="P362" s="582">
        <f>'2b. Balance Sheet'!T20</f>
        <v>2814562.4210300036</v>
      </c>
      <c r="Q362" s="7"/>
      <c r="R362" s="7"/>
      <c r="S362" s="7"/>
      <c r="T362" s="7"/>
    </row>
    <row r="363" spans="1:20" s="163" customFormat="1" ht="14">
      <c r="A363" s="7"/>
      <c r="B363" s="7"/>
      <c r="C363" s="7"/>
      <c r="D363" s="7" t="s">
        <v>1336</v>
      </c>
      <c r="E363" s="582">
        <f>'2b. Balance Sheet'!I21</f>
        <v>0</v>
      </c>
      <c r="F363" s="582">
        <f>'2b. Balance Sheet'!J21</f>
        <v>0</v>
      </c>
      <c r="G363" s="582">
        <f>'2b. Balance Sheet'!K21</f>
        <v>0</v>
      </c>
      <c r="H363" s="582">
        <f>'2b. Balance Sheet'!L21</f>
        <v>4792</v>
      </c>
      <c r="I363" s="582">
        <f>'2b. Balance Sheet'!M21</f>
        <v>13048</v>
      </c>
      <c r="J363" s="582">
        <f>'2b. Balance Sheet'!N21</f>
        <v>32221</v>
      </c>
      <c r="K363" s="582">
        <f>'2b. Balance Sheet'!O21</f>
        <v>27940</v>
      </c>
      <c r="L363" s="582">
        <f>'2b. Balance Sheet'!P21</f>
        <v>0</v>
      </c>
      <c r="M363" s="582">
        <f>'2b. Balance Sheet'!Q21</f>
        <v>0</v>
      </c>
      <c r="N363" s="582">
        <f>'2b. Balance Sheet'!R21</f>
        <v>0</v>
      </c>
      <c r="O363" s="582">
        <f>'2b. Balance Sheet'!S21</f>
        <v>0</v>
      </c>
      <c r="P363" s="582">
        <f>'2b. Balance Sheet'!T21</f>
        <v>0</v>
      </c>
      <c r="Q363" s="7"/>
      <c r="R363" s="7"/>
      <c r="S363" s="7"/>
      <c r="T363" s="7"/>
    </row>
    <row r="364" spans="1:20" s="163" customFormat="1" ht="14">
      <c r="A364" s="7"/>
      <c r="B364" s="7"/>
      <c r="C364" s="7"/>
      <c r="D364" s="7" t="s">
        <v>984</v>
      </c>
      <c r="E364" s="582">
        <f>'2b. Balance Sheet'!I23</f>
        <v>189403</v>
      </c>
      <c r="F364" s="582">
        <f>'2b. Balance Sheet'!J23</f>
        <v>181730</v>
      </c>
      <c r="G364" s="582">
        <f>'2b. Balance Sheet'!K23</f>
        <v>395860</v>
      </c>
      <c r="H364" s="582">
        <f>'2b. Balance Sheet'!L23</f>
        <v>276178</v>
      </c>
      <c r="I364" s="582">
        <f>'2b. Balance Sheet'!M23</f>
        <v>111203</v>
      </c>
      <c r="J364" s="582">
        <f>'2b. Balance Sheet'!N23</f>
        <v>344003</v>
      </c>
      <c r="K364" s="582">
        <f>'2b. Balance Sheet'!O23</f>
        <v>1181273</v>
      </c>
      <c r="L364" s="582">
        <f>'2b. Balance Sheet'!P23</f>
        <v>32287.460651942762</v>
      </c>
      <c r="M364" s="582">
        <f>'2b. Balance Sheet'!Q23</f>
        <v>117254.31517094703</v>
      </c>
      <c r="N364" s="582">
        <f>'2b. Balance Sheet'!R23</f>
        <v>152597.49118046032</v>
      </c>
      <c r="O364" s="582">
        <f>'2b. Balance Sheet'!S23</f>
        <v>185016.0078049443</v>
      </c>
      <c r="P364" s="582">
        <f>'2b. Balance Sheet'!T23</f>
        <v>222839.83574783057</v>
      </c>
      <c r="Q364" s="7"/>
      <c r="R364" s="7"/>
      <c r="S364" s="7"/>
      <c r="T364" s="7"/>
    </row>
    <row r="365" spans="1:20" s="291" customFormat="1" ht="14">
      <c r="A365" s="6"/>
      <c r="B365" s="6"/>
      <c r="C365" s="6"/>
      <c r="D365" s="6" t="s">
        <v>103</v>
      </c>
      <c r="E365" s="584">
        <f>SUM(E356:E364)</f>
        <v>1722286</v>
      </c>
      <c r="F365" s="584">
        <f t="shared" ref="F365:P365" si="32">SUM(F356:F364)</f>
        <v>1843229</v>
      </c>
      <c r="G365" s="584">
        <f t="shared" si="32"/>
        <v>2022996</v>
      </c>
      <c r="H365" s="584">
        <f t="shared" si="32"/>
        <v>2568728</v>
      </c>
      <c r="I365" s="584">
        <f t="shared" si="32"/>
        <v>2833569</v>
      </c>
      <c r="J365" s="584">
        <f t="shared" si="32"/>
        <v>2975297</v>
      </c>
      <c r="K365" s="584">
        <f t="shared" si="32"/>
        <v>10513064</v>
      </c>
      <c r="L365" s="584">
        <f t="shared" si="32"/>
        <v>10372019.285754073</v>
      </c>
      <c r="M365" s="584">
        <f t="shared" si="32"/>
        <v>10791422.919365417</v>
      </c>
      <c r="N365" s="584">
        <f t="shared" si="32"/>
        <v>11173568.228433967</v>
      </c>
      <c r="O365" s="584">
        <f t="shared" si="32"/>
        <v>11587405.835738948</v>
      </c>
      <c r="P365" s="584">
        <f t="shared" si="32"/>
        <v>12021491.123159748</v>
      </c>
      <c r="Q365" s="6"/>
      <c r="R365" s="6"/>
      <c r="S365" s="6"/>
      <c r="T365" s="6"/>
    </row>
    <row r="366" spans="1:20" s="112" customFormat="1" ht="11">
      <c r="A366" s="13"/>
      <c r="B366" s="13"/>
      <c r="C366" s="13"/>
      <c r="D366" s="13"/>
      <c r="E366" s="585">
        <f>E365-'2b. Balance Sheet'!I27</f>
        <v>0</v>
      </c>
      <c r="F366" s="585">
        <f>F365-'2b. Balance Sheet'!J27</f>
        <v>0</v>
      </c>
      <c r="G366" s="585">
        <f>G365-'2b. Balance Sheet'!K27</f>
        <v>0</v>
      </c>
      <c r="H366" s="585">
        <f>H365-'2b. Balance Sheet'!L27</f>
        <v>0</v>
      </c>
      <c r="I366" s="585">
        <f>I365-'2b. Balance Sheet'!M27</f>
        <v>0</v>
      </c>
      <c r="J366" s="585">
        <f>J365-'2b. Balance Sheet'!N27</f>
        <v>0</v>
      </c>
      <c r="K366" s="585">
        <f>K365-'2b. Balance Sheet'!O27</f>
        <v>0</v>
      </c>
      <c r="L366" s="585">
        <f>L365-'2b. Balance Sheet'!P27</f>
        <v>0</v>
      </c>
      <c r="M366" s="585">
        <f>M365-'2b. Balance Sheet'!Q27</f>
        <v>0</v>
      </c>
      <c r="N366" s="585">
        <f>N365-'2b. Balance Sheet'!R27</f>
        <v>0</v>
      </c>
      <c r="O366" s="585">
        <f>O365-'2b. Balance Sheet'!S27</f>
        <v>0</v>
      </c>
      <c r="P366" s="585">
        <f>P365-'2b. Balance Sheet'!T27</f>
        <v>0</v>
      </c>
      <c r="Q366" s="13"/>
      <c r="R366" s="13"/>
      <c r="S366" s="13"/>
      <c r="T366" s="13"/>
    </row>
    <row r="369" spans="1:21" ht="18">
      <c r="D369" s="1946" t="s">
        <v>1338</v>
      </c>
      <c r="E369" s="1946"/>
      <c r="F369" s="1946"/>
      <c r="G369" s="1946"/>
      <c r="H369" s="1946"/>
      <c r="I369" s="1946"/>
      <c r="J369" s="1946"/>
      <c r="K369" s="1946"/>
      <c r="L369" s="1946"/>
      <c r="M369" s="1946"/>
    </row>
    <row r="370" spans="1:21" ht="20">
      <c r="J370" s="1309" t="s">
        <v>1806</v>
      </c>
      <c r="K370" s="1197"/>
      <c r="M370" s="1308"/>
      <c r="N370" s="1197"/>
    </row>
    <row r="371" spans="1:21">
      <c r="D371" s="23" t="s">
        <v>1346</v>
      </c>
      <c r="E371" s="294" t="s">
        <v>20</v>
      </c>
      <c r="F371" s="294" t="s">
        <v>21</v>
      </c>
      <c r="G371" s="294" t="s">
        <v>22</v>
      </c>
      <c r="H371" s="23" t="s">
        <v>23</v>
      </c>
    </row>
    <row r="372" spans="1:21" s="591" customFormat="1" ht="14">
      <c r="A372" s="533"/>
      <c r="B372" s="533"/>
      <c r="C372" s="533"/>
      <c r="D372" s="533" t="s">
        <v>0</v>
      </c>
      <c r="E372" s="584">
        <v>235</v>
      </c>
      <c r="F372" s="584">
        <v>244</v>
      </c>
      <c r="G372" s="584">
        <v>309</v>
      </c>
      <c r="H372" s="584">
        <v>359</v>
      </c>
      <c r="I372" s="532"/>
      <c r="J372" s="532"/>
      <c r="K372" s="532"/>
      <c r="L372" s="532"/>
      <c r="M372" s="532"/>
      <c r="N372" s="532"/>
      <c r="O372" s="533"/>
      <c r="P372" s="533"/>
      <c r="Q372" s="533"/>
      <c r="R372" s="533"/>
      <c r="S372" s="533"/>
      <c r="T372" s="533"/>
    </row>
    <row r="373" spans="1:21" s="185" customFormat="1" ht="11">
      <c r="A373" s="161"/>
      <c r="B373" s="161"/>
      <c r="C373" s="161"/>
      <c r="D373" s="161" t="s">
        <v>832</v>
      </c>
      <c r="E373" s="512"/>
      <c r="F373" s="512">
        <f>F372/E372-1</f>
        <v>3.8297872340425476E-2</v>
      </c>
      <c r="G373" s="512">
        <f t="shared" ref="G373:H373" si="33">G372/F372-1</f>
        <v>0.26639344262295084</v>
      </c>
      <c r="H373" s="512">
        <f t="shared" si="33"/>
        <v>0.16181229773462791</v>
      </c>
      <c r="I373" s="512"/>
      <c r="J373" s="512"/>
      <c r="K373" s="512"/>
      <c r="L373" s="512"/>
      <c r="M373" s="512"/>
      <c r="N373" s="512"/>
      <c r="O373" s="161"/>
      <c r="P373" s="161"/>
      <c r="Q373" s="161"/>
      <c r="R373" s="590">
        <v>213.2</v>
      </c>
      <c r="S373" s="590">
        <v>213.2</v>
      </c>
      <c r="T373" s="590">
        <v>243.8</v>
      </c>
      <c r="U373" s="590">
        <v>220.1</v>
      </c>
    </row>
    <row r="374" spans="1:21" s="397" customFormat="1" ht="14">
      <c r="A374" s="456"/>
      <c r="B374" s="456"/>
      <c r="C374" s="456"/>
      <c r="D374" s="456" t="s">
        <v>1343</v>
      </c>
      <c r="E374" s="582">
        <v>213</v>
      </c>
      <c r="F374" s="582">
        <v>213</v>
      </c>
      <c r="G374" s="582">
        <v>244</v>
      </c>
      <c r="H374" s="582">
        <v>220</v>
      </c>
      <c r="I374" s="577"/>
      <c r="J374" s="577"/>
      <c r="K374" s="577"/>
      <c r="L374" s="577"/>
      <c r="M374" s="577"/>
      <c r="N374" s="577"/>
      <c r="O374" s="456"/>
      <c r="P374" s="456"/>
      <c r="Q374" s="456"/>
      <c r="R374" s="587">
        <v>22</v>
      </c>
      <c r="S374" s="587">
        <v>31.1</v>
      </c>
      <c r="T374" s="587">
        <v>64.8</v>
      </c>
      <c r="U374" s="587">
        <v>139.19999999999999</v>
      </c>
    </row>
    <row r="375" spans="1:21" s="185" customFormat="1" ht="11">
      <c r="A375" s="161"/>
      <c r="B375" s="161"/>
      <c r="C375" s="161"/>
      <c r="D375" s="161" t="s">
        <v>832</v>
      </c>
      <c r="E375" s="512"/>
      <c r="F375" s="512">
        <f>F374/E374-1</f>
        <v>0</v>
      </c>
      <c r="G375" s="512">
        <f t="shared" ref="G375:H375" si="34">G374/F374-1</f>
        <v>0.14553990610328649</v>
      </c>
      <c r="H375" s="512">
        <f t="shared" si="34"/>
        <v>-9.8360655737704916E-2</v>
      </c>
      <c r="I375" s="512"/>
      <c r="J375" s="512"/>
      <c r="K375" s="512"/>
      <c r="L375" s="512"/>
      <c r="M375" s="512"/>
      <c r="N375" s="512"/>
      <c r="O375" s="161"/>
      <c r="P375" s="161"/>
      <c r="Q375" s="161"/>
      <c r="R375" s="590">
        <f>SUM(R373:R374)</f>
        <v>235.2</v>
      </c>
      <c r="S375" s="590">
        <f>SUM(S373:S374)</f>
        <v>244.29999999999998</v>
      </c>
      <c r="T375" s="590">
        <f>SUM(T373:T374)</f>
        <v>308.60000000000002</v>
      </c>
      <c r="U375" s="590">
        <f>SUM(U373:U374)</f>
        <v>359.29999999999995</v>
      </c>
    </row>
    <row r="376" spans="1:21" s="397" customFormat="1" ht="14">
      <c r="A376" s="456"/>
      <c r="B376" s="456"/>
      <c r="C376" s="456"/>
      <c r="D376" s="456" t="s">
        <v>1344</v>
      </c>
      <c r="E376" s="582">
        <v>22</v>
      </c>
      <c r="F376" s="582">
        <v>31</v>
      </c>
      <c r="G376" s="582">
        <v>65</v>
      </c>
      <c r="H376" s="582">
        <v>139</v>
      </c>
      <c r="I376" s="577"/>
      <c r="J376" s="577"/>
      <c r="K376" s="577"/>
      <c r="L376" s="577"/>
      <c r="M376" s="577"/>
      <c r="N376" s="577"/>
      <c r="O376" s="456"/>
      <c r="P376" s="456"/>
      <c r="Q376" s="456"/>
      <c r="R376" s="587"/>
      <c r="S376" s="587"/>
      <c r="T376" s="587"/>
      <c r="U376" s="587"/>
    </row>
    <row r="377" spans="1:21" s="185" customFormat="1" ht="11">
      <c r="A377" s="161"/>
      <c r="B377" s="161"/>
      <c r="C377" s="161"/>
      <c r="D377" s="161" t="s">
        <v>832</v>
      </c>
      <c r="E377" s="512"/>
      <c r="F377" s="512">
        <f>F376/E376-1</f>
        <v>0.40909090909090917</v>
      </c>
      <c r="G377" s="512">
        <f t="shared" ref="G377:H377" si="35">G376/F376-1</f>
        <v>1.096774193548387</v>
      </c>
      <c r="H377" s="512">
        <f t="shared" si="35"/>
        <v>1.1384615384615384</v>
      </c>
      <c r="I377" s="512"/>
      <c r="J377" s="512"/>
      <c r="K377" s="512"/>
      <c r="L377" s="512"/>
      <c r="M377" s="512"/>
      <c r="N377" s="512"/>
      <c r="O377" s="161"/>
      <c r="P377" s="161"/>
      <c r="Q377" s="161"/>
      <c r="R377" s="590">
        <v>29.1</v>
      </c>
      <c r="S377" s="590">
        <v>67.599999999999994</v>
      </c>
      <c r="T377" s="590">
        <v>63.1</v>
      </c>
      <c r="U377" s="590">
        <v>75.599999999999994</v>
      </c>
    </row>
    <row r="378" spans="1:21" s="163" customFormat="1" ht="14">
      <c r="A378" s="7"/>
      <c r="B378" s="7"/>
      <c r="C378" s="7"/>
      <c r="D378" s="7"/>
      <c r="E378" s="480"/>
      <c r="F378" s="480"/>
      <c r="G378" s="480"/>
      <c r="H378" s="480"/>
      <c r="I378" s="480"/>
      <c r="J378" s="480"/>
      <c r="K378" s="480"/>
      <c r="L378" s="480"/>
      <c r="M378" s="480"/>
      <c r="N378" s="480"/>
      <c r="O378" s="7"/>
      <c r="P378" s="7"/>
      <c r="Q378" s="7"/>
      <c r="R378" s="587">
        <v>1.1000000000000001</v>
      </c>
      <c r="S378" s="587">
        <v>-1.6</v>
      </c>
      <c r="T378" s="587">
        <v>-11.1</v>
      </c>
      <c r="U378" s="587">
        <v>-12</v>
      </c>
    </row>
    <row r="379" spans="1:21" s="591" customFormat="1" ht="14">
      <c r="A379" s="533"/>
      <c r="B379" s="533"/>
      <c r="C379" s="533"/>
      <c r="D379" s="533" t="s">
        <v>451</v>
      </c>
      <c r="E379" s="584">
        <v>30</v>
      </c>
      <c r="F379" s="584">
        <v>66</v>
      </c>
      <c r="G379" s="584">
        <v>52</v>
      </c>
      <c r="H379" s="584">
        <v>64</v>
      </c>
      <c r="I379" s="532"/>
      <c r="J379" s="532"/>
      <c r="K379" s="532"/>
      <c r="L379" s="532"/>
      <c r="M379" s="532"/>
      <c r="N379" s="532"/>
      <c r="O379" s="533"/>
      <c r="P379" s="533"/>
      <c r="Q379" s="533"/>
      <c r="R379" s="592">
        <f>SUM(R377:R378)</f>
        <v>30.200000000000003</v>
      </c>
      <c r="S379" s="592">
        <f>SUM(S377:S378)</f>
        <v>66</v>
      </c>
      <c r="T379" s="592">
        <f>SUM(T377:T378)</f>
        <v>52</v>
      </c>
      <c r="U379" s="592">
        <f>SUM(U377:U378)</f>
        <v>63.599999999999994</v>
      </c>
    </row>
    <row r="380" spans="1:21" s="185" customFormat="1" ht="11">
      <c r="A380" s="161"/>
      <c r="B380" s="161"/>
      <c r="C380" s="161"/>
      <c r="D380" s="161" t="s">
        <v>1345</v>
      </c>
      <c r="E380" s="512"/>
      <c r="F380" s="512">
        <f>F379/E379-1</f>
        <v>1.2000000000000002</v>
      </c>
      <c r="G380" s="512">
        <f t="shared" ref="G380:H380" si="36">G379/F379-1</f>
        <v>-0.21212121212121215</v>
      </c>
      <c r="H380" s="512">
        <f t="shared" si="36"/>
        <v>0.23076923076923084</v>
      </c>
      <c r="I380" s="512"/>
      <c r="J380" s="512"/>
      <c r="K380" s="512"/>
      <c r="L380" s="512"/>
      <c r="M380" s="512"/>
      <c r="N380" s="512"/>
      <c r="O380" s="161"/>
      <c r="P380" s="161"/>
      <c r="Q380" s="161"/>
      <c r="R380" s="590"/>
      <c r="S380" s="590"/>
      <c r="T380" s="590"/>
      <c r="U380" s="590"/>
    </row>
    <row r="381" spans="1:21" s="397" customFormat="1" ht="14">
      <c r="A381" s="456"/>
      <c r="B381" s="456"/>
      <c r="C381" s="456"/>
      <c r="D381" s="456" t="s">
        <v>1343</v>
      </c>
      <c r="E381" s="582">
        <v>29</v>
      </c>
      <c r="F381" s="582">
        <v>68</v>
      </c>
      <c r="G381" s="582">
        <v>63</v>
      </c>
      <c r="H381" s="582">
        <v>76</v>
      </c>
      <c r="I381" s="577"/>
      <c r="J381" s="577"/>
      <c r="K381" s="577"/>
      <c r="L381" s="577"/>
      <c r="M381" s="577"/>
      <c r="N381" s="577"/>
      <c r="O381" s="456"/>
      <c r="P381" s="456"/>
      <c r="Q381" s="456"/>
      <c r="R381" s="588"/>
      <c r="S381" s="588"/>
      <c r="T381" s="588"/>
      <c r="U381" s="588"/>
    </row>
    <row r="382" spans="1:21" s="185" customFormat="1" ht="11">
      <c r="A382" s="161"/>
      <c r="B382" s="161"/>
      <c r="C382" s="161"/>
      <c r="D382" s="161" t="s">
        <v>1345</v>
      </c>
      <c r="E382" s="512"/>
      <c r="F382" s="512">
        <f>F381/E381-1</f>
        <v>1.3448275862068964</v>
      </c>
      <c r="G382" s="512">
        <f t="shared" ref="G382:H382" si="37">G381/F381-1</f>
        <v>-7.3529411764705843E-2</v>
      </c>
      <c r="H382" s="512">
        <f t="shared" si="37"/>
        <v>0.20634920634920628</v>
      </c>
      <c r="I382" s="512"/>
      <c r="J382" s="512"/>
      <c r="K382" s="512"/>
      <c r="L382" s="512"/>
      <c r="M382" s="512"/>
      <c r="N382" s="512"/>
      <c r="O382" s="161"/>
      <c r="P382" s="161"/>
      <c r="Q382" s="161"/>
      <c r="R382" s="590"/>
      <c r="S382" s="590"/>
      <c r="T382" s="590"/>
      <c r="U382" s="590"/>
    </row>
    <row r="383" spans="1:21" s="397" customFormat="1" ht="14">
      <c r="A383" s="456"/>
      <c r="B383" s="456"/>
      <c r="C383" s="456"/>
      <c r="D383" s="456" t="s">
        <v>1344</v>
      </c>
      <c r="E383" s="582">
        <v>1</v>
      </c>
      <c r="F383" s="582">
        <v>-2</v>
      </c>
      <c r="G383" s="582">
        <v>-11</v>
      </c>
      <c r="H383" s="582">
        <v>-12</v>
      </c>
      <c r="I383" s="577"/>
      <c r="J383" s="577"/>
      <c r="K383" s="577"/>
      <c r="L383" s="577"/>
      <c r="M383" s="577"/>
      <c r="N383" s="577"/>
      <c r="O383" s="456"/>
      <c r="P383" s="456"/>
      <c r="Q383" s="456"/>
      <c r="R383" s="589">
        <f>R377/R373</f>
        <v>0.13649155722326456</v>
      </c>
      <c r="S383" s="589">
        <f>S377/S373</f>
        <v>0.31707317073170732</v>
      </c>
      <c r="T383" s="589">
        <f>T377/T373</f>
        <v>0.25881870385561934</v>
      </c>
      <c r="U383" s="589">
        <f>U377/U373</f>
        <v>0.34348023625624713</v>
      </c>
    </row>
    <row r="384" spans="1:21" s="185" customFormat="1" ht="11">
      <c r="A384" s="161"/>
      <c r="B384" s="161"/>
      <c r="C384" s="161"/>
      <c r="D384" s="161" t="s">
        <v>1345</v>
      </c>
      <c r="E384" s="512"/>
      <c r="F384" s="512">
        <f>F383/E383-1</f>
        <v>-3</v>
      </c>
      <c r="G384" s="512">
        <f t="shared" ref="G384:H384" si="38">G383/F383-1</f>
        <v>4.5</v>
      </c>
      <c r="H384" s="512">
        <f t="shared" si="38"/>
        <v>9.0909090909090828E-2</v>
      </c>
      <c r="I384" s="512"/>
      <c r="J384" s="512"/>
      <c r="K384" s="512"/>
      <c r="L384" s="512"/>
      <c r="M384" s="512"/>
      <c r="N384" s="512"/>
      <c r="O384" s="161"/>
      <c r="P384" s="161"/>
      <c r="Q384" s="161"/>
      <c r="R384" s="590"/>
      <c r="S384" s="590"/>
      <c r="T384" s="590"/>
      <c r="U384" s="590"/>
    </row>
    <row r="385" spans="1:21" s="163" customFormat="1" ht="14">
      <c r="A385" s="7"/>
      <c r="B385" s="7"/>
      <c r="C385" s="7"/>
      <c r="D385" s="7"/>
      <c r="E385" s="480"/>
      <c r="F385" s="480"/>
      <c r="G385" s="480"/>
      <c r="H385" s="480"/>
      <c r="I385" s="480"/>
      <c r="J385" s="480"/>
      <c r="K385" s="480"/>
      <c r="L385" s="480"/>
      <c r="M385" s="480"/>
      <c r="N385" s="480"/>
      <c r="O385" s="7"/>
      <c r="P385" s="7"/>
      <c r="Q385" s="7"/>
      <c r="R385" s="589">
        <f>R378/R374</f>
        <v>0.05</v>
      </c>
      <c r="S385" s="589">
        <f>S378/S374</f>
        <v>-5.1446945337620578E-2</v>
      </c>
      <c r="T385" s="589">
        <f>T378/T374</f>
        <v>-0.17129629629629631</v>
      </c>
      <c r="U385" s="589">
        <f>U378/U374</f>
        <v>-8.6206896551724144E-2</v>
      </c>
    </row>
    <row r="386" spans="1:21" s="114" customFormat="1" ht="11">
      <c r="A386" s="199"/>
      <c r="B386" s="199"/>
      <c r="C386" s="199"/>
      <c r="D386" s="199" t="s">
        <v>978</v>
      </c>
      <c r="E386" s="545">
        <f>E379/E372</f>
        <v>0.1276595744680851</v>
      </c>
      <c r="F386" s="545">
        <f t="shared" ref="F386:H386" si="39">F379/F372</f>
        <v>0.27049180327868855</v>
      </c>
      <c r="G386" s="545">
        <f t="shared" si="39"/>
        <v>0.16828478964401294</v>
      </c>
      <c r="H386" s="545">
        <f t="shared" si="39"/>
        <v>0.17827298050139276</v>
      </c>
      <c r="I386" s="545"/>
      <c r="J386" s="545"/>
      <c r="K386" s="545"/>
      <c r="L386" s="545"/>
      <c r="M386" s="545"/>
      <c r="N386" s="545"/>
      <c r="O386" s="199"/>
      <c r="P386" s="199"/>
      <c r="Q386" s="199"/>
      <c r="R386" s="593"/>
      <c r="S386" s="593"/>
      <c r="T386" s="593"/>
      <c r="U386" s="593"/>
    </row>
    <row r="387" spans="1:21" s="185" customFormat="1" ht="11">
      <c r="A387" s="161"/>
      <c r="B387" s="161"/>
      <c r="C387" s="161"/>
      <c r="D387" s="161" t="s">
        <v>1343</v>
      </c>
      <c r="E387" s="512">
        <f>E381/E374</f>
        <v>0.13615023474178403</v>
      </c>
      <c r="F387" s="512">
        <f t="shared" ref="F387:H387" si="40">F381/F374</f>
        <v>0.31924882629107981</v>
      </c>
      <c r="G387" s="512">
        <f t="shared" si="40"/>
        <v>0.25819672131147542</v>
      </c>
      <c r="H387" s="512">
        <f t="shared" si="40"/>
        <v>0.34545454545454546</v>
      </c>
      <c r="I387" s="512"/>
      <c r="J387" s="512"/>
      <c r="K387" s="512"/>
      <c r="L387" s="512"/>
      <c r="M387" s="512"/>
      <c r="N387" s="512"/>
      <c r="O387" s="161"/>
      <c r="P387" s="161"/>
      <c r="Q387" s="161"/>
      <c r="R387" s="590">
        <f>R383</f>
        <v>0.13649155722326456</v>
      </c>
      <c r="S387" s="590">
        <f t="shared" ref="S387:U387" si="41">S383</f>
        <v>0.31707317073170732</v>
      </c>
      <c r="T387" s="590">
        <f t="shared" si="41"/>
        <v>0.25881870385561934</v>
      </c>
      <c r="U387" s="590">
        <f t="shared" si="41"/>
        <v>0.34348023625624713</v>
      </c>
    </row>
    <row r="388" spans="1:21" s="185" customFormat="1" ht="11">
      <c r="A388" s="161"/>
      <c r="B388" s="161"/>
      <c r="C388" s="161"/>
      <c r="D388" s="161" t="s">
        <v>1344</v>
      </c>
      <c r="E388" s="512">
        <f>E383/E376</f>
        <v>4.5454545454545456E-2</v>
      </c>
      <c r="F388" s="512">
        <f t="shared" ref="F388:H388" si="42">F383/F376</f>
        <v>-6.4516129032258063E-2</v>
      </c>
      <c r="G388" s="512">
        <f t="shared" si="42"/>
        <v>-0.16923076923076924</v>
      </c>
      <c r="H388" s="512">
        <f t="shared" si="42"/>
        <v>-8.6330935251798566E-2</v>
      </c>
      <c r="I388" s="512"/>
      <c r="J388" s="512"/>
      <c r="K388" s="512"/>
      <c r="L388" s="512"/>
      <c r="M388" s="512"/>
      <c r="N388" s="512"/>
      <c r="O388" s="161"/>
      <c r="P388" s="161"/>
      <c r="Q388" s="161"/>
      <c r="R388" s="161"/>
      <c r="S388" s="161"/>
      <c r="T388" s="161"/>
    </row>
    <row r="389" spans="1:21" s="185" customFormat="1">
      <c r="A389" s="161"/>
      <c r="B389" s="161"/>
      <c r="C389" s="161"/>
      <c r="D389" s="161"/>
      <c r="E389" s="512"/>
      <c r="F389" s="512"/>
      <c r="G389" s="512"/>
      <c r="H389" s="512"/>
      <c r="I389" s="512"/>
      <c r="J389" s="1312" t="s">
        <v>1719</v>
      </c>
      <c r="L389" s="512"/>
      <c r="M389" s="512"/>
      <c r="N389" s="512"/>
      <c r="O389" s="161"/>
      <c r="P389" s="161"/>
      <c r="Q389" s="161"/>
      <c r="R389" s="161"/>
      <c r="S389" s="161"/>
      <c r="T389" s="161"/>
    </row>
    <row r="390" spans="1:21" s="713" customFormat="1" ht="11">
      <c r="A390" s="711"/>
      <c r="B390" s="711"/>
      <c r="C390" s="711"/>
      <c r="D390" s="711"/>
      <c r="E390" s="712" t="s">
        <v>1464</v>
      </c>
      <c r="F390" s="712" t="s">
        <v>1465</v>
      </c>
      <c r="G390" s="712" t="s">
        <v>1466</v>
      </c>
      <c r="H390" s="712" t="s">
        <v>1467</v>
      </c>
      <c r="I390" s="712" t="s">
        <v>1468</v>
      </c>
      <c r="J390" s="712" t="s">
        <v>1469</v>
      </c>
      <c r="K390" s="712" t="s">
        <v>216</v>
      </c>
      <c r="L390" s="712" t="s">
        <v>217</v>
      </c>
      <c r="M390" s="712" t="s">
        <v>218</v>
      </c>
      <c r="N390" s="712" t="s">
        <v>28</v>
      </c>
      <c r="O390" s="711" t="s">
        <v>17</v>
      </c>
      <c r="P390" s="711" t="s">
        <v>18</v>
      </c>
      <c r="Q390" s="711" t="s">
        <v>19</v>
      </c>
      <c r="R390" s="711" t="s">
        <v>20</v>
      </c>
      <c r="S390" s="711" t="s">
        <v>21</v>
      </c>
      <c r="T390" s="711">
        <v>2014</v>
      </c>
      <c r="U390" s="713" t="s">
        <v>23</v>
      </c>
    </row>
    <row r="391" spans="1:21" s="185" customFormat="1" ht="11">
      <c r="A391" s="161"/>
      <c r="B391" s="161"/>
      <c r="C391" s="161"/>
      <c r="D391" s="161"/>
      <c r="E391" s="512">
        <v>-2.9614678115254815E-2</v>
      </c>
      <c r="F391" s="512">
        <v>-8.9538564051307681E-2</v>
      </c>
      <c r="G391" s="512">
        <v>5.8803872326636426E-2</v>
      </c>
      <c r="H391" s="512">
        <v>0.15955319294407222</v>
      </c>
      <c r="I391" s="512">
        <v>8.080491155470379E-2</v>
      </c>
      <c r="J391" s="512">
        <v>4.4197417359689087E-2</v>
      </c>
      <c r="K391" s="512">
        <v>-9.9066390041493785E-2</v>
      </c>
      <c r="L391" s="512">
        <v>5.6896033868730066E-2</v>
      </c>
      <c r="M391" s="512">
        <v>0.17461135610153422</v>
      </c>
      <c r="N391" s="512">
        <v>0.12797682142604763</v>
      </c>
      <c r="O391" s="161">
        <v>-2.4661664518504878E-2</v>
      </c>
      <c r="P391" s="161">
        <v>0.17869637267538208</v>
      </c>
      <c r="Q391" s="161">
        <v>0.21593053232860498</v>
      </c>
      <c r="R391" s="161">
        <f>E387</f>
        <v>0.13615023474178403</v>
      </c>
      <c r="S391" s="161">
        <f t="shared" ref="S391:U391" si="43">F387</f>
        <v>0.31924882629107981</v>
      </c>
      <c r="T391" s="161">
        <f t="shared" si="43"/>
        <v>0.25819672131147542</v>
      </c>
      <c r="U391" s="161">
        <f t="shared" si="43"/>
        <v>0.34545454545454546</v>
      </c>
    </row>
    <row r="392" spans="1:21">
      <c r="F392" s="470"/>
      <c r="G392" s="470"/>
      <c r="J392" s="470"/>
      <c r="K392" s="470"/>
      <c r="N392" s="470"/>
    </row>
    <row r="393" spans="1:21" ht="20">
      <c r="D393" s="23" t="s">
        <v>1347</v>
      </c>
      <c r="E393" s="294" t="s">
        <v>20</v>
      </c>
      <c r="F393" s="294" t="s">
        <v>21</v>
      </c>
      <c r="G393" s="294" t="s">
        <v>22</v>
      </c>
      <c r="H393" s="23" t="s">
        <v>23</v>
      </c>
      <c r="I393" s="294" t="s">
        <v>1350</v>
      </c>
      <c r="J393" s="294" t="s">
        <v>1348</v>
      </c>
      <c r="L393" s="1309" t="s">
        <v>1720</v>
      </c>
    </row>
    <row r="394" spans="1:21" s="603" customFormat="1" ht="14">
      <c r="A394" s="600"/>
      <c r="B394" s="600"/>
      <c r="C394" s="600"/>
      <c r="D394" s="601" t="s">
        <v>0</v>
      </c>
      <c r="E394" s="613">
        <f t="shared" ref="E394:I394" si="44">SUM(E396:E398)</f>
        <v>2702</v>
      </c>
      <c r="F394" s="613">
        <f t="shared" si="44"/>
        <v>3355.0671591672262</v>
      </c>
      <c r="G394" s="613">
        <f t="shared" si="44"/>
        <v>3703.0459408432976</v>
      </c>
      <c r="H394" s="613">
        <f t="shared" si="44"/>
        <v>3534.9061371841153</v>
      </c>
      <c r="I394" s="613">
        <f t="shared" si="44"/>
        <v>1707.449535192563</v>
      </c>
      <c r="J394" s="613">
        <f>SUM(J396:J398)</f>
        <v>1842.7075332348597</v>
      </c>
      <c r="K394" s="600"/>
      <c r="L394" s="602"/>
      <c r="M394" s="602"/>
      <c r="N394" s="600"/>
      <c r="O394" s="600"/>
      <c r="P394" s="600"/>
      <c r="Q394" s="600"/>
      <c r="R394" s="600"/>
      <c r="S394" s="600"/>
      <c r="T394" s="600"/>
    </row>
    <row r="395" spans="1:21" s="606" customFormat="1" ht="11">
      <c r="A395" s="604"/>
      <c r="B395" s="604"/>
      <c r="C395" s="604"/>
      <c r="D395" s="604" t="s">
        <v>832</v>
      </c>
      <c r="E395" s="605"/>
      <c r="F395" s="605">
        <f>F394/E394-1</f>
        <v>0.24169769029134947</v>
      </c>
      <c r="G395" s="605">
        <f t="shared" ref="G395:J395" si="45">G394/F394-1</f>
        <v>0.10371738184890589</v>
      </c>
      <c r="H395" s="605">
        <f t="shared" si="45"/>
        <v>-4.5405810877110486E-2</v>
      </c>
      <c r="I395" s="605">
        <f t="shared" si="45"/>
        <v>-0.51697457614738629</v>
      </c>
      <c r="J395" s="605">
        <f t="shared" si="45"/>
        <v>7.9216395714466925E-2</v>
      </c>
      <c r="K395" s="604"/>
      <c r="L395" s="605"/>
      <c r="M395" s="605"/>
      <c r="N395" s="604"/>
      <c r="O395" s="604"/>
      <c r="P395" s="604"/>
      <c r="Q395" s="604"/>
      <c r="R395" s="604"/>
      <c r="S395" s="604"/>
      <c r="T395" s="604"/>
    </row>
    <row r="396" spans="1:21" s="599" customFormat="1" ht="14">
      <c r="A396" s="597"/>
      <c r="B396" s="597"/>
      <c r="C396" s="597"/>
      <c r="D396" s="594" t="s">
        <v>1349</v>
      </c>
      <c r="E396" s="614">
        <v>1489</v>
      </c>
      <c r="F396" s="614">
        <v>1589</v>
      </c>
      <c r="G396" s="614">
        <v>1662</v>
      </c>
      <c r="H396" s="614">
        <v>1506</v>
      </c>
      <c r="I396" s="614">
        <v>677</v>
      </c>
      <c r="J396" s="598">
        <v>479</v>
      </c>
      <c r="K396" s="597"/>
      <c r="L396" s="598"/>
      <c r="M396" s="598"/>
      <c r="N396" s="597"/>
      <c r="O396" s="597"/>
      <c r="P396" s="597"/>
      <c r="Q396" s="597"/>
      <c r="R396" s="597"/>
      <c r="S396" s="597"/>
      <c r="T396" s="597"/>
    </row>
    <row r="397" spans="1:21" s="606" customFormat="1" ht="11">
      <c r="A397" s="604"/>
      <c r="B397" s="604"/>
      <c r="C397" s="604"/>
      <c r="D397" s="604" t="s">
        <v>832</v>
      </c>
      <c r="E397" s="605"/>
      <c r="F397" s="605">
        <f>F396/E396-1</f>
        <v>6.7159167226326311E-2</v>
      </c>
      <c r="G397" s="605">
        <f t="shared" ref="G397" si="46">G396/F396-1</f>
        <v>4.5940843297671563E-2</v>
      </c>
      <c r="H397" s="605">
        <f t="shared" ref="H397" si="47">H396/G396-1</f>
        <v>-9.3862815884476536E-2</v>
      </c>
      <c r="I397" s="605">
        <f t="shared" ref="I397" si="48">I396/H396-1</f>
        <v>-0.55046480743691895</v>
      </c>
      <c r="J397" s="605">
        <f t="shared" ref="J397" si="49">J396/I396-1</f>
        <v>-0.29246676514032499</v>
      </c>
      <c r="K397" s="604"/>
      <c r="L397" s="605"/>
      <c r="M397" s="605"/>
      <c r="N397" s="604"/>
      <c r="O397" s="604"/>
      <c r="P397" s="604"/>
      <c r="Q397" s="604"/>
      <c r="R397" s="604"/>
      <c r="S397" s="604"/>
      <c r="T397" s="604"/>
    </row>
    <row r="398" spans="1:21" s="599" customFormat="1" ht="14">
      <c r="A398" s="597"/>
      <c r="B398" s="597"/>
      <c r="C398" s="597"/>
      <c r="D398" s="594" t="s">
        <v>108</v>
      </c>
      <c r="E398" s="614">
        <v>1213</v>
      </c>
      <c r="F398" s="614">
        <v>1766</v>
      </c>
      <c r="G398" s="614">
        <v>2041</v>
      </c>
      <c r="H398" s="614">
        <v>2029</v>
      </c>
      <c r="I398" s="614">
        <v>1031</v>
      </c>
      <c r="J398" s="598">
        <v>1364</v>
      </c>
      <c r="K398" s="597"/>
      <c r="L398" s="598"/>
      <c r="M398" s="598"/>
      <c r="N398" s="597"/>
      <c r="O398" s="597"/>
      <c r="P398" s="597"/>
      <c r="Q398" s="597"/>
      <c r="R398" s="597"/>
      <c r="S398" s="597"/>
      <c r="T398" s="597"/>
    </row>
    <row r="399" spans="1:21" s="606" customFormat="1" ht="11">
      <c r="A399" s="604"/>
      <c r="B399" s="604"/>
      <c r="C399" s="604"/>
      <c r="D399" s="604" t="s">
        <v>832</v>
      </c>
      <c r="E399" s="605"/>
      <c r="F399" s="605">
        <f>F398/E398-1</f>
        <v>0.4558944765045343</v>
      </c>
      <c r="G399" s="605">
        <f t="shared" ref="G399" si="50">G398/F398-1</f>
        <v>0.15571913929784831</v>
      </c>
      <c r="H399" s="605">
        <f t="shared" ref="H399" si="51">H398/G398-1</f>
        <v>-5.8794708476237467E-3</v>
      </c>
      <c r="I399" s="605">
        <f t="shared" ref="I399" si="52">I398/H398-1</f>
        <v>-0.49186791522917694</v>
      </c>
      <c r="J399" s="605">
        <f t="shared" ref="J399" si="53">J398/I398-1</f>
        <v>0.32298739088263817</v>
      </c>
      <c r="K399" s="604"/>
      <c r="L399" s="605"/>
      <c r="M399" s="605"/>
      <c r="N399" s="604"/>
      <c r="O399" s="604"/>
      <c r="P399" s="604"/>
      <c r="Q399" s="604"/>
      <c r="R399" s="604"/>
      <c r="S399" s="604"/>
      <c r="T399" s="604"/>
    </row>
    <row r="400" spans="1:21" s="599" customFormat="1" ht="14">
      <c r="A400" s="597"/>
      <c r="B400" s="597"/>
      <c r="C400" s="597"/>
      <c r="D400" s="594"/>
      <c r="E400" s="614"/>
      <c r="F400" s="614"/>
      <c r="G400" s="614"/>
      <c r="H400" s="614"/>
      <c r="I400" s="614"/>
      <c r="J400" s="598"/>
      <c r="K400" s="597"/>
      <c r="L400" s="598"/>
      <c r="M400" s="598"/>
      <c r="N400" s="597"/>
      <c r="O400" s="597"/>
      <c r="P400" s="597"/>
      <c r="Q400" s="597"/>
      <c r="R400" s="597"/>
      <c r="S400" s="597"/>
      <c r="T400" s="597"/>
    </row>
    <row r="401" spans="1:20" s="603" customFormat="1" ht="14">
      <c r="A401" s="600"/>
      <c r="B401" s="600"/>
      <c r="C401" s="600"/>
      <c r="D401" s="601" t="s">
        <v>451</v>
      </c>
      <c r="E401" s="613">
        <f t="shared" ref="E401:I401" si="54">SUM(E403:E405)</f>
        <v>647</v>
      </c>
      <c r="F401" s="613">
        <f t="shared" si="54"/>
        <v>600.94285714285718</v>
      </c>
      <c r="G401" s="613">
        <f t="shared" si="54"/>
        <v>500.77083333333331</v>
      </c>
      <c r="H401" s="613">
        <f t="shared" si="54"/>
        <v>414.84766584766584</v>
      </c>
      <c r="I401" s="613">
        <f t="shared" si="54"/>
        <v>176.3710144927536</v>
      </c>
      <c r="J401" s="613">
        <f>SUM(J403:J405)</f>
        <v>118.5390625</v>
      </c>
      <c r="K401" s="600"/>
      <c r="L401" s="602"/>
      <c r="M401" s="602"/>
      <c r="N401" s="600"/>
      <c r="O401" s="600"/>
      <c r="P401" s="600"/>
      <c r="Q401" s="600"/>
      <c r="R401" s="600"/>
      <c r="S401" s="600"/>
      <c r="T401" s="600"/>
    </row>
    <row r="402" spans="1:20" s="606" customFormat="1" ht="11">
      <c r="A402" s="604"/>
      <c r="B402" s="604"/>
      <c r="C402" s="604"/>
      <c r="D402" s="604" t="s">
        <v>832</v>
      </c>
      <c r="E402" s="605"/>
      <c r="F402" s="605">
        <f>F401/E401-1</f>
        <v>-7.1185692205784856E-2</v>
      </c>
      <c r="G402" s="605">
        <f t="shared" ref="G402" si="55">G401/F401-1</f>
        <v>-0.16669142934119408</v>
      </c>
      <c r="H402" s="605">
        <f t="shared" ref="H402" si="56">H401/G401-1</f>
        <v>-0.17158181300961184</v>
      </c>
      <c r="I402" s="605">
        <f t="shared" ref="I402" si="57">I401/H401-1</f>
        <v>-0.57485354501785257</v>
      </c>
      <c r="J402" s="605">
        <f t="shared" ref="J402" si="58">J401/I401-1</f>
        <v>-0.32789941226498809</v>
      </c>
      <c r="K402" s="604"/>
      <c r="L402" s="605"/>
      <c r="M402" s="605"/>
      <c r="N402" s="604"/>
      <c r="O402" s="604"/>
      <c r="P402" s="604"/>
      <c r="Q402" s="604"/>
      <c r="R402" s="604"/>
      <c r="S402" s="604"/>
      <c r="T402" s="604"/>
    </row>
    <row r="403" spans="1:20" s="599" customFormat="1" ht="14">
      <c r="A403" s="597"/>
      <c r="B403" s="597"/>
      <c r="C403" s="597"/>
      <c r="D403" s="594" t="s">
        <v>1349</v>
      </c>
      <c r="E403" s="614">
        <v>560</v>
      </c>
      <c r="F403" s="614">
        <v>528</v>
      </c>
      <c r="G403" s="614">
        <v>407</v>
      </c>
      <c r="H403" s="614">
        <v>345</v>
      </c>
      <c r="I403" s="614">
        <v>128</v>
      </c>
      <c r="J403" s="598">
        <v>69</v>
      </c>
      <c r="K403" s="597"/>
      <c r="L403" s="598"/>
      <c r="M403" s="598"/>
      <c r="N403" s="597"/>
      <c r="O403" s="597"/>
      <c r="P403" s="597"/>
      <c r="Q403" s="597"/>
      <c r="R403" s="597"/>
      <c r="S403" s="597"/>
      <c r="T403" s="597"/>
    </row>
    <row r="404" spans="1:20" s="606" customFormat="1" ht="11">
      <c r="A404" s="604"/>
      <c r="B404" s="604"/>
      <c r="C404" s="604"/>
      <c r="D404" s="604" t="s">
        <v>832</v>
      </c>
      <c r="E404" s="605"/>
      <c r="F404" s="605">
        <f>F403/E403-1</f>
        <v>-5.7142857142857162E-2</v>
      </c>
      <c r="G404" s="605">
        <f t="shared" ref="G404" si="59">G403/F403-1</f>
        <v>-0.22916666666666663</v>
      </c>
      <c r="H404" s="605">
        <f t="shared" ref="H404" si="60">H403/G403-1</f>
        <v>-0.15233415233415237</v>
      </c>
      <c r="I404" s="605">
        <f t="shared" ref="I404" si="61">I403/H403-1</f>
        <v>-0.62898550724637681</v>
      </c>
      <c r="J404" s="605">
        <f t="shared" ref="J404" si="62">J403/I403-1</f>
        <v>-0.4609375</v>
      </c>
      <c r="K404" s="604"/>
      <c r="L404" s="605"/>
      <c r="M404" s="605"/>
      <c r="N404" s="604"/>
      <c r="O404" s="604"/>
      <c r="P404" s="604"/>
      <c r="Q404" s="604"/>
      <c r="R404" s="604"/>
      <c r="S404" s="604"/>
      <c r="T404" s="604"/>
    </row>
    <row r="405" spans="1:20" s="599" customFormat="1" ht="14">
      <c r="A405" s="597"/>
      <c r="B405" s="597"/>
      <c r="C405" s="597"/>
      <c r="D405" s="594" t="s">
        <v>108</v>
      </c>
      <c r="E405" s="614">
        <v>87</v>
      </c>
      <c r="F405" s="614">
        <v>73</v>
      </c>
      <c r="G405" s="614">
        <v>94</v>
      </c>
      <c r="H405" s="614">
        <v>70</v>
      </c>
      <c r="I405" s="614">
        <v>49</v>
      </c>
      <c r="J405" s="598">
        <v>50</v>
      </c>
      <c r="K405" s="597"/>
      <c r="L405" s="598"/>
      <c r="M405" s="598"/>
      <c r="N405" s="597"/>
      <c r="O405" s="597"/>
      <c r="P405" s="597"/>
      <c r="Q405" s="597"/>
      <c r="R405" s="597"/>
      <c r="S405" s="597"/>
      <c r="T405" s="597"/>
    </row>
    <row r="406" spans="1:20" s="606" customFormat="1" ht="11">
      <c r="A406" s="604"/>
      <c r="B406" s="604"/>
      <c r="C406" s="604"/>
      <c r="D406" s="604" t="s">
        <v>832</v>
      </c>
      <c r="E406" s="605"/>
      <c r="F406" s="605">
        <f>F405/E405-1</f>
        <v>-0.16091954022988508</v>
      </c>
      <c r="G406" s="605">
        <f t="shared" ref="G406" si="63">G405/F405-1</f>
        <v>0.28767123287671237</v>
      </c>
      <c r="H406" s="605">
        <f t="shared" ref="H406" si="64">H405/G405-1</f>
        <v>-0.25531914893617025</v>
      </c>
      <c r="I406" s="605">
        <f t="shared" ref="I406" si="65">I405/H405-1</f>
        <v>-0.30000000000000004</v>
      </c>
      <c r="J406" s="605">
        <f t="shared" ref="J406" si="66">J405/I405-1</f>
        <v>2.0408163265306145E-2</v>
      </c>
      <c r="K406" s="604"/>
      <c r="L406" s="605"/>
      <c r="M406" s="605"/>
      <c r="N406" s="604"/>
      <c r="O406" s="604"/>
      <c r="P406" s="604"/>
      <c r="Q406" s="604"/>
      <c r="R406" s="604"/>
      <c r="S406" s="604"/>
      <c r="T406" s="604"/>
    </row>
    <row r="407" spans="1:20" s="599" customFormat="1" ht="14">
      <c r="A407" s="597"/>
      <c r="B407" s="597"/>
      <c r="C407" s="597"/>
      <c r="D407" s="595"/>
      <c r="E407" s="615"/>
      <c r="F407" s="615"/>
      <c r="G407" s="615"/>
      <c r="H407" s="615"/>
      <c r="I407" s="615"/>
      <c r="J407" s="598"/>
      <c r="K407" s="597"/>
      <c r="L407" s="598"/>
      <c r="M407" s="598"/>
      <c r="N407" s="597"/>
      <c r="O407" s="597"/>
      <c r="P407" s="597"/>
      <c r="Q407" s="597"/>
      <c r="R407" s="597"/>
      <c r="S407" s="597"/>
      <c r="T407" s="597"/>
    </row>
    <row r="408" spans="1:20" s="609" customFormat="1" ht="11">
      <c r="A408" s="607"/>
      <c r="B408" s="607"/>
      <c r="C408" s="607"/>
      <c r="D408" s="607" t="s">
        <v>978</v>
      </c>
      <c r="E408" s="608">
        <f t="shared" ref="E408:J408" si="67">E401/E394</f>
        <v>0.23945225758697261</v>
      </c>
      <c r="F408" s="608">
        <f t="shared" si="67"/>
        <v>0.17911500087289445</v>
      </c>
      <c r="G408" s="608">
        <f>G401/G394</f>
        <v>0.13523214168368983</v>
      </c>
      <c r="H408" s="608">
        <f t="shared" si="67"/>
        <v>0.11735747704410929</v>
      </c>
      <c r="I408" s="608">
        <f t="shared" si="67"/>
        <v>0.10329500864156597</v>
      </c>
      <c r="J408" s="608">
        <f t="shared" si="67"/>
        <v>6.4328744720495892E-2</v>
      </c>
      <c r="K408" s="607"/>
      <c r="L408" s="608"/>
      <c r="M408" s="608"/>
      <c r="N408" s="607"/>
      <c r="O408" s="607"/>
      <c r="P408" s="607"/>
      <c r="Q408" s="607"/>
      <c r="R408" s="607"/>
      <c r="S408" s="607"/>
      <c r="T408" s="607"/>
    </row>
    <row r="409" spans="1:20" s="606" customFormat="1" ht="11">
      <c r="A409" s="604"/>
      <c r="B409" s="604"/>
      <c r="C409" s="604"/>
      <c r="D409" s="604" t="s">
        <v>1349</v>
      </c>
      <c r="E409" s="605">
        <f t="shared" ref="E409:J409" si="68">E403/E396</f>
        <v>0.37609133646742782</v>
      </c>
      <c r="F409" s="605">
        <f t="shared" si="68"/>
        <v>0.33228445563247327</v>
      </c>
      <c r="G409" s="605">
        <f t="shared" si="68"/>
        <v>0.24488567990373045</v>
      </c>
      <c r="H409" s="605">
        <f t="shared" si="68"/>
        <v>0.22908366533864541</v>
      </c>
      <c r="I409" s="605">
        <f t="shared" si="68"/>
        <v>0.18906942392909898</v>
      </c>
      <c r="J409" s="605">
        <f t="shared" si="68"/>
        <v>0.1440501043841336</v>
      </c>
      <c r="K409" s="604"/>
      <c r="L409" s="605"/>
      <c r="M409" s="605"/>
      <c r="N409" s="604"/>
      <c r="O409" s="604"/>
      <c r="P409" s="604"/>
      <c r="Q409" s="604"/>
      <c r="R409" s="604"/>
      <c r="S409" s="604"/>
      <c r="T409" s="604"/>
    </row>
    <row r="410" spans="1:20" s="606" customFormat="1" ht="11">
      <c r="A410" s="604"/>
      <c r="B410" s="604"/>
      <c r="C410" s="604"/>
      <c r="D410" s="604" t="s">
        <v>108</v>
      </c>
      <c r="E410" s="605">
        <f t="shared" ref="E410:I410" si="69">E405/E398</f>
        <v>7.1723000824402305E-2</v>
      </c>
      <c r="F410" s="605">
        <f t="shared" si="69"/>
        <v>4.1336353340883356E-2</v>
      </c>
      <c r="G410" s="605">
        <f t="shared" si="69"/>
        <v>4.6055854973052424E-2</v>
      </c>
      <c r="H410" s="605">
        <f t="shared" si="69"/>
        <v>3.4499753573188761E-2</v>
      </c>
      <c r="I410" s="605">
        <f t="shared" si="69"/>
        <v>4.7526673132880698E-2</v>
      </c>
      <c r="J410" s="605">
        <f t="shared" ref="J410" si="70">J405/J398</f>
        <v>3.6656891495601175E-2</v>
      </c>
      <c r="K410" s="604"/>
      <c r="L410" s="605"/>
      <c r="M410" s="605"/>
      <c r="N410" s="604"/>
      <c r="O410" s="604"/>
      <c r="P410" s="604"/>
      <c r="Q410" s="604"/>
      <c r="R410" s="604"/>
      <c r="S410" s="604"/>
      <c r="T410" s="604"/>
    </row>
    <row r="411" spans="1:20" s="599" customFormat="1" ht="14">
      <c r="A411" s="597"/>
      <c r="B411" s="597"/>
      <c r="C411" s="597"/>
      <c r="D411" s="595"/>
      <c r="E411" s="596"/>
      <c r="F411" s="596"/>
      <c r="G411" s="596"/>
      <c r="H411" s="596"/>
      <c r="I411" s="598"/>
      <c r="J411" s="597"/>
      <c r="K411" s="597"/>
      <c r="L411" s="598"/>
      <c r="M411" s="598"/>
      <c r="N411" s="597"/>
      <c r="O411" s="597"/>
      <c r="P411" s="597"/>
      <c r="Q411" s="597"/>
      <c r="R411" s="597"/>
      <c r="S411" s="597"/>
      <c r="T411" s="597"/>
    </row>
    <row r="412" spans="1:20" s="612" customFormat="1">
      <c r="A412" s="611"/>
      <c r="B412" s="611"/>
      <c r="C412" s="611"/>
      <c r="D412" s="616" t="s">
        <v>1351</v>
      </c>
      <c r="E412" s="610">
        <f>'All Together'!L38</f>
        <v>0.20666275515963548</v>
      </c>
      <c r="F412" s="610">
        <f>'All Together'!M38</f>
        <v>0.30753866579707445</v>
      </c>
      <c r="G412" s="610">
        <f>'All Together'!N38</f>
        <v>0.28854146758955357</v>
      </c>
      <c r="H412" s="610">
        <f>'All Together'!O38</f>
        <v>0.16050236281200869</v>
      </c>
      <c r="I412" s="611"/>
      <c r="J412" s="611"/>
      <c r="K412" s="611"/>
      <c r="L412" s="1311" t="s">
        <v>1719</v>
      </c>
      <c r="M412" s="611"/>
      <c r="N412" s="611"/>
      <c r="O412" s="611"/>
      <c r="P412" s="611"/>
      <c r="Q412" s="611"/>
      <c r="R412" s="611"/>
      <c r="S412" s="611"/>
      <c r="T412" s="611"/>
    </row>
    <row r="413" spans="1:20" s="612" customFormat="1" ht="11">
      <c r="A413" s="611"/>
      <c r="B413" s="611"/>
      <c r="C413" s="611"/>
      <c r="D413" s="616"/>
      <c r="E413" s="610"/>
      <c r="F413" s="610"/>
      <c r="G413" s="610"/>
      <c r="H413" s="610"/>
      <c r="I413" s="611"/>
      <c r="J413" s="611"/>
      <c r="K413" s="611"/>
      <c r="L413" s="611"/>
      <c r="M413" s="611"/>
      <c r="N413" s="611"/>
      <c r="O413" s="611"/>
      <c r="P413" s="611"/>
      <c r="Q413" s="611"/>
      <c r="R413" s="611"/>
      <c r="S413" s="611"/>
      <c r="T413" s="611"/>
    </row>
    <row r="414" spans="1:20" s="612" customFormat="1" ht="11">
      <c r="A414" s="611"/>
      <c r="B414" s="611"/>
      <c r="C414" s="611"/>
      <c r="D414" s="616"/>
      <c r="E414" s="610"/>
      <c r="F414" s="610"/>
      <c r="G414" s="610"/>
      <c r="H414" s="610"/>
      <c r="I414" s="611"/>
      <c r="J414" s="611"/>
      <c r="K414" s="611"/>
      <c r="L414" s="611"/>
      <c r="M414" s="611"/>
      <c r="N414" s="611"/>
      <c r="O414" s="611"/>
      <c r="P414" s="611"/>
      <c r="Q414" s="611"/>
      <c r="R414" s="611"/>
      <c r="S414" s="611"/>
      <c r="T414" s="611"/>
    </row>
    <row r="415" spans="1:20" s="612" customFormat="1" ht="11">
      <c r="A415" s="611"/>
      <c r="B415" s="611"/>
      <c r="C415" s="611"/>
      <c r="D415" s="608"/>
      <c r="E415" s="610"/>
      <c r="F415" s="610"/>
      <c r="G415" s="610"/>
      <c r="H415" s="610"/>
      <c r="I415" s="611"/>
      <c r="J415" s="611"/>
      <c r="K415" s="611"/>
      <c r="L415" s="611"/>
      <c r="M415" s="611"/>
      <c r="N415" s="611"/>
      <c r="O415" s="611"/>
      <c r="P415" s="611"/>
      <c r="Q415" s="611"/>
      <c r="R415" s="611"/>
      <c r="S415" s="611"/>
      <c r="T415" s="611"/>
    </row>
    <row r="417" spans="4:13" ht="18">
      <c r="D417" s="1946" t="s">
        <v>1339</v>
      </c>
      <c r="E417" s="1946"/>
      <c r="F417" s="1946"/>
      <c r="G417" s="1946"/>
      <c r="H417" s="1946"/>
      <c r="I417" s="1946"/>
      <c r="J417" s="1946"/>
      <c r="K417" s="1946"/>
      <c r="L417" s="1946"/>
      <c r="M417" s="1946"/>
    </row>
    <row r="418" spans="4:13" ht="20">
      <c r="D418" s="1314" t="s">
        <v>1808</v>
      </c>
    </row>
    <row r="419" spans="4:13" ht="21" thickBot="1">
      <c r="D419" s="1314" t="s">
        <v>1755</v>
      </c>
      <c r="E419" s="586"/>
      <c r="F419" s="586"/>
    </row>
    <row r="420" spans="4:13" ht="27" customHeight="1" thickBot="1">
      <c r="D420" s="709" t="s">
        <v>1342</v>
      </c>
      <c r="E420" s="714" t="s">
        <v>1340</v>
      </c>
      <c r="F420" s="715" t="s">
        <v>1476</v>
      </c>
    </row>
    <row r="421" spans="4:13">
      <c r="D421" s="1501" t="s">
        <v>1265</v>
      </c>
      <c r="E421" s="1502">
        <f>4/2+10/2</f>
        <v>7</v>
      </c>
      <c r="F421" s="1503">
        <v>15400</v>
      </c>
    </row>
    <row r="422" spans="4:13">
      <c r="D422" s="1501" t="s">
        <v>1266</v>
      </c>
      <c r="E422" s="1502">
        <v>17</v>
      </c>
      <c r="F422" s="1503">
        <v>6000</v>
      </c>
    </row>
    <row r="423" spans="4:13">
      <c r="D423" s="1501" t="s">
        <v>1268</v>
      </c>
      <c r="E423" s="1502">
        <v>21</v>
      </c>
      <c r="F423" s="1503">
        <v>4300</v>
      </c>
    </row>
    <row r="424" spans="4:13" ht="16" thickBot="1">
      <c r="D424" s="1504" t="s">
        <v>1341</v>
      </c>
      <c r="E424" s="1505">
        <v>61</v>
      </c>
      <c r="F424" s="1506">
        <v>1400</v>
      </c>
    </row>
    <row r="426" spans="4:13">
      <c r="E426" s="1507" t="s">
        <v>1724</v>
      </c>
    </row>
    <row r="428" spans="4:13" ht="20">
      <c r="D428" s="1197" t="s">
        <v>1647</v>
      </c>
    </row>
    <row r="442" spans="4:4">
      <c r="D442" t="s">
        <v>1639</v>
      </c>
    </row>
  </sheetData>
  <mergeCells count="22">
    <mergeCell ref="D369:M369"/>
    <mergeCell ref="D417:M417"/>
    <mergeCell ref="D252:M252"/>
    <mergeCell ref="D264:M264"/>
    <mergeCell ref="D317:M317"/>
    <mergeCell ref="D338:M338"/>
    <mergeCell ref="D353:M353"/>
    <mergeCell ref="P2:V2"/>
    <mergeCell ref="D38:M38"/>
    <mergeCell ref="D58:M58"/>
    <mergeCell ref="H11:I11"/>
    <mergeCell ref="H4:I4"/>
    <mergeCell ref="L4:M4"/>
    <mergeCell ref="L11:M11"/>
    <mergeCell ref="D2:M2"/>
    <mergeCell ref="Q4:R4"/>
    <mergeCell ref="E40:F40"/>
    <mergeCell ref="D211:M211"/>
    <mergeCell ref="D76:M76"/>
    <mergeCell ref="U4:V4"/>
    <mergeCell ref="Q11:R11"/>
    <mergeCell ref="U11:V11"/>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9" tint="-0.249977111117893"/>
  </sheetPr>
  <dimension ref="A2:X70"/>
  <sheetViews>
    <sheetView showGridLines="0" zoomScale="50" zoomScaleNormal="50" zoomScalePageLayoutView="50" workbookViewId="0">
      <pane xSplit="4" topLeftCell="E1" activePane="topRight" state="frozen"/>
      <selection activeCell="F19" sqref="F19"/>
      <selection pane="topRight" activeCell="AB59" sqref="AB59"/>
    </sheetView>
  </sheetViews>
  <sheetFormatPr baseColWidth="10" defaultRowHeight="15" x14ac:dyDescent="0"/>
  <cols>
    <col min="1" max="2" width="0" hidden="1" customWidth="1"/>
    <col min="3" max="3" width="10.83203125" style="117"/>
    <col min="4" max="4" width="63.33203125" bestFit="1" customWidth="1"/>
    <col min="5" max="13" width="10.83203125" customWidth="1"/>
    <col min="15" max="15" width="14.1640625" bestFit="1" customWidth="1"/>
    <col min="16" max="16" width="11.5" bestFit="1" customWidth="1"/>
  </cols>
  <sheetData>
    <row r="2" spans="3:24">
      <c r="D2" s="133"/>
    </row>
    <row r="4" spans="3:24">
      <c r="D4" s="1" t="s">
        <v>569</v>
      </c>
      <c r="E4" s="1" t="s">
        <v>216</v>
      </c>
      <c r="F4" s="1" t="s">
        <v>217</v>
      </c>
      <c r="G4" s="1" t="s">
        <v>218</v>
      </c>
      <c r="H4" s="1" t="s">
        <v>28</v>
      </c>
      <c r="I4" s="1" t="s">
        <v>17</v>
      </c>
      <c r="J4" s="1" t="s">
        <v>18</v>
      </c>
      <c r="K4" s="1" t="s">
        <v>19</v>
      </c>
      <c r="L4" s="1" t="s">
        <v>20</v>
      </c>
      <c r="M4" s="1" t="s">
        <v>21</v>
      </c>
      <c r="N4" s="1" t="s">
        <v>22</v>
      </c>
      <c r="O4" s="1" t="s">
        <v>23</v>
      </c>
      <c r="P4" s="1" t="s">
        <v>24</v>
      </c>
      <c r="Q4" s="1" t="s">
        <v>25</v>
      </c>
      <c r="R4" s="1" t="s">
        <v>26</v>
      </c>
      <c r="S4" s="1" t="s">
        <v>27</v>
      </c>
      <c r="T4" s="1"/>
      <c r="U4" s="1"/>
      <c r="V4" s="1"/>
      <c r="W4" s="1"/>
      <c r="X4" s="1"/>
    </row>
    <row r="5" spans="3:24" s="4" customFormat="1">
      <c r="C5" s="102"/>
      <c r="D5" s="4" t="s">
        <v>494</v>
      </c>
      <c r="E5" s="101"/>
      <c r="F5" s="134">
        <f>'2a. Income Statement'!F38</f>
        <v>177443</v>
      </c>
      <c r="G5" s="134">
        <f>'2a. Income Statement'!G38</f>
        <v>239272</v>
      </c>
      <c r="H5" s="134">
        <f>'2a. Income Statement'!H38</f>
        <v>329009</v>
      </c>
      <c r="I5" s="134">
        <f>'2a. Income Statement'!I38</f>
        <v>430195</v>
      </c>
      <c r="J5" s="134">
        <f>'2a. Income Statement'!J38</f>
        <v>464777</v>
      </c>
      <c r="K5" s="134">
        <f>'2a. Income Statement'!K38</f>
        <v>512689</v>
      </c>
      <c r="L5" s="134">
        <f>'2a. Income Statement'!L38</f>
        <v>663070</v>
      </c>
      <c r="M5" s="134">
        <f>'2a. Income Statement'!M38</f>
        <v>743560</v>
      </c>
      <c r="N5" s="134">
        <f>'2a. Income Statement'!N38</f>
        <v>879566</v>
      </c>
      <c r="O5" s="134">
        <f>'2a. Income Statement'!O38</f>
        <v>1025601</v>
      </c>
      <c r="P5" s="101"/>
      <c r="Q5" s="101"/>
      <c r="R5" s="101"/>
      <c r="S5" s="101"/>
      <c r="T5" s="101"/>
      <c r="U5" s="101"/>
      <c r="V5" s="101"/>
      <c r="W5" s="101"/>
      <c r="X5" s="101"/>
    </row>
    <row r="6" spans="3:24">
      <c r="D6" t="s">
        <v>598</v>
      </c>
      <c r="E6" s="132"/>
      <c r="F6" s="133">
        <f>-F5*'Notes to the Income Statement'!$F$196</f>
        <v>-51458.469999999994</v>
      </c>
      <c r="G6" s="133">
        <f>-G5*'Notes to the Income Statement'!$G$196</f>
        <v>-69388.87999999999</v>
      </c>
      <c r="H6" s="133">
        <f>-H5*'Notes to the Income Statement'!$H$196</f>
        <v>-92122.52</v>
      </c>
      <c r="I6" s="133">
        <f>-I5*'Notes to the Income Statement'!$I$196</f>
        <v>-120454.6</v>
      </c>
      <c r="J6" s="133">
        <f>-J5*'Notes to the Income Statement'!$J$196</f>
        <v>-130137.56000000001</v>
      </c>
      <c r="K6" s="133">
        <f>-K5*'Notes to the Income Statement'!$K$196</f>
        <v>-143552.92000000001</v>
      </c>
      <c r="L6" s="133">
        <f>-L5*'Notes to the Income Statement'!$O$196</f>
        <v>-185659.6</v>
      </c>
      <c r="M6" s="133">
        <f>-M5*'Notes to the Income Statement'!$O$196</f>
        <v>-208196.80000000002</v>
      </c>
      <c r="N6" s="133">
        <f>-N5*'Notes to the Income Statement'!$O$196</f>
        <v>-246278.48</v>
      </c>
      <c r="O6" s="133">
        <f>-O5*'Notes to the Income Statement'!$O$196</f>
        <v>-287168.28000000003</v>
      </c>
      <c r="P6" s="132"/>
      <c r="Q6" s="132"/>
      <c r="R6" s="132"/>
      <c r="S6" s="132"/>
      <c r="T6" s="132"/>
      <c r="U6" s="132"/>
      <c r="V6" s="132"/>
      <c r="W6" s="132"/>
      <c r="X6" s="132"/>
    </row>
    <row r="7" spans="3:24">
      <c r="D7" t="s">
        <v>570</v>
      </c>
      <c r="E7" s="132"/>
      <c r="F7" s="133">
        <f>('2a. Income Statement'!F43*'Notes to the Income Statement'!$F$196)-'2a. Income Statement'!F46</f>
        <v>-10077.140000000007</v>
      </c>
      <c r="G7" s="133">
        <f>('2a. Income Statement'!G43*'Notes to the Income Statement'!$G$196)-'2a. Income Statement'!G46</f>
        <v>-8620.25</v>
      </c>
      <c r="H7" s="133">
        <f>('2a. Income Statement'!H43*'Notes to the Income Statement'!$H$196)-'2a. Income Statement'!H46</f>
        <v>-3794.5599999999977</v>
      </c>
      <c r="I7" s="133">
        <f>('2a. Income Statement'!I43*'Notes to the Income Statement'!$I$196)-'2a. Income Statement'!I46</f>
        <v>-20499.319999999992</v>
      </c>
      <c r="J7" s="133">
        <f>('2a. Income Statement'!J43*'Notes to the Income Statement'!$J$196)-'2a. Income Statement'!J46</f>
        <v>-41386.599999999977</v>
      </c>
      <c r="K7" s="133">
        <f>('2a. Income Statement'!K43*'Notes to the Income Statement'!$K$196)-'2a. Income Statement'!K46</f>
        <v>-39445.959999999992</v>
      </c>
      <c r="L7" s="133">
        <f>('2a. Income Statement'!L43*'Notes to the Income Statement'!$O$196)-'2a. Income Statement'!L46</f>
        <v>-37367.51999999999</v>
      </c>
      <c r="M7" s="133">
        <f>('2a. Income Statement'!M43*'Notes to the Income Statement'!$O$196)-'2a. Income Statement'!M46</f>
        <v>-17427.719999999972</v>
      </c>
      <c r="N7" s="133">
        <f>('2a. Income Statement'!N43*'Notes to the Income Statement'!$O$196)-'2a. Income Statement'!N46</f>
        <v>-21611.639999999985</v>
      </c>
      <c r="O7" s="133">
        <f>('2a. Income Statement'!O43*'Notes to the Income Statement'!$O$196)-'2a. Income Statement'!O46</f>
        <v>-26474.239999999962</v>
      </c>
      <c r="P7" s="132"/>
      <c r="Q7" s="132"/>
      <c r="R7" s="132"/>
      <c r="S7" s="132"/>
      <c r="T7" s="132"/>
      <c r="U7" s="132"/>
      <c r="V7" s="132"/>
      <c r="W7" s="132"/>
      <c r="X7" s="132"/>
    </row>
    <row r="8" spans="3:24" s="4" customFormat="1">
      <c r="C8" s="102"/>
      <c r="D8" s="4" t="s">
        <v>481</v>
      </c>
      <c r="E8" s="101"/>
      <c r="F8" s="134">
        <f t="shared" ref="F8:N8" si="0">SUM(F5:F7)</f>
        <v>115907.38999999998</v>
      </c>
      <c r="G8" s="134">
        <f t="shared" si="0"/>
        <v>161262.87</v>
      </c>
      <c r="H8" s="134">
        <f t="shared" si="0"/>
        <v>233091.91999999998</v>
      </c>
      <c r="I8" s="134">
        <f t="shared" si="0"/>
        <v>289241.08</v>
      </c>
      <c r="J8" s="134">
        <f t="shared" si="0"/>
        <v>293252.84000000003</v>
      </c>
      <c r="K8" s="134">
        <f t="shared" si="0"/>
        <v>329690.12</v>
      </c>
      <c r="L8" s="134">
        <f t="shared" si="0"/>
        <v>440042.88</v>
      </c>
      <c r="M8" s="134">
        <f t="shared" si="0"/>
        <v>517935.48</v>
      </c>
      <c r="N8" s="134">
        <f t="shared" si="0"/>
        <v>611675.88</v>
      </c>
      <c r="O8" s="134">
        <f>SUM(O5:O7)</f>
        <v>711958.48</v>
      </c>
      <c r="P8" s="101"/>
      <c r="Q8" s="101"/>
      <c r="R8" s="101"/>
      <c r="S8" s="101"/>
      <c r="T8" s="101"/>
      <c r="U8" s="101"/>
      <c r="V8" s="101"/>
      <c r="W8" s="101"/>
      <c r="X8" s="101"/>
    </row>
    <row r="9" spans="3:24">
      <c r="D9" t="s">
        <v>681</v>
      </c>
      <c r="E9" s="132"/>
      <c r="F9" s="133">
        <f>'Notes to the Income Statement'!F65</f>
        <v>57315</v>
      </c>
      <c r="G9" s="133">
        <f>'Notes to the Income Statement'!G65</f>
        <v>67399</v>
      </c>
      <c r="H9" s="133">
        <f>'Notes to the Income Statement'!H65</f>
        <v>67255</v>
      </c>
      <c r="I9" s="133">
        <f>'Notes to the Income Statement'!I65</f>
        <v>72035</v>
      </c>
      <c r="J9" s="133">
        <f>'Notes to the Income Statement'!J65</f>
        <v>76875</v>
      </c>
      <c r="K9" s="133">
        <f>'Notes to the Income Statement'!K65</f>
        <v>77209</v>
      </c>
      <c r="L9" s="133">
        <f>'Notes to the Income Statement'!L65</f>
        <v>86339</v>
      </c>
      <c r="M9" s="133">
        <f>'Notes to the Income Statement'!M65</f>
        <v>87193</v>
      </c>
      <c r="N9" s="133">
        <f>'Notes to the Income Statement'!N65</f>
        <v>91202</v>
      </c>
      <c r="O9" s="133">
        <f>'Notes to the Income Statement'!O65</f>
        <v>136423</v>
      </c>
      <c r="P9" s="132"/>
      <c r="Q9" s="132"/>
      <c r="R9" s="132"/>
      <c r="S9" s="132"/>
      <c r="T9" s="132"/>
      <c r="U9" s="132"/>
      <c r="V9" s="132"/>
      <c r="W9" s="132"/>
      <c r="X9" s="132"/>
    </row>
    <row r="10" spans="3:24">
      <c r="D10" t="s">
        <v>627</v>
      </c>
      <c r="E10" s="132"/>
      <c r="F10" s="133">
        <v>0</v>
      </c>
      <c r="G10" s="133">
        <v>0</v>
      </c>
      <c r="H10" s="133">
        <v>0</v>
      </c>
      <c r="I10" s="133">
        <v>0</v>
      </c>
      <c r="J10" s="133">
        <v>0</v>
      </c>
      <c r="K10" s="133">
        <f>'Notes to the Income Statement'!K71</f>
        <v>0</v>
      </c>
      <c r="L10" s="133">
        <f>'Notes to the Income Statement'!L71</f>
        <v>853</v>
      </c>
      <c r="M10" s="133">
        <f>'Notes to the Income Statement'!M71</f>
        <v>15175</v>
      </c>
      <c r="N10" s="133">
        <f>'Notes to the Income Statement'!N71</f>
        <v>22421</v>
      </c>
      <c r="O10" s="133">
        <f>'Notes to the Income Statement'!O71</f>
        <v>40748</v>
      </c>
      <c r="P10" s="132"/>
      <c r="Q10" s="132"/>
      <c r="R10" s="132"/>
      <c r="S10" s="132"/>
      <c r="T10" s="132"/>
      <c r="U10" s="132"/>
      <c r="V10" s="132"/>
      <c r="W10" s="132"/>
      <c r="X10" s="132"/>
    </row>
    <row r="11" spans="3:24">
      <c r="D11" t="s">
        <v>638</v>
      </c>
      <c r="E11" s="132"/>
      <c r="F11" s="133">
        <f>-('2b. Balance Sheet'!F7-'2b. Balance Sheet'!E7+'Notes to the Income Statement'!F65)</f>
        <v>-88720</v>
      </c>
      <c r="G11" s="133">
        <f>-('2b. Balance Sheet'!G7-'2b. Balance Sheet'!F7+'Notes to the Income Statement'!G65)</f>
        <v>-24355</v>
      </c>
      <c r="H11" s="133">
        <f>-('2b. Balance Sheet'!H7-'2b. Balance Sheet'!G7+'Notes to the Income Statement'!H65)</f>
        <v>-127989</v>
      </c>
      <c r="I11" s="133">
        <f>-('2b. Balance Sheet'!I7-'2b. Balance Sheet'!H7+'Notes to the Income Statement'!I65)</f>
        <v>-90058</v>
      </c>
      <c r="J11" s="133">
        <f>-('2b. Balance Sheet'!J7-'2b. Balance Sheet'!I7+'Notes to the Income Statement'!J65)</f>
        <v>-89243</v>
      </c>
      <c r="K11" s="133">
        <f>-('2b. Balance Sheet'!K7-'2b. Balance Sheet'!J7+'Notes to the Income Statement'!K65)</f>
        <v>-128294</v>
      </c>
      <c r="L11" s="133">
        <f>-('2b. Balance Sheet'!L7-'2b. Balance Sheet'!K7+'Notes to the Income Statement'!L65)</f>
        <v>-106566</v>
      </c>
      <c r="M11" s="133">
        <f>-('2b. Balance Sheet'!M7-'2b. Balance Sheet'!L7+'Notes to the Income Statement'!M65)</f>
        <v>-109543</v>
      </c>
      <c r="N11" s="133">
        <f>-('2b. Balance Sheet'!N7-'2b. Balance Sheet'!M7+'Notes to the Income Statement'!N65)</f>
        <v>-145344</v>
      </c>
      <c r="O11" s="133">
        <f>-('2b. Balance Sheet'!O7-'2b. Balance Sheet'!N7+'Notes to the Income Statement'!O65)</f>
        <v>-1161374</v>
      </c>
      <c r="P11" s="132"/>
      <c r="Q11" s="132"/>
      <c r="R11" s="132"/>
      <c r="S11" s="132"/>
      <c r="T11" s="132"/>
      <c r="U11" s="132"/>
      <c r="V11" s="132"/>
      <c r="W11" s="132"/>
      <c r="X11" s="132"/>
    </row>
    <row r="12" spans="3:24">
      <c r="D12" t="s">
        <v>637</v>
      </c>
      <c r="E12" s="132"/>
      <c r="F12" s="133">
        <f>-('2b. Balance Sheet'!F11-'2b. Balance Sheet'!E11+'Notes to the Income Statement'!F71)</f>
        <v>-9181</v>
      </c>
      <c r="G12" s="133">
        <f>-('2b. Balance Sheet'!G11-'2b. Balance Sheet'!F11+'Notes to the Income Statement'!G71)</f>
        <v>6508</v>
      </c>
      <c r="H12" s="133">
        <f>-('2b. Balance Sheet'!H11-'2b. Balance Sheet'!G11+'Notes to the Income Statement'!H71)</f>
        <v>10219</v>
      </c>
      <c r="I12" s="133">
        <f>-('2b. Balance Sheet'!I11-'2b. Balance Sheet'!H11+'Notes to the Income Statement'!I71)</f>
        <v>9176</v>
      </c>
      <c r="J12" s="133">
        <f>-('2b. Balance Sheet'!J11-'2b. Balance Sheet'!I11+'Notes to the Income Statement'!J71)</f>
        <v>19934</v>
      </c>
      <c r="K12" s="133">
        <f>-('2b. Balance Sheet'!K11-'2b. Balance Sheet'!J11+'Notes to the Income Statement'!K71)</f>
        <v>-1918</v>
      </c>
      <c r="L12" s="133">
        <f>-('2b. Balance Sheet'!L11-'2b. Balance Sheet'!K11+'Notes to the Income Statement'!L71)</f>
        <v>-71390</v>
      </c>
      <c r="M12" s="133">
        <f>-('2b. Balance Sheet'!M11-'2b. Balance Sheet'!L11+'Notes to the Income Statement'!M71)</f>
        <v>-29339</v>
      </c>
      <c r="N12" s="133">
        <f>-('2b. Balance Sheet'!N11-'2b. Balance Sheet'!M11+'Notes to the Income Statement'!N71)</f>
        <v>-17244</v>
      </c>
      <c r="O12" s="133">
        <f>-('2b. Balance Sheet'!O11-'2b. Balance Sheet'!N11+'Notes to the Income Statement'!O71)</f>
        <v>-4412355</v>
      </c>
      <c r="P12" s="132"/>
      <c r="Q12" s="132"/>
      <c r="R12" s="132"/>
      <c r="S12" s="132"/>
      <c r="T12" s="132"/>
      <c r="U12" s="132"/>
      <c r="V12" s="132"/>
      <c r="W12" s="132"/>
      <c r="X12" s="132"/>
    </row>
    <row r="13" spans="3:24">
      <c r="D13" t="s">
        <v>571</v>
      </c>
      <c r="E13" s="132"/>
      <c r="F13" s="133">
        <f t="shared" ref="F13:N13" si="1">SUM(F14:F19)</f>
        <v>55764</v>
      </c>
      <c r="G13" s="133">
        <f t="shared" si="1"/>
        <v>-58596</v>
      </c>
      <c r="H13" s="133">
        <f t="shared" si="1"/>
        <v>-59620</v>
      </c>
      <c r="I13" s="133">
        <f t="shared" si="1"/>
        <v>-173710</v>
      </c>
      <c r="J13" s="133">
        <f t="shared" si="1"/>
        <v>-151308</v>
      </c>
      <c r="K13" s="133">
        <f t="shared" si="1"/>
        <v>140252</v>
      </c>
      <c r="L13" s="133">
        <f t="shared" si="1"/>
        <v>-340496</v>
      </c>
      <c r="M13" s="133">
        <f t="shared" si="1"/>
        <v>-451175</v>
      </c>
      <c r="N13" s="133">
        <f t="shared" si="1"/>
        <v>318802</v>
      </c>
      <c r="O13" s="133">
        <f>SUM(O14:O19)</f>
        <v>141319</v>
      </c>
      <c r="P13" s="132"/>
      <c r="Q13" s="132"/>
      <c r="R13" s="132"/>
      <c r="S13" s="132"/>
      <c r="T13" s="132"/>
      <c r="U13" s="132"/>
      <c r="V13" s="132"/>
      <c r="W13" s="132"/>
      <c r="X13" s="132"/>
    </row>
    <row r="14" spans="3:24">
      <c r="D14" t="s">
        <v>573</v>
      </c>
      <c r="E14" s="132"/>
      <c r="F14" s="133">
        <f>-('2b. Balance Sheet'!F20-'2b. Balance Sheet'!E20)</f>
        <v>54510</v>
      </c>
      <c r="G14" s="133">
        <f>-('2b. Balance Sheet'!G20-'2b. Balance Sheet'!F20)</f>
        <v>-8587</v>
      </c>
      <c r="H14" s="133">
        <f>-('2b. Balance Sheet'!H20-'2b. Balance Sheet'!G20)</f>
        <v>-12332</v>
      </c>
      <c r="I14" s="133">
        <f>-('2b. Balance Sheet'!I20-'2b. Balance Sheet'!H20)</f>
        <v>15612</v>
      </c>
      <c r="J14" s="133">
        <f>-('2b. Balance Sheet'!J20-'2b. Balance Sheet'!I20)</f>
        <v>-136722</v>
      </c>
      <c r="K14" s="133">
        <f>-('2b. Balance Sheet'!K20-'2b. Balance Sheet'!J20)</f>
        <v>8602</v>
      </c>
      <c r="L14" s="133">
        <f>-('2b. Balance Sheet'!L20-'2b. Balance Sheet'!K20)</f>
        <v>-282251</v>
      </c>
      <c r="M14" s="133">
        <f>-('2b. Balance Sheet'!M20-'2b. Balance Sheet'!L20)</f>
        <v>137292</v>
      </c>
      <c r="N14" s="133">
        <f>-('2b. Balance Sheet'!N20-'2b. Balance Sheet'!M20)</f>
        <v>-218946</v>
      </c>
      <c r="O14" s="133">
        <f>-('2b. Balance Sheet'!O20-'2b. Balance Sheet'!N20)</f>
        <v>-544403</v>
      </c>
      <c r="P14" s="132"/>
      <c r="Q14" s="132"/>
      <c r="R14" s="132"/>
      <c r="S14" s="132"/>
      <c r="T14" s="132"/>
      <c r="U14" s="132"/>
      <c r="V14" s="132"/>
      <c r="W14" s="132"/>
      <c r="X14" s="132"/>
    </row>
    <row r="15" spans="3:24">
      <c r="D15" t="s">
        <v>574</v>
      </c>
      <c r="E15" s="132"/>
      <c r="F15" s="133">
        <f>-('2b. Balance Sheet'!F19-'2b. Balance Sheet'!E19)</f>
        <v>23189</v>
      </c>
      <c r="G15" s="133">
        <f>-('2b. Balance Sheet'!G19-'2b. Balance Sheet'!F19)</f>
        <v>-93246</v>
      </c>
      <c r="H15" s="133">
        <f>-('2b. Balance Sheet'!H19-'2b. Balance Sheet'!G19)</f>
        <v>-31988</v>
      </c>
      <c r="I15" s="133">
        <f>-('2b. Balance Sheet'!I19-'2b. Balance Sheet'!H19)</f>
        <v>-245356</v>
      </c>
      <c r="J15" s="133">
        <f>-('2b. Balance Sheet'!J19-'2b. Balance Sheet'!I19)</f>
        <v>14976</v>
      </c>
      <c r="K15" s="133">
        <f>-('2b. Balance Sheet'!K19-'2b. Balance Sheet'!J19)</f>
        <v>84988</v>
      </c>
      <c r="L15" s="133">
        <f>-('2b. Balance Sheet'!L19-'2b. Balance Sheet'!K19)</f>
        <v>-288129</v>
      </c>
      <c r="M15" s="133">
        <f>-('2b. Balance Sheet'!M19-'2b. Balance Sheet'!L19)</f>
        <v>-435190</v>
      </c>
      <c r="N15" s="133">
        <f>-('2b. Balance Sheet'!N19-'2b. Balance Sheet'!M19)</f>
        <v>374554</v>
      </c>
      <c r="O15" s="133">
        <f>-('2b. Balance Sheet'!O19-'2b. Balance Sheet'!N19)</f>
        <v>-477651</v>
      </c>
      <c r="P15" s="132"/>
      <c r="Q15" s="132"/>
      <c r="R15" s="132"/>
      <c r="S15" s="132"/>
      <c r="T15" s="132"/>
      <c r="U15" s="132"/>
      <c r="V15" s="132"/>
      <c r="W15" s="132"/>
      <c r="X15" s="132"/>
    </row>
    <row r="16" spans="3:24">
      <c r="D16" t="s">
        <v>575</v>
      </c>
      <c r="E16" s="132"/>
      <c r="F16" s="133">
        <v>0</v>
      </c>
      <c r="G16" s="133">
        <f>-('2b. Balance Sheet'!G21-'2b. Balance Sheet'!F21)</f>
        <v>0</v>
      </c>
      <c r="H16" s="133">
        <f>-('2b. Balance Sheet'!H21-'2b. Balance Sheet'!G21)</f>
        <v>0</v>
      </c>
      <c r="I16" s="133">
        <f>-('2b. Balance Sheet'!I21-'2b. Balance Sheet'!H21)</f>
        <v>0</v>
      </c>
      <c r="J16" s="133">
        <f>-('2b. Balance Sheet'!J21-'2b. Balance Sheet'!I21)</f>
        <v>0</v>
      </c>
      <c r="K16" s="133">
        <f>-('2b. Balance Sheet'!K21-'2b. Balance Sheet'!J21)</f>
        <v>0</v>
      </c>
      <c r="L16" s="133">
        <f>-('2b. Balance Sheet'!L21-'2b. Balance Sheet'!K21)</f>
        <v>-4792</v>
      </c>
      <c r="M16" s="133">
        <f>-('2b. Balance Sheet'!M21-'2b. Balance Sheet'!L21)</f>
        <v>-8256</v>
      </c>
      <c r="N16" s="133">
        <f>-('2b. Balance Sheet'!N21-'2b. Balance Sheet'!M21)</f>
        <v>-19173</v>
      </c>
      <c r="O16" s="133">
        <f>-('2b. Balance Sheet'!O21-'2b. Balance Sheet'!N21)</f>
        <v>4281</v>
      </c>
      <c r="P16" s="132"/>
      <c r="Q16" s="132"/>
      <c r="R16" s="132"/>
      <c r="S16" s="132"/>
      <c r="T16" s="132"/>
      <c r="U16" s="132"/>
      <c r="V16" s="132"/>
      <c r="W16" s="132"/>
      <c r="X16" s="132"/>
    </row>
    <row r="17" spans="3:24">
      <c r="D17" t="s">
        <v>576</v>
      </c>
      <c r="E17" s="132"/>
      <c r="F17" s="133">
        <f>+('2b. Balance Sheet'!F49-'2b. Balance Sheet'!E49)</f>
        <v>-32780</v>
      </c>
      <c r="G17" s="133">
        <f>+('2b. Balance Sheet'!G49-'2b. Balance Sheet'!F49)</f>
        <v>36897</v>
      </c>
      <c r="H17" s="133">
        <f>+('2b. Balance Sheet'!H49-'2b. Balance Sheet'!G49)</f>
        <v>-31689</v>
      </c>
      <c r="I17" s="133">
        <f>+('2b. Balance Sheet'!I49-'2b. Balance Sheet'!H49)</f>
        <v>59277</v>
      </c>
      <c r="J17" s="133">
        <f>+('2b. Balance Sheet'!J49-'2b. Balance Sheet'!I49)</f>
        <v>-38145</v>
      </c>
      <c r="K17" s="133">
        <f>+('2b. Balance Sheet'!K49-'2b. Balance Sheet'!J49)</f>
        <v>129017</v>
      </c>
      <c r="L17" s="133">
        <f>+('2b. Balance Sheet'!L49-'2b. Balance Sheet'!K49)</f>
        <v>234676</v>
      </c>
      <c r="M17" s="133">
        <f>+('2b. Balance Sheet'!M49-'2b. Balance Sheet'!L49)</f>
        <v>-175511</v>
      </c>
      <c r="N17" s="133">
        <f>+('2b. Balance Sheet'!N49-'2b. Balance Sheet'!M49)</f>
        <v>186473</v>
      </c>
      <c r="O17" s="133">
        <f>+('2b. Balance Sheet'!O49-'2b. Balance Sheet'!N49)</f>
        <v>655850</v>
      </c>
      <c r="P17" s="132"/>
      <c r="Q17" s="132"/>
      <c r="R17" s="132"/>
      <c r="S17" s="132"/>
      <c r="T17" s="132"/>
      <c r="U17" s="132"/>
      <c r="V17" s="132"/>
      <c r="W17" s="132"/>
      <c r="X17" s="132"/>
    </row>
    <row r="18" spans="3:24">
      <c r="D18" t="s">
        <v>577</v>
      </c>
      <c r="E18" s="132"/>
      <c r="F18" s="133">
        <f>+('2b. Balance Sheet'!F51-'2b. Balance Sheet'!E51)</f>
        <v>7280</v>
      </c>
      <c r="G18" s="133">
        <f>+('2b. Balance Sheet'!G51-'2b. Balance Sheet'!F51)</f>
        <v>1353</v>
      </c>
      <c r="H18" s="133">
        <f>+('2b. Balance Sheet'!H51-'2b. Balance Sheet'!G51)</f>
        <v>11039</v>
      </c>
      <c r="I18" s="133">
        <f>+('2b. Balance Sheet'!I51-'2b. Balance Sheet'!H51)</f>
        <v>-13269</v>
      </c>
      <c r="J18" s="133">
        <f>+('2b. Balance Sheet'!J51-'2b. Balance Sheet'!I51)</f>
        <v>753</v>
      </c>
      <c r="K18" s="133">
        <f>+('2b. Balance Sheet'!K51-'2b. Balance Sheet'!J51)</f>
        <v>-24698</v>
      </c>
      <c r="L18" s="133">
        <f>+('2b. Balance Sheet'!L51-'2b. Balance Sheet'!K51)</f>
        <v>0</v>
      </c>
      <c r="M18" s="133">
        <f>+('2b. Balance Sheet'!M51-'2b. Balance Sheet'!L51)</f>
        <v>9265</v>
      </c>
      <c r="N18" s="133">
        <f>+('2b. Balance Sheet'!N51-'2b. Balance Sheet'!M51)</f>
        <v>-97</v>
      </c>
      <c r="O18" s="133">
        <f>+('2b. Balance Sheet'!O51-'2b. Balance Sheet'!N51)</f>
        <v>197952</v>
      </c>
      <c r="P18" s="132"/>
      <c r="Q18" s="132"/>
      <c r="R18" s="132"/>
      <c r="S18" s="132"/>
      <c r="T18" s="132"/>
      <c r="U18" s="132"/>
      <c r="V18" s="132"/>
      <c r="W18" s="132"/>
      <c r="X18" s="132"/>
    </row>
    <row r="19" spans="3:24">
      <c r="D19" t="s">
        <v>578</v>
      </c>
      <c r="E19" s="132"/>
      <c r="F19" s="133">
        <f>+('2b. Balance Sheet'!F52-'2b. Balance Sheet'!E52)</f>
        <v>3565</v>
      </c>
      <c r="G19" s="133">
        <f>+('2b. Balance Sheet'!G52-'2b. Balance Sheet'!F52)</f>
        <v>4987</v>
      </c>
      <c r="H19" s="133">
        <f>+('2b. Balance Sheet'!H52-'2b. Balance Sheet'!G52)</f>
        <v>5350</v>
      </c>
      <c r="I19" s="133">
        <f>+('2b. Balance Sheet'!I52-'2b. Balance Sheet'!H52)</f>
        <v>10026</v>
      </c>
      <c r="J19" s="133">
        <f>+('2b. Balance Sheet'!J52-'2b. Balance Sheet'!I52)</f>
        <v>7830</v>
      </c>
      <c r="K19" s="133">
        <f>+('2b. Balance Sheet'!K52-'2b. Balance Sheet'!J52)</f>
        <v>-57657</v>
      </c>
      <c r="L19" s="133">
        <f>+('2b. Balance Sheet'!L52-'2b. Balance Sheet'!K52)</f>
        <v>0</v>
      </c>
      <c r="M19" s="133">
        <f>+('2b. Balance Sheet'!M52-'2b. Balance Sheet'!L52)</f>
        <v>21225</v>
      </c>
      <c r="N19" s="133">
        <f>+('2b. Balance Sheet'!N52-'2b. Balance Sheet'!M52)</f>
        <v>-4009</v>
      </c>
      <c r="O19" s="133">
        <f>+('2b. Balance Sheet'!O52-'2b. Balance Sheet'!N52)</f>
        <v>305290</v>
      </c>
      <c r="P19" s="132"/>
      <c r="Q19" s="132"/>
      <c r="R19" s="132"/>
      <c r="S19" s="132"/>
      <c r="T19" s="132"/>
      <c r="U19" s="132"/>
      <c r="V19" s="132"/>
      <c r="W19" s="132"/>
      <c r="X19" s="132"/>
    </row>
    <row r="20" spans="3:24">
      <c r="D20" t="s">
        <v>572</v>
      </c>
      <c r="E20" s="132"/>
      <c r="F20" s="133">
        <f t="shared" ref="F20:M20" si="2">SUM(F21:F22)</f>
        <v>6778</v>
      </c>
      <c r="G20" s="133">
        <f t="shared" si="2"/>
        <v>5123</v>
      </c>
      <c r="H20" s="133">
        <f t="shared" si="2"/>
        <v>17200</v>
      </c>
      <c r="I20" s="133">
        <f t="shared" si="2"/>
        <v>4604</v>
      </c>
      <c r="J20" s="133">
        <f t="shared" si="2"/>
        <v>-5579</v>
      </c>
      <c r="K20" s="133">
        <f t="shared" si="2"/>
        <v>-9907</v>
      </c>
      <c r="L20" s="133">
        <f t="shared" si="2"/>
        <v>-9809</v>
      </c>
      <c r="M20" s="133">
        <f t="shared" si="2"/>
        <v>-10472</v>
      </c>
      <c r="N20" s="133">
        <f>SUM(N21:N22)</f>
        <v>25912</v>
      </c>
      <c r="O20" s="133">
        <f>SUM(O21:O22)</f>
        <v>270426</v>
      </c>
      <c r="P20" s="132"/>
      <c r="Q20" s="132"/>
      <c r="R20" s="132"/>
      <c r="S20" s="132"/>
      <c r="T20" s="132"/>
      <c r="U20" s="132"/>
      <c r="V20" s="132"/>
      <c r="W20" s="132"/>
      <c r="X20" s="132"/>
    </row>
    <row r="21" spans="3:24">
      <c r="D21" t="s">
        <v>593</v>
      </c>
      <c r="F21" s="133">
        <f>-('2b. Balance Sheet'!F12-'2b. Balance Sheet'!E12)</f>
        <v>2406</v>
      </c>
      <c r="G21" s="133">
        <f>-('2b. Balance Sheet'!G12-'2b. Balance Sheet'!F12)</f>
        <v>2412</v>
      </c>
      <c r="H21" s="133">
        <f>-('2b. Balance Sheet'!H12-'2b. Balance Sheet'!G12)</f>
        <v>5052</v>
      </c>
      <c r="I21" s="133">
        <f>-('2b. Balance Sheet'!I12-'2b. Balance Sheet'!H12)</f>
        <v>-492</v>
      </c>
      <c r="J21" s="133">
        <f>-('2b. Balance Sheet'!J12-'2b. Balance Sheet'!I12)</f>
        <v>-2650</v>
      </c>
      <c r="K21" s="133">
        <f>-('2b. Balance Sheet'!K12-'2b. Balance Sheet'!J12)</f>
        <v>-4676</v>
      </c>
      <c r="L21" s="133">
        <f>-('2b. Balance Sheet'!L12-'2b. Balance Sheet'!K12)</f>
        <v>-9983</v>
      </c>
      <c r="M21" s="133">
        <f>-('2b. Balance Sheet'!M12-'2b. Balance Sheet'!L12)</f>
        <v>-5315</v>
      </c>
      <c r="N21" s="133">
        <f>-('2b. Balance Sheet'!N12-'2b. Balance Sheet'!M12)</f>
        <v>4383</v>
      </c>
      <c r="O21" s="133">
        <f>-('2b. Balance Sheet'!O12-'2b. Balance Sheet'!N12)</f>
        <v>-1464</v>
      </c>
    </row>
    <row r="22" spans="3:24" ht="16" thickBot="1">
      <c r="D22" t="s">
        <v>594</v>
      </c>
      <c r="F22" s="133">
        <f>+('2b. Balance Sheet'!F46-'2b. Balance Sheet'!E46)</f>
        <v>4372</v>
      </c>
      <c r="G22" s="133">
        <f>+('2b. Balance Sheet'!G46-'2b. Balance Sheet'!F46)</f>
        <v>2711</v>
      </c>
      <c r="H22" s="133">
        <f>+('2b. Balance Sheet'!H46-'2b. Balance Sheet'!G46)</f>
        <v>12148</v>
      </c>
      <c r="I22" s="133">
        <f>+('2b. Balance Sheet'!I46-'2b. Balance Sheet'!H46)</f>
        <v>5096</v>
      </c>
      <c r="J22" s="133">
        <f>+('2b. Balance Sheet'!J46-'2b. Balance Sheet'!I46)</f>
        <v>-2929</v>
      </c>
      <c r="K22" s="133">
        <f>+('2b. Balance Sheet'!K46-'2b. Balance Sheet'!J46)</f>
        <v>-5231</v>
      </c>
      <c r="L22" s="133">
        <f>+('2b. Balance Sheet'!L46-'2b. Balance Sheet'!K46)</f>
        <v>174</v>
      </c>
      <c r="M22" s="133">
        <f>+('2b. Balance Sheet'!M46-'2b. Balance Sheet'!L46)</f>
        <v>-5157</v>
      </c>
      <c r="N22" s="133">
        <f>+('2b. Balance Sheet'!N46-'2b. Balance Sheet'!M46)</f>
        <v>21529</v>
      </c>
      <c r="O22" s="133">
        <f>+('2b. Balance Sheet'!O46-'2b. Balance Sheet'!N46)</f>
        <v>271890</v>
      </c>
    </row>
    <row r="23" spans="3:24" s="4" customFormat="1" ht="16" thickBot="1">
      <c r="C23" s="102"/>
      <c r="D23" s="103" t="s">
        <v>595</v>
      </c>
      <c r="E23" s="103"/>
      <c r="F23" s="136">
        <f t="shared" ref="F23:O23" si="3">F8+F9+F10+F11+F12+F13+F20</f>
        <v>137863.38999999998</v>
      </c>
      <c r="G23" s="136">
        <f t="shared" si="3"/>
        <v>157341.87</v>
      </c>
      <c r="H23" s="136">
        <f t="shared" si="3"/>
        <v>140156.91999999998</v>
      </c>
      <c r="I23" s="136">
        <f t="shared" si="3"/>
        <v>111288.08000000002</v>
      </c>
      <c r="J23" s="136">
        <f t="shared" si="3"/>
        <v>143931.84000000003</v>
      </c>
      <c r="K23" s="136">
        <f t="shared" si="3"/>
        <v>407032.12</v>
      </c>
      <c r="L23" s="136">
        <f t="shared" si="3"/>
        <v>-1026.1199999999953</v>
      </c>
      <c r="M23" s="136">
        <f t="shared" si="3"/>
        <v>19774.479999999981</v>
      </c>
      <c r="N23" s="136">
        <f t="shared" si="3"/>
        <v>907424.88</v>
      </c>
      <c r="O23" s="136">
        <f t="shared" si="3"/>
        <v>-4272854.5199999996</v>
      </c>
    </row>
    <row r="24" spans="3:24" s="4" customFormat="1">
      <c r="C24" s="102"/>
      <c r="F24" s="134"/>
      <c r="G24" s="134"/>
      <c r="H24" s="134"/>
      <c r="I24" s="134"/>
      <c r="J24" s="134"/>
      <c r="K24" s="134"/>
      <c r="L24" s="134"/>
      <c r="M24" s="134"/>
      <c r="N24" s="134"/>
      <c r="O24" s="134"/>
    </row>
    <row r="25" spans="3:24">
      <c r="D25" t="s">
        <v>596</v>
      </c>
      <c r="F25" s="133">
        <f>'2a. Income Statement'!F41</f>
        <v>34651</v>
      </c>
      <c r="G25" s="133">
        <f>'2a. Income Statement'!G41</f>
        <v>35778</v>
      </c>
      <c r="H25" s="133">
        <f>'2a. Income Statement'!H41</f>
        <v>35878</v>
      </c>
      <c r="I25" s="133">
        <f>'2a. Income Statement'!I41</f>
        <v>31561</v>
      </c>
      <c r="J25" s="133">
        <f>'2a. Income Statement'!J41</f>
        <v>19750</v>
      </c>
      <c r="K25" s="133">
        <f>'2a. Income Statement'!K41</f>
        <v>25826</v>
      </c>
      <c r="L25" s="133">
        <f>'2a. Income Statement'!L41</f>
        <v>36279</v>
      </c>
      <c r="M25" s="133">
        <f>'2a. Income Statement'!M41</f>
        <v>16451</v>
      </c>
      <c r="N25" s="133">
        <f>'2a. Income Statement'!N41</f>
        <v>13273</v>
      </c>
      <c r="O25" s="133">
        <f>'2a. Income Statement'!O41</f>
        <v>61558</v>
      </c>
    </row>
    <row r="26" spans="3:24">
      <c r="D26" t="s">
        <v>597</v>
      </c>
      <c r="F26" s="133">
        <f>-F25*'Notes to the Income Statement'!$F$196</f>
        <v>-10048.789999999999</v>
      </c>
      <c r="G26" s="133">
        <f>-G25*'Notes to the Income Statement'!$G$196</f>
        <v>-10375.619999999999</v>
      </c>
      <c r="H26" s="133">
        <f>-H25*'Notes to the Income Statement'!$H$196</f>
        <v>-10045.84</v>
      </c>
      <c r="I26" s="133">
        <f>-I25*'Notes to the Income Statement'!$I$196</f>
        <v>-8837.0800000000017</v>
      </c>
      <c r="J26" s="133">
        <f>-J25*'Notes to the Income Statement'!$J$196</f>
        <v>-5530.0000000000009</v>
      </c>
      <c r="K26" s="133">
        <f>-K25*'Notes to the Income Statement'!$K$196</f>
        <v>-7231.2800000000007</v>
      </c>
      <c r="L26" s="133">
        <f>-L25*'Notes to the Income Statement'!$O$196</f>
        <v>-10158.120000000001</v>
      </c>
      <c r="M26" s="133">
        <f>-M25*'Notes to the Income Statement'!$O$196</f>
        <v>-4606.2800000000007</v>
      </c>
      <c r="N26" s="133">
        <f>-N25*'Notes to the Income Statement'!$O$196</f>
        <v>-3716.4400000000005</v>
      </c>
      <c r="O26" s="133">
        <f>-O25*'Notes to the Income Statement'!$O$196</f>
        <v>-17236.240000000002</v>
      </c>
    </row>
    <row r="27" spans="3:24" s="4" customFormat="1">
      <c r="C27" s="102"/>
      <c r="D27" s="4" t="s">
        <v>623</v>
      </c>
      <c r="F27" s="134">
        <f t="shared" ref="F27:N27" si="4">SUM(F25:F26)</f>
        <v>24602.21</v>
      </c>
      <c r="G27" s="134">
        <f t="shared" si="4"/>
        <v>25402.38</v>
      </c>
      <c r="H27" s="134">
        <f t="shared" si="4"/>
        <v>25832.16</v>
      </c>
      <c r="I27" s="134">
        <f t="shared" si="4"/>
        <v>22723.919999999998</v>
      </c>
      <c r="J27" s="134">
        <f t="shared" si="4"/>
        <v>14220</v>
      </c>
      <c r="K27" s="134">
        <f t="shared" si="4"/>
        <v>18594.72</v>
      </c>
      <c r="L27" s="134">
        <f t="shared" si="4"/>
        <v>26120.879999999997</v>
      </c>
      <c r="M27" s="134">
        <f t="shared" si="4"/>
        <v>11844.72</v>
      </c>
      <c r="N27" s="134">
        <f t="shared" si="4"/>
        <v>9556.56</v>
      </c>
      <c r="O27" s="134">
        <f>SUM(O25:O26)</f>
        <v>44321.759999999995</v>
      </c>
    </row>
    <row r="28" spans="3:24">
      <c r="D28" t="s">
        <v>599</v>
      </c>
      <c r="F28" s="133">
        <f>-('2b. Balance Sheet'!F23-'2b. Balance Sheet'!E23)</f>
        <v>181914</v>
      </c>
      <c r="G28" s="133">
        <f>-('2b. Balance Sheet'!G23-'2b. Balance Sheet'!F23)</f>
        <v>-117843</v>
      </c>
      <c r="H28" s="133">
        <f>-('2b. Balance Sheet'!H23-'2b. Balance Sheet'!G23)</f>
        <v>45975</v>
      </c>
      <c r="I28" s="133">
        <f>-('2b. Balance Sheet'!I23-'2b. Balance Sheet'!H23)</f>
        <v>81132</v>
      </c>
      <c r="J28" s="133">
        <f>-('2b. Balance Sheet'!J23-'2b. Balance Sheet'!I23)</f>
        <v>7673</v>
      </c>
      <c r="K28" s="133">
        <f>-('2b. Balance Sheet'!K23-'2b. Balance Sheet'!J23)</f>
        <v>-214130</v>
      </c>
      <c r="L28" s="133">
        <f>-('2b. Balance Sheet'!L23-'2b. Balance Sheet'!K23)</f>
        <v>119682</v>
      </c>
      <c r="M28" s="133">
        <f>-('2b. Balance Sheet'!M23-'2b. Balance Sheet'!L23)</f>
        <v>164975</v>
      </c>
      <c r="N28" s="133">
        <f>-('2b. Balance Sheet'!N23-'2b. Balance Sheet'!M23)</f>
        <v>-232800</v>
      </c>
      <c r="O28" s="133">
        <f>-('2b. Balance Sheet'!O23-'2b. Balance Sheet'!N23)</f>
        <v>-837270</v>
      </c>
    </row>
    <row r="29" spans="3:24">
      <c r="D29" t="s">
        <v>600</v>
      </c>
      <c r="F29" s="133">
        <f>-('2b. Balance Sheet'!F13-'2b. Balance Sheet'!E13)</f>
        <v>-77053</v>
      </c>
      <c r="G29" s="133">
        <f>-('2b. Balance Sheet'!G13-'2b. Balance Sheet'!F13)</f>
        <v>-1383</v>
      </c>
      <c r="H29" s="133">
        <f>-('2b. Balance Sheet'!H13-'2b. Balance Sheet'!G13)</f>
        <v>-9897</v>
      </c>
      <c r="I29" s="133">
        <f>-('2b. Balance Sheet'!I13-'2b. Balance Sheet'!H13)</f>
        <v>-8853</v>
      </c>
      <c r="J29" s="133">
        <f>-('2b. Balance Sheet'!J13-'2b. Balance Sheet'!I13)</f>
        <v>-11786</v>
      </c>
      <c r="K29" s="133">
        <f>-('2b. Balance Sheet'!K13-'2b. Balance Sheet'!J13)</f>
        <v>-1548</v>
      </c>
      <c r="L29" s="133">
        <f>-('2b. Balance Sheet'!L13-'2b. Balance Sheet'!K13)</f>
        <v>10505</v>
      </c>
      <c r="M29" s="133">
        <f>-('2b. Balance Sheet'!M13-'2b. Balance Sheet'!L13)</f>
        <v>22615</v>
      </c>
      <c r="N29" s="133">
        <f>-('2b. Balance Sheet'!N13-'2b. Balance Sheet'!M13)</f>
        <v>6360</v>
      </c>
      <c r="O29" s="133">
        <f>-('2b. Balance Sheet'!O13-'2b. Balance Sheet'!N13)</f>
        <v>2695</v>
      </c>
    </row>
    <row r="30" spans="3:24">
      <c r="D30" t="s">
        <v>604</v>
      </c>
      <c r="F30" s="133">
        <f>-('2b. Balance Sheet'!F25-'2b. Balance Sheet'!E25)</f>
        <v>-4950</v>
      </c>
      <c r="G30" s="133">
        <f>-('2b. Balance Sheet'!G25-'2b. Balance Sheet'!F25)</f>
        <v>4348</v>
      </c>
      <c r="H30" s="133">
        <f>-('2b. Balance Sheet'!H25-'2b. Balance Sheet'!G25)</f>
        <v>602</v>
      </c>
      <c r="I30" s="133">
        <f>-('2b. Balance Sheet'!I25-'2b. Balance Sheet'!H25)</f>
        <v>0</v>
      </c>
      <c r="J30" s="133">
        <f>-('2b. Balance Sheet'!J25-'2b. Balance Sheet'!I25)</f>
        <v>0</v>
      </c>
      <c r="K30" s="133">
        <f>-('2b. Balance Sheet'!K25-'2b. Balance Sheet'!J25)</f>
        <v>0</v>
      </c>
      <c r="L30" s="133">
        <f>-('2b. Balance Sheet'!L25-'2b. Balance Sheet'!K25)</f>
        <v>0</v>
      </c>
      <c r="M30" s="133">
        <f>-('2b. Balance Sheet'!M25-'2b. Balance Sheet'!L25)</f>
        <v>0</v>
      </c>
      <c r="N30" s="133">
        <f>-('2b. Balance Sheet'!N25-'2b. Balance Sheet'!M25)</f>
        <v>0</v>
      </c>
      <c r="O30" s="133">
        <f>-('2b. Balance Sheet'!O25-'2b. Balance Sheet'!N25)</f>
        <v>-39478</v>
      </c>
    </row>
    <row r="31" spans="3:24">
      <c r="D31" t="s">
        <v>601</v>
      </c>
      <c r="F31" s="133">
        <f>-('2b. Balance Sheet'!F14-'2b. Balance Sheet'!E14)</f>
        <v>0</v>
      </c>
      <c r="G31" s="133">
        <f>-('2b. Balance Sheet'!G14-'2b. Balance Sheet'!F14)</f>
        <v>0</v>
      </c>
      <c r="H31" s="133">
        <f>-('2b. Balance Sheet'!H14-'2b. Balance Sheet'!G14)</f>
        <v>0</v>
      </c>
      <c r="I31" s="133">
        <f>-('2b. Balance Sheet'!I14-'2b. Balance Sheet'!H14)</f>
        <v>0</v>
      </c>
      <c r="J31" s="133">
        <f>-('2b. Balance Sheet'!J14-'2b. Balance Sheet'!I14)</f>
        <v>0</v>
      </c>
      <c r="K31" s="133">
        <f>-('2b. Balance Sheet'!K14-'2b. Balance Sheet'!J14)</f>
        <v>0</v>
      </c>
      <c r="L31" s="133">
        <f>-('2b. Balance Sheet'!L14-'2b. Balance Sheet'!K14)</f>
        <v>0</v>
      </c>
      <c r="M31" s="133">
        <f>-('2b. Balance Sheet'!M14-'2b. Balance Sheet'!L14)</f>
        <v>-104448</v>
      </c>
      <c r="N31" s="133">
        <f>-('2b. Balance Sheet'!N14-'2b. Balance Sheet'!M14)</f>
        <v>-7141</v>
      </c>
      <c r="O31" s="133">
        <f>-('2b. Balance Sheet'!O14-'2b. Balance Sheet'!N14)</f>
        <v>-247919</v>
      </c>
    </row>
    <row r="32" spans="3:24" ht="16" thickBot="1">
      <c r="D32" t="s">
        <v>602</v>
      </c>
      <c r="F32" s="133">
        <f>'2b. Balance Sheet'!F43-'2b. Balance Sheet'!E43</f>
        <v>1087</v>
      </c>
      <c r="G32" s="133">
        <f>'2b. Balance Sheet'!G43-'2b. Balance Sheet'!F43</f>
        <v>5912</v>
      </c>
      <c r="H32" s="133">
        <f>'2b. Balance Sheet'!H43-'2b. Balance Sheet'!G43</f>
        <v>7958</v>
      </c>
      <c r="I32" s="133">
        <f>'2b. Balance Sheet'!I43-'2b. Balance Sheet'!H43</f>
        <v>11505</v>
      </c>
      <c r="J32" s="133">
        <f>'2b. Balance Sheet'!J43-'2b. Balance Sheet'!I43</f>
        <v>16479</v>
      </c>
      <c r="K32" s="133">
        <f>'2b. Balance Sheet'!K43-'2b. Balance Sheet'!J43</f>
        <v>10753</v>
      </c>
      <c r="L32" s="133">
        <f>'2b. Balance Sheet'!L43-'2b. Balance Sheet'!K43</f>
        <v>43733</v>
      </c>
      <c r="M32" s="133">
        <f>'2b. Balance Sheet'!M43-'2b. Balance Sheet'!L43</f>
        <v>46464</v>
      </c>
      <c r="N32" s="133">
        <f>'2b. Balance Sheet'!N43-'2b. Balance Sheet'!M43</f>
        <v>-62703</v>
      </c>
      <c r="O32" s="133">
        <f>'2b. Balance Sheet'!O43-'2b. Balance Sheet'!N43</f>
        <v>4959</v>
      </c>
    </row>
    <row r="33" spans="3:15" s="4" customFormat="1" ht="16" thickBot="1">
      <c r="C33" s="102"/>
      <c r="D33" s="103" t="s">
        <v>603</v>
      </c>
      <c r="E33" s="103"/>
      <c r="F33" s="136">
        <f t="shared" ref="F33:N33" si="5">SUM(F27:F32)</f>
        <v>125600.20999999999</v>
      </c>
      <c r="G33" s="136">
        <f t="shared" si="5"/>
        <v>-83563.62</v>
      </c>
      <c r="H33" s="136">
        <f t="shared" si="5"/>
        <v>70470.16</v>
      </c>
      <c r="I33" s="136">
        <f t="shared" si="5"/>
        <v>106507.92</v>
      </c>
      <c r="J33" s="136">
        <f t="shared" si="5"/>
        <v>26586</v>
      </c>
      <c r="K33" s="136">
        <f t="shared" si="5"/>
        <v>-186330.28</v>
      </c>
      <c r="L33" s="136">
        <f t="shared" si="5"/>
        <v>200040.88</v>
      </c>
      <c r="M33" s="136">
        <f t="shared" si="5"/>
        <v>141450.72</v>
      </c>
      <c r="N33" s="136">
        <f t="shared" si="5"/>
        <v>-286727.44</v>
      </c>
      <c r="O33" s="136">
        <f>SUM(O27:O32)</f>
        <v>-1072691.24</v>
      </c>
    </row>
    <row r="34" spans="3:15" s="4" customFormat="1">
      <c r="C34" s="102"/>
      <c r="F34" s="134"/>
      <c r="G34" s="134"/>
      <c r="H34" s="134"/>
      <c r="I34" s="134"/>
      <c r="J34" s="134"/>
      <c r="K34" s="134"/>
      <c r="L34" s="134"/>
      <c r="M34" s="134"/>
      <c r="N34" s="134"/>
      <c r="O34" s="134"/>
    </row>
    <row r="35" spans="3:15">
      <c r="D35" t="s">
        <v>682</v>
      </c>
      <c r="H35" s="133">
        <f t="shared" ref="H35:N35" si="6">SUM(H36:H38)</f>
        <v>0</v>
      </c>
      <c r="I35" s="133">
        <f t="shared" si="6"/>
        <v>-32750</v>
      </c>
      <c r="J35" s="133">
        <f t="shared" si="6"/>
        <v>-3616</v>
      </c>
      <c r="K35" s="133">
        <f t="shared" si="6"/>
        <v>13365</v>
      </c>
      <c r="L35" s="133">
        <f t="shared" si="6"/>
        <v>304</v>
      </c>
      <c r="M35" s="133">
        <f t="shared" si="6"/>
        <v>15010</v>
      </c>
      <c r="N35" s="133">
        <f t="shared" si="6"/>
        <v>-1141</v>
      </c>
      <c r="O35" s="133">
        <f>SUM(O36:O38)</f>
        <v>454086</v>
      </c>
    </row>
    <row r="36" spans="3:15" s="9" customFormat="1">
      <c r="C36" s="117"/>
      <c r="D36" s="9" t="s">
        <v>683</v>
      </c>
      <c r="F36" s="138"/>
      <c r="G36" s="138"/>
      <c r="H36" s="138">
        <f>'2a. Income Statement'!H82</f>
        <v>0</v>
      </c>
      <c r="I36" s="138">
        <f>'2a. Income Statement'!I82</f>
        <v>-24894</v>
      </c>
      <c r="J36" s="138">
        <f>'2a. Income Statement'!J82</f>
        <v>-3541</v>
      </c>
      <c r="K36" s="138">
        <f>'2a. Income Statement'!K82</f>
        <v>3512</v>
      </c>
      <c r="L36" s="138">
        <f>'2a. Income Statement'!L82</f>
        <v>1826</v>
      </c>
      <c r="M36" s="138">
        <f>'2a. Income Statement'!M82</f>
        <v>6223</v>
      </c>
      <c r="N36" s="138">
        <f>'2a. Income Statement'!N82</f>
        <v>6205</v>
      </c>
      <c r="O36" s="138">
        <f>'2a. Income Statement'!O82</f>
        <v>432332</v>
      </c>
    </row>
    <row r="37" spans="3:15" s="9" customFormat="1">
      <c r="C37" s="117"/>
      <c r="D37" s="9" t="s">
        <v>684</v>
      </c>
      <c r="F37" s="138"/>
      <c r="G37" s="138"/>
      <c r="H37" s="138">
        <f>'2a. Income Statement'!H83</f>
        <v>0</v>
      </c>
      <c r="I37" s="138">
        <f>'2a. Income Statement'!I83</f>
        <v>-7856</v>
      </c>
      <c r="J37" s="138">
        <f>'2a. Income Statement'!J83</f>
        <v>-75</v>
      </c>
      <c r="K37" s="138">
        <f>'2a. Income Statement'!K83</f>
        <v>9853</v>
      </c>
      <c r="L37" s="138">
        <f>'2a. Income Statement'!L83</f>
        <v>-1522</v>
      </c>
      <c r="M37" s="138">
        <f>'2a. Income Statement'!M83</f>
        <v>8787</v>
      </c>
      <c r="N37" s="138">
        <f>'2a. Income Statement'!N83</f>
        <v>-7346</v>
      </c>
      <c r="O37" s="138">
        <f>'2a. Income Statement'!O83</f>
        <v>23511</v>
      </c>
    </row>
    <row r="38" spans="3:15" s="9" customFormat="1">
      <c r="C38" s="117"/>
      <c r="D38" s="9" t="s">
        <v>685</v>
      </c>
      <c r="F38" s="138"/>
      <c r="G38" s="138"/>
      <c r="H38" s="138">
        <f>'2a. Income Statement'!H84</f>
        <v>0</v>
      </c>
      <c r="I38" s="138">
        <f>'2a. Income Statement'!I84</f>
        <v>0</v>
      </c>
      <c r="J38" s="138">
        <f>'2a. Income Statement'!J84</f>
        <v>0</v>
      </c>
      <c r="K38" s="138">
        <f>'2a. Income Statement'!K84</f>
        <v>0</v>
      </c>
      <c r="L38" s="138">
        <f>'2a. Income Statement'!L84</f>
        <v>0</v>
      </c>
      <c r="M38" s="138">
        <f>'2a. Income Statement'!M84</f>
        <v>0</v>
      </c>
      <c r="N38" s="138">
        <f>'2a. Income Statement'!N84</f>
        <v>0</v>
      </c>
      <c r="O38" s="138">
        <f>'2a. Income Statement'!O84</f>
        <v>-1757</v>
      </c>
    </row>
    <row r="39" spans="3:15" s="9" customFormat="1" ht="16" thickBot="1">
      <c r="C39" s="117"/>
      <c r="F39" s="138"/>
      <c r="G39" s="138"/>
      <c r="H39" s="138"/>
      <c r="I39" s="138"/>
      <c r="J39" s="138"/>
      <c r="K39" s="138"/>
      <c r="L39" s="138"/>
      <c r="M39" s="138"/>
      <c r="N39" s="138"/>
      <c r="O39" s="138"/>
    </row>
    <row r="40" spans="3:15" s="4" customFormat="1" ht="16" thickBot="1">
      <c r="C40" s="102"/>
      <c r="D40" s="103" t="s">
        <v>639</v>
      </c>
      <c r="E40" s="103"/>
      <c r="F40" s="136">
        <f t="shared" ref="F40:N40" si="7">F35</f>
        <v>0</v>
      </c>
      <c r="G40" s="136">
        <f t="shared" si="7"/>
        <v>0</v>
      </c>
      <c r="H40" s="136">
        <f t="shared" si="7"/>
        <v>0</v>
      </c>
      <c r="I40" s="136">
        <f t="shared" si="7"/>
        <v>-32750</v>
      </c>
      <c r="J40" s="136">
        <f t="shared" si="7"/>
        <v>-3616</v>
      </c>
      <c r="K40" s="136">
        <f t="shared" si="7"/>
        <v>13365</v>
      </c>
      <c r="L40" s="136">
        <f t="shared" si="7"/>
        <v>304</v>
      </c>
      <c r="M40" s="136">
        <f t="shared" si="7"/>
        <v>15010</v>
      </c>
      <c r="N40" s="136">
        <f t="shared" si="7"/>
        <v>-1141</v>
      </c>
      <c r="O40" s="136">
        <f>O35</f>
        <v>454086</v>
      </c>
    </row>
    <row r="41" spans="3:15" ht="16" thickBot="1">
      <c r="N41" s="133"/>
      <c r="O41" s="133"/>
    </row>
    <row r="42" spans="3:15" s="4" customFormat="1" ht="19" thickBot="1">
      <c r="C42" s="102"/>
      <c r="D42" s="139" t="s">
        <v>605</v>
      </c>
      <c r="E42" s="139"/>
      <c r="F42" s="140">
        <f t="shared" ref="F42:N42" si="8">F23+F33+F40</f>
        <v>263463.59999999998</v>
      </c>
      <c r="G42" s="140">
        <f t="shared" si="8"/>
        <v>73778.25</v>
      </c>
      <c r="H42" s="140">
        <f t="shared" si="8"/>
        <v>210627.08</v>
      </c>
      <c r="I42" s="140">
        <f t="shared" si="8"/>
        <v>185046</v>
      </c>
      <c r="J42" s="140">
        <f t="shared" si="8"/>
        <v>166901.84000000003</v>
      </c>
      <c r="K42" s="140">
        <f t="shared" si="8"/>
        <v>234066.84</v>
      </c>
      <c r="L42" s="140">
        <f t="shared" si="8"/>
        <v>199318.76</v>
      </c>
      <c r="M42" s="140">
        <f t="shared" si="8"/>
        <v>176235.19999999998</v>
      </c>
      <c r="N42" s="140">
        <f t="shared" si="8"/>
        <v>619556.43999999994</v>
      </c>
      <c r="O42" s="140">
        <f>O23+O33+O40</f>
        <v>-4891459.76</v>
      </c>
    </row>
    <row r="43" spans="3:15">
      <c r="N43" s="133"/>
      <c r="O43" s="133"/>
    </row>
    <row r="44" spans="3:15">
      <c r="D44" t="s">
        <v>606</v>
      </c>
      <c r="F44" s="133">
        <f>+('2b. Balance Sheet'!F53-'2b. Balance Sheet'!E53)</f>
        <v>-25440</v>
      </c>
      <c r="G44" s="133">
        <f>+('2b. Balance Sheet'!G53-'2b. Balance Sheet'!F53)</f>
        <v>26195</v>
      </c>
      <c r="H44" s="133">
        <f>+('2b. Balance Sheet'!H53-'2b. Balance Sheet'!G53)</f>
        <v>-45739</v>
      </c>
      <c r="I44" s="133">
        <f>+('2b. Balance Sheet'!I53-'2b. Balance Sheet'!H53)</f>
        <v>-31969</v>
      </c>
      <c r="J44" s="133">
        <f>+('2b. Balance Sheet'!J53-'2b. Balance Sheet'!I53)</f>
        <v>16181</v>
      </c>
      <c r="K44" s="133">
        <f>+('2b. Balance Sheet'!K53-'2b. Balance Sheet'!J53)</f>
        <v>-25298</v>
      </c>
      <c r="L44" s="133">
        <f>+('2b. Balance Sheet'!L53-'2b. Balance Sheet'!K53)</f>
        <v>33258</v>
      </c>
      <c r="M44" s="133">
        <f>+('2b. Balance Sheet'!M53-'2b. Balance Sheet'!L53)</f>
        <v>212426</v>
      </c>
      <c r="N44" s="133">
        <f>+('2b. Balance Sheet'!N53-'2b. Balance Sheet'!M53)</f>
        <v>-257000</v>
      </c>
      <c r="O44" s="133">
        <f>+('2b. Balance Sheet'!O53-'2b. Balance Sheet'!N53)</f>
        <v>0</v>
      </c>
    </row>
    <row r="45" spans="3:15">
      <c r="D45" t="s">
        <v>607</v>
      </c>
      <c r="F45" s="133">
        <f>+('2b. Balance Sheet'!F44-'2b. Balance Sheet'!E44)</f>
        <v>0</v>
      </c>
      <c r="G45" s="133">
        <f>+('2b. Balance Sheet'!G44-'2b. Balance Sheet'!F44)</f>
        <v>0</v>
      </c>
      <c r="H45" s="133">
        <f>+('2b. Balance Sheet'!H44-'2b. Balance Sheet'!G44)</f>
        <v>0</v>
      </c>
      <c r="I45" s="133">
        <f>+('2b. Balance Sheet'!I44-'2b. Balance Sheet'!H44)</f>
        <v>0</v>
      </c>
      <c r="J45" s="133">
        <f>+('2b. Balance Sheet'!J44-'2b. Balance Sheet'!I44)</f>
        <v>0</v>
      </c>
      <c r="K45" s="133"/>
      <c r="L45" s="133"/>
      <c r="M45" s="133">
        <f>+('2b. Balance Sheet'!M44-'2b. Balance Sheet'!L44)</f>
        <v>0</v>
      </c>
      <c r="N45" s="133">
        <f>+('2b. Balance Sheet'!N44-'2b. Balance Sheet'!M44)</f>
        <v>300000</v>
      </c>
      <c r="O45" s="133">
        <f>+('2b. Balance Sheet'!O44-'2b. Balance Sheet'!N44)</f>
        <v>4074483</v>
      </c>
    </row>
    <row r="46" spans="3:15">
      <c r="D46" t="s">
        <v>624</v>
      </c>
      <c r="F46" s="133">
        <f>'2b. Balance Sheet'!F45-'2b. Balance Sheet'!E45</f>
        <v>0</v>
      </c>
      <c r="G46" s="133">
        <f>'2b. Balance Sheet'!G45-'2b. Balance Sheet'!F45</f>
        <v>0</v>
      </c>
      <c r="H46" s="133">
        <f>'2b. Balance Sheet'!H45-'2b. Balance Sheet'!G45</f>
        <v>0</v>
      </c>
      <c r="I46" s="133">
        <f>'2b. Balance Sheet'!I45-'2b. Balance Sheet'!H45</f>
        <v>0</v>
      </c>
      <c r="J46" s="133">
        <f>'2b. Balance Sheet'!J45-'2b. Balance Sheet'!I45</f>
        <v>0</v>
      </c>
      <c r="K46" s="133">
        <f>'2b. Balance Sheet'!K45-'2b. Balance Sheet'!J45</f>
        <v>0</v>
      </c>
      <c r="L46" s="133">
        <f>'2b. Balance Sheet'!L45-'2b. Balance Sheet'!K45</f>
        <v>0</v>
      </c>
      <c r="M46" s="133">
        <f>'2b. Balance Sheet'!M45-'2b. Balance Sheet'!L45</f>
        <v>0</v>
      </c>
      <c r="N46" s="133">
        <f>'2b. Balance Sheet'!N45-'2b. Balance Sheet'!M45</f>
        <v>0</v>
      </c>
      <c r="O46" s="133">
        <f>'2b. Balance Sheet'!O45-'2b. Balance Sheet'!N45</f>
        <v>209963</v>
      </c>
    </row>
    <row r="47" spans="3:15">
      <c r="D47" t="s">
        <v>608</v>
      </c>
      <c r="F47" s="133">
        <f>'2a. Income Statement'!F42</f>
        <v>-5160</v>
      </c>
      <c r="G47" s="133">
        <f>'2a. Income Statement'!G42</f>
        <v>-8675</v>
      </c>
      <c r="H47" s="133">
        <f>'2a. Income Statement'!H42</f>
        <v>-6464</v>
      </c>
      <c r="I47" s="133">
        <f>'2a. Income Statement'!I42</f>
        <v>-5600</v>
      </c>
      <c r="J47" s="133">
        <f>'2a. Income Statement'!J42</f>
        <v>-5497</v>
      </c>
      <c r="K47" s="133">
        <f>'2a. Income Statement'!K42</f>
        <v>-2872</v>
      </c>
      <c r="L47" s="133">
        <f>'2a. Income Statement'!L42</f>
        <v>-3108</v>
      </c>
      <c r="M47" s="133">
        <f>'2a. Income Statement'!M42</f>
        <v>-7485</v>
      </c>
      <c r="N47" s="133">
        <f>'2a. Income Statement'!N42</f>
        <v>-17102</v>
      </c>
      <c r="O47" s="133">
        <f>'2a. Income Statement'!O42</f>
        <v>-158442</v>
      </c>
    </row>
    <row r="48" spans="3:15">
      <c r="D48" t="s">
        <v>609</v>
      </c>
      <c r="F48" s="133">
        <f>-F47*'Notes to the Income Statement'!F196</f>
        <v>1496.3999999999999</v>
      </c>
      <c r="G48" s="133">
        <f>-G47*'Notes to the Income Statement'!G196</f>
        <v>2515.75</v>
      </c>
      <c r="H48" s="133">
        <f>-H47*'Notes to the Income Statement'!H196</f>
        <v>1809.92</v>
      </c>
      <c r="I48" s="133">
        <f>-I47*'Notes to the Income Statement'!I196</f>
        <v>1568.0000000000002</v>
      </c>
      <c r="J48" s="133">
        <f>-J47*'Notes to the Income Statement'!J196</f>
        <v>1539.16</v>
      </c>
      <c r="K48" s="133">
        <f>-K47*'Notes to the Income Statement'!K196</f>
        <v>804.16000000000008</v>
      </c>
      <c r="L48" s="133">
        <f>-L47*'Notes to the Income Statement'!L196</f>
        <v>870.24000000000012</v>
      </c>
      <c r="M48" s="133">
        <f>-M47*'Notes to the Income Statement'!M196</f>
        <v>2095.8000000000002</v>
      </c>
      <c r="N48" s="133">
        <f>-N47*'Notes to the Income Statement'!N196</f>
        <v>4788.5600000000004</v>
      </c>
      <c r="O48" s="133">
        <f>-O47*'Notes to the Income Statement'!O196</f>
        <v>44363.76</v>
      </c>
    </row>
    <row r="49" spans="3:15" ht="16" thickBot="1">
      <c r="D49" t="s">
        <v>611</v>
      </c>
      <c r="F49" s="133">
        <f>'2b. Balance Sheet'!F31-'2b. Balance Sheet'!E31-'2a. Income Statement'!F48</f>
        <v>-234360</v>
      </c>
      <c r="G49" s="133">
        <f>'2b. Balance Sheet'!G31-'2b. Balance Sheet'!F31-'2a. Income Statement'!G48</f>
        <v>-93814</v>
      </c>
      <c r="H49" s="133">
        <f>'2b. Balance Sheet'!H31-'2b. Balance Sheet'!G31-'2a. Income Statement'!H86</f>
        <v>-160234</v>
      </c>
      <c r="I49" s="133">
        <f>'2b. Balance Sheet'!I31-'2b. Balance Sheet'!H31-'2a. Income Statement'!I86</f>
        <v>-149045</v>
      </c>
      <c r="J49" s="133">
        <f>'2b. Balance Sheet'!J31-'2b. Balance Sheet'!I31-'2a. Income Statement'!J86</f>
        <v>-179125</v>
      </c>
      <c r="K49" s="133">
        <f>'2b. Balance Sheet'!K31-'2b. Balance Sheet'!J31-'2a. Income Statement'!K86</f>
        <v>-206701</v>
      </c>
      <c r="L49" s="133">
        <f>'2b. Balance Sheet'!L31-'2b. Balance Sheet'!K31-'2a. Income Statement'!L86</f>
        <v>-230339</v>
      </c>
      <c r="M49" s="133">
        <f>'2b. Balance Sheet'!M31-'2b. Balance Sheet'!L31-'2a. Income Statement'!M86</f>
        <v>-383272</v>
      </c>
      <c r="N49" s="133">
        <f>'2b. Balance Sheet'!N31-'2b. Balance Sheet'!M31-'2a. Income Statement'!N86</f>
        <v>-650243</v>
      </c>
      <c r="O49" s="133">
        <f>'2b. Balance Sheet'!O31-'2b. Balance Sheet'!N31-'2a. Income Statement'!O86</f>
        <v>721092</v>
      </c>
    </row>
    <row r="50" spans="3:15" s="4" customFormat="1" ht="19" thickBot="1">
      <c r="C50" s="102"/>
      <c r="D50" s="141" t="s">
        <v>610</v>
      </c>
      <c r="E50" s="141"/>
      <c r="F50" s="142">
        <f t="shared" ref="F50:N50" si="9">SUM(F44:F49)</f>
        <v>-263463.59999999998</v>
      </c>
      <c r="G50" s="142">
        <f t="shared" si="9"/>
        <v>-73778.25</v>
      </c>
      <c r="H50" s="142">
        <f t="shared" si="9"/>
        <v>-210627.08000000002</v>
      </c>
      <c r="I50" s="142">
        <f t="shared" si="9"/>
        <v>-185046</v>
      </c>
      <c r="J50" s="142">
        <f t="shared" si="9"/>
        <v>-166901.84</v>
      </c>
      <c r="K50" s="142">
        <f t="shared" si="9"/>
        <v>-234066.84</v>
      </c>
      <c r="L50" s="142">
        <f t="shared" si="9"/>
        <v>-199318.76</v>
      </c>
      <c r="M50" s="142">
        <f t="shared" si="9"/>
        <v>-176235.2</v>
      </c>
      <c r="N50" s="142">
        <f t="shared" si="9"/>
        <v>-619556.43999999994</v>
      </c>
      <c r="O50" s="142">
        <f>SUM(O44:O49)</f>
        <v>4891459.76</v>
      </c>
    </row>
    <row r="51" spans="3:15">
      <c r="N51" s="133"/>
      <c r="O51" s="133"/>
    </row>
    <row r="52" spans="3:15">
      <c r="D52" t="s">
        <v>612</v>
      </c>
      <c r="F52" s="133">
        <f>'2b. Balance Sheet'!F32-'2b. Balance Sheet'!E32</f>
        <v>-55379</v>
      </c>
      <c r="G52" s="133">
        <f>'2b. Balance Sheet'!G32-'2b. Balance Sheet'!F32</f>
        <v>4166</v>
      </c>
      <c r="H52" s="133">
        <f>'2b. Balance Sheet'!H32-'2b. Balance Sheet'!G32</f>
        <v>-1897</v>
      </c>
      <c r="I52" s="133">
        <f>'2b. Balance Sheet'!I32-'2b. Balance Sheet'!H32</f>
        <v>14166</v>
      </c>
      <c r="J52" s="133">
        <f>'2b. Balance Sheet'!J32-'2b. Balance Sheet'!I32</f>
        <v>6593</v>
      </c>
      <c r="K52" s="133">
        <f>'2b. Balance Sheet'!K32-'2b. Balance Sheet'!J32</f>
        <v>3164</v>
      </c>
      <c r="L52" s="133">
        <f>'2b. Balance Sheet'!L32-'2b. Balance Sheet'!K32</f>
        <v>4399</v>
      </c>
      <c r="M52" s="133">
        <f>'2b. Balance Sheet'!M32-'2b. Balance Sheet'!L32</f>
        <v>3078</v>
      </c>
      <c r="N52" s="133">
        <f>'2b. Balance Sheet'!N32-'2b. Balance Sheet'!M32</f>
        <v>1475</v>
      </c>
      <c r="O52" s="133">
        <f>'2b. Balance Sheet'!O32-'2b. Balance Sheet'!N32</f>
        <v>1152154</v>
      </c>
    </row>
    <row r="53" spans="3:15">
      <c r="D53" t="s">
        <v>35</v>
      </c>
      <c r="F53" s="133">
        <f>-'2a. Income Statement'!F74</f>
        <v>-136846</v>
      </c>
      <c r="G53" s="133">
        <f>-'2a. Income Statement'!G74</f>
        <v>-180506</v>
      </c>
      <c r="H53" s="133">
        <f>-'2a. Income Statement'!H86</f>
        <v>-254270</v>
      </c>
      <c r="I53" s="133">
        <f>-'2a. Income Statement'!I86</f>
        <v>-275183</v>
      </c>
      <c r="J53" s="133">
        <f>-'2a. Income Statement'!J86</f>
        <v>-299899</v>
      </c>
      <c r="K53" s="133">
        <f>-'2a. Income Statement'!K86</f>
        <v>-359582</v>
      </c>
      <c r="L53" s="133">
        <f>-'2a. Income Statement'!L86</f>
        <v>-464230</v>
      </c>
      <c r="M53" s="133">
        <f>-'2a. Income Statement'!M86</f>
        <v>-539401</v>
      </c>
      <c r="N53" s="133">
        <f>-'2a. Income Statement'!N86</f>
        <v>-607778</v>
      </c>
      <c r="O53" s="133">
        <f>-'2a. Income Statement'!O86</f>
        <v>-1096288</v>
      </c>
    </row>
    <row r="54" spans="3:15">
      <c r="D54" t="s">
        <v>622</v>
      </c>
      <c r="F54" s="133">
        <f>'2b. Balance Sheet'!F33-'2b. Balance Sheet'!E33</f>
        <v>19140</v>
      </c>
      <c r="G54" s="133">
        <f>'2b. Balance Sheet'!G33-'2b. Balance Sheet'!F33</f>
        <v>2332</v>
      </c>
      <c r="H54" s="133">
        <f>'2b. Balance Sheet'!H33-'2b. Balance Sheet'!G33</f>
        <v>-2974</v>
      </c>
      <c r="I54" s="133">
        <f>'2b. Balance Sheet'!I33-'2b. Balance Sheet'!H33</f>
        <v>-24894</v>
      </c>
      <c r="J54" s="133">
        <f>'2b. Balance Sheet'!J33-'2b. Balance Sheet'!I33</f>
        <v>-3541</v>
      </c>
      <c r="K54" s="133">
        <f>'2b. Balance Sheet'!K33-'2b. Balance Sheet'!J33</f>
        <v>3512</v>
      </c>
      <c r="L54" s="133">
        <f>'2b. Balance Sheet'!L33-'2b. Balance Sheet'!K33</f>
        <v>1827</v>
      </c>
      <c r="M54" s="133">
        <f>'2b. Balance Sheet'!M33-'2b. Balance Sheet'!L33</f>
        <v>6223</v>
      </c>
      <c r="N54" s="133">
        <f>'2b. Balance Sheet'!N33-'2b. Balance Sheet'!M33</f>
        <v>6205</v>
      </c>
      <c r="O54" s="133">
        <f>'2b. Balance Sheet'!O33-'2b. Balance Sheet'!N33</f>
        <v>432332</v>
      </c>
    </row>
    <row r="55" spans="3:15">
      <c r="D55" t="s">
        <v>613</v>
      </c>
      <c r="F55" s="133">
        <f>'2b. Balance Sheet'!F34-'2b. Balance Sheet'!E34</f>
        <v>0</v>
      </c>
      <c r="G55" s="133">
        <f>'2b. Balance Sheet'!G34-'2b. Balance Sheet'!F34</f>
        <v>40</v>
      </c>
      <c r="H55" s="133">
        <f>'2b. Balance Sheet'!H34-'2b. Balance Sheet'!G34</f>
        <v>0</v>
      </c>
      <c r="I55" s="133">
        <f>'2b. Balance Sheet'!I34-'2b. Balance Sheet'!H34</f>
        <v>0</v>
      </c>
      <c r="J55" s="133">
        <f>'2b. Balance Sheet'!J34-'2b. Balance Sheet'!I34</f>
        <v>0</v>
      </c>
      <c r="K55" s="133">
        <f>'2b. Balance Sheet'!K34-'2b. Balance Sheet'!J34</f>
        <v>0</v>
      </c>
      <c r="L55" s="133">
        <f>'2b. Balance Sheet'!L34-'2b. Balance Sheet'!K34</f>
        <v>0</v>
      </c>
      <c r="M55" s="133">
        <f>'2b. Balance Sheet'!M34-'2b. Balance Sheet'!L34</f>
        <v>0</v>
      </c>
      <c r="N55" s="133">
        <f>'2b. Balance Sheet'!N34-'2b. Balance Sheet'!M34</f>
        <v>0</v>
      </c>
      <c r="O55" s="133">
        <f>'2b. Balance Sheet'!O34-'2b. Balance Sheet'!N34</f>
        <v>0</v>
      </c>
    </row>
    <row r="56" spans="3:15">
      <c r="D56" t="s">
        <v>614</v>
      </c>
      <c r="F56" s="133">
        <f>'2b. Balance Sheet'!F36-'2b. Balance Sheet'!E36</f>
        <v>0</v>
      </c>
      <c r="G56" s="133">
        <f>'2b. Balance Sheet'!G36-'2b. Balance Sheet'!F36</f>
        <v>0</v>
      </c>
      <c r="H56" s="133">
        <f>'2b. Balance Sheet'!H36-'2b. Balance Sheet'!G36</f>
        <v>0</v>
      </c>
      <c r="I56" s="133">
        <f>'2b. Balance Sheet'!I36-'2b. Balance Sheet'!H36</f>
        <v>0</v>
      </c>
      <c r="J56" s="133">
        <f>'2b. Balance Sheet'!J36-'2b. Balance Sheet'!I36</f>
        <v>0</v>
      </c>
      <c r="K56" s="133">
        <f>'2b. Balance Sheet'!K36-'2b. Balance Sheet'!J36</f>
        <v>0</v>
      </c>
      <c r="L56" s="133">
        <f>'2b. Balance Sheet'!L36-'2b. Balance Sheet'!K36</f>
        <v>0</v>
      </c>
      <c r="M56" s="133">
        <f>'2b. Balance Sheet'!M36-'2b. Balance Sheet'!L36</f>
        <v>0</v>
      </c>
      <c r="N56" s="133">
        <f>'2b. Balance Sheet'!N36-'2b. Balance Sheet'!M36</f>
        <v>0</v>
      </c>
      <c r="O56" s="133">
        <f>'2b. Balance Sheet'!O36-'2b. Balance Sheet'!N36</f>
        <v>-1757</v>
      </c>
    </row>
    <row r="57" spans="3:15">
      <c r="D57" t="s">
        <v>615</v>
      </c>
      <c r="F57" s="133">
        <f>'2b. Balance Sheet'!F35-'2b. Balance Sheet'!E35</f>
        <v>0</v>
      </c>
      <c r="G57" s="133">
        <f>'2b. Balance Sheet'!G35-'2b. Balance Sheet'!F35</f>
        <v>0</v>
      </c>
      <c r="H57" s="133">
        <f>'2b. Balance Sheet'!H35-'2b. Balance Sheet'!G35</f>
        <v>0</v>
      </c>
      <c r="I57" s="133">
        <f>'2b. Balance Sheet'!I35-'2b. Balance Sheet'!H35</f>
        <v>-7856</v>
      </c>
      <c r="J57" s="133">
        <f>'2b. Balance Sheet'!J35-'2b. Balance Sheet'!I35</f>
        <v>-75</v>
      </c>
      <c r="K57" s="133">
        <f>'2b. Balance Sheet'!K35-'2b. Balance Sheet'!J35</f>
        <v>9853</v>
      </c>
      <c r="L57" s="133">
        <f>'2b. Balance Sheet'!L35-'2b. Balance Sheet'!K35</f>
        <v>-1521</v>
      </c>
      <c r="M57" s="133">
        <f>'2b. Balance Sheet'!M35-'2b. Balance Sheet'!L35</f>
        <v>8787</v>
      </c>
      <c r="N57" s="133">
        <f>'2b. Balance Sheet'!N35-'2b. Balance Sheet'!M35</f>
        <v>-7346</v>
      </c>
      <c r="O57" s="133">
        <f>'2b. Balance Sheet'!O35-'2b. Balance Sheet'!N35</f>
        <v>23511</v>
      </c>
    </row>
    <row r="58" spans="3:15">
      <c r="D58" t="s">
        <v>616</v>
      </c>
      <c r="F58" s="133">
        <f>'2b. Balance Sheet'!F37-'2b. Balance Sheet'!E37</f>
        <v>2613</v>
      </c>
      <c r="G58" s="133">
        <f>'2b. Balance Sheet'!G37-'2b. Balance Sheet'!F37</f>
        <v>5586</v>
      </c>
      <c r="H58" s="133">
        <f>'2b. Balance Sheet'!H37-'2b. Balance Sheet'!G37</f>
        <v>7798</v>
      </c>
      <c r="I58" s="133">
        <f>'2b. Balance Sheet'!I37-'2b. Balance Sheet'!H37</f>
        <v>7399</v>
      </c>
      <c r="J58" s="133">
        <f>'2b. Balance Sheet'!J37-'2b. Balance Sheet'!I37</f>
        <v>8043</v>
      </c>
      <c r="K58" s="133">
        <f>'2b. Balance Sheet'!K37-'2b. Balance Sheet'!J37</f>
        <v>9541</v>
      </c>
      <c r="L58" s="133">
        <f>'2b. Balance Sheet'!L37-'2b. Balance Sheet'!K37</f>
        <v>7545</v>
      </c>
      <c r="M58" s="133">
        <f>'2b. Balance Sheet'!M37-'2b. Balance Sheet'!L37</f>
        <v>2193</v>
      </c>
      <c r="N58" s="133">
        <f>'2b. Balance Sheet'!N37-'2b. Balance Sheet'!M37</f>
        <v>5865</v>
      </c>
      <c r="O58" s="133">
        <f>'2b. Balance Sheet'!O37-'2b. Balance Sheet'!N37</f>
        <v>7909</v>
      </c>
    </row>
    <row r="59" spans="3:15">
      <c r="D59" t="s">
        <v>617</v>
      </c>
      <c r="F59" s="133">
        <f>'2b. Balance Sheet'!F38-'2b. Balance Sheet'!E38</f>
        <v>-66749</v>
      </c>
      <c r="G59" s="133">
        <f>'2b. Balance Sheet'!G38-'2b. Balance Sheet'!F38</f>
        <v>64369</v>
      </c>
      <c r="H59" s="133">
        <f>'2b. Balance Sheet'!H38-'2b. Balance Sheet'!G38</f>
        <v>95496</v>
      </c>
      <c r="I59" s="133">
        <f>'2b. Balance Sheet'!I38-'2b. Balance Sheet'!H38</f>
        <v>132961</v>
      </c>
      <c r="J59" s="133">
        <f>'2b. Balance Sheet'!J38-'2b. Balance Sheet'!I38</f>
        <v>109408</v>
      </c>
      <c r="K59" s="133">
        <f>'2b. Balance Sheet'!K38-'2b. Balance Sheet'!J38</f>
        <v>120228</v>
      </c>
      <c r="L59" s="133">
        <f>'2b. Balance Sheet'!L38-'2b. Balance Sheet'!K38</f>
        <v>213862</v>
      </c>
      <c r="M59" s="133">
        <f>'2b. Balance Sheet'!M38-'2b. Balance Sheet'!L38</f>
        <v>123789</v>
      </c>
      <c r="N59" s="133">
        <f>'2b. Balance Sheet'!N38-'2b. Balance Sheet'!M38</f>
        <v>-57439</v>
      </c>
      <c r="O59" s="133">
        <f>'2b. Balance Sheet'!O38-'2b. Balance Sheet'!N38</f>
        <v>192395</v>
      </c>
    </row>
    <row r="60" spans="3:15" ht="16" thickBot="1">
      <c r="D60" t="s">
        <v>626</v>
      </c>
      <c r="F60" s="133">
        <f>'2b. Balance Sheet'!F40-'2b. Balance Sheet'!E40</f>
        <v>2861</v>
      </c>
      <c r="G60" s="133">
        <f>'2b. Balance Sheet'!G40-'2b. Balance Sheet'!F40</f>
        <v>10199</v>
      </c>
      <c r="H60" s="133">
        <f>'2b. Balance Sheet'!H40-'2b. Balance Sheet'!G40</f>
        <v>-4387</v>
      </c>
      <c r="I60" s="133">
        <f>'2b. Balance Sheet'!I40-'2b. Balance Sheet'!H40</f>
        <v>4362</v>
      </c>
      <c r="J60" s="133">
        <f>'2b. Balance Sheet'!J40-'2b. Balance Sheet'!I40</f>
        <v>346</v>
      </c>
      <c r="K60" s="133">
        <f>'2b. Balance Sheet'!K40-'2b. Balance Sheet'!J40</f>
        <v>6583</v>
      </c>
      <c r="L60" s="133">
        <f>'2b. Balance Sheet'!L40-'2b. Balance Sheet'!K40</f>
        <v>7779</v>
      </c>
      <c r="M60" s="133">
        <f>'2b. Balance Sheet'!M40-'2b. Balance Sheet'!L40</f>
        <v>12059</v>
      </c>
      <c r="N60" s="133">
        <f>'2b. Balance Sheet'!N40-'2b. Balance Sheet'!M40</f>
        <v>8775</v>
      </c>
      <c r="O60" s="133">
        <f>'2b. Balance Sheet'!O40-'2b. Balance Sheet'!N40</f>
        <v>10836</v>
      </c>
    </row>
    <row r="61" spans="3:15" s="4" customFormat="1" ht="16" thickBot="1">
      <c r="C61" s="102"/>
      <c r="D61" s="103" t="s">
        <v>618</v>
      </c>
      <c r="E61" s="103"/>
      <c r="F61" s="136">
        <f>SUM(F52:F60)</f>
        <v>-234360</v>
      </c>
      <c r="G61" s="136">
        <f>SUM(G52:G60)</f>
        <v>-93814</v>
      </c>
      <c r="H61" s="136">
        <f t="shared" ref="H61:N61" si="10">SUM(H52:H60)</f>
        <v>-160234</v>
      </c>
      <c r="I61" s="136">
        <f t="shared" si="10"/>
        <v>-149045</v>
      </c>
      <c r="J61" s="136">
        <f t="shared" si="10"/>
        <v>-179125</v>
      </c>
      <c r="K61" s="136">
        <f t="shared" si="10"/>
        <v>-206701</v>
      </c>
      <c r="L61" s="136">
        <f t="shared" si="10"/>
        <v>-230339</v>
      </c>
      <c r="M61" s="136">
        <f t="shared" si="10"/>
        <v>-383272</v>
      </c>
      <c r="N61" s="136">
        <f t="shared" si="10"/>
        <v>-650243</v>
      </c>
      <c r="O61" s="136">
        <f>SUM(O52:O60)</f>
        <v>721092</v>
      </c>
    </row>
    <row r="62" spans="3:15">
      <c r="N62" s="133"/>
      <c r="O62" s="133"/>
    </row>
    <row r="65" spans="1:15" s="117" customFormat="1" ht="14">
      <c r="A65" s="117" t="s">
        <v>619</v>
      </c>
      <c r="D65" s="117" t="s">
        <v>620</v>
      </c>
      <c r="F65" s="135">
        <f t="shared" ref="F65:O65" si="11">F49-F61</f>
        <v>0</v>
      </c>
      <c r="G65" s="135">
        <f t="shared" si="11"/>
        <v>0</v>
      </c>
      <c r="H65" s="135">
        <f t="shared" si="11"/>
        <v>0</v>
      </c>
      <c r="I65" s="135">
        <f t="shared" si="11"/>
        <v>0</v>
      </c>
      <c r="J65" s="135">
        <f t="shared" si="11"/>
        <v>0</v>
      </c>
      <c r="K65" s="135">
        <f t="shared" si="11"/>
        <v>0</v>
      </c>
      <c r="L65" s="135">
        <f t="shared" si="11"/>
        <v>0</v>
      </c>
      <c r="M65" s="135">
        <f t="shared" si="11"/>
        <v>0</v>
      </c>
      <c r="N65" s="135">
        <f t="shared" si="11"/>
        <v>0</v>
      </c>
      <c r="O65" s="135">
        <f t="shared" si="11"/>
        <v>0</v>
      </c>
    </row>
    <row r="66" spans="1:15" s="117" customFormat="1" ht="14">
      <c r="A66" s="117" t="s">
        <v>619</v>
      </c>
      <c r="D66" s="117" t="s">
        <v>621</v>
      </c>
      <c r="F66" s="135">
        <f t="shared" ref="F66:O66" si="12">F42+F50</f>
        <v>0</v>
      </c>
      <c r="G66" s="135">
        <f t="shared" si="12"/>
        <v>0</v>
      </c>
      <c r="H66" s="135">
        <f t="shared" si="12"/>
        <v>0</v>
      </c>
      <c r="I66" s="135">
        <f t="shared" si="12"/>
        <v>0</v>
      </c>
      <c r="J66" s="135">
        <f t="shared" si="12"/>
        <v>0</v>
      </c>
      <c r="K66" s="135">
        <f t="shared" si="12"/>
        <v>0</v>
      </c>
      <c r="L66" s="135">
        <f t="shared" si="12"/>
        <v>0</v>
      </c>
      <c r="M66" s="135">
        <f t="shared" si="12"/>
        <v>0</v>
      </c>
      <c r="N66" s="135">
        <f t="shared" si="12"/>
        <v>0</v>
      </c>
      <c r="O66" s="135">
        <f t="shared" si="12"/>
        <v>0</v>
      </c>
    </row>
    <row r="68" spans="1:15">
      <c r="F68" s="12">
        <f t="shared" ref="F68" si="13">F66/F61</f>
        <v>0</v>
      </c>
      <c r="G68" s="12">
        <f t="shared" ref="G68:N68" si="14">G66/G50</f>
        <v>0</v>
      </c>
      <c r="H68" s="12">
        <f t="shared" si="14"/>
        <v>0</v>
      </c>
      <c r="I68" s="12">
        <f t="shared" si="14"/>
        <v>0</v>
      </c>
      <c r="J68" s="12">
        <f t="shared" si="14"/>
        <v>0</v>
      </c>
      <c r="K68" s="12">
        <f t="shared" si="14"/>
        <v>0</v>
      </c>
      <c r="L68" s="12">
        <f t="shared" si="14"/>
        <v>0</v>
      </c>
      <c r="M68" s="12">
        <f t="shared" si="14"/>
        <v>0</v>
      </c>
      <c r="N68" s="12">
        <f t="shared" si="14"/>
        <v>0</v>
      </c>
      <c r="O68" s="12">
        <f>O66/O50</f>
        <v>0</v>
      </c>
    </row>
    <row r="70" spans="1:15">
      <c r="F70" s="28"/>
      <c r="O70" s="133"/>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B4:O63"/>
  <sheetViews>
    <sheetView showGridLines="0" topLeftCell="C1" zoomScale="75" zoomScaleNormal="75" zoomScalePageLayoutView="75" workbookViewId="0">
      <selection activeCell="I25" sqref="I25"/>
    </sheetView>
  </sheetViews>
  <sheetFormatPr baseColWidth="10" defaultRowHeight="15" x14ac:dyDescent="0"/>
  <cols>
    <col min="1" max="1" width="0" hidden="1" customWidth="1"/>
    <col min="2" max="2" width="10.83203125" hidden="1" customWidth="1"/>
    <col min="3" max="3" width="2.33203125" customWidth="1"/>
    <col min="4" max="4" width="22.5" bestFit="1" customWidth="1"/>
    <col min="16" max="16" width="1.33203125" customWidth="1"/>
  </cols>
  <sheetData>
    <row r="4" spans="4:15">
      <c r="D4" s="23" t="s">
        <v>1603</v>
      </c>
      <c r="E4" s="954" t="s">
        <v>20</v>
      </c>
      <c r="F4" s="954" t="s">
        <v>21</v>
      </c>
      <c r="G4" s="954" t="s">
        <v>22</v>
      </c>
      <c r="H4" s="954" t="s">
        <v>23</v>
      </c>
      <c r="I4" s="954" t="s">
        <v>1458</v>
      </c>
      <c r="J4" s="954" t="s">
        <v>1472</v>
      </c>
      <c r="K4" s="954" t="s">
        <v>1473</v>
      </c>
      <c r="L4" s="954" t="s">
        <v>1474</v>
      </c>
      <c r="M4" s="954" t="s">
        <v>1475</v>
      </c>
      <c r="N4" s="1357" t="s">
        <v>1445</v>
      </c>
      <c r="O4" s="1357" t="s">
        <v>1446</v>
      </c>
    </row>
    <row r="5" spans="4:15" s="1369" customFormat="1" ht="14">
      <c r="D5" s="775" t="s">
        <v>1604</v>
      </c>
      <c r="E5" s="997"/>
      <c r="F5" s="997"/>
      <c r="G5" s="997"/>
      <c r="H5" s="997"/>
      <c r="I5" s="997"/>
      <c r="J5" s="997"/>
      <c r="K5" s="997"/>
      <c r="L5" s="997"/>
      <c r="M5" s="997"/>
    </row>
    <row r="6" spans="4:15" s="960" customFormat="1" ht="14">
      <c r="D6" s="968" t="s">
        <v>0</v>
      </c>
      <c r="E6" s="960">
        <f>'2a. Income Statement'!L6</f>
        <v>4647951</v>
      </c>
      <c r="F6" s="960">
        <f>'2a. Income Statement'!M6</f>
        <v>4701224</v>
      </c>
      <c r="G6" s="960">
        <f>'2a. Income Statement'!N6</f>
        <v>5039134</v>
      </c>
      <c r="H6" s="960">
        <f>'2a. Income Statement'!O6</f>
        <v>6168777</v>
      </c>
      <c r="I6" s="960">
        <f>'2a. Income Statement'!P6</f>
        <v>8453950.3387853839</v>
      </c>
      <c r="J6" s="960">
        <f>'2a. Income Statement'!Q6</f>
        <v>9241127.2927219532</v>
      </c>
      <c r="K6" s="960">
        <f>'2a. Income Statement'!R6</f>
        <v>10047111.711007658</v>
      </c>
      <c r="L6" s="960">
        <f>'2a. Income Statement'!S6</f>
        <v>10910346.048071465</v>
      </c>
      <c r="M6" s="960">
        <f>'2a. Income Statement'!T6</f>
        <v>11785818.337516539</v>
      </c>
      <c r="N6" s="1367">
        <f>(H6/E6)^(1/3)-1</f>
        <v>9.8953146049612695E-2</v>
      </c>
      <c r="O6" s="1367">
        <f>(M6/I6)^(1/4)-1</f>
        <v>8.6613290422170808E-2</v>
      </c>
    </row>
    <row r="7" spans="4:15" s="960" customFormat="1" ht="14">
      <c r="D7" s="968" t="s">
        <v>450</v>
      </c>
      <c r="E7" s="960">
        <f>'2a. Income Statement'!L56</f>
        <v>750262</v>
      </c>
      <c r="F7" s="960">
        <f>'2a. Income Statement'!M56</f>
        <v>845928</v>
      </c>
      <c r="G7" s="960">
        <f>'2a. Income Statement'!N56</f>
        <v>993189</v>
      </c>
      <c r="H7" s="960">
        <f>'2a. Income Statement'!O56</f>
        <v>1184426</v>
      </c>
      <c r="I7" s="960">
        <f>'2a. Income Statement'!P56</f>
        <v>1864591.3164273296</v>
      </c>
      <c r="J7" s="960">
        <f>'2a. Income Statement'!Q56</f>
        <v>2030599.0349216142</v>
      </c>
      <c r="K7" s="960">
        <f>'2a. Income Statement'!R56</f>
        <v>2163285.9973571985</v>
      </c>
      <c r="L7" s="960">
        <f>'2a. Income Statement'!S56</f>
        <v>2356637.9312349157</v>
      </c>
      <c r="M7" s="960">
        <f>'2a. Income Statement'!T56</f>
        <v>2556930.4796997467</v>
      </c>
      <c r="N7" s="1367">
        <f t="shared" ref="N7:N62" si="0">(H7/E7)^(1/3)-1</f>
        <v>0.16438962543656466</v>
      </c>
      <c r="O7" s="1367">
        <f t="shared" ref="O7:O63" si="1">(M7/I7)^(1/4)-1</f>
        <v>8.214090997755763E-2</v>
      </c>
    </row>
    <row r="8" spans="4:15" s="960" customFormat="1" ht="14">
      <c r="D8" s="968" t="s">
        <v>451</v>
      </c>
      <c r="E8" s="960">
        <f>'2a. Income Statement'!L62</f>
        <v>663070</v>
      </c>
      <c r="F8" s="960">
        <f>'2a. Income Statement'!M62</f>
        <v>743560</v>
      </c>
      <c r="G8" s="960">
        <f>'2a. Income Statement'!N62</f>
        <v>879566</v>
      </c>
      <c r="H8" s="960">
        <f>'2a. Income Statement'!O62</f>
        <v>1007255</v>
      </c>
      <c r="I8" s="960">
        <f>'2a. Income Statement'!P62</f>
        <v>1653844.1042273296</v>
      </c>
      <c r="J8" s="960">
        <f>'2a. Income Statement'!Q62</f>
        <v>1801282.4492003783</v>
      </c>
      <c r="K8" s="960">
        <f>'2a. Income Statement'!R62</f>
        <v>1913086.6095035733</v>
      </c>
      <c r="L8" s="960">
        <f>'2a. Income Statement'!S62</f>
        <v>2087578.6114970965</v>
      </c>
      <c r="M8" s="960">
        <f>'2a. Income Statement'!T62</f>
        <v>2266809.3788446356</v>
      </c>
      <c r="N8" s="1367">
        <f t="shared" si="0"/>
        <v>0.14954687262290189</v>
      </c>
      <c r="O8" s="1367">
        <f t="shared" si="1"/>
        <v>8.2007093269793607E-2</v>
      </c>
    </row>
    <row r="9" spans="4:15" s="960" customFormat="1" ht="14">
      <c r="D9" s="968" t="s">
        <v>1222</v>
      </c>
      <c r="E9" s="960">
        <f>'2a. Income Statement'!L74+'2a. Income Statement'!L59</f>
        <v>551118</v>
      </c>
      <c r="F9" s="960">
        <f>'2a. Income Statement'!M74+'2a. Income Statement'!M59</f>
        <v>626759</v>
      </c>
      <c r="G9" s="960">
        <f>'2a. Income Statement'!N74+'2a. Income Statement'!N59</f>
        <v>722542</v>
      </c>
      <c r="H9" s="960">
        <f>'2a. Income Statement'!O74+'2a. Income Statement'!O59</f>
        <v>819373</v>
      </c>
      <c r="I9" s="960">
        <f>'2a. Income Statement'!P74+'2a. Income Statement'!P59</f>
        <v>1177268.8116172145</v>
      </c>
      <c r="J9" s="960">
        <f>'2a. Income Statement'!Q74+'2a. Income Statement'!Q59</f>
        <v>1289164.509401744</v>
      </c>
      <c r="K9" s="960">
        <f>'2a. Income Statement'!R74+'2a. Income Statement'!R59</f>
        <v>1381900.618604966</v>
      </c>
      <c r="L9" s="960">
        <f>'2a. Income Statement'!S74+'2a. Income Statement'!S59</f>
        <v>1511467.2496941506</v>
      </c>
      <c r="M9" s="960">
        <f>'2a. Income Statement'!T74+'2a. Income Statement'!T59</f>
        <v>1646014.2226602305</v>
      </c>
      <c r="N9" s="1367">
        <f t="shared" si="0"/>
        <v>0.14133293861901008</v>
      </c>
      <c r="O9" s="1367">
        <f t="shared" si="1"/>
        <v>8.7400394383178259E-2</v>
      </c>
    </row>
    <row r="10" spans="4:15" s="960" customFormat="1" ht="14">
      <c r="D10" s="968" t="s">
        <v>1519</v>
      </c>
      <c r="E10" s="960">
        <f>'2a. Income Statement'!L74</f>
        <v>463926</v>
      </c>
      <c r="F10" s="960">
        <f>'2a. Income Statement'!M74</f>
        <v>524391</v>
      </c>
      <c r="G10" s="960">
        <f>'2a. Income Statement'!N74</f>
        <v>608919</v>
      </c>
      <c r="H10" s="960">
        <f>'2a. Income Statement'!O74</f>
        <v>642202</v>
      </c>
      <c r="I10" s="960">
        <f>'2a. Income Statement'!P74</f>
        <v>966521.5994172144</v>
      </c>
      <c r="J10" s="960">
        <f>'2a. Income Statement'!Q74</f>
        <v>1059847.923680508</v>
      </c>
      <c r="K10" s="960">
        <f>'2a. Income Statement'!R74</f>
        <v>1131701.2307513407</v>
      </c>
      <c r="L10" s="960">
        <f>'2a. Income Statement'!S74</f>
        <v>1242407.9299563314</v>
      </c>
      <c r="M10" s="960">
        <f>'2a. Income Statement'!T74</f>
        <v>1355893.1218051193</v>
      </c>
      <c r="N10" s="1367">
        <f t="shared" si="0"/>
        <v>0.11448522096050495</v>
      </c>
      <c r="O10" s="1367">
        <f t="shared" si="1"/>
        <v>8.8312139322371586E-2</v>
      </c>
    </row>
    <row r="11" spans="4:15" s="960" customFormat="1" ht="14">
      <c r="D11" s="968" t="s">
        <v>1521</v>
      </c>
      <c r="E11" s="960">
        <f>-'2c. Cash Flow Statement'!L26</f>
        <v>242222</v>
      </c>
      <c r="F11" s="960">
        <f>-'2c. Cash Flow Statement'!M26</f>
        <v>380932</v>
      </c>
      <c r="G11" s="960">
        <f>-'2c. Cash Flow Statement'!N26</f>
        <v>365880</v>
      </c>
      <c r="H11" s="960">
        <f>-'2c. Cash Flow Statement'!O26</f>
        <v>427395</v>
      </c>
      <c r="I11" s="960">
        <f>-'2c. Cash Flow Statement'!P26</f>
        <v>724891.19956291083</v>
      </c>
      <c r="J11" s="960">
        <f>-'2c. Cash Flow Statement'!Q26</f>
        <v>847878.33894440648</v>
      </c>
      <c r="K11" s="960">
        <f>-'2c. Cash Flow Statement'!R26</f>
        <v>961946.04613863956</v>
      </c>
      <c r="L11" s="960">
        <f>-'2c. Cash Flow Statement'!S26</f>
        <v>1056046.7404628817</v>
      </c>
      <c r="M11" s="960">
        <f>-'2c. Cash Flow Statement'!T26</f>
        <v>1152509.1535343514</v>
      </c>
      <c r="N11" s="1367">
        <f t="shared" si="0"/>
        <v>0.20838488364182473</v>
      </c>
      <c r="O11" s="1367">
        <f t="shared" si="1"/>
        <v>0.12290467260949089</v>
      </c>
    </row>
    <row r="12" spans="4:15" s="960" customFormat="1" ht="14">
      <c r="D12" s="968" t="s">
        <v>473</v>
      </c>
      <c r="E12" s="960">
        <f>'2b. Balance Sheet'!L39</f>
        <v>1584540</v>
      </c>
      <c r="F12" s="960">
        <f>'2b. Balance Sheet'!M39</f>
        <v>1728610</v>
      </c>
      <c r="G12" s="960">
        <f>'2b. Balance Sheet'!N39</f>
        <v>1677370</v>
      </c>
      <c r="H12" s="960">
        <f>'2b. Balance Sheet'!O39</f>
        <v>3483914</v>
      </c>
      <c r="I12" s="960">
        <f>'2b. Balance Sheet'!P39</f>
        <v>3720095.8139391746</v>
      </c>
      <c r="J12" s="960">
        <f>'2b. Balance Sheet'!Q39</f>
        <v>3927285.6420944603</v>
      </c>
      <c r="K12" s="960">
        <f>'2b. Balance Sheet'!R39</f>
        <v>4093212.9734715647</v>
      </c>
      <c r="L12" s="960">
        <f>'2b. Balance Sheet'!S39</f>
        <v>4275371.856662442</v>
      </c>
      <c r="M12" s="960">
        <f>'2b. Balance Sheet'!T39</f>
        <v>4474169.667622081</v>
      </c>
      <c r="N12" s="1367">
        <f t="shared" si="0"/>
        <v>0.30033346529921578</v>
      </c>
      <c r="O12" s="1367">
        <f t="shared" si="1"/>
        <v>4.7223986006602159E-2</v>
      </c>
    </row>
    <row r="13" spans="4:15" s="960" customFormat="1" ht="14">
      <c r="D13" s="968" t="s">
        <v>1608</v>
      </c>
      <c r="E13" s="960">
        <f>'2b. Balance Sheet'!L40</f>
        <v>48702</v>
      </c>
      <c r="F13" s="960">
        <f>'2b. Balance Sheet'!M40</f>
        <v>60761</v>
      </c>
      <c r="G13" s="960">
        <f>'2b. Balance Sheet'!N40</f>
        <v>69536</v>
      </c>
      <c r="H13" s="960">
        <f>'2b. Balance Sheet'!O40</f>
        <v>80372</v>
      </c>
      <c r="I13" s="960">
        <f>'2b. Balance Sheet'!P40</f>
        <v>85820.5859151287</v>
      </c>
      <c r="J13" s="960">
        <f>'2b. Balance Sheet'!Q40</f>
        <v>90600.342495944351</v>
      </c>
      <c r="K13" s="960">
        <f>'2b. Balance Sheet'!R40</f>
        <v>94428.195731540676</v>
      </c>
      <c r="L13" s="960">
        <f>'2b. Balance Sheet'!S40</f>
        <v>98630.502034112811</v>
      </c>
      <c r="M13" s="960">
        <f>'2b. Balance Sheet'!T40</f>
        <v>103216.65934524219</v>
      </c>
      <c r="N13" s="1367">
        <f t="shared" si="0"/>
        <v>0.18173289931160364</v>
      </c>
      <c r="O13" s="1367">
        <f t="shared" si="1"/>
        <v>4.7223986006600605E-2</v>
      </c>
    </row>
    <row r="14" spans="4:15" s="960" customFormat="1" ht="14">
      <c r="D14" s="968" t="s">
        <v>1522</v>
      </c>
      <c r="E14" s="960">
        <f>SUM(E12:E13)</f>
        <v>1633242</v>
      </c>
      <c r="F14" s="960">
        <f t="shared" ref="F14:M14" si="2">SUM(F12:F13)</f>
        <v>1789371</v>
      </c>
      <c r="G14" s="960">
        <f t="shared" si="2"/>
        <v>1746906</v>
      </c>
      <c r="H14" s="960">
        <f t="shared" si="2"/>
        <v>3564286</v>
      </c>
      <c r="I14" s="960">
        <f t="shared" si="2"/>
        <v>3805916.3998543033</v>
      </c>
      <c r="J14" s="960">
        <f t="shared" si="2"/>
        <v>4017885.9845904047</v>
      </c>
      <c r="K14" s="960">
        <f t="shared" si="2"/>
        <v>4187641.1692031054</v>
      </c>
      <c r="L14" s="960">
        <f t="shared" si="2"/>
        <v>4374002.3586965548</v>
      </c>
      <c r="M14" s="960">
        <f t="shared" si="2"/>
        <v>4577386.3269673232</v>
      </c>
      <c r="N14" s="1367">
        <f t="shared" si="0"/>
        <v>0.29710161994549455</v>
      </c>
      <c r="O14" s="1367">
        <f t="shared" si="1"/>
        <v>4.7223986006602159E-2</v>
      </c>
    </row>
    <row r="15" spans="4:15" s="960" customFormat="1" ht="14">
      <c r="D15" s="968" t="s">
        <v>1523</v>
      </c>
      <c r="E15" s="960">
        <f>'2b. Balance Sheet'!L44+'2b. Balance Sheet'!L53</f>
        <v>44574</v>
      </c>
      <c r="F15" s="960">
        <f>'2b. Balance Sheet'!M44+'2b. Balance Sheet'!M53</f>
        <v>257000</v>
      </c>
      <c r="G15" s="960">
        <f>'2b. Balance Sheet'!N44+'2b. Balance Sheet'!N53</f>
        <v>300000</v>
      </c>
      <c r="H15" s="960">
        <f>'2b. Balance Sheet'!O44+'2b. Balance Sheet'!O53</f>
        <v>4374483</v>
      </c>
      <c r="I15" s="960">
        <f>'2b. Balance Sheet'!P44+'2b. Balance Sheet'!P53</f>
        <v>3389627.2</v>
      </c>
      <c r="J15" s="960">
        <f>'2b. Balance Sheet'!Q44+'2b. Balance Sheet'!Q53</f>
        <v>3389627.2</v>
      </c>
      <c r="K15" s="960">
        <f>'2b. Balance Sheet'!R44+'2b. Balance Sheet'!R53</f>
        <v>3389627.2</v>
      </c>
      <c r="L15" s="960">
        <f>'2b. Balance Sheet'!S44+'2b. Balance Sheet'!S53</f>
        <v>3389627.2</v>
      </c>
      <c r="M15" s="960">
        <f>'2b. Balance Sheet'!T44+'2b. Balance Sheet'!T53</f>
        <v>3389627.2</v>
      </c>
      <c r="N15" s="1367" t="s">
        <v>707</v>
      </c>
      <c r="O15" s="1367">
        <f t="shared" si="1"/>
        <v>0</v>
      </c>
    </row>
    <row r="16" spans="4:15" s="960" customFormat="1" ht="14">
      <c r="D16" s="968" t="s">
        <v>984</v>
      </c>
      <c r="E16" s="960">
        <f>'2b. Balance Sheet'!L23</f>
        <v>276178</v>
      </c>
      <c r="F16" s="960">
        <f>'2b. Balance Sheet'!M23</f>
        <v>111203</v>
      </c>
      <c r="G16" s="960">
        <f>'2b. Balance Sheet'!N23</f>
        <v>344003</v>
      </c>
      <c r="H16" s="960">
        <f>'2b. Balance Sheet'!O23</f>
        <v>1181273</v>
      </c>
      <c r="I16" s="960">
        <f>'2b. Balance Sheet'!P23</f>
        <v>32287.460651942762</v>
      </c>
      <c r="J16" s="960">
        <f>'2b. Balance Sheet'!Q23</f>
        <v>117254.31517094703</v>
      </c>
      <c r="K16" s="960">
        <f>'2b. Balance Sheet'!R23</f>
        <v>152597.49118046032</v>
      </c>
      <c r="L16" s="960">
        <f>'2b. Balance Sheet'!S23</f>
        <v>185016.0078049443</v>
      </c>
      <c r="M16" s="960">
        <f>'2b. Balance Sheet'!T23</f>
        <v>222839.83574783057</v>
      </c>
      <c r="N16" s="1367">
        <f t="shared" si="0"/>
        <v>0.62325618292855034</v>
      </c>
      <c r="O16" s="1367">
        <f t="shared" si="1"/>
        <v>0.62083846620350069</v>
      </c>
    </row>
    <row r="17" spans="4:15" s="960" customFormat="1" ht="14">
      <c r="D17" s="968" t="s">
        <v>474</v>
      </c>
      <c r="E17" s="960">
        <f>'2b. Balance Sheet'!L44-'2b. Balance Sheet'!L23</f>
        <v>-276178</v>
      </c>
      <c r="F17" s="960">
        <f>'2b. Balance Sheet'!M44-'2b. Balance Sheet'!M23</f>
        <v>-111203</v>
      </c>
      <c r="G17" s="960">
        <f>'2b. Balance Sheet'!N44-'2b. Balance Sheet'!N23</f>
        <v>-44003</v>
      </c>
      <c r="H17" s="960">
        <f>'2b. Balance Sheet'!O44-'2b. Balance Sheet'!O23</f>
        <v>3193210</v>
      </c>
      <c r="I17" s="960">
        <f>'2b. Balance Sheet'!P44-'2b. Balance Sheet'!P23</f>
        <v>3357339.7393480577</v>
      </c>
      <c r="J17" s="960">
        <f>'2b. Balance Sheet'!Q44-'2b. Balance Sheet'!Q23</f>
        <v>3272372.8848290532</v>
      </c>
      <c r="K17" s="960">
        <f>'2b. Balance Sheet'!R44-'2b. Balance Sheet'!R23</f>
        <v>3237029.7088195398</v>
      </c>
      <c r="L17" s="960">
        <f>'2b. Balance Sheet'!S44-'2b. Balance Sheet'!S23</f>
        <v>3204611.192195056</v>
      </c>
      <c r="M17" s="960">
        <f>'2b. Balance Sheet'!T44-'2b. Balance Sheet'!T23</f>
        <v>3166787.3642521696</v>
      </c>
      <c r="N17" s="1367">
        <f t="shared" si="0"/>
        <v>-3.2612372623109196</v>
      </c>
      <c r="O17" s="1367">
        <f t="shared" si="1"/>
        <v>-1.4501646360630116E-2</v>
      </c>
    </row>
    <row r="18" spans="4:15" s="7" customFormat="1" ht="14">
      <c r="D18" s="968" t="s">
        <v>41</v>
      </c>
      <c r="E18" s="960">
        <f>'2b. Balance Sheet'!L27</f>
        <v>2568728</v>
      </c>
      <c r="F18" s="960">
        <f>'2b. Balance Sheet'!M27</f>
        <v>2833569</v>
      </c>
      <c r="G18" s="960">
        <f>'2b. Balance Sheet'!N27</f>
        <v>2975297</v>
      </c>
      <c r="H18" s="960">
        <f>'2b. Balance Sheet'!O27</f>
        <v>10513064</v>
      </c>
      <c r="I18" s="960">
        <f>'2b. Balance Sheet'!P27</f>
        <v>10372019.285754072</v>
      </c>
      <c r="J18" s="960">
        <f>'2b. Balance Sheet'!Q27</f>
        <v>10791422.919365417</v>
      </c>
      <c r="K18" s="960">
        <f>'2b. Balance Sheet'!R27</f>
        <v>11173568.228433967</v>
      </c>
      <c r="L18" s="960">
        <f>'2b. Balance Sheet'!S27</f>
        <v>11587405.835738946</v>
      </c>
      <c r="M18" s="960">
        <f>'2b. Balance Sheet'!T27</f>
        <v>12021491.123159748</v>
      </c>
      <c r="N18" s="1367">
        <f t="shared" si="0"/>
        <v>0.59957176493948472</v>
      </c>
      <c r="O18" s="1367">
        <f t="shared" si="1"/>
        <v>3.7585170664496514E-2</v>
      </c>
    </row>
    <row r="19" spans="4:15" s="960" customFormat="1" ht="14">
      <c r="N19" s="1367"/>
      <c r="O19" s="1367"/>
    </row>
    <row r="20" spans="4:15" s="7" customFormat="1" ht="14">
      <c r="N20" s="1367"/>
      <c r="O20" s="1367"/>
    </row>
    <row r="21" spans="4:15" s="7" customFormat="1" ht="14">
      <c r="D21" s="775" t="s">
        <v>1605</v>
      </c>
      <c r="N21" s="1367"/>
      <c r="O21" s="1367"/>
    </row>
    <row r="22" spans="4:15" s="960" customFormat="1" ht="14">
      <c r="D22" s="968" t="s">
        <v>1606</v>
      </c>
      <c r="E22" s="972">
        <f>'2a. Income Statement'!L115</f>
        <v>108.659206</v>
      </c>
      <c r="F22" s="972">
        <f>'2a. Income Statement'!M115</f>
        <v>110.402039</v>
      </c>
      <c r="G22" s="972">
        <f>'2a. Income Statement'!N115</f>
        <v>111.009449</v>
      </c>
      <c r="H22" s="972">
        <f>'2a. Income Statement'!O115</f>
        <v>114.959416</v>
      </c>
      <c r="I22" s="972">
        <f>'2a. Income Statement'!P115</f>
        <v>127.6</v>
      </c>
      <c r="J22" s="972">
        <f>'2a. Income Statement'!Q115</f>
        <v>127.6</v>
      </c>
      <c r="K22" s="972">
        <f>'2a. Income Statement'!R115</f>
        <v>127.6</v>
      </c>
      <c r="L22" s="972">
        <f>'2a. Income Statement'!S115</f>
        <v>127.6</v>
      </c>
      <c r="M22" s="972">
        <f>'2a. Income Statement'!T115</f>
        <v>127.6</v>
      </c>
      <c r="N22" s="1367">
        <f t="shared" si="0"/>
        <v>1.8965172910304418E-2</v>
      </c>
      <c r="O22" s="1367">
        <f t="shared" si="1"/>
        <v>0</v>
      </c>
    </row>
    <row r="23" spans="4:15" s="960" customFormat="1" ht="14">
      <c r="D23" s="968" t="s">
        <v>1520</v>
      </c>
      <c r="E23" s="972">
        <f>'2a. Income Statement'!L106/'KPIs Analysis'!E22/1000</f>
        <v>4.19806123008114</v>
      </c>
      <c r="F23" s="972">
        <f>'2a. Income Statement'!M106/'KPIs Analysis'!F22/1000</f>
        <v>4.4322098072844467</v>
      </c>
      <c r="G23" s="972">
        <f>'2a. Income Statement'!N106/'KPIs Analysis'!G22/1000</f>
        <v>5.1098172733025633</v>
      </c>
      <c r="H23" s="972">
        <f>'2a. Income Statement'!O106/'KPIs Analysis'!H22/1000</f>
        <v>5.3216867420412077</v>
      </c>
      <c r="I23" s="972">
        <f>'2a. Income Statement'!P106/'KPIs Analysis'!I22/1000</f>
        <v>7.190724438241145</v>
      </c>
      <c r="J23" s="972">
        <f>'2a. Income Statement'!Q106/'KPIs Analysis'!J22/1000</f>
        <v>7.8850533399603915</v>
      </c>
      <c r="K23" s="972">
        <f>'2a. Income Statement'!R106/'KPIs Analysis'!K22/1000</f>
        <v>8.4196273540685347</v>
      </c>
      <c r="L23" s="972">
        <f>'2a. Income Statement'!S106/'KPIs Analysis'!L22/1000</f>
        <v>9.2432627161032155</v>
      </c>
      <c r="M23" s="972">
        <f>'2a. Income Statement'!T106/'KPIs Analysis'!M22/1000</f>
        <v>10.087569499208337</v>
      </c>
      <c r="N23" s="1367">
        <f t="shared" si="0"/>
        <v>8.2264747931395599E-2</v>
      </c>
      <c r="O23" s="1367">
        <f t="shared" si="1"/>
        <v>8.8312139322371586E-2</v>
      </c>
    </row>
    <row r="24" spans="4:15" s="960" customFormat="1" ht="14">
      <c r="D24" s="968" t="s">
        <v>1524</v>
      </c>
      <c r="E24" s="972">
        <f t="shared" ref="E24:M24" si="3">E9/E22/1000</f>
        <v>5.071986261338961</v>
      </c>
      <c r="F24" s="972">
        <f t="shared" si="3"/>
        <v>5.6770600042993777</v>
      </c>
      <c r="G24" s="972">
        <f t="shared" si="3"/>
        <v>6.5088333156216276</v>
      </c>
      <c r="H24" s="972">
        <f t="shared" si="3"/>
        <v>7.1274979337055786</v>
      </c>
      <c r="I24" s="972">
        <f t="shared" si="3"/>
        <v>9.2262446051505851</v>
      </c>
      <c r="J24" s="972">
        <f t="shared" si="3"/>
        <v>10.103170136377305</v>
      </c>
      <c r="K24" s="972">
        <f t="shared" si="3"/>
        <v>10.829942152076535</v>
      </c>
      <c r="L24" s="972">
        <f t="shared" si="3"/>
        <v>11.845354621427514</v>
      </c>
      <c r="M24" s="972">
        <f t="shared" si="3"/>
        <v>12.899797983230647</v>
      </c>
      <c r="N24" s="1367">
        <f t="shared" si="0"/>
        <v>0.1200902336624583</v>
      </c>
      <c r="O24" s="1367">
        <f t="shared" si="1"/>
        <v>8.7400394383178259E-2</v>
      </c>
    </row>
    <row r="25" spans="4:15" s="960" customFormat="1" ht="14">
      <c r="D25" s="968" t="s">
        <v>1315</v>
      </c>
      <c r="E25" s="972">
        <f>-'2c. Cash Flow Statement'!L26/'KPIs Analysis'!E22/1000</f>
        <v>2.2291898580595189</v>
      </c>
      <c r="F25" s="972">
        <f>-'2c. Cash Flow Statement'!M26/'KPIs Analysis'!F22/1000</f>
        <v>3.4504072882204646</v>
      </c>
      <c r="G25" s="972">
        <f>-'2c. Cash Flow Statement'!N26/'KPIs Analysis'!G22/1000</f>
        <v>3.2959356459827127</v>
      </c>
      <c r="H25" s="972">
        <f>-'2c. Cash Flow Statement'!O26/'KPIs Analysis'!H22/1000</f>
        <v>3.7177902852255267</v>
      </c>
      <c r="I25" s="972">
        <f>-'2c. Cash Flow Statement'!P26/'KPIs Analysis'!I22/1000</f>
        <v>5.6809655138159156</v>
      </c>
      <c r="J25" s="972">
        <f>-'2c. Cash Flow Statement'!Q26/'KPIs Analysis'!J22/1000</f>
        <v>6.6448145685298314</v>
      </c>
      <c r="K25" s="972">
        <f>-'2c. Cash Flow Statement'!R26/'KPIs Analysis'!K22/1000</f>
        <v>7.5387621170739783</v>
      </c>
      <c r="L25" s="972">
        <f>-'2c. Cash Flow Statement'!S26/'KPIs Analysis'!L22/1000</f>
        <v>8.2762283735335576</v>
      </c>
      <c r="M25" s="972">
        <f>-'2c. Cash Flow Statement'!T26/'KPIs Analysis'!M22/1000</f>
        <v>9.0322033976046345</v>
      </c>
      <c r="N25" s="1367">
        <f t="shared" si="0"/>
        <v>0.18589419517696726</v>
      </c>
      <c r="O25" s="1367">
        <f t="shared" si="1"/>
        <v>0.12290467260949089</v>
      </c>
    </row>
    <row r="26" spans="4:15" s="960" customFormat="1" ht="14">
      <c r="D26" s="968" t="s">
        <v>1525</v>
      </c>
      <c r="E26" s="972">
        <f t="shared" ref="E26:M26" si="4">E12/E22/1000</f>
        <v>14.582657635101807</v>
      </c>
      <c r="F26" s="972">
        <f t="shared" si="4"/>
        <v>15.657410095478399</v>
      </c>
      <c r="G26" s="972">
        <f t="shared" si="4"/>
        <v>15.110155172466444</v>
      </c>
      <c r="H26" s="972">
        <f t="shared" si="4"/>
        <v>30.305599325591565</v>
      </c>
      <c r="I26" s="972">
        <f t="shared" si="4"/>
        <v>29.154355908614225</v>
      </c>
      <c r="J26" s="972">
        <f t="shared" si="4"/>
        <v>30.778100643373516</v>
      </c>
      <c r="K26" s="972">
        <f t="shared" si="4"/>
        <v>32.07847157893076</v>
      </c>
      <c r="L26" s="972">
        <f t="shared" si="4"/>
        <v>33.506049033404722</v>
      </c>
      <c r="M26" s="972">
        <f t="shared" si="4"/>
        <v>35.064025608323519</v>
      </c>
      <c r="N26" s="1367">
        <f t="shared" si="0"/>
        <v>0.27613141240665273</v>
      </c>
      <c r="O26" s="1367">
        <f t="shared" si="1"/>
        <v>4.7223986006602159E-2</v>
      </c>
    </row>
    <row r="27" spans="4:15" s="960" customFormat="1" ht="14">
      <c r="D27" s="968"/>
      <c r="E27" s="972"/>
      <c r="F27" s="972"/>
      <c r="G27" s="972"/>
      <c r="H27" s="972"/>
      <c r="I27" s="972"/>
      <c r="J27" s="972"/>
      <c r="K27" s="972"/>
      <c r="L27" s="972"/>
      <c r="M27" s="972"/>
      <c r="N27" s="1367"/>
      <c r="O27" s="1367"/>
    </row>
    <row r="28" spans="4:15" s="7" customFormat="1" ht="14">
      <c r="N28" s="1367"/>
      <c r="O28" s="1367"/>
    </row>
    <row r="29" spans="4:15" s="7" customFormat="1" ht="14">
      <c r="D29" s="970" t="s">
        <v>1526</v>
      </c>
      <c r="N29" s="1367"/>
      <c r="O29" s="1367"/>
    </row>
    <row r="30" spans="4:15" s="960" customFormat="1" ht="14">
      <c r="D30" s="971" t="s">
        <v>1530</v>
      </c>
      <c r="E30" s="972">
        <f>'2a. Income Statement'!L142</f>
        <v>45.067399999999999</v>
      </c>
      <c r="F30" s="972">
        <f>'2a. Income Statement'!M142</f>
        <v>73.896599999999992</v>
      </c>
      <c r="G30" s="972">
        <f>'2a. Income Statement'!N142</f>
        <v>67.605000000000004</v>
      </c>
      <c r="H30" s="972">
        <f>'2a. Income Statement'!O142</f>
        <v>94.130200000000002</v>
      </c>
      <c r="I30" s="972">
        <f>'2a. Income Statement'!P142</f>
        <v>120.46</v>
      </c>
      <c r="J30" s="972">
        <f>'2a. Income Statement'!Q142</f>
        <v>120.46</v>
      </c>
      <c r="K30" s="972">
        <f>'2a. Income Statement'!R142</f>
        <v>120.46</v>
      </c>
      <c r="L30" s="972">
        <f>'2a. Income Statement'!S142</f>
        <v>120.46</v>
      </c>
      <c r="M30" s="972">
        <f>'2a. Income Statement'!T142</f>
        <v>120.46</v>
      </c>
      <c r="N30" s="1367">
        <f t="shared" si="0"/>
        <v>0.27826871301239153</v>
      </c>
      <c r="O30" s="1367">
        <f t="shared" si="1"/>
        <v>0</v>
      </c>
    </row>
    <row r="31" spans="4:15" s="960" customFormat="1" ht="14">
      <c r="D31" s="968" t="s">
        <v>1527</v>
      </c>
      <c r="E31" s="972">
        <f t="shared" ref="E31:M31" si="5">E30/E23</f>
        <v>10.735288870269512</v>
      </c>
      <c r="F31" s="972">
        <f t="shared" si="5"/>
        <v>16.672631308777191</v>
      </c>
      <c r="G31" s="972">
        <f t="shared" si="5"/>
        <v>13.230414393332254</v>
      </c>
      <c r="H31" s="972">
        <f t="shared" si="5"/>
        <v>17.688038504103126</v>
      </c>
      <c r="I31" s="972">
        <f t="shared" si="5"/>
        <v>16.752136872243234</v>
      </c>
      <c r="J31" s="972">
        <f t="shared" si="5"/>
        <v>15.277005088795644</v>
      </c>
      <c r="K31" s="972">
        <f t="shared" si="5"/>
        <v>14.307046492003151</v>
      </c>
      <c r="L31" s="972">
        <f t="shared" si="5"/>
        <v>13.032194767129116</v>
      </c>
      <c r="M31" s="972">
        <f t="shared" si="5"/>
        <v>11.941429499886329</v>
      </c>
      <c r="N31" s="1367">
        <f t="shared" si="0"/>
        <v>0.18110537690119854</v>
      </c>
      <c r="O31" s="1367">
        <f t="shared" si="1"/>
        <v>-8.1145965510738938E-2</v>
      </c>
    </row>
    <row r="32" spans="4:15" s="960" customFormat="1" ht="14">
      <c r="D32" s="968" t="s">
        <v>1528</v>
      </c>
      <c r="E32" s="972">
        <f>E30/E24</f>
        <v>8.8855524596990119</v>
      </c>
      <c r="F32" s="972">
        <f t="shared" ref="F32:M32" si="6">F30/F24</f>
        <v>13.016702297322253</v>
      </c>
      <c r="G32" s="972">
        <f t="shared" si="6"/>
        <v>10.386654062525086</v>
      </c>
      <c r="H32" s="972">
        <f t="shared" si="6"/>
        <v>13.206626066471802</v>
      </c>
      <c r="I32" s="972">
        <f t="shared" si="6"/>
        <v>13.056233078055698</v>
      </c>
      <c r="J32" s="972">
        <f t="shared" si="6"/>
        <v>11.922990345997812</v>
      </c>
      <c r="K32" s="972">
        <f t="shared" si="6"/>
        <v>11.122866429799256</v>
      </c>
      <c r="L32" s="972">
        <f t="shared" si="6"/>
        <v>10.169387396988125</v>
      </c>
      <c r="M32" s="972">
        <f t="shared" si="6"/>
        <v>9.3381307332560102</v>
      </c>
      <c r="N32" s="1367">
        <f t="shared" si="0"/>
        <v>0.14121940768354269</v>
      </c>
      <c r="O32" s="1367">
        <f t="shared" si="1"/>
        <v>-8.037554044916051E-2</v>
      </c>
    </row>
    <row r="33" spans="4:15" s="960" customFormat="1" ht="14">
      <c r="D33" s="968" t="s">
        <v>1316</v>
      </c>
      <c r="E33" s="951">
        <f t="shared" ref="E33:G33" si="7">E25/E30</f>
        <v>4.9463467119459273E-2</v>
      </c>
      <c r="F33" s="951">
        <f t="shared" si="7"/>
        <v>4.669236863699365E-2</v>
      </c>
      <c r="G33" s="951">
        <f t="shared" si="7"/>
        <v>4.8752838488021782E-2</v>
      </c>
      <c r="H33" s="951">
        <f>H25/H30</f>
        <v>3.9496253967648283E-2</v>
      </c>
      <c r="I33" s="951">
        <f t="shared" ref="I33:M33" si="8">I25/I30</f>
        <v>4.7160596993324887E-2</v>
      </c>
      <c r="J33" s="951">
        <f t="shared" si="8"/>
        <v>5.5162000402870927E-2</v>
      </c>
      <c r="K33" s="951">
        <f t="shared" si="8"/>
        <v>6.2583115698771202E-2</v>
      </c>
      <c r="L33" s="951">
        <f t="shared" si="8"/>
        <v>6.8705199846700635E-2</v>
      </c>
      <c r="M33" s="951">
        <f t="shared" si="8"/>
        <v>7.4980934730239368E-2</v>
      </c>
      <c r="N33" s="1367">
        <f t="shared" si="0"/>
        <v>-7.2265335836729339E-2</v>
      </c>
      <c r="O33" s="1367">
        <f t="shared" si="1"/>
        <v>0.12290467260949089</v>
      </c>
    </row>
    <row r="34" spans="4:15" s="960" customFormat="1" ht="14">
      <c r="D34" s="968" t="s">
        <v>1529</v>
      </c>
      <c r="E34" s="972">
        <f>E30/E26</f>
        <v>3.0904791930051623</v>
      </c>
      <c r="F34" s="972">
        <f t="shared" ref="F34:M34" si="9">F30/F26</f>
        <v>4.7195928029847103</v>
      </c>
      <c r="G34" s="972">
        <f t="shared" si="9"/>
        <v>4.4741433313133063</v>
      </c>
      <c r="H34" s="972">
        <f t="shared" si="9"/>
        <v>3.106033277504324</v>
      </c>
      <c r="I34" s="972">
        <f t="shared" si="9"/>
        <v>4.1318011064140068</v>
      </c>
      <c r="J34" s="972">
        <f t="shared" si="9"/>
        <v>3.9138217590413551</v>
      </c>
      <c r="K34" s="972">
        <f t="shared" si="9"/>
        <v>3.7551664425034046</v>
      </c>
      <c r="L34" s="972">
        <f t="shared" si="9"/>
        <v>3.5951717219748676</v>
      </c>
      <c r="M34" s="972">
        <f t="shared" si="9"/>
        <v>3.4354298432694828</v>
      </c>
      <c r="N34" s="1367">
        <f t="shared" si="0"/>
        <v>1.6748279879015282E-3</v>
      </c>
      <c r="O34" s="1367">
        <f t="shared" si="1"/>
        <v>-4.5094446496286023E-2</v>
      </c>
    </row>
    <row r="35" spans="4:15" s="960" customFormat="1" ht="14">
      <c r="D35" s="968"/>
      <c r="E35" s="972"/>
      <c r="F35" s="972"/>
      <c r="G35" s="972"/>
      <c r="H35" s="972"/>
      <c r="I35" s="972"/>
      <c r="J35" s="972"/>
      <c r="K35" s="972"/>
      <c r="L35" s="972"/>
      <c r="M35" s="972"/>
      <c r="N35" s="1367"/>
      <c r="O35" s="1367"/>
    </row>
    <row r="36" spans="4:15" s="7" customFormat="1" ht="14">
      <c r="N36" s="1367"/>
      <c r="O36" s="1367"/>
    </row>
    <row r="37" spans="4:15" s="7" customFormat="1" ht="14">
      <c r="D37" s="970" t="s">
        <v>1607</v>
      </c>
      <c r="N37" s="1367"/>
      <c r="O37" s="1367"/>
    </row>
    <row r="38" spans="4:15" s="960" customFormat="1" ht="14">
      <c r="D38" s="968" t="s">
        <v>1533</v>
      </c>
      <c r="E38" s="454">
        <f>'2a. Income Statement'!L7</f>
        <v>0.27090563371500997</v>
      </c>
      <c r="F38" s="454">
        <f>'2a. Income Statement'!M7</f>
        <v>1.1461609642614556E-2</v>
      </c>
      <c r="G38" s="454">
        <f>'2a. Income Statement'!N7</f>
        <v>7.1877026068104755E-2</v>
      </c>
      <c r="H38" s="454">
        <f>'2a. Income Statement'!O7</f>
        <v>0.22417403466548014</v>
      </c>
      <c r="I38" s="454">
        <f>'2a. Income Statement'!P7</f>
        <v>0.37044187831483999</v>
      </c>
      <c r="J38" s="454">
        <f>'2a. Income Statement'!Q7</f>
        <v>9.3113505803922969E-2</v>
      </c>
      <c r="K38" s="454">
        <f>'2a. Income Statement'!R7</f>
        <v>8.7217110289182553E-2</v>
      </c>
      <c r="L38" s="454">
        <f>'2a. Income Statement'!S7</f>
        <v>8.5918656216198208E-2</v>
      </c>
      <c r="M38" s="454">
        <f>'2a. Income Statement'!T7</f>
        <v>8.0242394291409669E-2</v>
      </c>
      <c r="N38" s="1367"/>
      <c r="O38" s="1367"/>
    </row>
    <row r="39" spans="4:15" s="960" customFormat="1" ht="14">
      <c r="D39" s="968" t="s">
        <v>976</v>
      </c>
      <c r="E39" s="1368">
        <f>E7/E6</f>
        <v>0.16141779463681954</v>
      </c>
      <c r="F39" s="1368">
        <f t="shared" ref="F39:M39" si="10">F7/F6</f>
        <v>0.17993782044846193</v>
      </c>
      <c r="G39" s="1368">
        <f t="shared" si="10"/>
        <v>0.19709517548054883</v>
      </c>
      <c r="H39" s="1368">
        <f t="shared" si="10"/>
        <v>0.19200337441278878</v>
      </c>
      <c r="I39" s="1368">
        <f t="shared" si="10"/>
        <v>0.22055858405896711</v>
      </c>
      <c r="J39" s="1368">
        <f t="shared" si="10"/>
        <v>0.21973499234458721</v>
      </c>
      <c r="K39" s="1368">
        <f t="shared" si="10"/>
        <v>0.21531421761610287</v>
      </c>
      <c r="L39" s="1368">
        <f t="shared" si="10"/>
        <v>0.21600029191113329</v>
      </c>
      <c r="M39" s="1368">
        <f t="shared" si="10"/>
        <v>0.21694976169457342</v>
      </c>
      <c r="N39" s="1367">
        <f t="shared" si="0"/>
        <v>5.954437604749141E-2</v>
      </c>
      <c r="O39" s="1367">
        <f t="shared" si="1"/>
        <v>-4.1158896951053459E-3</v>
      </c>
    </row>
    <row r="40" spans="4:15" s="960" customFormat="1" ht="14">
      <c r="D40" s="968" t="s">
        <v>978</v>
      </c>
      <c r="E40" s="1368">
        <f>E8/E6</f>
        <v>0.14265856072923316</v>
      </c>
      <c r="F40" s="1368">
        <f t="shared" ref="F40:M40" si="11">F8/F6</f>
        <v>0.1581630656186559</v>
      </c>
      <c r="G40" s="1368">
        <f t="shared" si="11"/>
        <v>0.17454705510907231</v>
      </c>
      <c r="H40" s="1368">
        <f t="shared" si="11"/>
        <v>0.16328277063670804</v>
      </c>
      <c r="I40" s="1368">
        <f t="shared" si="11"/>
        <v>0.19562973970165817</v>
      </c>
      <c r="J40" s="1368">
        <f t="shared" si="11"/>
        <v>0.19492020747501407</v>
      </c>
      <c r="K40" s="1368">
        <f t="shared" si="11"/>
        <v>0.19041159932636037</v>
      </c>
      <c r="L40" s="1368">
        <f t="shared" si="11"/>
        <v>0.19133935828424994</v>
      </c>
      <c r="M40" s="1368">
        <f t="shared" si="11"/>
        <v>0.19233364319123628</v>
      </c>
      <c r="N40" s="1367">
        <f t="shared" si="0"/>
        <v>4.6038110683023659E-2</v>
      </c>
      <c r="O40" s="1367">
        <f t="shared" si="1"/>
        <v>-4.2390399537516332E-3</v>
      </c>
    </row>
    <row r="41" spans="4:15" s="960" customFormat="1" ht="14">
      <c r="D41" s="968" t="s">
        <v>1534</v>
      </c>
      <c r="E41" s="1368">
        <f>E10/E6</f>
        <v>9.981301437988481E-2</v>
      </c>
      <c r="F41" s="1368">
        <f t="shared" ref="F41:M41" si="12">F10/F6</f>
        <v>0.11154350441502042</v>
      </c>
      <c r="G41" s="1368">
        <f t="shared" si="12"/>
        <v>0.1208380249463499</v>
      </c>
      <c r="H41" s="1368">
        <f t="shared" si="12"/>
        <v>0.10410523836410361</v>
      </c>
      <c r="I41" s="1368">
        <f t="shared" si="12"/>
        <v>0.11432780660929205</v>
      </c>
      <c r="J41" s="1368">
        <f t="shared" si="12"/>
        <v>0.11468816412854889</v>
      </c>
      <c r="K41" s="1368">
        <f t="shared" si="12"/>
        <v>0.11263945930962867</v>
      </c>
      <c r="L41" s="1368">
        <f t="shared" si="12"/>
        <v>0.11387429184026129</v>
      </c>
      <c r="M41" s="1368">
        <f t="shared" si="12"/>
        <v>0.11504446131577044</v>
      </c>
      <c r="N41" s="1367">
        <f t="shared" si="0"/>
        <v>1.4133518764403386E-2</v>
      </c>
      <c r="O41" s="1367">
        <f t="shared" si="1"/>
        <v>1.5634346783488517E-3</v>
      </c>
    </row>
    <row r="42" spans="4:15" s="960" customFormat="1" ht="14">
      <c r="D42" s="968" t="s">
        <v>478</v>
      </c>
      <c r="E42" s="1368">
        <f>E10/E12</f>
        <v>0.29278276345185356</v>
      </c>
      <c r="F42" s="1368">
        <f t="shared" ref="F42:M42" si="13">F10/F12</f>
        <v>0.30335992502646636</v>
      </c>
      <c r="G42" s="1368">
        <f t="shared" si="13"/>
        <v>0.36302008501403982</v>
      </c>
      <c r="H42" s="1368">
        <f t="shared" si="13"/>
        <v>0.18433348239939332</v>
      </c>
      <c r="I42" s="1368">
        <f t="shared" si="13"/>
        <v>0.25981094244821984</v>
      </c>
      <c r="J42" s="1368">
        <f t="shared" si="13"/>
        <v>0.26986779681125528</v>
      </c>
      <c r="K42" s="1368">
        <f t="shared" si="13"/>
        <v>0.27648237169333367</v>
      </c>
      <c r="L42" s="1368">
        <f t="shared" si="13"/>
        <v>0.2905964607546942</v>
      </c>
      <c r="M42" s="1368">
        <f t="shared" si="13"/>
        <v>0.30304910688059478</v>
      </c>
      <c r="N42" s="1367">
        <f t="shared" si="0"/>
        <v>-0.14292352638632266</v>
      </c>
      <c r="O42" s="1367">
        <f t="shared" si="1"/>
        <v>3.9235305784440344E-2</v>
      </c>
    </row>
    <row r="43" spans="4:15" s="960" customFormat="1" ht="14">
      <c r="D43" s="968" t="s">
        <v>480</v>
      </c>
      <c r="E43" s="1368">
        <f>E10/E18</f>
        <v>0.18060534241071846</v>
      </c>
      <c r="F43" s="1368">
        <f t="shared" ref="F43:M43" si="14">F10/F18</f>
        <v>0.18506378351824149</v>
      </c>
      <c r="G43" s="1368">
        <f t="shared" si="14"/>
        <v>0.20465822403612144</v>
      </c>
      <c r="H43" s="1368">
        <f t="shared" si="14"/>
        <v>6.10860925035746E-2</v>
      </c>
      <c r="I43" s="1368">
        <f t="shared" si="14"/>
        <v>9.3185480357207598E-2</v>
      </c>
      <c r="J43" s="1368">
        <f t="shared" si="14"/>
        <v>9.8212064488603298E-2</v>
      </c>
      <c r="K43" s="1368">
        <f t="shared" si="14"/>
        <v>0.10128378040163044</v>
      </c>
      <c r="L43" s="1368">
        <f t="shared" si="14"/>
        <v>0.10722054164396161</v>
      </c>
      <c r="M43" s="1368">
        <f t="shared" si="14"/>
        <v>0.11278909645351336</v>
      </c>
      <c r="N43" s="1367">
        <f t="shared" si="0"/>
        <v>-0.30326025665833856</v>
      </c>
      <c r="O43" s="1367">
        <f t="shared" si="1"/>
        <v>4.8889450323762906E-2</v>
      </c>
    </row>
    <row r="44" spans="4:15" s="960" customFormat="1" ht="14">
      <c r="D44" s="968"/>
      <c r="N44" s="1367"/>
      <c r="O44" s="1367"/>
    </row>
    <row r="45" spans="4:15" s="7" customFormat="1" ht="14">
      <c r="N45" s="1367"/>
      <c r="O45" s="1367"/>
    </row>
    <row r="46" spans="4:15" s="7" customFormat="1" ht="14">
      <c r="D46" s="1366" t="s">
        <v>475</v>
      </c>
      <c r="N46" s="1367"/>
      <c r="O46" s="1367"/>
    </row>
    <row r="47" spans="4:15" s="7" customFormat="1" ht="14">
      <c r="D47" s="968" t="s">
        <v>1238</v>
      </c>
      <c r="E47" s="165">
        <f>E6/E18</f>
        <v>1.8094368107483547</v>
      </c>
      <c r="F47" s="165">
        <f t="shared" ref="F47:M47" si="15">F6/F18</f>
        <v>1.659117529871339</v>
      </c>
      <c r="G47" s="165">
        <f t="shared" si="15"/>
        <v>1.6936574735228114</v>
      </c>
      <c r="H47" s="165">
        <f t="shared" si="15"/>
        <v>0.58677251465414837</v>
      </c>
      <c r="I47" s="165">
        <f t="shared" si="15"/>
        <v>0.8150727554466517</v>
      </c>
      <c r="J47" s="165">
        <f t="shared" si="15"/>
        <v>0.85634001760218026</v>
      </c>
      <c r="K47" s="165">
        <f t="shared" si="15"/>
        <v>0.89918560531453551</v>
      </c>
      <c r="L47" s="165">
        <f t="shared" si="15"/>
        <v>0.94156933853311398</v>
      </c>
      <c r="M47" s="165">
        <f t="shared" si="15"/>
        <v>0.98039571104543111</v>
      </c>
      <c r="N47" s="1367">
        <f t="shared" si="0"/>
        <v>-0.31297040236816853</v>
      </c>
      <c r="O47" s="1367">
        <f t="shared" si="1"/>
        <v>4.7252140011094568E-2</v>
      </c>
    </row>
    <row r="48" spans="4:15" s="7" customFormat="1" ht="14">
      <c r="D48" s="968" t="s">
        <v>1739</v>
      </c>
      <c r="E48" s="119">
        <f>('2e. Notes to the New Fin Stat'!L50/'2e. Notes to the New Fin Stat'!L49)*365</f>
        <v>98.743233539597298</v>
      </c>
      <c r="F48" s="119">
        <f>('2e. Notes to the New Fin Stat'!M50/'2e. Notes to the New Fin Stat'!M49)*365</f>
        <v>156.26978399239979</v>
      </c>
      <c r="G48" s="119">
        <f>('2e. Notes to the New Fin Stat'!N50/'2e. Notes to the New Fin Stat'!N49)*365</f>
        <v>99.945756979513519</v>
      </c>
      <c r="H48" s="119">
        <f>('2e. Notes to the New Fin Stat'!O50/'2e. Notes to the New Fin Stat'!O49)*365</f>
        <v>125.3424122168632</v>
      </c>
      <c r="I48" s="119">
        <f>('2e. Notes to the New Fin Stat'!P50/'2e. Notes to the New Fin Stat'!P49)*365</f>
        <v>125.3424122168632</v>
      </c>
      <c r="J48" s="119">
        <f>('2e. Notes to the New Fin Stat'!Q50/'2e. Notes to the New Fin Stat'!Q49)*365</f>
        <v>125.3424122168632</v>
      </c>
      <c r="K48" s="119">
        <f>('2e. Notes to the New Fin Stat'!R50/'2e. Notes to the New Fin Stat'!R49)*365</f>
        <v>125.3424122168632</v>
      </c>
      <c r="L48" s="119">
        <f>('2e. Notes to the New Fin Stat'!S50/'2e. Notes to the New Fin Stat'!S49)*365</f>
        <v>125.3424122168632</v>
      </c>
      <c r="M48" s="119">
        <f>('2e. Notes to the New Fin Stat'!T50/'2e. Notes to the New Fin Stat'!T49)*365</f>
        <v>125.3424122168632</v>
      </c>
      <c r="N48" s="1367">
        <f t="shared" si="0"/>
        <v>8.2755091227146194E-2</v>
      </c>
      <c r="O48" s="1367">
        <f t="shared" si="1"/>
        <v>0</v>
      </c>
    </row>
    <row r="49" spans="4:15" s="7" customFormat="1" ht="14">
      <c r="D49" s="968" t="s">
        <v>1740</v>
      </c>
      <c r="E49" s="119">
        <f>('2e. Notes to the New Fin Stat'!L53/'2e. Notes to the New Fin Stat'!L48)*365</f>
        <v>64.328315853587966</v>
      </c>
      <c r="F49" s="119">
        <f>('2e. Notes to the New Fin Stat'!M53/'2e. Notes to the New Fin Stat'!M48)*365</f>
        <v>53.953140713992774</v>
      </c>
      <c r="G49" s="119">
        <f>('2e. Notes to the New Fin Stat'!N53/'2e. Notes to the New Fin Stat'!N48)*365</f>
        <v>67.58288924247698</v>
      </c>
      <c r="H49" s="119">
        <f>('2e. Notes to the New Fin Stat'!O53/'2e. Notes to the New Fin Stat'!O48)*365</f>
        <v>87.165375730067723</v>
      </c>
      <c r="I49" s="119">
        <f>('2e. Notes to the New Fin Stat'!P53/'2e. Notes to the New Fin Stat'!P48)*365</f>
        <v>87.165375730067723</v>
      </c>
      <c r="J49" s="119">
        <f>('2e. Notes to the New Fin Stat'!Q53/'2e. Notes to the New Fin Stat'!Q48)*365</f>
        <v>87.165375730067723</v>
      </c>
      <c r="K49" s="119">
        <f>('2e. Notes to the New Fin Stat'!R53/'2e. Notes to the New Fin Stat'!R48)*365</f>
        <v>87.165375730067723</v>
      </c>
      <c r="L49" s="119">
        <f>('2e. Notes to the New Fin Stat'!S53/'2e. Notes to the New Fin Stat'!S48)*365</f>
        <v>87.165375730067723</v>
      </c>
      <c r="M49" s="119">
        <f>('2e. Notes to the New Fin Stat'!T53/'2e. Notes to the New Fin Stat'!T48)*365</f>
        <v>87.165375730067723</v>
      </c>
      <c r="N49" s="1367">
        <f t="shared" si="0"/>
        <v>0.10657437329221575</v>
      </c>
      <c r="O49" s="1367">
        <f t="shared" si="1"/>
        <v>0</v>
      </c>
    </row>
    <row r="50" spans="4:15" s="7" customFormat="1" ht="14">
      <c r="D50" s="968" t="s">
        <v>1741</v>
      </c>
      <c r="E50" s="119">
        <f>('2e. Notes to the New Fin Stat'!L56/'2e. Notes to the New Fin Stat'!L49)*365</f>
        <v>95.400469092571896</v>
      </c>
      <c r="F50" s="119">
        <f>('2e. Notes to the New Fin Stat'!M56/'2e. Notes to the New Fin Stat'!M49)*365</f>
        <v>78.139593605881416</v>
      </c>
      <c r="G50" s="119">
        <f>('2e. Notes to the New Fin Stat'!N56/'2e. Notes to the New Fin Stat'!N49)*365</f>
        <v>94.031233531182281</v>
      </c>
      <c r="H50" s="119">
        <f>('2e. Notes to the New Fin Stat'!O56/'2e. Notes to the New Fin Stat'!O49)*365</f>
        <v>154.79649736224684</v>
      </c>
      <c r="I50" s="119">
        <f>('2e. Notes to the New Fin Stat'!P56/'2e. Notes to the New Fin Stat'!P49)*365</f>
        <v>154.79649736224684</v>
      </c>
      <c r="J50" s="119">
        <f>('2e. Notes to the New Fin Stat'!Q56/'2e. Notes to the New Fin Stat'!Q49)*365</f>
        <v>154.79649736224684</v>
      </c>
      <c r="K50" s="119">
        <f>('2e. Notes to the New Fin Stat'!R56/'2e. Notes to the New Fin Stat'!R49)*365</f>
        <v>154.79649736224684</v>
      </c>
      <c r="L50" s="119">
        <f>('2e. Notes to the New Fin Stat'!S56/'2e. Notes to the New Fin Stat'!S49)*365</f>
        <v>154.79649736224684</v>
      </c>
      <c r="M50" s="119">
        <f>('2e. Notes to the New Fin Stat'!T56/'2e. Notes to the New Fin Stat'!T49)*365</f>
        <v>154.79649736224684</v>
      </c>
      <c r="N50" s="1367">
        <f t="shared" si="0"/>
        <v>0.1750874999059322</v>
      </c>
      <c r="O50" s="1367">
        <f t="shared" si="1"/>
        <v>0</v>
      </c>
    </row>
    <row r="51" spans="4:15" s="7" customFormat="1" ht="14">
      <c r="D51" s="968" t="s">
        <v>1742</v>
      </c>
      <c r="E51" s="165">
        <f>'2e. Notes to the New Fin Stat'!L61</f>
        <v>0.18190832906801299</v>
      </c>
      <c r="F51" s="165">
        <f>'2e. Notes to the New Fin Stat'!M61</f>
        <v>0.27683598994644798</v>
      </c>
      <c r="G51" s="165">
        <f>'2e. Notes to the New Fin Stat'!N61</f>
        <v>0.19500691983979787</v>
      </c>
      <c r="H51" s="165">
        <f>'2e. Notes to the New Fin Stat'!O61</f>
        <v>0.1886683535488477</v>
      </c>
      <c r="I51" s="165">
        <f>'2e. Notes to the New Fin Stat'!P61</f>
        <v>0.18866835354884762</v>
      </c>
      <c r="J51" s="165">
        <f>'2e. Notes to the New Fin Stat'!Q61</f>
        <v>0.1886683535488477</v>
      </c>
      <c r="K51" s="165">
        <f>'2e. Notes to the New Fin Stat'!R61</f>
        <v>0.18866835354884767</v>
      </c>
      <c r="L51" s="165">
        <f>'2e. Notes to the New Fin Stat'!S61</f>
        <v>0.18866835354884759</v>
      </c>
      <c r="M51" s="165">
        <f>'2e. Notes to the New Fin Stat'!T61</f>
        <v>0.18866835354884767</v>
      </c>
      <c r="N51" s="1367">
        <f t="shared" si="0"/>
        <v>1.223688437239967E-2</v>
      </c>
      <c r="O51" s="1367">
        <f t="shared" si="1"/>
        <v>0</v>
      </c>
    </row>
    <row r="52" spans="4:15" s="7" customFormat="1" ht="14">
      <c r="D52" s="968"/>
      <c r="N52" s="1367"/>
      <c r="O52" s="1367"/>
    </row>
    <row r="53" spans="4:15" s="7" customFormat="1" ht="14">
      <c r="N53" s="1367"/>
      <c r="O53" s="1367"/>
    </row>
    <row r="54" spans="4:15" s="7" customFormat="1" ht="14">
      <c r="D54" s="1366" t="s">
        <v>477</v>
      </c>
      <c r="N54" s="1367"/>
      <c r="O54" s="1367"/>
    </row>
    <row r="55" spans="4:15" s="7" customFormat="1" ht="14">
      <c r="D55" s="968" t="s">
        <v>476</v>
      </c>
      <c r="E55" s="119">
        <f>'2b. Balance Sheet'!L18/'2b. Balance Sheet'!L48</f>
        <v>2.358798366272469</v>
      </c>
      <c r="F55" s="119">
        <f>'2b. Balance Sheet'!M18/'2b. Balance Sheet'!M48</f>
        <v>2.3381691737463539</v>
      </c>
      <c r="G55" s="119">
        <f>'2b. Balance Sheet'!N18/'2b. Balance Sheet'!N48</f>
        <v>2.6814818476326634</v>
      </c>
      <c r="H55" s="119">
        <f>'2b. Balance Sheet'!O18/'2b. Balance Sheet'!O48</f>
        <v>2.038263315674921</v>
      </c>
      <c r="I55" s="119">
        <f>'2b. Balance Sheet'!P18/'2b. Balance Sheet'!P48</f>
        <v>1.5116239132996558</v>
      </c>
      <c r="J55" s="119">
        <f>'2b. Balance Sheet'!Q18/'2b. Balance Sheet'!Q48</f>
        <v>1.5578052447308379</v>
      </c>
      <c r="K55" s="119">
        <f>'2b. Balance Sheet'!R18/'2b. Balance Sheet'!R48</f>
        <v>1.5810148859061564</v>
      </c>
      <c r="L55" s="119">
        <f>'2b. Balance Sheet'!S18/'2b. Balance Sheet'!S48</f>
        <v>1.6007537829328351</v>
      </c>
      <c r="M55" s="119">
        <f>'2b. Balance Sheet'!T18/'2b. Balance Sheet'!T48</f>
        <v>1.6195396989343342</v>
      </c>
      <c r="N55" s="1367">
        <f t="shared" si="0"/>
        <v>-4.7518629814570224E-2</v>
      </c>
      <c r="O55" s="1367">
        <f t="shared" si="1"/>
        <v>1.7388820502914237E-2</v>
      </c>
    </row>
    <row r="56" spans="4:15" s="7" customFormat="1" ht="14">
      <c r="D56" s="968" t="s">
        <v>1743</v>
      </c>
      <c r="E56" s="119">
        <f>('2b. Balance Sheet'!L23+'2b. Balance Sheet'!L20)/'2b. Balance Sheet'!L48</f>
        <v>1.3756844876264733</v>
      </c>
      <c r="F56" s="119">
        <f>('2b. Balance Sheet'!M23+'2b. Balance Sheet'!M20)/'2b. Balance Sheet'!M48</f>
        <v>0.91831370473853691</v>
      </c>
      <c r="G56" s="119">
        <f>('2b. Balance Sheet'!N23+'2b. Balance Sheet'!N20)/'2b. Balance Sheet'!N48</f>
        <v>1.5777438947106928</v>
      </c>
      <c r="H56" s="119">
        <f>('2b. Balance Sheet'!O23+'2b. Balance Sheet'!O20)/'2b. Balance Sheet'!O48</f>
        <v>1.3482475052359246</v>
      </c>
      <c r="I56" s="119">
        <f>('2b. Balance Sheet'!P23+'2b. Balance Sheet'!P20)/'2b. Balance Sheet'!P48</f>
        <v>0.80429777233868516</v>
      </c>
      <c r="J56" s="119">
        <f>('2b. Balance Sheet'!Q23+'2b. Balance Sheet'!Q20)/'2b. Balance Sheet'!Q48</f>
        <v>0.84277674052501483</v>
      </c>
      <c r="K56" s="119">
        <f>('2b. Balance Sheet'!R23+'2b. Balance Sheet'!R20)/'2b. Balance Sheet'!R48</f>
        <v>0.85921473970997708</v>
      </c>
      <c r="L56" s="119">
        <f>('2b. Balance Sheet'!S23+'2b. Balance Sheet'!S20)/'2b. Balance Sheet'!S48</f>
        <v>0.87269869361971197</v>
      </c>
      <c r="M56" s="119">
        <f>('2b. Balance Sheet'!T23+'2b. Balance Sheet'!T20)/'2b. Balance Sheet'!T48</f>
        <v>0.88598879798510888</v>
      </c>
      <c r="N56" s="1367">
        <f t="shared" si="0"/>
        <v>-6.6927734816584206E-3</v>
      </c>
      <c r="O56" s="1367">
        <f t="shared" si="1"/>
        <v>2.44784826943647E-2</v>
      </c>
    </row>
    <row r="57" spans="4:15" s="7" customFormat="1" ht="14">
      <c r="D57" s="968"/>
      <c r="N57" s="951"/>
      <c r="O57" s="951"/>
    </row>
    <row r="58" spans="4:15" s="7" customFormat="1" ht="14">
      <c r="N58" s="951"/>
      <c r="O58" s="951"/>
    </row>
    <row r="59" spans="4:15" s="7" customFormat="1" ht="14">
      <c r="D59" s="1366" t="s">
        <v>1744</v>
      </c>
      <c r="N59" s="951"/>
      <c r="O59" s="951"/>
    </row>
    <row r="60" spans="4:15" s="7" customFormat="1" ht="14">
      <c r="D60" s="968" t="s">
        <v>1745</v>
      </c>
      <c r="E60" s="119">
        <f>E18/E12</f>
        <v>1.6211190629457128</v>
      </c>
      <c r="F60" s="119">
        <f t="shared" ref="F60:M60" si="16">F18/F12</f>
        <v>1.6392182157918791</v>
      </c>
      <c r="G60" s="119">
        <f t="shared" si="16"/>
        <v>1.7737869402695887</v>
      </c>
      <c r="H60" s="119">
        <f t="shared" si="16"/>
        <v>3.0176014677744627</v>
      </c>
      <c r="I60" s="119">
        <f t="shared" si="16"/>
        <v>2.7881054156966019</v>
      </c>
      <c r="J60" s="119">
        <f t="shared" si="16"/>
        <v>2.7478069849816791</v>
      </c>
      <c r="K60" s="119">
        <f t="shared" si="16"/>
        <v>2.7297793446983438</v>
      </c>
      <c r="L60" s="119">
        <f t="shared" si="16"/>
        <v>2.7102685390235561</v>
      </c>
      <c r="M60" s="119">
        <f t="shared" si="16"/>
        <v>2.6868652769596233</v>
      </c>
      <c r="N60" s="459">
        <f t="shared" si="0"/>
        <v>0.23012427783008116</v>
      </c>
      <c r="O60" s="459">
        <f t="shared" si="1"/>
        <v>-9.2041582993732662E-3</v>
      </c>
    </row>
    <row r="61" spans="4:15" s="7" customFormat="1" ht="14">
      <c r="D61" s="968" t="s">
        <v>1746</v>
      </c>
      <c r="E61" s="1370">
        <f>('2b. Balance Sheet'!L42+'2b. Balance Sheet'!L48)/'2b. Balance Sheet'!L27</f>
        <v>0.36418258375351537</v>
      </c>
      <c r="F61" s="1370">
        <f>('2b. Balance Sheet'!M42+'2b. Balance Sheet'!M48)/'2b. Balance Sheet'!M27</f>
        <v>0.36850981924209364</v>
      </c>
      <c r="G61" s="1370">
        <f>('2b. Balance Sheet'!N42+'2b. Balance Sheet'!N48)/'2b. Balance Sheet'!N27</f>
        <v>0.41286332087183231</v>
      </c>
      <c r="H61" s="1370">
        <f>('2b. Balance Sheet'!O42+'2b. Balance Sheet'!O48)/'2b. Balance Sheet'!O27</f>
        <v>0.6609660133335058</v>
      </c>
      <c r="I61" s="1370">
        <f>('2b. Balance Sheet'!P42+'2b. Balance Sheet'!P48)/'2b. Balance Sheet'!P27</f>
        <v>0.63305926310012606</v>
      </c>
      <c r="J61" s="1370">
        <f>('2b. Balance Sheet'!Q42+'2b. Balance Sheet'!Q48)/'2b. Balance Sheet'!Q27</f>
        <v>0.62767783130987942</v>
      </c>
      <c r="K61" s="1370">
        <f>('2b. Balance Sheet'!R42+'2b. Balance Sheet'!R48)/'2b. Balance Sheet'!R27</f>
        <v>0.62521899149936766</v>
      </c>
      <c r="L61" s="1370">
        <f>('2b. Balance Sheet'!S42+'2b. Balance Sheet'!S48)/'2b. Balance Sheet'!S27</f>
        <v>0.62252100075705863</v>
      </c>
      <c r="M61" s="1370">
        <f>('2b. Balance Sheet'!T42+'2b. Balance Sheet'!T48)/'2b. Balance Sheet'!T27</f>
        <v>0.61923306517700982</v>
      </c>
      <c r="N61" s="459">
        <f t="shared" si="0"/>
        <v>0.21979444717825558</v>
      </c>
      <c r="O61" s="459">
        <f t="shared" si="1"/>
        <v>-5.5053695189888341E-3</v>
      </c>
    </row>
    <row r="62" spans="4:15" s="7" customFormat="1" ht="14">
      <c r="D62" s="968" t="s">
        <v>1747</v>
      </c>
      <c r="E62" s="1370">
        <f>('2b. Balance Sheet'!L42+'2b. Balance Sheet'!L48)/'2b. Balance Sheet'!L39</f>
        <v>0.59038332891564749</v>
      </c>
      <c r="F62" s="1370">
        <f>('2b. Balance Sheet'!M42+'2b. Balance Sheet'!M48)/'2b. Balance Sheet'!M39</f>
        <v>0.60406800839981256</v>
      </c>
      <c r="G62" s="1370">
        <f>('2b. Balance Sheet'!N42+'2b. Balance Sheet'!N48)/'2b. Balance Sheet'!N39</f>
        <v>0.73233156667878885</v>
      </c>
      <c r="H62" s="1370">
        <f>('2b. Balance Sheet'!O42+'2b. Balance Sheet'!O48)/'2b. Balance Sheet'!O39</f>
        <v>1.9945320119842223</v>
      </c>
      <c r="I62" s="1370">
        <f>('2b. Balance Sheet'!P42+'2b. Balance Sheet'!P48)/'2b. Balance Sheet'!P39</f>
        <v>1.7650359599063614</v>
      </c>
      <c r="J62" s="1370">
        <f>('2b. Balance Sheet'!Q42+'2b. Balance Sheet'!Q48)/'2b. Balance Sheet'!Q39</f>
        <v>1.7247375291914389</v>
      </c>
      <c r="K62" s="1370">
        <f>('2b. Balance Sheet'!R42+'2b. Balance Sheet'!R48)/'2b. Balance Sheet'!R39</f>
        <v>1.7067098889081029</v>
      </c>
      <c r="L62" s="1370">
        <f>('2b. Balance Sheet'!S42+'2b. Balance Sheet'!S48)/'2b. Balance Sheet'!S39</f>
        <v>1.6871990832333155</v>
      </c>
      <c r="M62" s="1370">
        <f>('2b. Balance Sheet'!T42+'2b. Balance Sheet'!T48)/'2b. Balance Sheet'!T39</f>
        <v>1.6637958211693826</v>
      </c>
      <c r="N62" s="459">
        <f t="shared" si="0"/>
        <v>0.50049876343629474</v>
      </c>
      <c r="O62" s="459">
        <f t="shared" si="1"/>
        <v>-1.4658855525812919E-2</v>
      </c>
    </row>
    <row r="63" spans="4:15" s="7" customFormat="1" ht="14">
      <c r="D63" s="968" t="s">
        <v>1277</v>
      </c>
      <c r="E63" s="119">
        <f>'2b. Balance Sheet'!L44/'2b. Balance Sheet'!L27</f>
        <v>0</v>
      </c>
      <c r="F63" s="119">
        <f>'2b. Balance Sheet'!M44/'2b. Balance Sheet'!M27</f>
        <v>0</v>
      </c>
      <c r="G63" s="119">
        <f>'2b. Balance Sheet'!N44/'2b. Balance Sheet'!N27</f>
        <v>0.10083027005371228</v>
      </c>
      <c r="H63" s="119">
        <f>'2b. Balance Sheet'!O44/'2b. Balance Sheet'!O27</f>
        <v>0.41609972126109002</v>
      </c>
      <c r="I63" s="119">
        <f>'2b. Balance Sheet'!P44/'2b. Balance Sheet'!P27</f>
        <v>0.32680494575011443</v>
      </c>
      <c r="J63" s="119">
        <f>'2b. Balance Sheet'!Q44/'2b. Balance Sheet'!Q27</f>
        <v>0.31410382350201926</v>
      </c>
      <c r="K63" s="119">
        <f>'2b. Balance Sheet'!R44/'2b. Balance Sheet'!R27</f>
        <v>0.3033612119872538</v>
      </c>
      <c r="L63" s="119">
        <f>'2b. Balance Sheet'!S44/'2b. Balance Sheet'!S27</f>
        <v>0.29252683888445502</v>
      </c>
      <c r="M63" s="119">
        <f>'2b. Balance Sheet'!T44/'2b. Balance Sheet'!T27</f>
        <v>0.28196395649037131</v>
      </c>
      <c r="N63" s="459" t="s">
        <v>707</v>
      </c>
      <c r="O63" s="459">
        <f t="shared" si="1"/>
        <v>-3.6223696836786945E-2</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9" tint="-0.249977111117893"/>
  </sheetPr>
  <dimension ref="A4:X95"/>
  <sheetViews>
    <sheetView showGridLines="0" topLeftCell="A3" zoomScale="50" zoomScaleNormal="50" zoomScalePageLayoutView="50" workbookViewId="0">
      <pane xSplit="4" topLeftCell="E1" activePane="topRight" state="frozen"/>
      <selection activeCell="F19" sqref="F19"/>
      <selection pane="topRight" activeCell="AA58" sqref="AA58"/>
    </sheetView>
  </sheetViews>
  <sheetFormatPr baseColWidth="10" defaultRowHeight="15" x14ac:dyDescent="0"/>
  <cols>
    <col min="1" max="2" width="0" hidden="1" customWidth="1"/>
    <col min="3" max="3" width="10.83203125" style="117"/>
    <col min="4" max="4" width="63.33203125" bestFit="1" customWidth="1"/>
    <col min="5" max="13" width="10.83203125" customWidth="1"/>
    <col min="15" max="15" width="14.1640625" bestFit="1" customWidth="1"/>
    <col min="16" max="16" width="11.5" bestFit="1" customWidth="1"/>
  </cols>
  <sheetData>
    <row r="4" spans="3:24">
      <c r="D4" s="1" t="s">
        <v>569</v>
      </c>
      <c r="E4" s="1" t="s">
        <v>216</v>
      </c>
      <c r="F4" s="1" t="s">
        <v>217</v>
      </c>
      <c r="G4" s="1" t="s">
        <v>218</v>
      </c>
      <c r="H4" s="1" t="s">
        <v>28</v>
      </c>
      <c r="I4" s="1" t="s">
        <v>17</v>
      </c>
      <c r="J4" s="1" t="s">
        <v>18</v>
      </c>
      <c r="K4" s="1" t="s">
        <v>19</v>
      </c>
      <c r="L4" s="1" t="s">
        <v>20</v>
      </c>
      <c r="M4" s="1" t="s">
        <v>21</v>
      </c>
      <c r="N4" s="1" t="s">
        <v>22</v>
      </c>
      <c r="O4" s="1" t="s">
        <v>23</v>
      </c>
      <c r="P4" s="1" t="s">
        <v>24</v>
      </c>
      <c r="Q4" s="1" t="s">
        <v>25</v>
      </c>
      <c r="R4" s="1" t="s">
        <v>26</v>
      </c>
      <c r="S4" s="1" t="s">
        <v>27</v>
      </c>
      <c r="T4" s="1"/>
      <c r="U4" s="1"/>
      <c r="V4" s="1"/>
      <c r="W4" s="1"/>
      <c r="X4" s="1"/>
    </row>
    <row r="5" spans="3:24">
      <c r="D5" t="s">
        <v>687</v>
      </c>
      <c r="E5" s="132"/>
      <c r="F5" s="133">
        <f>'2a. Income Statement'!F38</f>
        <v>177443</v>
      </c>
      <c r="G5" s="133">
        <f>'2a. Income Statement'!G38</f>
        <v>239272</v>
      </c>
      <c r="H5" s="133">
        <f>'2a. Income Statement'!H38</f>
        <v>329009</v>
      </c>
      <c r="I5" s="133">
        <f>'2a. Income Statement'!I38</f>
        <v>430195</v>
      </c>
      <c r="J5" s="133">
        <f>'2a. Income Statement'!J38</f>
        <v>464777</v>
      </c>
      <c r="K5" s="133">
        <f>'2a. Income Statement'!K38</f>
        <v>512689</v>
      </c>
      <c r="L5" s="133">
        <f>'2a. Income Statement'!L38</f>
        <v>663070</v>
      </c>
      <c r="M5" s="133">
        <f>'2a. Income Statement'!M26</f>
        <v>713514</v>
      </c>
      <c r="N5" s="133">
        <f>'2a. Income Statement'!N26</f>
        <v>856242</v>
      </c>
      <c r="O5" s="133">
        <f>'2a. Income Statement'!O38</f>
        <v>1025601</v>
      </c>
      <c r="P5" s="132"/>
      <c r="Q5" s="132"/>
      <c r="R5" s="132"/>
      <c r="S5" s="132"/>
      <c r="T5" s="132"/>
      <c r="U5" s="132"/>
      <c r="V5" s="132"/>
      <c r="W5" s="132"/>
      <c r="X5" s="132"/>
    </row>
    <row r="6" spans="3:24">
      <c r="D6" t="s">
        <v>598</v>
      </c>
      <c r="E6" s="132"/>
      <c r="F6" s="133">
        <f>-F5*'Notes to the Income Statement'!$O$196</f>
        <v>-49684.040000000008</v>
      </c>
      <c r="G6" s="133">
        <f>-G5*'Notes to the Income Statement'!$O$196</f>
        <v>-66996.160000000003</v>
      </c>
      <c r="H6" s="133">
        <f>-H5*'Notes to the Income Statement'!$O$196</f>
        <v>-92122.52</v>
      </c>
      <c r="I6" s="133">
        <f>-I5*'Notes to the Income Statement'!$O$196</f>
        <v>-120454.6</v>
      </c>
      <c r="J6" s="133">
        <f>-J5*'Notes to the Income Statement'!$O$196</f>
        <v>-130137.56000000001</v>
      </c>
      <c r="K6" s="133">
        <f>-K5*'Notes to the Income Statement'!$O$196</f>
        <v>-143552.92000000001</v>
      </c>
      <c r="L6" s="133">
        <f>-L5*'Notes to the Income Statement'!$O$196</f>
        <v>-185659.6</v>
      </c>
      <c r="M6" s="133">
        <f>-M5*'Notes to the Income Statement'!$O$196</f>
        <v>-199783.92</v>
      </c>
      <c r="N6" s="133">
        <f>-N5*'Notes to the Income Statement'!$O$196</f>
        <v>-239747.76</v>
      </c>
      <c r="O6" s="133">
        <f>-O5*'Notes to the Income Statement'!$O$196</f>
        <v>-287168.28000000003</v>
      </c>
      <c r="P6" s="132"/>
      <c r="Q6" s="132"/>
      <c r="R6" s="132"/>
      <c r="S6" s="132"/>
      <c r="T6" s="132"/>
      <c r="U6" s="132"/>
      <c r="V6" s="132"/>
      <c r="W6" s="132"/>
      <c r="X6" s="132"/>
    </row>
    <row r="7" spans="3:24">
      <c r="D7" t="s">
        <v>570</v>
      </c>
      <c r="E7" s="132"/>
      <c r="F7" s="133">
        <f>('2a. Income Statement'!F43*'Notes to the Income Statement'!$O$196)-'2a. Income Statement'!F46</f>
        <v>-12146.479999999996</v>
      </c>
      <c r="G7" s="133">
        <f>('2a. Income Statement'!G43*'Notes to the Income Statement'!$O$196)-'2a. Income Statement'!G46</f>
        <v>-11284</v>
      </c>
      <c r="H7" s="133">
        <f>('2a. Income Statement'!H43*'Notes to the Income Statement'!$O$196)-'2a. Income Statement'!H46</f>
        <v>-3794.5599999999977</v>
      </c>
      <c r="I7" s="133">
        <f>('2a. Income Statement'!I43*'Notes to the Income Statement'!$O$196)-'2a. Income Statement'!I46</f>
        <v>-20499.319999999992</v>
      </c>
      <c r="J7" s="133">
        <f>('2a. Income Statement'!J43*'Notes to the Income Statement'!$O$196)-'2a. Income Statement'!J46</f>
        <v>-41386.599999999977</v>
      </c>
      <c r="K7" s="133">
        <f>('2a. Income Statement'!K43*'Notes to the Income Statement'!$O$196)-'2a. Income Statement'!K46</f>
        <v>-39445.959999999992</v>
      </c>
      <c r="L7" s="133">
        <f>('2a. Income Statement'!L43*'Notes to the Income Statement'!$O$196)-'2a. Income Statement'!L46</f>
        <v>-37367.51999999999</v>
      </c>
      <c r="M7" s="133">
        <f>('2a. Income Statement'!M43*'Notes to the Income Statement'!$O$196)-'2a. Income Statement'!M46</f>
        <v>-17427.719999999972</v>
      </c>
      <c r="N7" s="133">
        <f>('2a. Income Statement'!N43*'Notes to the Income Statement'!$O$196)-'2a. Income Statement'!N46</f>
        <v>-21611.639999999985</v>
      </c>
      <c r="O7" s="133">
        <f>('2a. Income Statement'!O43*'Notes to the Income Statement'!$O$196)-'2a. Income Statement'!O46</f>
        <v>-26474.239999999962</v>
      </c>
      <c r="P7" s="132"/>
      <c r="Q7" s="132"/>
      <c r="R7" s="132"/>
      <c r="S7" s="132"/>
      <c r="T7" s="132"/>
      <c r="U7" s="132"/>
      <c r="V7" s="132"/>
      <c r="W7" s="132"/>
      <c r="X7" s="132"/>
    </row>
    <row r="8" spans="3:24" s="4" customFormat="1">
      <c r="C8" s="102"/>
      <c r="D8" s="4" t="s">
        <v>481</v>
      </c>
      <c r="E8" s="101"/>
      <c r="F8" s="134">
        <f t="shared" ref="F8:N8" si="0">SUM(F5:F7)</f>
        <v>115612.48</v>
      </c>
      <c r="G8" s="134">
        <f t="shared" si="0"/>
        <v>160991.84</v>
      </c>
      <c r="H8" s="134">
        <f t="shared" si="0"/>
        <v>233091.91999999998</v>
      </c>
      <c r="I8" s="134">
        <f t="shared" si="0"/>
        <v>289241.08</v>
      </c>
      <c r="J8" s="134">
        <f t="shared" si="0"/>
        <v>293252.84000000003</v>
      </c>
      <c r="K8" s="134">
        <f t="shared" si="0"/>
        <v>329690.12</v>
      </c>
      <c r="L8" s="134">
        <f t="shared" si="0"/>
        <v>440042.88</v>
      </c>
      <c r="M8" s="134">
        <f t="shared" si="0"/>
        <v>496302.36</v>
      </c>
      <c r="N8" s="134">
        <f t="shared" si="0"/>
        <v>594882.6</v>
      </c>
      <c r="O8" s="134">
        <f>SUM(O5:O7)</f>
        <v>711958.48</v>
      </c>
      <c r="P8" s="101"/>
      <c r="Q8" s="101"/>
      <c r="R8" s="101"/>
      <c r="S8" s="101"/>
      <c r="T8" s="101"/>
      <c r="U8" s="101"/>
      <c r="V8" s="101"/>
      <c r="W8" s="101"/>
      <c r="X8" s="101"/>
    </row>
    <row r="9" spans="3:24">
      <c r="D9" t="s">
        <v>681</v>
      </c>
      <c r="E9" s="132"/>
      <c r="F9" s="133">
        <f>'Notes to the Income Statement'!F65</f>
        <v>57315</v>
      </c>
      <c r="G9" s="133">
        <f>'Notes to the Income Statement'!G65</f>
        <v>67399</v>
      </c>
      <c r="H9" s="133">
        <f>'Notes to the Income Statement'!H65</f>
        <v>67255</v>
      </c>
      <c r="I9" s="133">
        <f>'Notes to the Income Statement'!I65</f>
        <v>72035</v>
      </c>
      <c r="J9" s="133">
        <f>'Notes to the Income Statement'!J65</f>
        <v>76875</v>
      </c>
      <c r="K9" s="133">
        <f>'Notes to the Income Statement'!K65</f>
        <v>77209</v>
      </c>
      <c r="L9" s="133">
        <f>'Notes to the Income Statement'!L65</f>
        <v>86339</v>
      </c>
      <c r="M9" s="133">
        <f>'Notes to the Income Statement'!M65</f>
        <v>87193</v>
      </c>
      <c r="N9" s="133">
        <f>'Notes to the Income Statement'!N65</f>
        <v>91202</v>
      </c>
      <c r="O9" s="133">
        <f>'Notes to the Income Statement'!O65</f>
        <v>136423</v>
      </c>
      <c r="P9" s="132"/>
      <c r="Q9" s="132"/>
      <c r="R9" s="132"/>
      <c r="S9" s="132"/>
      <c r="T9" s="132"/>
      <c r="U9" s="132"/>
      <c r="V9" s="132"/>
      <c r="W9" s="132"/>
      <c r="X9" s="132"/>
    </row>
    <row r="10" spans="3:24">
      <c r="D10" t="s">
        <v>627</v>
      </c>
      <c r="E10" s="132"/>
      <c r="F10" s="133">
        <v>0</v>
      </c>
      <c r="G10" s="133">
        <v>0</v>
      </c>
      <c r="H10" s="133">
        <v>0</v>
      </c>
      <c r="I10" s="133">
        <v>0</v>
      </c>
      <c r="J10" s="133">
        <v>0</v>
      </c>
      <c r="K10" s="133">
        <f>'Notes to the Income Statement'!K71</f>
        <v>0</v>
      </c>
      <c r="L10" s="133">
        <f>'Notes to the Income Statement'!L71</f>
        <v>853</v>
      </c>
      <c r="M10" s="133">
        <f>'Notes to the Income Statement'!M71</f>
        <v>15175</v>
      </c>
      <c r="N10" s="133">
        <f>'Notes to the Income Statement'!N71</f>
        <v>22421</v>
      </c>
      <c r="O10" s="133">
        <f>'Notes to the Income Statement'!O71</f>
        <v>40748</v>
      </c>
      <c r="P10" s="132"/>
      <c r="Q10" s="132"/>
      <c r="R10" s="132"/>
      <c r="S10" s="132"/>
      <c r="T10" s="132"/>
      <c r="U10" s="132"/>
      <c r="V10" s="132"/>
      <c r="W10" s="132"/>
      <c r="X10" s="132"/>
    </row>
    <row r="11" spans="3:24">
      <c r="D11" t="s">
        <v>638</v>
      </c>
      <c r="E11" s="132"/>
      <c r="F11" s="133">
        <f>-('2b. Balance Sheet'!F7-'2b. Balance Sheet'!E7+'Notes to the Income Statement'!F65)</f>
        <v>-88720</v>
      </c>
      <c r="G11" s="133">
        <f>-('2b. Balance Sheet'!G7-'2b. Balance Sheet'!F7+'Notes to the Income Statement'!G65)</f>
        <v>-24355</v>
      </c>
      <c r="H11" s="133">
        <f>-('2b. Balance Sheet'!H7-'2b. Balance Sheet'!G7+'Notes to the Income Statement'!H65)</f>
        <v>-127989</v>
      </c>
      <c r="I11" s="133">
        <f>-('2b. Balance Sheet'!I7-'2b. Balance Sheet'!H7+'Notes to the Income Statement'!I65)</f>
        <v>-90058</v>
      </c>
      <c r="J11" s="133">
        <f>-('2b. Balance Sheet'!J7-'2b. Balance Sheet'!I7+'Notes to the Income Statement'!J65)</f>
        <v>-89243</v>
      </c>
      <c r="K11" s="133">
        <f>-('2b. Balance Sheet'!K7-'2b. Balance Sheet'!J7+'Notes to the Income Statement'!K65)</f>
        <v>-128294</v>
      </c>
      <c r="L11" s="133">
        <f>-('2b. Balance Sheet'!L7-'2b. Balance Sheet'!K7+'Notes to the Income Statement'!L65)</f>
        <v>-106566</v>
      </c>
      <c r="M11" s="133">
        <f>-('2b. Balance Sheet'!M7-'2b. Balance Sheet'!L7+'Notes to the Income Statement'!M65)</f>
        <v>-109543</v>
      </c>
      <c r="N11" s="133">
        <f>-('2b. Balance Sheet'!N7-'2b. Balance Sheet'!M7+'Notes to the Income Statement'!N65)</f>
        <v>-145344</v>
      </c>
      <c r="O11" s="133">
        <f>-('2b. Balance Sheet'!O7-'2b. Balance Sheet'!N7+'Notes to the Income Statement'!O65)</f>
        <v>-1161374</v>
      </c>
      <c r="P11" s="132"/>
      <c r="Q11" s="132"/>
      <c r="R11" s="132"/>
      <c r="S11" s="132"/>
      <c r="T11" s="132"/>
      <c r="U11" s="132"/>
      <c r="V11" s="132"/>
      <c r="W11" s="132"/>
      <c r="X11" s="132"/>
    </row>
    <row r="12" spans="3:24">
      <c r="D12" t="s">
        <v>637</v>
      </c>
      <c r="E12" s="132"/>
      <c r="F12" s="133">
        <f>-('2b. Balance Sheet'!F11-'2b. Balance Sheet'!E11+'Notes to the Income Statement'!F71)</f>
        <v>-9181</v>
      </c>
      <c r="G12" s="133">
        <f>-('2b. Balance Sheet'!G11-'2b. Balance Sheet'!F11+'Notes to the Income Statement'!G71)</f>
        <v>6508</v>
      </c>
      <c r="H12" s="133">
        <f>-('2b. Balance Sheet'!H11-'2b. Balance Sheet'!G11+'Notes to the Income Statement'!H71)</f>
        <v>10219</v>
      </c>
      <c r="I12" s="133">
        <f>-('2b. Balance Sheet'!I11-'2b. Balance Sheet'!H11+'Notes to the Income Statement'!I71)</f>
        <v>9176</v>
      </c>
      <c r="J12" s="133">
        <f>-('2b. Balance Sheet'!J11-'2b. Balance Sheet'!I11+'Notes to the Income Statement'!J71)</f>
        <v>19934</v>
      </c>
      <c r="K12" s="133">
        <f>-('2b. Balance Sheet'!K11-'2b. Balance Sheet'!J11+'Notes to the Income Statement'!K71)</f>
        <v>-1918</v>
      </c>
      <c r="L12" s="133">
        <f>-('2b. Balance Sheet'!L11-'2b. Balance Sheet'!K11+'Notes to the Income Statement'!L71)</f>
        <v>-71390</v>
      </c>
      <c r="M12" s="133">
        <f>-('2b. Balance Sheet'!M11-'2b. Balance Sheet'!L11+'Notes to the Income Statement'!M71)</f>
        <v>-29339</v>
      </c>
      <c r="N12" s="133">
        <f>-('2b. Balance Sheet'!N11-'2b. Balance Sheet'!M11+'Notes to the Income Statement'!N71)</f>
        <v>-17244</v>
      </c>
      <c r="O12" s="133">
        <f>-('2b. Balance Sheet'!O11-'2b. Balance Sheet'!N11+'Notes to the Income Statement'!O71)</f>
        <v>-4412355</v>
      </c>
      <c r="P12" s="132"/>
      <c r="Q12" s="132"/>
      <c r="R12" s="132"/>
      <c r="S12" s="132"/>
      <c r="T12" s="132"/>
      <c r="U12" s="132"/>
      <c r="V12" s="132"/>
      <c r="W12" s="132"/>
      <c r="X12" s="132"/>
    </row>
    <row r="13" spans="3:24">
      <c r="D13" t="s">
        <v>571</v>
      </c>
      <c r="E13" s="132"/>
      <c r="F13" s="133">
        <f t="shared" ref="F13:N13" si="1">SUM(F14:F19)</f>
        <v>55764</v>
      </c>
      <c r="G13" s="133">
        <f t="shared" si="1"/>
        <v>-58596</v>
      </c>
      <c r="H13" s="133">
        <f t="shared" si="1"/>
        <v>-59620</v>
      </c>
      <c r="I13" s="133">
        <f t="shared" si="1"/>
        <v>-173710</v>
      </c>
      <c r="J13" s="133">
        <f t="shared" si="1"/>
        <v>-151308</v>
      </c>
      <c r="K13" s="133">
        <f t="shared" si="1"/>
        <v>140252</v>
      </c>
      <c r="L13" s="133">
        <f t="shared" si="1"/>
        <v>-340496</v>
      </c>
      <c r="M13" s="133">
        <f t="shared" si="1"/>
        <v>-451175</v>
      </c>
      <c r="N13" s="133">
        <f t="shared" si="1"/>
        <v>318802</v>
      </c>
      <c r="O13" s="133">
        <f>SUM(O14:O19)</f>
        <v>141319</v>
      </c>
      <c r="P13" s="132"/>
      <c r="Q13" s="132"/>
      <c r="R13" s="132"/>
      <c r="S13" s="132"/>
      <c r="T13" s="132"/>
      <c r="U13" s="132"/>
      <c r="V13" s="132"/>
      <c r="W13" s="132"/>
      <c r="X13" s="132"/>
    </row>
    <row r="14" spans="3:24">
      <c r="D14" t="s">
        <v>573</v>
      </c>
      <c r="E14" s="132"/>
      <c r="F14" s="133">
        <f>-('2b. Balance Sheet'!F20-'2b. Balance Sheet'!E20)</f>
        <v>54510</v>
      </c>
      <c r="G14" s="133">
        <f>-('2b. Balance Sheet'!G20-'2b. Balance Sheet'!F20)</f>
        <v>-8587</v>
      </c>
      <c r="H14" s="133">
        <f>-('2b. Balance Sheet'!H20-'2b. Balance Sheet'!G20)</f>
        <v>-12332</v>
      </c>
      <c r="I14" s="133">
        <f>-('2b. Balance Sheet'!I20-'2b. Balance Sheet'!H20)</f>
        <v>15612</v>
      </c>
      <c r="J14" s="133">
        <f>-('2b. Balance Sheet'!J20-'2b. Balance Sheet'!I20)</f>
        <v>-136722</v>
      </c>
      <c r="K14" s="133">
        <f>-('2b. Balance Sheet'!K20-'2b. Balance Sheet'!J20)</f>
        <v>8602</v>
      </c>
      <c r="L14" s="133">
        <f>-('2b. Balance Sheet'!L20-'2b. Balance Sheet'!K20)</f>
        <v>-282251</v>
      </c>
      <c r="M14" s="133">
        <f>-('2b. Balance Sheet'!M20-'2b. Balance Sheet'!L20)</f>
        <v>137292</v>
      </c>
      <c r="N14" s="133">
        <f>-('2b. Balance Sheet'!N20-'2b. Balance Sheet'!M20)</f>
        <v>-218946</v>
      </c>
      <c r="O14" s="133">
        <f>-('2b. Balance Sheet'!O20-'2b. Balance Sheet'!N20)</f>
        <v>-544403</v>
      </c>
      <c r="P14" s="132"/>
      <c r="Q14" s="132"/>
      <c r="R14" s="132"/>
      <c r="S14" s="132"/>
      <c r="T14" s="132"/>
      <c r="U14" s="132"/>
      <c r="V14" s="132"/>
      <c r="W14" s="132"/>
      <c r="X14" s="132"/>
    </row>
    <row r="15" spans="3:24">
      <c r="D15" t="s">
        <v>574</v>
      </c>
      <c r="E15" s="132"/>
      <c r="F15" s="133">
        <f>-('2b. Balance Sheet'!F19-'2b. Balance Sheet'!E19)</f>
        <v>23189</v>
      </c>
      <c r="G15" s="133">
        <f>-('2b. Balance Sheet'!G19-'2b. Balance Sheet'!F19)</f>
        <v>-93246</v>
      </c>
      <c r="H15" s="133">
        <f>-('2b. Balance Sheet'!H19-'2b. Balance Sheet'!G19)</f>
        <v>-31988</v>
      </c>
      <c r="I15" s="133">
        <f>-('2b. Balance Sheet'!I19-'2b. Balance Sheet'!H19)</f>
        <v>-245356</v>
      </c>
      <c r="J15" s="133">
        <f>-('2b. Balance Sheet'!J19-'2b. Balance Sheet'!I19)</f>
        <v>14976</v>
      </c>
      <c r="K15" s="133">
        <f>-('2b. Balance Sheet'!K19-'2b. Balance Sheet'!J19)</f>
        <v>84988</v>
      </c>
      <c r="L15" s="133">
        <f>-('2b. Balance Sheet'!L19-'2b. Balance Sheet'!K19)</f>
        <v>-288129</v>
      </c>
      <c r="M15" s="133">
        <f>-('2b. Balance Sheet'!M19-'2b. Balance Sheet'!L19)</f>
        <v>-435190</v>
      </c>
      <c r="N15" s="133">
        <f>-('2b. Balance Sheet'!N19-'2b. Balance Sheet'!M19)</f>
        <v>374554</v>
      </c>
      <c r="O15" s="133">
        <f>-('2b. Balance Sheet'!O19-'2b. Balance Sheet'!N19)</f>
        <v>-477651</v>
      </c>
      <c r="P15" s="132"/>
      <c r="Q15" s="132"/>
      <c r="R15" s="132"/>
      <c r="S15" s="132"/>
      <c r="T15" s="132"/>
      <c r="U15" s="132"/>
      <c r="V15" s="132"/>
      <c r="W15" s="132"/>
      <c r="X15" s="132"/>
    </row>
    <row r="16" spans="3:24">
      <c r="D16" t="s">
        <v>575</v>
      </c>
      <c r="E16" s="132"/>
      <c r="F16" s="133">
        <v>0</v>
      </c>
      <c r="G16" s="133">
        <f>-('2b. Balance Sheet'!G21-'2b. Balance Sheet'!F21)</f>
        <v>0</v>
      </c>
      <c r="H16" s="133">
        <f>-('2b. Balance Sheet'!H21-'2b. Balance Sheet'!G21)</f>
        <v>0</v>
      </c>
      <c r="I16" s="133">
        <f>-('2b. Balance Sheet'!I21-'2b. Balance Sheet'!H21)</f>
        <v>0</v>
      </c>
      <c r="J16" s="133">
        <f>-('2b. Balance Sheet'!J21-'2b. Balance Sheet'!I21)</f>
        <v>0</v>
      </c>
      <c r="K16" s="133">
        <f>-('2b. Balance Sheet'!K21-'2b. Balance Sheet'!J21)</f>
        <v>0</v>
      </c>
      <c r="L16" s="133">
        <f>-('2b. Balance Sheet'!L21-'2b. Balance Sheet'!K21)</f>
        <v>-4792</v>
      </c>
      <c r="M16" s="133">
        <f>-('2b. Balance Sheet'!M21-'2b. Balance Sheet'!L21)</f>
        <v>-8256</v>
      </c>
      <c r="N16" s="133">
        <f>-('2b. Balance Sheet'!N21-'2b. Balance Sheet'!M21)</f>
        <v>-19173</v>
      </c>
      <c r="O16" s="133">
        <f>-('2b. Balance Sheet'!O21-'2b. Balance Sheet'!N21)</f>
        <v>4281</v>
      </c>
      <c r="P16" s="132"/>
      <c r="Q16" s="132"/>
      <c r="R16" s="132"/>
      <c r="S16" s="132"/>
      <c r="T16" s="132"/>
      <c r="U16" s="132"/>
      <c r="V16" s="132"/>
      <c r="W16" s="132"/>
      <c r="X16" s="132"/>
    </row>
    <row r="17" spans="3:24">
      <c r="D17" t="s">
        <v>576</v>
      </c>
      <c r="E17" s="132"/>
      <c r="F17" s="133">
        <f>+('2b. Balance Sheet'!F49-'2b. Balance Sheet'!E49)</f>
        <v>-32780</v>
      </c>
      <c r="G17" s="133">
        <f>+('2b. Balance Sheet'!G49-'2b. Balance Sheet'!F49)</f>
        <v>36897</v>
      </c>
      <c r="H17" s="133">
        <f>+('2b. Balance Sheet'!H49-'2b. Balance Sheet'!G49)</f>
        <v>-31689</v>
      </c>
      <c r="I17" s="133">
        <f>+('2b. Balance Sheet'!I49-'2b. Balance Sheet'!H49)</f>
        <v>59277</v>
      </c>
      <c r="J17" s="133">
        <f>+('2b. Balance Sheet'!J49-'2b. Balance Sheet'!I49)</f>
        <v>-38145</v>
      </c>
      <c r="K17" s="133">
        <f>+('2b. Balance Sheet'!K49-'2b. Balance Sheet'!J49)</f>
        <v>129017</v>
      </c>
      <c r="L17" s="133">
        <f>+('2b. Balance Sheet'!L49-'2b. Balance Sheet'!K49)</f>
        <v>234676</v>
      </c>
      <c r="M17" s="133">
        <f>+('2b. Balance Sheet'!M49-'2b. Balance Sheet'!L49)</f>
        <v>-175511</v>
      </c>
      <c r="N17" s="133">
        <f>+('2b. Balance Sheet'!N49-'2b. Balance Sheet'!M49)</f>
        <v>186473</v>
      </c>
      <c r="O17" s="133">
        <f>+('2b. Balance Sheet'!O49-'2b. Balance Sheet'!N49)</f>
        <v>655850</v>
      </c>
      <c r="P17" s="132"/>
      <c r="Q17" s="132"/>
      <c r="R17" s="132"/>
      <c r="S17" s="132"/>
      <c r="T17" s="132"/>
      <c r="U17" s="132"/>
      <c r="V17" s="132"/>
      <c r="W17" s="132"/>
      <c r="X17" s="132"/>
    </row>
    <row r="18" spans="3:24">
      <c r="D18" t="s">
        <v>577</v>
      </c>
      <c r="E18" s="132"/>
      <c r="F18" s="133">
        <f>+('2b. Balance Sheet'!F51-'2b. Balance Sheet'!E51)</f>
        <v>7280</v>
      </c>
      <c r="G18" s="133">
        <f>+('2b. Balance Sheet'!G51-'2b. Balance Sheet'!F51)</f>
        <v>1353</v>
      </c>
      <c r="H18" s="133">
        <f>+('2b. Balance Sheet'!H51-'2b. Balance Sheet'!G51)</f>
        <v>11039</v>
      </c>
      <c r="I18" s="133">
        <f>+('2b. Balance Sheet'!I51-'2b. Balance Sheet'!H51)</f>
        <v>-13269</v>
      </c>
      <c r="J18" s="133">
        <f>+('2b. Balance Sheet'!J51-'2b. Balance Sheet'!I51)</f>
        <v>753</v>
      </c>
      <c r="K18" s="133">
        <f>+('2b. Balance Sheet'!K51-'2b. Balance Sheet'!J51)</f>
        <v>-24698</v>
      </c>
      <c r="L18" s="133">
        <f>+('2b. Balance Sheet'!L51-'2b. Balance Sheet'!K51)</f>
        <v>0</v>
      </c>
      <c r="M18" s="133">
        <f>+('2b. Balance Sheet'!M51-'2b. Balance Sheet'!L51)</f>
        <v>9265</v>
      </c>
      <c r="N18" s="133">
        <f>+('2b. Balance Sheet'!N51-'2b. Balance Sheet'!M51)</f>
        <v>-97</v>
      </c>
      <c r="O18" s="133">
        <f>+('2b. Balance Sheet'!O51-'2b. Balance Sheet'!N51)</f>
        <v>197952</v>
      </c>
      <c r="P18" s="132"/>
      <c r="Q18" s="132"/>
      <c r="R18" s="132"/>
      <c r="S18" s="132"/>
      <c r="T18" s="132"/>
      <c r="U18" s="132"/>
      <c r="V18" s="132"/>
      <c r="W18" s="132"/>
      <c r="X18" s="132"/>
    </row>
    <row r="19" spans="3:24">
      <c r="D19" t="s">
        <v>578</v>
      </c>
      <c r="E19" s="132"/>
      <c r="F19" s="133">
        <f>+('2b. Balance Sheet'!F52-'2b. Balance Sheet'!E52)</f>
        <v>3565</v>
      </c>
      <c r="G19" s="133">
        <f>+('2b. Balance Sheet'!G52-'2b. Balance Sheet'!F52)</f>
        <v>4987</v>
      </c>
      <c r="H19" s="133">
        <f>+('2b. Balance Sheet'!H52-'2b. Balance Sheet'!G52)</f>
        <v>5350</v>
      </c>
      <c r="I19" s="133">
        <f>+('2b. Balance Sheet'!I52-'2b. Balance Sheet'!H52)</f>
        <v>10026</v>
      </c>
      <c r="J19" s="133">
        <f>+('2b. Balance Sheet'!J52-'2b. Balance Sheet'!I52)</f>
        <v>7830</v>
      </c>
      <c r="K19" s="133">
        <f>+('2b. Balance Sheet'!K52-'2b. Balance Sheet'!J52)</f>
        <v>-57657</v>
      </c>
      <c r="L19" s="133">
        <f>+('2b. Balance Sheet'!L52-'2b. Balance Sheet'!K52)</f>
        <v>0</v>
      </c>
      <c r="M19" s="133">
        <f>+('2b. Balance Sheet'!M52-'2b. Balance Sheet'!L52)</f>
        <v>21225</v>
      </c>
      <c r="N19" s="133">
        <f>+('2b. Balance Sheet'!N52-'2b. Balance Sheet'!M52)</f>
        <v>-4009</v>
      </c>
      <c r="O19" s="133">
        <f>+('2b. Balance Sheet'!O52-'2b. Balance Sheet'!N52)</f>
        <v>305290</v>
      </c>
      <c r="P19" s="132"/>
      <c r="Q19" s="132"/>
      <c r="R19" s="132"/>
      <c r="S19" s="132"/>
      <c r="T19" s="132"/>
      <c r="U19" s="132"/>
      <c r="V19" s="132"/>
      <c r="W19" s="132"/>
      <c r="X19" s="132"/>
    </row>
    <row r="20" spans="3:24">
      <c r="D20" t="s">
        <v>572</v>
      </c>
      <c r="E20" s="132"/>
      <c r="F20" s="133">
        <f t="shared" ref="F20:M20" si="2">SUM(F21:F22)</f>
        <v>6778</v>
      </c>
      <c r="G20" s="133">
        <f t="shared" si="2"/>
        <v>5123</v>
      </c>
      <c r="H20" s="133">
        <f t="shared" si="2"/>
        <v>17200</v>
      </c>
      <c r="I20" s="133">
        <f t="shared" si="2"/>
        <v>4604</v>
      </c>
      <c r="J20" s="133">
        <f t="shared" si="2"/>
        <v>-5579</v>
      </c>
      <c r="K20" s="133" t="e">
        <f t="shared" si="2"/>
        <v>#REF!</v>
      </c>
      <c r="L20" s="133" t="e">
        <f t="shared" si="2"/>
        <v>#REF!</v>
      </c>
      <c r="M20" s="133">
        <f t="shared" si="2"/>
        <v>-10472</v>
      </c>
      <c r="N20" s="133">
        <f>SUM(N21:N22)</f>
        <v>25912</v>
      </c>
      <c r="O20" s="133">
        <f>SUM(O21:O22)</f>
        <v>270426</v>
      </c>
      <c r="P20" s="132"/>
      <c r="Q20" s="132"/>
      <c r="R20" s="132"/>
      <c r="S20" s="132"/>
      <c r="T20" s="132"/>
      <c r="U20" s="132"/>
      <c r="V20" s="132"/>
      <c r="W20" s="132"/>
      <c r="X20" s="132"/>
    </row>
    <row r="21" spans="3:24">
      <c r="D21" t="s">
        <v>593</v>
      </c>
      <c r="F21" s="133">
        <f>-('2b. Balance Sheet'!F12-'2b. Balance Sheet'!E12)</f>
        <v>2406</v>
      </c>
      <c r="G21" s="133">
        <f>-('2b. Balance Sheet'!G12-'2b. Balance Sheet'!F12)</f>
        <v>2412</v>
      </c>
      <c r="H21" s="133">
        <f>-('2b. Balance Sheet'!H12-'2b. Balance Sheet'!G12)</f>
        <v>5052</v>
      </c>
      <c r="I21" s="133">
        <f>-('2b. Balance Sheet'!I12-'2b. Balance Sheet'!H12)</f>
        <v>-492</v>
      </c>
      <c r="J21" s="133">
        <f>-('2b. Balance Sheet'!J12-'2b. Balance Sheet'!I12)</f>
        <v>-2650</v>
      </c>
      <c r="K21" s="133">
        <f>-('2b. Balance Sheet'!K12-'2b. Balance Sheet'!J12)</f>
        <v>-4676</v>
      </c>
      <c r="L21" s="133">
        <f>-('2b. Balance Sheet'!L12-'2b. Balance Sheet'!K12)</f>
        <v>-9983</v>
      </c>
      <c r="M21" s="133">
        <f>-('2b. Balance Sheet'!M12-'2b. Balance Sheet'!L12)</f>
        <v>-5315</v>
      </c>
      <c r="N21" s="133">
        <f>-('2b. Balance Sheet'!N12-'2b. Balance Sheet'!M12)</f>
        <v>4383</v>
      </c>
      <c r="O21" s="133">
        <f>-('2b. Balance Sheet'!O12-'2b. Balance Sheet'!N12)</f>
        <v>-1464</v>
      </c>
    </row>
    <row r="22" spans="3:24">
      <c r="D22" t="s">
        <v>594</v>
      </c>
      <c r="F22" s="133">
        <f>+('2b. Balance Sheet'!F46-'2b. Balance Sheet'!E46)</f>
        <v>4372</v>
      </c>
      <c r="G22" s="133">
        <f>+('2b. Balance Sheet'!G46-'2b. Balance Sheet'!F46)</f>
        <v>2711</v>
      </c>
      <c r="H22" s="133">
        <f>+('2b. Balance Sheet'!H46-'2b. Balance Sheet'!G46)</f>
        <v>12148</v>
      </c>
      <c r="I22" s="133">
        <f>+('2b. Balance Sheet'!I46-'2b. Balance Sheet'!H46)</f>
        <v>5096</v>
      </c>
      <c r="J22" s="133">
        <f>+('2b. Balance Sheet'!J46-'2b. Balance Sheet'!I46)</f>
        <v>-2929</v>
      </c>
      <c r="K22" s="133" t="e">
        <f>+('2b. Balance Sheet'!#REF!-'2b. Balance Sheet'!J46)</f>
        <v>#REF!</v>
      </c>
      <c r="L22" s="133" t="e">
        <f>+('2b. Balance Sheet'!L46-'2b. Balance Sheet'!#REF!)</f>
        <v>#REF!</v>
      </c>
      <c r="M22" s="133">
        <f>+('2b. Balance Sheet'!M46-'2b. Balance Sheet'!L46)</f>
        <v>-5157</v>
      </c>
      <c r="N22" s="133">
        <f>+('2b. Balance Sheet'!N46-'2b. Balance Sheet'!M46)</f>
        <v>21529</v>
      </c>
      <c r="O22" s="133">
        <f>+('2b. Balance Sheet'!O46-'2b. Balance Sheet'!N46)</f>
        <v>271890</v>
      </c>
    </row>
    <row r="23" spans="3:24" s="4" customFormat="1">
      <c r="C23" s="102"/>
      <c r="D23" s="4" t="s">
        <v>595</v>
      </c>
      <c r="F23" s="134">
        <f t="shared" ref="F23:O23" si="3">F8+F9+F10+F11+F12+F13+F20</f>
        <v>137568.47999999998</v>
      </c>
      <c r="G23" s="134">
        <f t="shared" si="3"/>
        <v>157070.84</v>
      </c>
      <c r="H23" s="134">
        <f t="shared" si="3"/>
        <v>140156.91999999998</v>
      </c>
      <c r="I23" s="134">
        <f t="shared" si="3"/>
        <v>111288.08000000002</v>
      </c>
      <c r="J23" s="134">
        <f t="shared" si="3"/>
        <v>143931.84000000003</v>
      </c>
      <c r="K23" s="134" t="e">
        <f t="shared" si="3"/>
        <v>#REF!</v>
      </c>
      <c r="L23" s="134" t="e">
        <f t="shared" si="3"/>
        <v>#REF!</v>
      </c>
      <c r="M23" s="134">
        <f t="shared" si="3"/>
        <v>-1858.640000000014</v>
      </c>
      <c r="N23" s="134">
        <f t="shared" si="3"/>
        <v>890631.6</v>
      </c>
      <c r="O23" s="134">
        <f t="shared" si="3"/>
        <v>-4272854.5199999996</v>
      </c>
    </row>
    <row r="24" spans="3:24" s="4" customFormat="1">
      <c r="C24" s="102"/>
      <c r="F24" s="134"/>
      <c r="G24" s="134"/>
      <c r="H24" s="134"/>
      <c r="I24" s="134"/>
      <c r="J24" s="134"/>
      <c r="K24" s="134"/>
      <c r="L24" s="134"/>
      <c r="M24" s="134"/>
      <c r="N24" s="134"/>
      <c r="O24" s="134"/>
    </row>
    <row r="25" spans="3:24">
      <c r="D25" t="s">
        <v>596</v>
      </c>
      <c r="F25" s="133">
        <f>'2a. Income Statement'!F41</f>
        <v>34651</v>
      </c>
      <c r="G25" s="133">
        <f>'2a. Income Statement'!G41</f>
        <v>35778</v>
      </c>
      <c r="H25" s="133">
        <f>'2a. Income Statement'!H41</f>
        <v>35878</v>
      </c>
      <c r="I25" s="133">
        <f>'2a. Income Statement'!I41</f>
        <v>31561</v>
      </c>
      <c r="J25" s="133">
        <f>'2a. Income Statement'!J41</f>
        <v>19750</v>
      </c>
      <c r="K25" s="133">
        <f>'2a. Income Statement'!K41</f>
        <v>25826</v>
      </c>
      <c r="L25" s="133">
        <f>'2a. Income Statement'!L41</f>
        <v>36279</v>
      </c>
      <c r="M25" s="133">
        <f>'2a. Income Statement'!M41</f>
        <v>16451</v>
      </c>
      <c r="N25" s="133">
        <f>'2a. Income Statement'!N41</f>
        <v>13273</v>
      </c>
      <c r="O25" s="133">
        <f>'2a. Income Statement'!O41</f>
        <v>61558</v>
      </c>
    </row>
    <row r="26" spans="3:24">
      <c r="D26" t="s">
        <v>597</v>
      </c>
      <c r="F26" s="133">
        <f>-F25*'Notes to the Income Statement'!$O$196</f>
        <v>-9702.2800000000007</v>
      </c>
      <c r="G26" s="133">
        <f>-G25*'Notes to the Income Statement'!$O$196</f>
        <v>-10017.84</v>
      </c>
      <c r="H26" s="133">
        <f>-H25*'Notes to the Income Statement'!$O$196</f>
        <v>-10045.84</v>
      </c>
      <c r="I26" s="133">
        <f>-I25*'Notes to the Income Statement'!$O$196</f>
        <v>-8837.0800000000017</v>
      </c>
      <c r="J26" s="133">
        <f>-J25*'Notes to the Income Statement'!$O$196</f>
        <v>-5530.0000000000009</v>
      </c>
      <c r="K26" s="133">
        <f>-K25*'Notes to the Income Statement'!$O$196</f>
        <v>-7231.2800000000007</v>
      </c>
      <c r="L26" s="133">
        <f>-L25*'Notes to the Income Statement'!$O$196</f>
        <v>-10158.120000000001</v>
      </c>
      <c r="M26" s="133">
        <f>-M25*'Notes to the Income Statement'!$O$196</f>
        <v>-4606.2800000000007</v>
      </c>
      <c r="N26" s="133">
        <f>-N25*'Notes to the Income Statement'!$O$196</f>
        <v>-3716.4400000000005</v>
      </c>
      <c r="O26" s="133">
        <f>-O25*'Notes to the Income Statement'!$O$196</f>
        <v>-17236.240000000002</v>
      </c>
    </row>
    <row r="27" spans="3:24" s="4" customFormat="1">
      <c r="C27" s="102"/>
      <c r="D27" s="4" t="s">
        <v>623</v>
      </c>
      <c r="F27" s="134">
        <f t="shared" ref="F27:N27" si="4">SUM(F25:F26)</f>
        <v>24948.720000000001</v>
      </c>
      <c r="G27" s="134">
        <f t="shared" si="4"/>
        <v>25760.16</v>
      </c>
      <c r="H27" s="134">
        <f t="shared" si="4"/>
        <v>25832.16</v>
      </c>
      <c r="I27" s="134">
        <f t="shared" si="4"/>
        <v>22723.919999999998</v>
      </c>
      <c r="J27" s="134">
        <f t="shared" si="4"/>
        <v>14220</v>
      </c>
      <c r="K27" s="134">
        <f t="shared" si="4"/>
        <v>18594.72</v>
      </c>
      <c r="L27" s="134">
        <f t="shared" si="4"/>
        <v>26120.879999999997</v>
      </c>
      <c r="M27" s="134">
        <f t="shared" si="4"/>
        <v>11844.72</v>
      </c>
      <c r="N27" s="134">
        <f t="shared" si="4"/>
        <v>9556.56</v>
      </c>
      <c r="O27" s="134">
        <f>SUM(O25:O26)</f>
        <v>44321.759999999995</v>
      </c>
    </row>
    <row r="28" spans="3:24">
      <c r="D28" t="s">
        <v>599</v>
      </c>
      <c r="F28" s="133">
        <f>-('2b. Balance Sheet'!F23-'2b. Balance Sheet'!E23)</f>
        <v>181914</v>
      </c>
      <c r="G28" s="133">
        <f>-('2b. Balance Sheet'!G23-'2b. Balance Sheet'!F23)</f>
        <v>-117843</v>
      </c>
      <c r="H28" s="133">
        <f>-('2b. Balance Sheet'!H23-'2b. Balance Sheet'!G23)</f>
        <v>45975</v>
      </c>
      <c r="I28" s="133">
        <f>-('2b. Balance Sheet'!I23-'2b. Balance Sheet'!H23)</f>
        <v>81132</v>
      </c>
      <c r="J28" s="133">
        <f>-('2b. Balance Sheet'!J23-'2b. Balance Sheet'!I23)</f>
        <v>7673</v>
      </c>
      <c r="K28" s="133">
        <f>-('2b. Balance Sheet'!K23-'2b. Balance Sheet'!J23)</f>
        <v>-214130</v>
      </c>
      <c r="L28" s="133">
        <f>-('2b. Balance Sheet'!L23-'2b. Balance Sheet'!K23)</f>
        <v>119682</v>
      </c>
      <c r="M28" s="133">
        <f>-('2b. Balance Sheet'!M23-'2b. Balance Sheet'!L23)</f>
        <v>164975</v>
      </c>
      <c r="N28" s="133">
        <f>-('2b. Balance Sheet'!N23-'2b. Balance Sheet'!M23)</f>
        <v>-232800</v>
      </c>
      <c r="O28" s="133">
        <f>-('2b. Balance Sheet'!O23-'2b. Balance Sheet'!N23)</f>
        <v>-837270</v>
      </c>
    </row>
    <row r="29" spans="3:24">
      <c r="D29" t="s">
        <v>600</v>
      </c>
      <c r="F29" s="133">
        <f>-('2b. Balance Sheet'!F13-'2b. Balance Sheet'!E13)</f>
        <v>-77053</v>
      </c>
      <c r="G29" s="133">
        <f>-('2b. Balance Sheet'!G13-'2b. Balance Sheet'!F13)</f>
        <v>-1383</v>
      </c>
      <c r="H29" s="133">
        <f>-('2b. Balance Sheet'!H13-'2b. Balance Sheet'!G13)</f>
        <v>-9897</v>
      </c>
      <c r="I29" s="133">
        <f>-('2b. Balance Sheet'!I13-'2b. Balance Sheet'!H13)</f>
        <v>-8853</v>
      </c>
      <c r="J29" s="133">
        <f>-('2b. Balance Sheet'!J13-'2b. Balance Sheet'!I13)</f>
        <v>-11786</v>
      </c>
      <c r="K29" s="133">
        <f>-('2b. Balance Sheet'!K13-'2b. Balance Sheet'!J13)</f>
        <v>-1548</v>
      </c>
      <c r="L29" s="133">
        <f>-('2b. Balance Sheet'!L13-'2b. Balance Sheet'!K13)</f>
        <v>10505</v>
      </c>
      <c r="M29" s="133">
        <f>-('2b. Balance Sheet'!M13-'2b. Balance Sheet'!L13)</f>
        <v>22615</v>
      </c>
      <c r="N29" s="133">
        <f>-('2b. Balance Sheet'!N13-'2b. Balance Sheet'!M13)</f>
        <v>6360</v>
      </c>
      <c r="O29" s="133">
        <f>-('2b. Balance Sheet'!O13-'2b. Balance Sheet'!N13)</f>
        <v>2695</v>
      </c>
    </row>
    <row r="30" spans="3:24">
      <c r="D30" t="s">
        <v>604</v>
      </c>
      <c r="F30" s="133">
        <f>-('2b. Balance Sheet'!F25-'2b. Balance Sheet'!E25)</f>
        <v>-4950</v>
      </c>
      <c r="G30" s="133">
        <f>-('2b. Balance Sheet'!G25-'2b. Balance Sheet'!F25)</f>
        <v>4348</v>
      </c>
      <c r="H30" s="133">
        <f>-('2b. Balance Sheet'!H25-'2b. Balance Sheet'!G25)</f>
        <v>602</v>
      </c>
      <c r="I30" s="133">
        <f>-('2b. Balance Sheet'!I25-'2b. Balance Sheet'!H25)</f>
        <v>0</v>
      </c>
      <c r="J30" s="133">
        <f>-('2b. Balance Sheet'!J25-'2b. Balance Sheet'!I25)</f>
        <v>0</v>
      </c>
      <c r="K30" s="133">
        <f>-('2b. Balance Sheet'!K25-'2b. Balance Sheet'!J25)</f>
        <v>0</v>
      </c>
      <c r="L30" s="133">
        <f>-('2b. Balance Sheet'!L25-'2b. Balance Sheet'!K25)</f>
        <v>0</v>
      </c>
      <c r="M30" s="133">
        <f>-('2b. Balance Sheet'!M25-'2b. Balance Sheet'!L25)</f>
        <v>0</v>
      </c>
      <c r="N30" s="133">
        <f>-('2b. Balance Sheet'!N25-'2b. Balance Sheet'!M25)</f>
        <v>0</v>
      </c>
      <c r="O30" s="133">
        <f>-('2b. Balance Sheet'!O25-'2b. Balance Sheet'!N25)</f>
        <v>-39478</v>
      </c>
    </row>
    <row r="31" spans="3:24">
      <c r="D31" t="s">
        <v>601</v>
      </c>
      <c r="F31" s="133">
        <f>-('2b. Balance Sheet'!F14-'2b. Balance Sheet'!E14)</f>
        <v>0</v>
      </c>
      <c r="G31" s="133">
        <f>-('2b. Balance Sheet'!G14-'2b. Balance Sheet'!F14)</f>
        <v>0</v>
      </c>
      <c r="H31" s="133">
        <f>-('2b. Balance Sheet'!H14-'2b. Balance Sheet'!G14)</f>
        <v>0</v>
      </c>
      <c r="I31" s="133">
        <f>-('2b. Balance Sheet'!I14-'2b. Balance Sheet'!H14)</f>
        <v>0</v>
      </c>
      <c r="J31" s="133">
        <f>-('2b. Balance Sheet'!J14-'2b. Balance Sheet'!I14)</f>
        <v>0</v>
      </c>
      <c r="K31" s="133">
        <f>-('2b. Balance Sheet'!K14-'2b. Balance Sheet'!J14)</f>
        <v>0</v>
      </c>
      <c r="L31" s="133">
        <f>-('2b. Balance Sheet'!L14-'2b. Balance Sheet'!K14)</f>
        <v>0</v>
      </c>
      <c r="M31" s="133">
        <f>-('2b. Balance Sheet'!M14-'2b. Balance Sheet'!L14)</f>
        <v>-104448</v>
      </c>
      <c r="N31" s="133">
        <f>-('2b. Balance Sheet'!N14-'2b. Balance Sheet'!M14)</f>
        <v>-7141</v>
      </c>
      <c r="O31" s="133">
        <f>-('2b. Balance Sheet'!O14-'2b. Balance Sheet'!N14)</f>
        <v>-247919</v>
      </c>
    </row>
    <row r="32" spans="3:24">
      <c r="D32" t="s">
        <v>602</v>
      </c>
      <c r="F32" s="133">
        <f>'2b. Balance Sheet'!F43-'2b. Balance Sheet'!E43</f>
        <v>1087</v>
      </c>
      <c r="G32" s="133">
        <f>'2b. Balance Sheet'!G43-'2b. Balance Sheet'!F43</f>
        <v>5912</v>
      </c>
      <c r="H32" s="133">
        <f>'2b. Balance Sheet'!H43-'2b. Balance Sheet'!G43</f>
        <v>7958</v>
      </c>
      <c r="I32" s="133">
        <f>'2b. Balance Sheet'!I43-'2b. Balance Sheet'!H43</f>
        <v>11505</v>
      </c>
      <c r="J32" s="133">
        <f>'2b. Balance Sheet'!J43-'2b. Balance Sheet'!I43</f>
        <v>16479</v>
      </c>
      <c r="K32" s="133">
        <f>'2b. Balance Sheet'!K43-'2b. Balance Sheet'!J43</f>
        <v>10753</v>
      </c>
      <c r="L32" s="133">
        <f>'2b. Balance Sheet'!L43-'2b. Balance Sheet'!K43</f>
        <v>43733</v>
      </c>
      <c r="M32" s="133">
        <f>'2b. Balance Sheet'!M43-'2b. Balance Sheet'!L43</f>
        <v>46464</v>
      </c>
      <c r="N32" s="133">
        <f>'2b. Balance Sheet'!N43-'2b. Balance Sheet'!M43</f>
        <v>-62703</v>
      </c>
      <c r="O32" s="133">
        <f>'2b. Balance Sheet'!O43-'2b. Balance Sheet'!N43</f>
        <v>4959</v>
      </c>
    </row>
    <row r="33" spans="3:15" s="4" customFormat="1">
      <c r="C33" s="102"/>
      <c r="D33" s="4" t="s">
        <v>603</v>
      </c>
      <c r="F33" s="134">
        <f t="shared" ref="F33:N33" si="5">SUM(F27:F32)</f>
        <v>125946.72</v>
      </c>
      <c r="G33" s="134">
        <f t="shared" si="5"/>
        <v>-83205.84</v>
      </c>
      <c r="H33" s="134">
        <f t="shared" si="5"/>
        <v>70470.16</v>
      </c>
      <c r="I33" s="134">
        <f t="shared" si="5"/>
        <v>106507.92</v>
      </c>
      <c r="J33" s="134">
        <f t="shared" si="5"/>
        <v>26586</v>
      </c>
      <c r="K33" s="134">
        <f t="shared" si="5"/>
        <v>-186330.28</v>
      </c>
      <c r="L33" s="134">
        <f t="shared" si="5"/>
        <v>200040.88</v>
      </c>
      <c r="M33" s="134">
        <f t="shared" si="5"/>
        <v>141450.72</v>
      </c>
      <c r="N33" s="134">
        <f t="shared" si="5"/>
        <v>-286727.44</v>
      </c>
      <c r="O33" s="134">
        <f>SUM(O27:O32)</f>
        <v>-1072691.24</v>
      </c>
    </row>
    <row r="34" spans="3:15" s="4" customFormat="1">
      <c r="C34" s="102"/>
      <c r="F34" s="134"/>
      <c r="G34" s="134"/>
      <c r="H34" s="134"/>
      <c r="I34" s="134"/>
      <c r="J34" s="134"/>
      <c r="K34" s="134"/>
      <c r="L34" s="134"/>
      <c r="M34" s="134"/>
      <c r="N34" s="134"/>
      <c r="O34" s="134"/>
    </row>
    <row r="35" spans="3:15">
      <c r="D35" t="s">
        <v>631</v>
      </c>
      <c r="F35" s="133">
        <f t="shared" ref="F35:M35" si="6">SUM(F36:F43)</f>
        <v>-7460</v>
      </c>
      <c r="G35" s="133">
        <f>SUM(G36:G43)</f>
        <v>-196</v>
      </c>
      <c r="H35" s="133">
        <f t="shared" si="6"/>
        <v>-7937</v>
      </c>
      <c r="I35" s="133">
        <f t="shared" si="6"/>
        <v>10886</v>
      </c>
      <c r="J35" s="133">
        <f t="shared" si="6"/>
        <v>21229</v>
      </c>
      <c r="K35" s="133">
        <f t="shared" si="6"/>
        <v>9571</v>
      </c>
      <c r="L35" s="133">
        <f t="shared" si="6"/>
        <v>6421</v>
      </c>
      <c r="M35" s="133">
        <f t="shared" si="6"/>
        <v>45504</v>
      </c>
      <c r="N35" s="133">
        <f>SUM(N36:N43)</f>
        <v>-31589</v>
      </c>
      <c r="O35" s="133">
        <f>SUM(O36:O43)</f>
        <v>-31064</v>
      </c>
    </row>
    <row r="36" spans="3:15">
      <c r="D36" t="s">
        <v>625</v>
      </c>
      <c r="F36" s="133">
        <f>-'Notes to the Income Statement'!F45</f>
        <v>-9838</v>
      </c>
      <c r="G36" s="133">
        <f>-'Notes to the Income Statement'!G45</f>
        <v>-5308</v>
      </c>
      <c r="H36" s="133">
        <f>-'Notes to the Income Statement'!H45</f>
        <v>-15769</v>
      </c>
      <c r="I36" s="133">
        <f>-'Notes to the Income Statement'!I45</f>
        <v>4900</v>
      </c>
      <c r="J36" s="133">
        <f>-'Notes to the Income Statement'!J45</f>
        <v>13595</v>
      </c>
      <c r="K36" s="133">
        <f>-'2a. Income Statement'!K23</f>
        <v>0</v>
      </c>
      <c r="L36" s="133">
        <f>-'2a. Income Statement'!L23</f>
        <v>0</v>
      </c>
      <c r="M36" s="133">
        <f>-'2a. Income Statement'!M23</f>
        <v>43293</v>
      </c>
      <c r="N36" s="133">
        <f>'2a. Income Statement'!N23</f>
        <v>-37196</v>
      </c>
      <c r="O36" s="133">
        <f>'2a. Income Statement'!O23</f>
        <v>-40542</v>
      </c>
    </row>
    <row r="37" spans="3:15">
      <c r="D37" t="s">
        <v>628</v>
      </c>
      <c r="F37" s="133">
        <f>-'Notes to the Income Statement'!F47</f>
        <v>-235</v>
      </c>
      <c r="G37" s="133">
        <f>-'Notes to the Income Statement'!G47</f>
        <v>-522</v>
      </c>
      <c r="H37" s="133">
        <f>-'Notes to the Income Statement'!H47</f>
        <v>-33</v>
      </c>
      <c r="I37" s="133">
        <f>-'Notes to the Income Statement'!I47</f>
        <v>-1480</v>
      </c>
      <c r="J37" s="133">
        <f>-'Notes to the Income Statement'!J47</f>
        <v>-483</v>
      </c>
      <c r="K37" s="133">
        <f>-'Notes to the Income Statement'!K47</f>
        <v>-57</v>
      </c>
      <c r="L37" s="133">
        <f>-'Notes to the Income Statement'!L47</f>
        <v>-1193</v>
      </c>
      <c r="M37" s="133">
        <f>-'Notes to the Income Statement'!M47</f>
        <v>0</v>
      </c>
      <c r="N37" s="133">
        <f>-'Notes to the Income Statement'!N47</f>
        <v>0</v>
      </c>
      <c r="O37" s="133">
        <f>-'Notes to the Income Statement'!O47</f>
        <v>-1293</v>
      </c>
    </row>
    <row r="38" spans="3:15">
      <c r="D38" t="s">
        <v>629</v>
      </c>
      <c r="F38" s="133">
        <f>-'Notes to the Income Statement'!F48</f>
        <v>0</v>
      </c>
      <c r="G38" s="133">
        <f>-'Notes to the Income Statement'!G48</f>
        <v>0</v>
      </c>
      <c r="H38" s="133">
        <f>-'Notes to the Income Statement'!H48</f>
        <v>0</v>
      </c>
      <c r="I38" s="133">
        <f>-'Notes to the Income Statement'!I48</f>
        <v>0</v>
      </c>
      <c r="J38" s="133">
        <f>-'Notes to the Income Statement'!J48</f>
        <v>0</v>
      </c>
      <c r="K38" s="133">
        <f>-'Notes to the Income Statement'!K48</f>
        <v>0</v>
      </c>
      <c r="L38" s="133">
        <f>-'Notes to the Income Statement'!L48</f>
        <v>0</v>
      </c>
      <c r="M38" s="133">
        <f>-'Notes to the Income Statement'!M48</f>
        <v>0</v>
      </c>
      <c r="N38" s="133">
        <f>-'Notes to the Income Statement'!N48</f>
        <v>0</v>
      </c>
      <c r="O38" s="133">
        <f>-'Notes to the Income Statement'!O48</f>
        <v>-500</v>
      </c>
    </row>
    <row r="39" spans="3:15">
      <c r="D39" t="s">
        <v>640</v>
      </c>
      <c r="F39" s="133"/>
      <c r="G39" s="133"/>
      <c r="H39" s="133"/>
      <c r="I39" s="133"/>
      <c r="J39" s="133"/>
      <c r="K39" s="133"/>
      <c r="L39" s="133"/>
      <c r="M39" s="133"/>
      <c r="N39" s="133">
        <f>-'Notes to the Income Statement'!N50</f>
        <v>-268</v>
      </c>
      <c r="O39" s="133"/>
    </row>
    <row r="40" spans="3:15">
      <c r="D40" t="s">
        <v>304</v>
      </c>
      <c r="F40" s="133">
        <f>'Notes to the Income Statement'!F82</f>
        <v>0</v>
      </c>
      <c r="G40" s="133">
        <f>'Notes to the Income Statement'!G82</f>
        <v>0</v>
      </c>
      <c r="H40" s="133">
        <f>'Notes to the Income Statement'!H82</f>
        <v>0</v>
      </c>
      <c r="I40" s="133">
        <f>'Notes to the Income Statement'!I82</f>
        <v>0</v>
      </c>
      <c r="J40" s="133">
        <f>'Notes to the Income Statement'!J82</f>
        <v>0</v>
      </c>
      <c r="K40" s="133">
        <f>'Notes to the Income Statement'!K82</f>
        <v>0</v>
      </c>
      <c r="L40" s="133">
        <f>'Notes to the Income Statement'!L82</f>
        <v>0</v>
      </c>
      <c r="M40" s="133">
        <f>'Notes to the Income Statement'!M82</f>
        <v>0</v>
      </c>
      <c r="N40" s="133">
        <f>'Notes to the Income Statement'!N82</f>
        <v>0</v>
      </c>
      <c r="O40" s="133">
        <f>'Notes to the Income Statement'!O82</f>
        <v>3455</v>
      </c>
    </row>
    <row r="41" spans="3:15">
      <c r="D41" t="s">
        <v>686</v>
      </c>
      <c r="F41" s="133"/>
      <c r="G41" s="133"/>
      <c r="H41" s="133"/>
      <c r="I41" s="133"/>
      <c r="J41" s="133"/>
      <c r="K41" s="133"/>
      <c r="L41" s="133"/>
      <c r="M41" s="133"/>
      <c r="N41" s="133"/>
      <c r="O41" s="133"/>
    </row>
    <row r="42" spans="3:15">
      <c r="D42" t="s">
        <v>630</v>
      </c>
      <c r="F42" s="133">
        <f>'Notes to the Income Statement'!F86</f>
        <v>2613</v>
      </c>
      <c r="G42" s="133">
        <f>'Notes to the Income Statement'!G86</f>
        <v>377</v>
      </c>
      <c r="H42" s="133">
        <f>'Notes to the Income Statement'!H86</f>
        <v>441</v>
      </c>
      <c r="I42" s="133">
        <f>'Notes to the Income Statement'!I86</f>
        <v>42</v>
      </c>
      <c r="J42" s="133">
        <f>'Notes to the Income Statement'!J86</f>
        <v>0</v>
      </c>
      <c r="K42" s="133">
        <f>'Notes to the Income Statement'!K86</f>
        <v>9628</v>
      </c>
      <c r="L42" s="133">
        <f>'Notes to the Income Statement'!L86</f>
        <v>7614</v>
      </c>
      <c r="M42" s="133">
        <f>'Notes to the Income Statement'!M86</f>
        <v>0</v>
      </c>
      <c r="N42" s="133">
        <f>'Notes to the Income Statement'!N86</f>
        <v>2379</v>
      </c>
      <c r="O42" s="133">
        <f>'Notes to the Income Statement'!O86</f>
        <v>4747</v>
      </c>
    </row>
    <row r="43" spans="3:15">
      <c r="D43" t="s">
        <v>648</v>
      </c>
      <c r="F43" s="133">
        <f>'Notes to the Income Statement'!F87</f>
        <v>0</v>
      </c>
      <c r="G43" s="133">
        <f>'Notes to the Income Statement'!G87</f>
        <v>5257</v>
      </c>
      <c r="H43" s="133">
        <f>'Notes to the Income Statement'!H87</f>
        <v>7424</v>
      </c>
      <c r="I43" s="133">
        <f>'Notes to the Income Statement'!I87</f>
        <v>7424</v>
      </c>
      <c r="J43" s="133">
        <f>'Notes to the Income Statement'!J87</f>
        <v>8117</v>
      </c>
      <c r="K43" s="133">
        <f>'Notes to the Income Statement'!K87</f>
        <v>0</v>
      </c>
      <c r="L43" s="133">
        <f>'Notes to the Income Statement'!L87</f>
        <v>0</v>
      </c>
      <c r="M43" s="133">
        <f>'Notes to the Income Statement'!M87</f>
        <v>2211</v>
      </c>
      <c r="N43" s="133">
        <f>'Notes to the Income Statement'!N87</f>
        <v>3496</v>
      </c>
      <c r="O43" s="133">
        <f>'Notes to the Income Statement'!O87</f>
        <v>3069</v>
      </c>
    </row>
    <row r="44" spans="3:15">
      <c r="D44" t="s">
        <v>632</v>
      </c>
      <c r="F44" s="133">
        <f t="shared" ref="F44:O44" si="7">SUM(F46:F59)</f>
        <v>6165</v>
      </c>
      <c r="G44" s="133">
        <f t="shared" si="7"/>
        <v>3719</v>
      </c>
      <c r="H44" s="133">
        <f t="shared" si="7"/>
        <v>-10916</v>
      </c>
      <c r="I44" s="133">
        <f t="shared" si="7"/>
        <v>-16483</v>
      </c>
      <c r="J44" s="133">
        <f t="shared" si="7"/>
        <v>418</v>
      </c>
      <c r="K44" s="133">
        <f t="shared" si="7"/>
        <v>0</v>
      </c>
      <c r="L44" s="133">
        <f t="shared" si="7"/>
        <v>0</v>
      </c>
      <c r="M44" s="133">
        <f t="shared" si="7"/>
        <v>0</v>
      </c>
      <c r="N44" s="133">
        <f t="shared" si="7"/>
        <v>0</v>
      </c>
      <c r="O44" s="133">
        <f t="shared" si="7"/>
        <v>-80815</v>
      </c>
    </row>
    <row r="45" spans="3:15">
      <c r="D45" t="s">
        <v>652</v>
      </c>
      <c r="F45" s="133"/>
      <c r="G45" s="133"/>
      <c r="H45" s="133"/>
      <c r="I45" s="133"/>
      <c r="J45" s="133">
        <f>-'Notes to the Income Statement'!J114</f>
        <v>19279</v>
      </c>
      <c r="K45" s="133"/>
      <c r="L45" s="133"/>
      <c r="M45" s="133"/>
      <c r="N45" s="133"/>
      <c r="O45" s="133"/>
    </row>
    <row r="46" spans="3:15">
      <c r="D46" t="s">
        <v>633</v>
      </c>
      <c r="F46" s="133">
        <f>-'Notes to the Income Statement'!F97</f>
        <v>0</v>
      </c>
      <c r="G46" s="133">
        <f>-'Notes to the Income Statement'!G97</f>
        <v>0</v>
      </c>
      <c r="H46" s="133">
        <f>-'Notes to the Income Statement'!H97</f>
        <v>0</v>
      </c>
      <c r="I46" s="133">
        <f>-'Notes to the Income Statement'!I97</f>
        <v>713</v>
      </c>
      <c r="J46" s="133">
        <f>-'Notes to the Income Statement'!J97</f>
        <v>432</v>
      </c>
      <c r="K46" s="133">
        <f>-'Notes to the Income Statement'!K97</f>
        <v>0</v>
      </c>
      <c r="L46" s="133">
        <f>-'Notes to the Income Statement'!L97</f>
        <v>0</v>
      </c>
      <c r="M46" s="133">
        <f>-'Notes to the Income Statement'!M97</f>
        <v>0</v>
      </c>
      <c r="N46" s="133">
        <f>-'Notes to the Income Statement'!N97</f>
        <v>0</v>
      </c>
      <c r="O46" s="133"/>
    </row>
    <row r="47" spans="3:15">
      <c r="D47" t="s">
        <v>642</v>
      </c>
      <c r="F47" s="133">
        <f>-'Notes to the Income Statement'!F101</f>
        <v>6842</v>
      </c>
      <c r="G47" s="133">
        <f>-'Notes to the Income Statement'!G101</f>
        <v>1514</v>
      </c>
      <c r="H47" s="133"/>
      <c r="I47" s="133"/>
      <c r="J47" s="133"/>
      <c r="K47" s="133"/>
      <c r="L47" s="133"/>
      <c r="M47" s="133"/>
      <c r="N47" s="133"/>
      <c r="O47" s="133"/>
    </row>
    <row r="48" spans="3:15">
      <c r="D48" t="s">
        <v>636</v>
      </c>
      <c r="F48" s="18">
        <v>-450</v>
      </c>
      <c r="G48" s="18">
        <f>-'Notes to the Income Statement'!G96</f>
        <v>64</v>
      </c>
      <c r="H48">
        <f>-'Notes to the Income Statement'!H96</f>
        <v>-1684</v>
      </c>
      <c r="I48">
        <f>-'Notes to the Income Statement'!I96</f>
        <v>-8474</v>
      </c>
      <c r="J48">
        <f>-'Notes to the Income Statement'!J96</f>
        <v>-14</v>
      </c>
      <c r="K48">
        <f>-'Notes to the Income Statement'!K96</f>
        <v>0</v>
      </c>
      <c r="L48">
        <f>-'Notes to the Income Statement'!L96</f>
        <v>0</v>
      </c>
      <c r="M48">
        <f>-'Notes to the Income Statement'!M96</f>
        <v>0</v>
      </c>
      <c r="N48">
        <f>-'Notes to the Income Statement'!N96</f>
        <v>0</v>
      </c>
    </row>
    <row r="49" spans="3:15">
      <c r="D49" t="s">
        <v>641</v>
      </c>
      <c r="F49" s="18">
        <f>-'Notes to the Income Statement'!F103</f>
        <v>-227</v>
      </c>
    </row>
    <row r="50" spans="3:15">
      <c r="D50" t="s">
        <v>644</v>
      </c>
      <c r="F50" s="18"/>
      <c r="G50">
        <f>-'Notes to the Income Statement'!G100</f>
        <v>-5547</v>
      </c>
      <c r="H50">
        <f>-'Notes to the Income Statement'!H100</f>
        <v>-5395</v>
      </c>
      <c r="I50">
        <f>-'Notes to the Income Statement'!I100</f>
        <v>-7422</v>
      </c>
    </row>
    <row r="51" spans="3:15">
      <c r="D51" t="s">
        <v>645</v>
      </c>
      <c r="F51" s="18"/>
      <c r="G51">
        <f>-'Notes to the Income Statement'!G105</f>
        <v>1839</v>
      </c>
      <c r="I51">
        <f>-'Notes to the Income Statement'!I97</f>
        <v>713</v>
      </c>
    </row>
    <row r="52" spans="3:15">
      <c r="D52" t="s">
        <v>311</v>
      </c>
      <c r="F52" s="18"/>
      <c r="G52">
        <f>-'Notes to the Income Statement'!G108</f>
        <v>6223</v>
      </c>
      <c r="H52">
        <f>-'Notes to the Income Statement'!H108</f>
        <v>1476</v>
      </c>
      <c r="I52">
        <f>-'Notes to the Income Statement'!I108</f>
        <v>0</v>
      </c>
    </row>
    <row r="53" spans="3:15">
      <c r="D53" t="s">
        <v>646</v>
      </c>
      <c r="F53" s="18"/>
      <c r="G53">
        <f>-'Notes to the Income Statement'!G106</f>
        <v>1750</v>
      </c>
    </row>
    <row r="54" spans="3:15">
      <c r="D54" t="s">
        <v>647</v>
      </c>
      <c r="F54" s="18"/>
      <c r="G54">
        <f>-'Notes to the Income Statement'!G109</f>
        <v>1180</v>
      </c>
      <c r="H54">
        <f>-'Notes to the Income Statement'!H109</f>
        <v>-505</v>
      </c>
      <c r="I54">
        <f>-'Notes to the Income Statement'!I109</f>
        <v>-600</v>
      </c>
    </row>
    <row r="55" spans="3:15">
      <c r="D55" t="s">
        <v>395</v>
      </c>
      <c r="F55" s="18"/>
      <c r="H55">
        <f>-'Notes to the Income Statement'!H102</f>
        <v>-243</v>
      </c>
      <c r="I55">
        <f>-'Notes to the Income Statement'!I102</f>
        <v>-1413</v>
      </c>
    </row>
    <row r="56" spans="3:15">
      <c r="D56" t="s">
        <v>649</v>
      </c>
      <c r="F56" s="18"/>
      <c r="H56">
        <f>-'Notes to the Income Statement'!H110</f>
        <v>-4565</v>
      </c>
    </row>
    <row r="57" spans="3:15">
      <c r="D57" t="s">
        <v>643</v>
      </c>
      <c r="F57" s="18"/>
      <c r="G57">
        <f>-'Notes to the Income Statement'!G95</f>
        <v>-1652</v>
      </c>
      <c r="I57">
        <f>-'Notes to the Income Statement'!I95</f>
        <v>0</v>
      </c>
    </row>
    <row r="58" spans="3:15">
      <c r="D58" t="s">
        <v>634</v>
      </c>
      <c r="F58" s="133"/>
      <c r="G58" s="133"/>
      <c r="H58" s="133"/>
      <c r="I58" s="133"/>
      <c r="J58" s="133"/>
      <c r="K58" s="133"/>
      <c r="L58" s="133"/>
      <c r="M58" s="133"/>
      <c r="N58" s="133">
        <f>+'Notes to the Income Statement'!N94</f>
        <v>0</v>
      </c>
      <c r="O58" s="133">
        <f>+'Notes to the Income Statement'!O94</f>
        <v>-80815</v>
      </c>
    </row>
    <row r="59" spans="3:15">
      <c r="D59" t="s">
        <v>635</v>
      </c>
      <c r="F59" s="133">
        <f>-'Notes to the Income Statement'!F95</f>
        <v>0</v>
      </c>
      <c r="G59" s="133">
        <f>-'Notes to the Income Statement'!G95</f>
        <v>-1652</v>
      </c>
      <c r="H59" s="133"/>
      <c r="I59" s="133">
        <f>-'Notes to the Income Statement'!I95</f>
        <v>0</v>
      </c>
      <c r="J59" s="133">
        <f>-'Notes to the Income Statement'!J95</f>
        <v>0</v>
      </c>
      <c r="K59" s="133">
        <f>-'Notes to the Income Statement'!K95</f>
        <v>0</v>
      </c>
      <c r="L59" s="133">
        <f>-'Notes to the Income Statement'!L95</f>
        <v>0</v>
      </c>
      <c r="M59" s="133">
        <f>-'Notes to the Income Statement'!M95</f>
        <v>0</v>
      </c>
      <c r="N59" s="133">
        <f>-'Notes to the Income Statement'!N95</f>
        <v>0</v>
      </c>
      <c r="O59" s="133"/>
    </row>
    <row r="60" spans="3:15">
      <c r="D60" t="s">
        <v>682</v>
      </c>
      <c r="O60" s="133">
        <f>SUM(O61:O63)</f>
        <v>454086</v>
      </c>
    </row>
    <row r="61" spans="3:15" s="9" customFormat="1">
      <c r="C61" s="117"/>
      <c r="D61" s="9" t="s">
        <v>683</v>
      </c>
      <c r="F61" s="138"/>
      <c r="G61" s="138"/>
      <c r="H61" s="138"/>
      <c r="I61" s="138"/>
      <c r="J61" s="138"/>
      <c r="K61" s="138"/>
      <c r="L61" s="138"/>
      <c r="M61" s="138"/>
      <c r="N61" s="138">
        <f>'2a. Income Statement'!N82</f>
        <v>6205</v>
      </c>
      <c r="O61" s="138">
        <f>'2a. Income Statement'!O82</f>
        <v>432332</v>
      </c>
    </row>
    <row r="62" spans="3:15" s="9" customFormat="1">
      <c r="C62" s="117"/>
      <c r="D62" s="9" t="s">
        <v>684</v>
      </c>
      <c r="F62" s="138"/>
      <c r="G62" s="138"/>
      <c r="H62" s="138"/>
      <c r="I62" s="138"/>
      <c r="J62" s="138"/>
      <c r="K62" s="138"/>
      <c r="L62" s="138"/>
      <c r="M62" s="138"/>
      <c r="N62" s="138">
        <f>'2a. Income Statement'!N83</f>
        <v>-7346</v>
      </c>
      <c r="O62" s="138">
        <f>'2a. Income Statement'!O83</f>
        <v>23511</v>
      </c>
    </row>
    <row r="63" spans="3:15" s="9" customFormat="1">
      <c r="C63" s="117"/>
      <c r="D63" s="9" t="s">
        <v>685</v>
      </c>
      <c r="F63" s="138"/>
      <c r="G63" s="138"/>
      <c r="H63" s="138"/>
      <c r="I63" s="138"/>
      <c r="J63" s="138"/>
      <c r="K63" s="138"/>
      <c r="L63" s="138"/>
      <c r="M63" s="138"/>
      <c r="N63" s="138">
        <f>'2a. Income Statement'!N84</f>
        <v>0</v>
      </c>
      <c r="O63" s="138">
        <f>'2a. Income Statement'!O84</f>
        <v>-1757</v>
      </c>
    </row>
    <row r="64" spans="3:15" s="9" customFormat="1">
      <c r="C64" s="117"/>
      <c r="F64" s="138"/>
      <c r="G64" s="138"/>
      <c r="H64" s="138"/>
      <c r="I64" s="138"/>
      <c r="J64" s="138"/>
      <c r="K64" s="138"/>
      <c r="L64" s="138"/>
      <c r="M64" s="138"/>
      <c r="N64" s="138"/>
      <c r="O64" s="138"/>
    </row>
    <row r="65" spans="3:15" s="4" customFormat="1">
      <c r="C65" s="102"/>
      <c r="D65" s="4" t="s">
        <v>639</v>
      </c>
      <c r="F65" s="134">
        <f t="shared" ref="F65:M65" si="8">F44+F35</f>
        <v>-1295</v>
      </c>
      <c r="G65" s="134">
        <f t="shared" si="8"/>
        <v>3523</v>
      </c>
      <c r="H65" s="134">
        <f t="shared" si="8"/>
        <v>-18853</v>
      </c>
      <c r="I65" s="134">
        <f t="shared" si="8"/>
        <v>-5597</v>
      </c>
      <c r="J65" s="134">
        <f t="shared" si="8"/>
        <v>21647</v>
      </c>
      <c r="K65" s="134">
        <f t="shared" si="8"/>
        <v>9571</v>
      </c>
      <c r="L65" s="134">
        <f t="shared" si="8"/>
        <v>6421</v>
      </c>
      <c r="M65" s="134">
        <f t="shared" si="8"/>
        <v>45504</v>
      </c>
      <c r="N65" s="134" t="e">
        <f>N44+N35+N60+#REF!</f>
        <v>#REF!</v>
      </c>
      <c r="O65" s="134">
        <f>O44+O35+O60</f>
        <v>342207</v>
      </c>
    </row>
    <row r="66" spans="3:15" ht="16" thickBot="1">
      <c r="N66" s="133"/>
      <c r="O66" s="133"/>
    </row>
    <row r="67" spans="3:15" s="4" customFormat="1" ht="16" thickBot="1">
      <c r="C67" s="102"/>
      <c r="D67" s="103" t="s">
        <v>605</v>
      </c>
      <c r="E67" s="103"/>
      <c r="F67" s="136">
        <f t="shared" ref="F67:M67" si="9">F23+F33+F35+F44</f>
        <v>262220.19999999995</v>
      </c>
      <c r="G67" s="136">
        <f t="shared" si="9"/>
        <v>77388</v>
      </c>
      <c r="H67" s="136">
        <f t="shared" si="9"/>
        <v>191774.07999999999</v>
      </c>
      <c r="I67" s="136">
        <f t="shared" si="9"/>
        <v>212199</v>
      </c>
      <c r="J67" s="136">
        <f t="shared" si="9"/>
        <v>192164.84000000003</v>
      </c>
      <c r="K67" s="136" t="e">
        <f t="shared" si="9"/>
        <v>#REF!</v>
      </c>
      <c r="L67" s="136" t="e">
        <f t="shared" si="9"/>
        <v>#REF!</v>
      </c>
      <c r="M67" s="136">
        <f t="shared" si="9"/>
        <v>185096.08</v>
      </c>
      <c r="N67" s="136" t="e">
        <f>N23+N33+N65</f>
        <v>#REF!</v>
      </c>
      <c r="O67" s="136">
        <f>O23+O33+O65</f>
        <v>-5003338.76</v>
      </c>
    </row>
    <row r="68" spans="3:15">
      <c r="N68" s="133"/>
      <c r="O68" s="133"/>
    </row>
    <row r="69" spans="3:15">
      <c r="D69" t="s">
        <v>606</v>
      </c>
      <c r="F69" s="133">
        <f>+('2b. Balance Sheet'!F53-'2b. Balance Sheet'!E53)</f>
        <v>-25440</v>
      </c>
      <c r="G69" s="133">
        <f>+('2b. Balance Sheet'!G53-'2b. Balance Sheet'!F53)</f>
        <v>26195</v>
      </c>
      <c r="H69" s="133">
        <f>+('2b. Balance Sheet'!H53-'2b. Balance Sheet'!G53)</f>
        <v>-45739</v>
      </c>
      <c r="I69" s="133">
        <f>+('2b. Balance Sheet'!I53-'2b. Balance Sheet'!H53)</f>
        <v>-31969</v>
      </c>
      <c r="J69" s="133">
        <f>+('2b. Balance Sheet'!J53-'2b. Balance Sheet'!I53)</f>
        <v>16181</v>
      </c>
      <c r="K69" s="133">
        <f>+('2b. Balance Sheet'!K53-'2b. Balance Sheet'!J53)</f>
        <v>-25298</v>
      </c>
      <c r="L69" s="133">
        <f>+('2b. Balance Sheet'!L53-'2b. Balance Sheet'!K53)</f>
        <v>33258</v>
      </c>
      <c r="M69" s="133">
        <f>+('2b. Balance Sheet'!M53-'2b. Balance Sheet'!L53)</f>
        <v>212426</v>
      </c>
      <c r="N69" s="133">
        <f>+('2b. Balance Sheet'!N53-'2b. Balance Sheet'!M53)</f>
        <v>-257000</v>
      </c>
      <c r="O69" s="133">
        <f>+('2b. Balance Sheet'!O53-'2b. Balance Sheet'!N53)</f>
        <v>0</v>
      </c>
    </row>
    <row r="70" spans="3:15">
      <c r="D70" t="s">
        <v>607</v>
      </c>
      <c r="F70" s="133">
        <f>+('2b. Balance Sheet'!F44-'2b. Balance Sheet'!E44)</f>
        <v>0</v>
      </c>
      <c r="G70" s="133">
        <f>+('2b. Balance Sheet'!G44-'2b. Balance Sheet'!F44)</f>
        <v>0</v>
      </c>
      <c r="H70" s="133">
        <f>+('2b. Balance Sheet'!H44-'2b. Balance Sheet'!G44)</f>
        <v>0</v>
      </c>
      <c r="I70" s="133">
        <f>+('2b. Balance Sheet'!I44-'2b. Balance Sheet'!H44)</f>
        <v>0</v>
      </c>
      <c r="J70" s="133">
        <f>+('2b. Balance Sheet'!J44-'2b. Balance Sheet'!I44)</f>
        <v>0</v>
      </c>
      <c r="K70" s="133">
        <f>+('2b. Balance Sheet'!K46-'2b. Balance Sheet'!J44)</f>
        <v>41669</v>
      </c>
      <c r="L70" s="133">
        <f>+('2b. Balance Sheet'!L44-'2b. Balance Sheet'!K46)</f>
        <v>-41669</v>
      </c>
      <c r="M70" s="133">
        <f>+('2b. Balance Sheet'!M44-'2b. Balance Sheet'!L44)</f>
        <v>0</v>
      </c>
      <c r="N70" s="133">
        <f>+('2b. Balance Sheet'!N44-'2b. Balance Sheet'!M44)</f>
        <v>300000</v>
      </c>
      <c r="O70" s="133">
        <f>+('2b. Balance Sheet'!O44-'2b. Balance Sheet'!N44)</f>
        <v>4074483</v>
      </c>
    </row>
    <row r="71" spans="3:15">
      <c r="D71" t="s">
        <v>624</v>
      </c>
      <c r="F71" s="133">
        <f>'2b. Balance Sheet'!F45-'2b. Balance Sheet'!E45</f>
        <v>0</v>
      </c>
      <c r="G71" s="133">
        <f>'2b. Balance Sheet'!G45-'2b. Balance Sheet'!F45</f>
        <v>0</v>
      </c>
      <c r="H71" s="133">
        <f>'2b. Balance Sheet'!H45-'2b. Balance Sheet'!G45</f>
        <v>0</v>
      </c>
      <c r="I71" s="133">
        <f>'2b. Balance Sheet'!I45-'2b. Balance Sheet'!H45</f>
        <v>0</v>
      </c>
      <c r="J71" s="133">
        <f>'2b. Balance Sheet'!J45-'2b. Balance Sheet'!I45</f>
        <v>0</v>
      </c>
      <c r="K71" s="133">
        <f>'2b. Balance Sheet'!K45-'2b. Balance Sheet'!J45</f>
        <v>0</v>
      </c>
      <c r="L71" s="133">
        <f>'2b. Balance Sheet'!L45-'2b. Balance Sheet'!K45</f>
        <v>0</v>
      </c>
      <c r="M71" s="133">
        <f>'2b. Balance Sheet'!M45-'2b. Balance Sheet'!L45</f>
        <v>0</v>
      </c>
      <c r="N71" s="133">
        <f>'2b. Balance Sheet'!N45-'2b. Balance Sheet'!M45</f>
        <v>0</v>
      </c>
      <c r="O71" s="133">
        <f>'2b. Balance Sheet'!O45-'2b. Balance Sheet'!N45</f>
        <v>209963</v>
      </c>
    </row>
    <row r="72" spans="3:15">
      <c r="D72" t="s">
        <v>608</v>
      </c>
      <c r="F72" s="133">
        <f>'2a. Income Statement'!F42</f>
        <v>-5160</v>
      </c>
      <c r="G72" s="133">
        <f>'2a. Income Statement'!G42</f>
        <v>-8675</v>
      </c>
      <c r="H72" s="133">
        <f>'2a. Income Statement'!H42</f>
        <v>-6464</v>
      </c>
      <c r="I72" s="133">
        <f>'2a. Income Statement'!I42</f>
        <v>-5600</v>
      </c>
      <c r="J72" s="133">
        <f>'2a. Income Statement'!J42</f>
        <v>-5497</v>
      </c>
      <c r="K72" s="133">
        <f>'2a. Income Statement'!K42</f>
        <v>-2872</v>
      </c>
      <c r="L72" s="133">
        <f>'2a. Income Statement'!L42</f>
        <v>-3108</v>
      </c>
      <c r="M72" s="133">
        <f>'2a. Income Statement'!M42</f>
        <v>-7485</v>
      </c>
      <c r="N72" s="133">
        <f>'2a. Income Statement'!N42</f>
        <v>-17102</v>
      </c>
      <c r="O72" s="133">
        <f>'2a. Income Statement'!O42</f>
        <v>-158442</v>
      </c>
    </row>
    <row r="73" spans="3:15">
      <c r="D73" t="s">
        <v>609</v>
      </c>
      <c r="F73" s="133">
        <f>-F72*'Notes to the Income Statement'!F196</f>
        <v>1496.3999999999999</v>
      </c>
      <c r="G73" s="133">
        <f>-G72*'Notes to the Income Statement'!G196</f>
        <v>2515.75</v>
      </c>
      <c r="H73" s="133">
        <f>-H72*'Notes to the Income Statement'!H196</f>
        <v>1809.92</v>
      </c>
      <c r="I73" s="133">
        <f>-I72*'Notes to the Income Statement'!I196</f>
        <v>1568.0000000000002</v>
      </c>
      <c r="J73" s="133">
        <f>-J72*'Notes to the Income Statement'!J196</f>
        <v>1539.16</v>
      </c>
      <c r="K73" s="133">
        <f>-K72*'Notes to the Income Statement'!K196</f>
        <v>804.16000000000008</v>
      </c>
      <c r="L73" s="133">
        <f>-L72*'Notes to the Income Statement'!L196</f>
        <v>870.24000000000012</v>
      </c>
      <c r="M73" s="133">
        <f>-M72*'Notes to the Income Statement'!M196</f>
        <v>2095.8000000000002</v>
      </c>
      <c r="N73" s="133">
        <f>-N72*'Notes to the Income Statement'!N196</f>
        <v>4788.5600000000004</v>
      </c>
      <c r="O73" s="133">
        <f>-O72*'Notes to the Income Statement'!O196</f>
        <v>44363.76</v>
      </c>
    </row>
    <row r="74" spans="3:15" ht="16" thickBot="1">
      <c r="D74" t="s">
        <v>611</v>
      </c>
      <c r="F74" s="133">
        <f>'2b. Balance Sheet'!F31-'2b. Balance Sheet'!E31-'2a. Income Statement'!F48</f>
        <v>-234360</v>
      </c>
      <c r="G74" s="133">
        <f>'2b. Balance Sheet'!G31-'2b. Balance Sheet'!F31-'2a. Income Statement'!G48</f>
        <v>-93814</v>
      </c>
      <c r="H74" s="133">
        <f>'2b. Balance Sheet'!H31-'2b. Balance Sheet'!G31-'2a. Income Statement'!H48</f>
        <v>-160234</v>
      </c>
      <c r="I74" s="133">
        <f>'2b. Balance Sheet'!I31-'2b. Balance Sheet'!H31-'2a. Income Statement'!I48</f>
        <v>-181795</v>
      </c>
      <c r="J74" s="133">
        <f>'2b. Balance Sheet'!J31-'2b. Balance Sheet'!I31-'2a. Income Statement'!J48</f>
        <v>-182741</v>
      </c>
      <c r="K74" s="133">
        <f>'2b. Balance Sheet'!K31-'2b. Balance Sheet'!J31-'2a. Income Statement'!K48</f>
        <v>-193336</v>
      </c>
      <c r="L74" s="133">
        <f>'2b. Balance Sheet'!L31-'2b. Balance Sheet'!K31-'2a. Income Statement'!L48</f>
        <v>-230035</v>
      </c>
      <c r="M74" s="133">
        <f>'2b. Balance Sheet'!M31-'2b. Balance Sheet'!L31-'2a. Income Statement'!M48</f>
        <v>-368262</v>
      </c>
      <c r="N74" s="133">
        <f>'2b. Balance Sheet'!N31-'2b. Balance Sheet'!M31-'2a. Income Statement'!N86</f>
        <v>-650243</v>
      </c>
      <c r="O74" s="133">
        <f>'2b. Balance Sheet'!O31-'2b. Balance Sheet'!N31-'2a. Income Statement'!O86</f>
        <v>721092</v>
      </c>
    </row>
    <row r="75" spans="3:15" s="4" customFormat="1" ht="16" thickBot="1">
      <c r="C75" s="102"/>
      <c r="D75" s="103" t="s">
        <v>610</v>
      </c>
      <c r="E75" s="103"/>
      <c r="F75" s="136">
        <f t="shared" ref="F75:M75" si="10">SUM(F69:F74)</f>
        <v>-263463.59999999998</v>
      </c>
      <c r="G75" s="136">
        <f t="shared" si="10"/>
        <v>-73778.25</v>
      </c>
      <c r="H75" s="136">
        <f t="shared" si="10"/>
        <v>-210627.08000000002</v>
      </c>
      <c r="I75" s="136">
        <f t="shared" si="10"/>
        <v>-217796</v>
      </c>
      <c r="J75" s="136">
        <f t="shared" si="10"/>
        <v>-170517.84</v>
      </c>
      <c r="K75" s="136">
        <f t="shared" si="10"/>
        <v>-179032.84</v>
      </c>
      <c r="L75" s="136">
        <f t="shared" si="10"/>
        <v>-240683.76</v>
      </c>
      <c r="M75" s="136">
        <f t="shared" si="10"/>
        <v>-161225.20000000001</v>
      </c>
      <c r="N75" s="136">
        <f>SUM(N69:N74)</f>
        <v>-619556.43999999994</v>
      </c>
      <c r="O75" s="136">
        <f>SUM(O69:O74)</f>
        <v>4891459.76</v>
      </c>
    </row>
    <row r="76" spans="3:15">
      <c r="N76" s="133"/>
      <c r="O76" s="133"/>
    </row>
    <row r="77" spans="3:15">
      <c r="D77" t="s">
        <v>612</v>
      </c>
      <c r="F77" s="133">
        <f>'2b. Balance Sheet'!F32-'2b. Balance Sheet'!E32</f>
        <v>-55379</v>
      </c>
      <c r="G77" s="133">
        <f>'2b. Balance Sheet'!G32-'2b. Balance Sheet'!F32</f>
        <v>4166</v>
      </c>
      <c r="H77" s="133">
        <f>'2b. Balance Sheet'!H32-'2b. Balance Sheet'!G32</f>
        <v>-1897</v>
      </c>
      <c r="I77" s="133">
        <f>'2b. Balance Sheet'!I32-'2b. Balance Sheet'!H32</f>
        <v>14166</v>
      </c>
      <c r="J77" s="133">
        <f>'2b. Balance Sheet'!J32-'2b. Balance Sheet'!I32</f>
        <v>6593</v>
      </c>
      <c r="K77" s="133">
        <f>'2b. Balance Sheet'!K32-'2b. Balance Sheet'!J32</f>
        <v>3164</v>
      </c>
      <c r="L77" s="133">
        <f>'2b. Balance Sheet'!L32-'2b. Balance Sheet'!K32</f>
        <v>4399</v>
      </c>
      <c r="M77" s="133">
        <f>'2b. Balance Sheet'!M32-'2b. Balance Sheet'!L32</f>
        <v>3078</v>
      </c>
      <c r="N77" s="133">
        <f>'2b. Balance Sheet'!N32-'2b. Balance Sheet'!M32</f>
        <v>1475</v>
      </c>
      <c r="O77" s="133">
        <f>'2b. Balance Sheet'!O32-'2b. Balance Sheet'!N32</f>
        <v>1152154</v>
      </c>
    </row>
    <row r="78" spans="3:15">
      <c r="D78" t="s">
        <v>35</v>
      </c>
      <c r="F78" s="133">
        <f>-'2a. Income Statement'!F74</f>
        <v>-136846</v>
      </c>
      <c r="G78" s="133">
        <f>-'2a. Income Statement'!G74</f>
        <v>-180506</v>
      </c>
      <c r="H78" s="133">
        <f>-'2a. Income Statement'!H74</f>
        <v>-254270</v>
      </c>
      <c r="I78" s="133">
        <f>-'2a. Income Statement'!I74</f>
        <v>-307933</v>
      </c>
      <c r="J78" s="133">
        <f>-'2a. Income Statement'!J74</f>
        <v>-303515</v>
      </c>
      <c r="K78" s="133">
        <f>-'2a. Income Statement'!K74</f>
        <v>-346217</v>
      </c>
      <c r="L78" s="133">
        <f>-'2a. Income Statement'!L74</f>
        <v>-463926</v>
      </c>
      <c r="M78" s="133">
        <f>-'2a. Income Statement'!M74</f>
        <v>-524391</v>
      </c>
      <c r="N78" s="133">
        <f>-'2a. Income Statement'!N86</f>
        <v>-607778</v>
      </c>
      <c r="O78" s="133">
        <f>-'2a. Income Statement'!O86</f>
        <v>-1096288</v>
      </c>
    </row>
    <row r="79" spans="3:15">
      <c r="D79" t="s">
        <v>622</v>
      </c>
      <c r="F79" s="133">
        <f>'2b. Balance Sheet'!F33-'2b. Balance Sheet'!E33</f>
        <v>19140</v>
      </c>
      <c r="G79" s="133">
        <f>'2b. Balance Sheet'!G33-'2b. Balance Sheet'!F33</f>
        <v>2332</v>
      </c>
      <c r="H79" s="133">
        <f>'2b. Balance Sheet'!H33-'2b. Balance Sheet'!G33</f>
        <v>-2974</v>
      </c>
      <c r="I79" s="133">
        <f>'2b. Balance Sheet'!I33-'2b. Balance Sheet'!H33</f>
        <v>-24894</v>
      </c>
      <c r="J79" s="133">
        <f>'2b. Balance Sheet'!J33-'2b. Balance Sheet'!I33</f>
        <v>-3541</v>
      </c>
      <c r="K79" s="133">
        <f>'2b. Balance Sheet'!K33-'2b. Balance Sheet'!J33</f>
        <v>3512</v>
      </c>
      <c r="L79" s="133">
        <f>'2b. Balance Sheet'!L33-'2b. Balance Sheet'!K33</f>
        <v>1827</v>
      </c>
      <c r="M79" s="133">
        <f>'2b. Balance Sheet'!M33-'2b. Balance Sheet'!L33</f>
        <v>6223</v>
      </c>
      <c r="N79" s="133">
        <f>'2b. Balance Sheet'!N33-'2b. Balance Sheet'!M33</f>
        <v>6205</v>
      </c>
      <c r="O79" s="133">
        <f>'2b. Balance Sheet'!O33-'2b. Balance Sheet'!N33</f>
        <v>432332</v>
      </c>
    </row>
    <row r="80" spans="3:15">
      <c r="D80" t="s">
        <v>613</v>
      </c>
      <c r="F80" s="133">
        <f>'2b. Balance Sheet'!F34-'2b. Balance Sheet'!E34</f>
        <v>0</v>
      </c>
      <c r="G80" s="133">
        <f>'2b. Balance Sheet'!G34-'2b. Balance Sheet'!F34</f>
        <v>40</v>
      </c>
      <c r="H80" s="133">
        <f>'2b. Balance Sheet'!H34-'2b. Balance Sheet'!G34</f>
        <v>0</v>
      </c>
      <c r="I80" s="133">
        <f>'2b. Balance Sheet'!I34-'2b. Balance Sheet'!H34</f>
        <v>0</v>
      </c>
      <c r="J80" s="133">
        <f>'2b. Balance Sheet'!J34-'2b. Balance Sheet'!I34</f>
        <v>0</v>
      </c>
      <c r="K80" s="133">
        <f>'2b. Balance Sheet'!K34-'2b. Balance Sheet'!J34</f>
        <v>0</v>
      </c>
      <c r="L80" s="133">
        <f>'2b. Balance Sheet'!L34-'2b. Balance Sheet'!K34</f>
        <v>0</v>
      </c>
      <c r="M80" s="133">
        <f>'2b. Balance Sheet'!M34-'2b. Balance Sheet'!L34</f>
        <v>0</v>
      </c>
      <c r="N80" s="133">
        <f>'2b. Balance Sheet'!N34-'2b. Balance Sheet'!M34</f>
        <v>0</v>
      </c>
      <c r="O80" s="133">
        <f>'2b. Balance Sheet'!O34-'2b. Balance Sheet'!N34</f>
        <v>0</v>
      </c>
    </row>
    <row r="81" spans="1:15">
      <c r="D81" t="s">
        <v>614</v>
      </c>
      <c r="F81" s="133">
        <f>'2b. Balance Sheet'!F36-'2b. Balance Sheet'!E36</f>
        <v>0</v>
      </c>
      <c r="G81" s="133">
        <f>'2b. Balance Sheet'!G36-'2b. Balance Sheet'!F36</f>
        <v>0</v>
      </c>
      <c r="H81" s="133">
        <f>'2b. Balance Sheet'!H36-'2b. Balance Sheet'!G36</f>
        <v>0</v>
      </c>
      <c r="I81" s="133">
        <f>'2b. Balance Sheet'!I36-'2b. Balance Sheet'!H36</f>
        <v>0</v>
      </c>
      <c r="J81" s="133">
        <f>'2b. Balance Sheet'!J36-'2b. Balance Sheet'!I36</f>
        <v>0</v>
      </c>
      <c r="K81" s="133">
        <f>'2b. Balance Sheet'!K36-'2b. Balance Sheet'!J36</f>
        <v>0</v>
      </c>
      <c r="L81" s="133">
        <f>'2b. Balance Sheet'!L36-'2b. Balance Sheet'!K36</f>
        <v>0</v>
      </c>
      <c r="M81" s="133">
        <f>'2b. Balance Sheet'!M36-'2b. Balance Sheet'!L36</f>
        <v>0</v>
      </c>
      <c r="N81" s="133">
        <f>'2b. Balance Sheet'!N36-'2b. Balance Sheet'!M36</f>
        <v>0</v>
      </c>
      <c r="O81" s="133">
        <f>'2b. Balance Sheet'!O36-'2b. Balance Sheet'!N36</f>
        <v>-1757</v>
      </c>
    </row>
    <row r="82" spans="1:15">
      <c r="D82" t="s">
        <v>615</v>
      </c>
      <c r="F82" s="133">
        <f>'2b. Balance Sheet'!F35-'2b. Balance Sheet'!E35</f>
        <v>0</v>
      </c>
      <c r="G82" s="133">
        <f>'2b. Balance Sheet'!G35-'2b. Balance Sheet'!F35</f>
        <v>0</v>
      </c>
      <c r="H82" s="133">
        <f>'2b. Balance Sheet'!H35-'2b. Balance Sheet'!G35</f>
        <v>0</v>
      </c>
      <c r="I82" s="133">
        <f>'2b. Balance Sheet'!I35-'2b. Balance Sheet'!H35</f>
        <v>-7856</v>
      </c>
      <c r="J82" s="133">
        <f>'2b. Balance Sheet'!J35-'2b. Balance Sheet'!I35</f>
        <v>-75</v>
      </c>
      <c r="K82" s="133">
        <f>'2b. Balance Sheet'!K35-'2b. Balance Sheet'!J35</f>
        <v>9853</v>
      </c>
      <c r="L82" s="133">
        <f>'2b. Balance Sheet'!L35-'2b. Balance Sheet'!K35</f>
        <v>-1521</v>
      </c>
      <c r="M82" s="133">
        <f>'2b. Balance Sheet'!M35-'2b. Balance Sheet'!L35</f>
        <v>8787</v>
      </c>
      <c r="N82" s="133">
        <f>'2b. Balance Sheet'!N35-'2b. Balance Sheet'!M35</f>
        <v>-7346</v>
      </c>
      <c r="O82" s="133">
        <f>'2b. Balance Sheet'!O35-'2b. Balance Sheet'!N35</f>
        <v>23511</v>
      </c>
    </row>
    <row r="83" spans="1:15">
      <c r="D83" t="s">
        <v>616</v>
      </c>
      <c r="F83" s="133">
        <f>'2b. Balance Sheet'!F37-'2b. Balance Sheet'!E37</f>
        <v>2613</v>
      </c>
      <c r="G83" s="133">
        <f>'2b. Balance Sheet'!G37-'2b. Balance Sheet'!F37</f>
        <v>5586</v>
      </c>
      <c r="H83" s="133">
        <f>'2b. Balance Sheet'!H37-'2b. Balance Sheet'!G37</f>
        <v>7798</v>
      </c>
      <c r="I83" s="133">
        <f>'2b. Balance Sheet'!I37-'2b. Balance Sheet'!H37</f>
        <v>7399</v>
      </c>
      <c r="J83" s="133">
        <f>'2b. Balance Sheet'!J37-'2b. Balance Sheet'!I37</f>
        <v>8043</v>
      </c>
      <c r="K83" s="133">
        <f>'2b. Balance Sheet'!K37-'2b. Balance Sheet'!J37</f>
        <v>9541</v>
      </c>
      <c r="L83" s="133">
        <f>'2b. Balance Sheet'!L37-'2b. Balance Sheet'!K37</f>
        <v>7545</v>
      </c>
      <c r="M83" s="133">
        <f>'2b. Balance Sheet'!M37-'2b. Balance Sheet'!L37</f>
        <v>2193</v>
      </c>
      <c r="N83" s="133">
        <f>'2b. Balance Sheet'!N37-'2b. Balance Sheet'!M37</f>
        <v>5865</v>
      </c>
      <c r="O83" s="133">
        <f>'2b. Balance Sheet'!O37-'2b. Balance Sheet'!N37</f>
        <v>7909</v>
      </c>
    </row>
    <row r="84" spans="1:15">
      <c r="D84" t="s">
        <v>617</v>
      </c>
      <c r="F84" s="133">
        <f>'2b. Balance Sheet'!F38-'2b. Balance Sheet'!E38</f>
        <v>-66749</v>
      </c>
      <c r="G84" s="133">
        <f>'2b. Balance Sheet'!G38-'2b. Balance Sheet'!F38</f>
        <v>64369</v>
      </c>
      <c r="H84" s="133">
        <f>'2b. Balance Sheet'!H38-'2b. Balance Sheet'!G38</f>
        <v>95496</v>
      </c>
      <c r="I84" s="133">
        <f>'2b. Balance Sheet'!I38-'2b. Balance Sheet'!H38</f>
        <v>132961</v>
      </c>
      <c r="J84" s="133">
        <f>'2b. Balance Sheet'!J38-'2b. Balance Sheet'!I38</f>
        <v>109408</v>
      </c>
      <c r="K84" s="133">
        <f>'2b. Balance Sheet'!K38-'2b. Balance Sheet'!J38</f>
        <v>120228</v>
      </c>
      <c r="L84" s="133">
        <f>'2b. Balance Sheet'!L38-'2b. Balance Sheet'!K38</f>
        <v>213862</v>
      </c>
      <c r="M84" s="133">
        <f>'2b. Balance Sheet'!M38-'2b. Balance Sheet'!L38</f>
        <v>123789</v>
      </c>
      <c r="N84" s="133">
        <f>'2b. Balance Sheet'!N38-'2b. Balance Sheet'!M38</f>
        <v>-57439</v>
      </c>
      <c r="O84" s="133">
        <f>'2b. Balance Sheet'!O38-'2b. Balance Sheet'!N38</f>
        <v>192395</v>
      </c>
    </row>
    <row r="85" spans="1:15">
      <c r="D85" t="s">
        <v>626</v>
      </c>
      <c r="F85" s="133">
        <f>'2b. Balance Sheet'!F40-'2b. Balance Sheet'!E40</f>
        <v>2861</v>
      </c>
      <c r="G85" s="133">
        <f>'2b. Balance Sheet'!G40-'2b. Balance Sheet'!F40</f>
        <v>10199</v>
      </c>
      <c r="H85" s="133">
        <f>'2b. Balance Sheet'!H40-'2b. Balance Sheet'!G40</f>
        <v>-4387</v>
      </c>
      <c r="I85" s="133">
        <f>'2b. Balance Sheet'!I40-'2b. Balance Sheet'!H40</f>
        <v>4362</v>
      </c>
      <c r="J85" s="133">
        <f>'2b. Balance Sheet'!J40-'2b. Balance Sheet'!I40</f>
        <v>346</v>
      </c>
      <c r="K85" s="133">
        <f>'2b. Balance Sheet'!K40-'2b. Balance Sheet'!J40</f>
        <v>6583</v>
      </c>
      <c r="L85" s="133">
        <f>'2b. Balance Sheet'!L40-'2b. Balance Sheet'!K40</f>
        <v>7779</v>
      </c>
      <c r="M85" s="133">
        <f>'2b. Balance Sheet'!M40-'2b. Balance Sheet'!L40</f>
        <v>12059</v>
      </c>
      <c r="N85" s="133">
        <f>'2b. Balance Sheet'!N40-'2b. Balance Sheet'!M40</f>
        <v>8775</v>
      </c>
      <c r="O85" s="133">
        <f>'2b. Balance Sheet'!O40-'2b. Balance Sheet'!N40</f>
        <v>10836</v>
      </c>
    </row>
    <row r="86" spans="1:15" s="4" customFormat="1">
      <c r="C86" s="102"/>
      <c r="D86" s="4" t="s">
        <v>618</v>
      </c>
      <c r="F86" s="134">
        <f t="shared" ref="F86:O86" si="11">SUM(F77:F85)</f>
        <v>-234360</v>
      </c>
      <c r="G86" s="134">
        <f t="shared" si="11"/>
        <v>-93814</v>
      </c>
      <c r="H86" s="134">
        <f t="shared" si="11"/>
        <v>-160234</v>
      </c>
      <c r="I86" s="134">
        <f t="shared" si="11"/>
        <v>-181795</v>
      </c>
      <c r="J86" s="134">
        <f t="shared" si="11"/>
        <v>-182741</v>
      </c>
      <c r="K86" s="134">
        <f t="shared" si="11"/>
        <v>-193336</v>
      </c>
      <c r="L86" s="134">
        <f t="shared" si="11"/>
        <v>-230035</v>
      </c>
      <c r="M86" s="134">
        <f t="shared" si="11"/>
        <v>-368262</v>
      </c>
      <c r="N86" s="134">
        <f t="shared" si="11"/>
        <v>-650243</v>
      </c>
      <c r="O86" s="134">
        <f t="shared" si="11"/>
        <v>721092</v>
      </c>
    </row>
    <row r="87" spans="1:15">
      <c r="N87" s="133"/>
      <c r="O87" s="133"/>
    </row>
    <row r="90" spans="1:15" s="117" customFormat="1" ht="14">
      <c r="A90" s="117" t="s">
        <v>619</v>
      </c>
      <c r="D90" s="117" t="s">
        <v>620</v>
      </c>
      <c r="F90" s="135">
        <f t="shared" ref="F90:O90" si="12">F74-F86</f>
        <v>0</v>
      </c>
      <c r="G90" s="135">
        <f t="shared" si="12"/>
        <v>0</v>
      </c>
      <c r="H90" s="135">
        <f t="shared" si="12"/>
        <v>0</v>
      </c>
      <c r="I90" s="135">
        <f t="shared" si="12"/>
        <v>0</v>
      </c>
      <c r="J90" s="135">
        <f t="shared" si="12"/>
        <v>0</v>
      </c>
      <c r="K90" s="135">
        <f t="shared" si="12"/>
        <v>0</v>
      </c>
      <c r="L90" s="135">
        <f t="shared" si="12"/>
        <v>0</v>
      </c>
      <c r="M90" s="135">
        <f t="shared" si="12"/>
        <v>0</v>
      </c>
      <c r="N90" s="135">
        <f t="shared" si="12"/>
        <v>0</v>
      </c>
      <c r="O90" s="135">
        <f t="shared" si="12"/>
        <v>0</v>
      </c>
    </row>
    <row r="91" spans="1:15" s="117" customFormat="1" ht="14">
      <c r="A91" s="117" t="s">
        <v>619</v>
      </c>
      <c r="D91" s="117" t="s">
        <v>621</v>
      </c>
      <c r="F91" s="135">
        <f t="shared" ref="F91:O91" si="13">F67+F75</f>
        <v>-1243.4000000000233</v>
      </c>
      <c r="G91" s="135">
        <f t="shared" si="13"/>
        <v>3609.75</v>
      </c>
      <c r="H91" s="135">
        <f t="shared" si="13"/>
        <v>-18853.000000000029</v>
      </c>
      <c r="I91" s="135">
        <f t="shared" si="13"/>
        <v>-5597</v>
      </c>
      <c r="J91" s="135">
        <f t="shared" si="13"/>
        <v>21647.000000000029</v>
      </c>
      <c r="K91" s="135" t="e">
        <f t="shared" si="13"/>
        <v>#REF!</v>
      </c>
      <c r="L91" s="135" t="e">
        <f t="shared" si="13"/>
        <v>#REF!</v>
      </c>
      <c r="M91" s="135">
        <f t="shared" si="13"/>
        <v>23870.879999999976</v>
      </c>
      <c r="N91" s="135" t="e">
        <f t="shared" si="13"/>
        <v>#REF!</v>
      </c>
      <c r="O91" s="135">
        <f t="shared" si="13"/>
        <v>-111879</v>
      </c>
    </row>
    <row r="93" spans="1:15">
      <c r="F93" s="12">
        <f t="shared" ref="F93" si="14">F91/F86</f>
        <v>5.3055128861581469E-3</v>
      </c>
      <c r="G93" s="12">
        <f t="shared" ref="G93:N93" si="15">G91/G75</f>
        <v>-4.8927021174939772E-2</v>
      </c>
      <c r="H93" s="12">
        <f t="shared" si="15"/>
        <v>8.9508908351196001E-2</v>
      </c>
      <c r="I93" s="12">
        <f t="shared" si="15"/>
        <v>2.5698359933148451E-2</v>
      </c>
      <c r="J93" s="12">
        <f t="shared" si="15"/>
        <v>-0.12694859376590761</v>
      </c>
      <c r="K93" s="12" t="e">
        <f t="shared" si="15"/>
        <v>#REF!</v>
      </c>
      <c r="L93" s="12" t="e">
        <f t="shared" si="15"/>
        <v>#REF!</v>
      </c>
      <c r="M93" s="12">
        <f t="shared" si="15"/>
        <v>-0.1480592363972876</v>
      </c>
      <c r="N93" s="12" t="e">
        <f t="shared" si="15"/>
        <v>#REF!</v>
      </c>
      <c r="O93" s="12">
        <f>O91/O75</f>
        <v>-2.2872313274432416E-2</v>
      </c>
    </row>
    <row r="95" spans="1:15">
      <c r="F95" s="28"/>
      <c r="O95" s="133"/>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BP261"/>
  <sheetViews>
    <sheetView showGridLines="0" topLeftCell="B1" zoomScale="75" zoomScaleNormal="75" zoomScalePageLayoutView="75" workbookViewId="0">
      <pane xSplit="3" topLeftCell="E1" activePane="topRight" state="frozen"/>
      <selection activeCell="B1" sqref="B1"/>
      <selection pane="topRight" activeCell="F196" sqref="F196"/>
    </sheetView>
  </sheetViews>
  <sheetFormatPr baseColWidth="10" defaultRowHeight="15" x14ac:dyDescent="0"/>
  <cols>
    <col min="3" max="3" width="1.6640625" customWidth="1"/>
    <col min="4" max="4" width="100" customWidth="1"/>
    <col min="5" max="5" width="15.5" customWidth="1"/>
    <col min="6" max="6" width="15.5" bestFit="1" customWidth="1"/>
    <col min="7" max="14" width="15.5" customWidth="1"/>
    <col min="15" max="15" width="15.5" bestFit="1" customWidth="1"/>
    <col min="16" max="25" width="11" bestFit="1" customWidth="1"/>
  </cols>
  <sheetData>
    <row r="3" spans="4:25" ht="16" thickBot="1"/>
    <row r="4" spans="4:25" ht="16" thickTop="1">
      <c r="D4" s="36" t="s">
        <v>268</v>
      </c>
      <c r="E4" s="37" t="s">
        <v>216</v>
      </c>
      <c r="F4" s="37" t="s">
        <v>217</v>
      </c>
      <c r="G4" s="37" t="s">
        <v>218</v>
      </c>
      <c r="H4" s="37" t="s">
        <v>28</v>
      </c>
      <c r="I4" s="37" t="s">
        <v>17</v>
      </c>
      <c r="J4" s="37" t="s">
        <v>18</v>
      </c>
      <c r="K4" s="37" t="s">
        <v>19</v>
      </c>
      <c r="L4" s="37" t="s">
        <v>20</v>
      </c>
      <c r="M4" s="37" t="s">
        <v>21</v>
      </c>
      <c r="N4" s="37" t="s">
        <v>22</v>
      </c>
      <c r="O4" s="37" t="s">
        <v>23</v>
      </c>
      <c r="P4" s="37" t="s">
        <v>24</v>
      </c>
      <c r="Q4" s="37" t="s">
        <v>25</v>
      </c>
      <c r="R4" s="37" t="s">
        <v>26</v>
      </c>
      <c r="S4" s="37" t="s">
        <v>27</v>
      </c>
      <c r="T4" s="37"/>
      <c r="U4" s="37"/>
      <c r="V4" s="37"/>
      <c r="W4" s="37"/>
      <c r="X4" s="37"/>
      <c r="Y4" s="38"/>
    </row>
    <row r="5" spans="4:25">
      <c r="D5" s="68" t="s">
        <v>101</v>
      </c>
      <c r="E5" s="87"/>
      <c r="F5" s="87"/>
      <c r="G5" s="87"/>
      <c r="H5" s="87"/>
      <c r="I5" s="87"/>
      <c r="J5" s="87"/>
      <c r="K5" s="87"/>
      <c r="L5" s="87"/>
      <c r="M5" s="87"/>
      <c r="N5" s="87"/>
      <c r="O5" s="87"/>
      <c r="P5" s="87"/>
      <c r="Q5" s="87"/>
      <c r="R5" s="87"/>
      <c r="S5" s="87"/>
      <c r="T5" s="87"/>
      <c r="U5" s="87"/>
      <c r="V5" s="87"/>
      <c r="W5" s="87"/>
      <c r="X5" s="87"/>
      <c r="Y5" s="88"/>
    </row>
    <row r="6" spans="4:25">
      <c r="D6" s="68"/>
      <c r="E6" s="87"/>
      <c r="F6" s="87"/>
      <c r="G6" s="87"/>
      <c r="H6" s="87"/>
      <c r="I6" s="87"/>
      <c r="J6" s="87"/>
      <c r="K6" s="87"/>
      <c r="L6" s="87"/>
      <c r="M6" s="87"/>
      <c r="N6" s="87"/>
      <c r="O6" s="87"/>
      <c r="P6" s="87"/>
      <c r="Q6" s="87"/>
      <c r="R6" s="87"/>
      <c r="S6" s="87"/>
      <c r="T6" s="87"/>
      <c r="U6" s="87"/>
      <c r="V6" s="87"/>
      <c r="W6" s="87"/>
      <c r="X6" s="87"/>
      <c r="Y6" s="88"/>
    </row>
    <row r="7" spans="4:25">
      <c r="D7" s="68" t="s">
        <v>76</v>
      </c>
      <c r="E7" s="87"/>
      <c r="F7" s="87"/>
      <c r="G7" s="87"/>
      <c r="H7" s="87"/>
      <c r="I7" s="87"/>
      <c r="J7" s="87"/>
      <c r="K7" s="87"/>
      <c r="L7" s="87"/>
      <c r="M7" s="87"/>
      <c r="N7" s="87"/>
      <c r="O7" s="87"/>
      <c r="P7" s="87"/>
      <c r="Q7" s="87"/>
      <c r="R7" s="87"/>
      <c r="S7" s="87"/>
      <c r="T7" s="87"/>
      <c r="U7" s="87"/>
      <c r="V7" s="87"/>
      <c r="W7" s="87"/>
      <c r="X7" s="87"/>
      <c r="Y7" s="88"/>
    </row>
    <row r="8" spans="4:25">
      <c r="D8" s="68" t="s">
        <v>222</v>
      </c>
      <c r="E8" s="87">
        <f t="shared" ref="E8:F8" si="0">E30*E37</f>
        <v>1296208.3469024596</v>
      </c>
      <c r="F8" s="87">
        <f t="shared" si="0"/>
        <v>1162551.2145413037</v>
      </c>
      <c r="G8" s="87">
        <f>G30*G37</f>
        <v>1241960.3228695674</v>
      </c>
      <c r="H8" s="87">
        <f>H37*H30</f>
        <v>1656819.4115440769</v>
      </c>
      <c r="I8" s="87">
        <f>I30*I37</f>
        <v>1888444.8826308672</v>
      </c>
      <c r="J8" s="87">
        <f>J30*J37</f>
        <v>2009703.9272845092</v>
      </c>
      <c r="K8" s="87">
        <v>1981722</v>
      </c>
      <c r="L8" s="87">
        <v>2582636</v>
      </c>
      <c r="M8" s="87">
        <v>2631686</v>
      </c>
      <c r="N8" s="87">
        <v>3086476</v>
      </c>
      <c r="O8" s="87">
        <v>3408988</v>
      </c>
      <c r="P8" s="87"/>
      <c r="Q8" s="87"/>
      <c r="R8" s="87"/>
      <c r="S8" s="87"/>
      <c r="T8" s="87"/>
      <c r="U8" s="87"/>
      <c r="V8" s="87"/>
      <c r="W8" s="87"/>
      <c r="X8" s="87"/>
      <c r="Y8" s="88"/>
    </row>
    <row r="9" spans="4:25" s="7" customFormat="1" ht="14">
      <c r="D9" s="69"/>
      <c r="E9" s="89"/>
      <c r="F9" s="89"/>
      <c r="G9" s="89"/>
      <c r="H9" s="89"/>
      <c r="I9" s="89"/>
      <c r="J9" s="89"/>
      <c r="K9" s="89"/>
      <c r="L9" s="89"/>
      <c r="M9" s="89"/>
      <c r="N9" s="89"/>
      <c r="O9" s="89"/>
      <c r="P9" s="89"/>
      <c r="Q9" s="89"/>
      <c r="R9" s="89"/>
      <c r="S9" s="89"/>
      <c r="T9" s="89"/>
      <c r="U9" s="89"/>
      <c r="V9" s="89"/>
      <c r="W9" s="89"/>
      <c r="X9" s="89"/>
      <c r="Y9" s="90"/>
    </row>
    <row r="10" spans="4:25" s="7" customFormat="1" ht="14">
      <c r="D10" s="69"/>
      <c r="E10" s="89"/>
      <c r="F10" s="89"/>
      <c r="G10" s="89"/>
      <c r="H10" s="89"/>
      <c r="I10" s="89"/>
      <c r="J10" s="89"/>
      <c r="K10" s="89"/>
      <c r="L10" s="89"/>
      <c r="M10" s="89"/>
      <c r="N10" s="89"/>
      <c r="O10" s="89"/>
      <c r="P10" s="89"/>
      <c r="Q10" s="89"/>
      <c r="R10" s="89"/>
      <c r="S10" s="89"/>
      <c r="T10" s="89"/>
      <c r="U10" s="89"/>
      <c r="V10" s="89"/>
      <c r="W10" s="89"/>
      <c r="X10" s="89"/>
      <c r="Y10" s="90"/>
    </row>
    <row r="11" spans="4:25">
      <c r="D11" s="68" t="s">
        <v>75</v>
      </c>
      <c r="E11" s="87"/>
      <c r="F11" s="87"/>
      <c r="G11" s="87"/>
      <c r="H11" s="87"/>
      <c r="I11" s="87"/>
      <c r="J11" s="87"/>
      <c r="K11" s="87"/>
      <c r="L11" s="87"/>
      <c r="M11" s="87"/>
      <c r="N11" s="87"/>
      <c r="O11" s="87">
        <v>574328</v>
      </c>
      <c r="P11" s="87"/>
      <c r="Q11" s="87"/>
      <c r="R11" s="87"/>
      <c r="S11" s="87"/>
      <c r="T11" s="87"/>
      <c r="U11" s="87"/>
      <c r="V11" s="87"/>
      <c r="W11" s="87"/>
      <c r="X11" s="87"/>
      <c r="Y11" s="88"/>
    </row>
    <row r="12" spans="4:25" s="7" customFormat="1" ht="14">
      <c r="D12" s="69"/>
      <c r="E12" s="89"/>
      <c r="F12" s="89"/>
      <c r="G12" s="89"/>
      <c r="H12" s="89"/>
      <c r="I12" s="89"/>
      <c r="J12" s="89"/>
      <c r="K12" s="89"/>
      <c r="L12" s="89"/>
      <c r="M12" s="89"/>
      <c r="N12" s="89"/>
      <c r="O12" s="89"/>
      <c r="P12" s="89"/>
      <c r="Q12" s="89"/>
      <c r="R12" s="89"/>
      <c r="S12" s="89"/>
      <c r="T12" s="89"/>
      <c r="U12" s="89"/>
      <c r="V12" s="89"/>
      <c r="W12" s="89"/>
      <c r="X12" s="89"/>
      <c r="Y12" s="90"/>
    </row>
    <row r="13" spans="4:25" s="7" customFormat="1" ht="14">
      <c r="D13" s="69"/>
      <c r="E13" s="89"/>
      <c r="F13" s="89"/>
      <c r="G13" s="89"/>
      <c r="H13" s="89"/>
      <c r="I13" s="89"/>
      <c r="J13" s="89"/>
      <c r="K13" s="89"/>
      <c r="L13" s="89"/>
      <c r="M13" s="89"/>
      <c r="N13" s="89"/>
      <c r="O13" s="89"/>
      <c r="P13" s="89"/>
      <c r="Q13" s="89"/>
      <c r="R13" s="89"/>
      <c r="S13" s="89"/>
      <c r="T13" s="89"/>
      <c r="U13" s="89"/>
      <c r="V13" s="89"/>
      <c r="W13" s="89"/>
      <c r="X13" s="89"/>
      <c r="Y13" s="90"/>
    </row>
    <row r="14" spans="4:25">
      <c r="D14" s="68" t="s">
        <v>223</v>
      </c>
      <c r="E14" s="87">
        <f t="shared" ref="E14:F14" si="1">E33</f>
        <v>939091</v>
      </c>
      <c r="F14" s="87">
        <f t="shared" si="1"/>
        <v>1071362</v>
      </c>
      <c r="G14" s="87">
        <f>G33</f>
        <v>1023667</v>
      </c>
      <c r="H14" s="87">
        <f>H33</f>
        <v>934384</v>
      </c>
      <c r="I14" s="87">
        <v>948267</v>
      </c>
      <c r="J14" s="87">
        <v>909034</v>
      </c>
      <c r="K14" s="87">
        <v>1170907</v>
      </c>
      <c r="L14" s="87">
        <v>1435082</v>
      </c>
      <c r="M14" s="87">
        <v>1373824</v>
      </c>
      <c r="N14" s="87">
        <v>1203470</v>
      </c>
      <c r="O14" s="87">
        <v>1314747</v>
      </c>
      <c r="P14" s="87"/>
      <c r="Q14" s="87"/>
      <c r="R14" s="87"/>
      <c r="S14" s="87"/>
      <c r="T14" s="87"/>
      <c r="U14" s="87"/>
      <c r="V14" s="87"/>
      <c r="W14" s="87"/>
      <c r="X14" s="87"/>
      <c r="Y14" s="88"/>
    </row>
    <row r="15" spans="4:25" s="7" customFormat="1" ht="14">
      <c r="D15" s="69"/>
      <c r="E15" s="89"/>
      <c r="F15" s="89"/>
      <c r="G15" s="89"/>
      <c r="H15" s="89"/>
      <c r="I15" s="89"/>
      <c r="J15" s="89"/>
      <c r="K15" s="89"/>
      <c r="L15" s="89"/>
      <c r="M15" s="89"/>
      <c r="N15" s="89"/>
      <c r="O15" s="89"/>
      <c r="P15" s="89"/>
      <c r="Q15" s="89"/>
      <c r="R15" s="89"/>
      <c r="S15" s="89"/>
      <c r="T15" s="89"/>
      <c r="U15" s="89"/>
      <c r="V15" s="89"/>
      <c r="W15" s="89"/>
      <c r="X15" s="89"/>
      <c r="Y15" s="90"/>
    </row>
    <row r="16" spans="4:25" s="7" customFormat="1" ht="14">
      <c r="D16" s="69"/>
      <c r="E16" s="89"/>
      <c r="F16" s="89"/>
      <c r="G16" s="89"/>
      <c r="H16" s="89"/>
      <c r="I16" s="89"/>
      <c r="J16" s="89"/>
      <c r="K16" s="89"/>
      <c r="L16" s="89"/>
      <c r="M16" s="89"/>
      <c r="N16" s="89"/>
      <c r="O16" s="89"/>
      <c r="P16" s="89"/>
      <c r="Q16" s="89"/>
      <c r="R16" s="89"/>
      <c r="S16" s="89"/>
      <c r="T16" s="89"/>
      <c r="U16" s="89"/>
      <c r="V16" s="89"/>
      <c r="W16" s="89"/>
      <c r="X16" s="89"/>
      <c r="Y16" s="90"/>
    </row>
    <row r="17" spans="4:25">
      <c r="D17" s="68" t="s">
        <v>224</v>
      </c>
      <c r="E17" s="87">
        <f t="shared" ref="E17:F17" si="2">E30-E8</f>
        <v>174378.65309754037</v>
      </c>
      <c r="F17" s="87">
        <f t="shared" si="2"/>
        <v>156397.78545869631</v>
      </c>
      <c r="G17" s="87">
        <f>G30-G8</f>
        <v>167080.67713043257</v>
      </c>
      <c r="H17" s="87">
        <f>H30-H8</f>
        <v>222891.58845592313</v>
      </c>
      <c r="I17" s="87">
        <f>I30-I8</f>
        <v>254052.11736913281</v>
      </c>
      <c r="J17" s="87">
        <f>J30-J8</f>
        <v>270365.07271549082</v>
      </c>
      <c r="K17" s="87">
        <v>286574</v>
      </c>
      <c r="L17" s="87">
        <v>350443</v>
      </c>
      <c r="M17" s="87">
        <v>369394</v>
      </c>
      <c r="N17" s="87">
        <v>405497</v>
      </c>
      <c r="O17" s="87">
        <v>412147</v>
      </c>
      <c r="P17" s="87"/>
      <c r="Q17" s="87"/>
      <c r="R17" s="87"/>
      <c r="S17" s="87"/>
      <c r="T17" s="87"/>
      <c r="U17" s="87"/>
      <c r="V17" s="87"/>
      <c r="W17" s="87"/>
      <c r="X17" s="87"/>
      <c r="Y17" s="88"/>
    </row>
    <row r="18" spans="4:25" s="7" customFormat="1" ht="14">
      <c r="D18" s="69"/>
      <c r="E18" s="89"/>
      <c r="F18" s="89"/>
      <c r="G18" s="89"/>
      <c r="H18" s="89"/>
      <c r="I18" s="89"/>
      <c r="J18" s="89"/>
      <c r="K18" s="89"/>
      <c r="L18" s="89"/>
      <c r="M18" s="89"/>
      <c r="N18" s="89"/>
      <c r="O18" s="89"/>
      <c r="P18" s="89"/>
      <c r="Q18" s="89"/>
      <c r="R18" s="89"/>
      <c r="S18" s="89"/>
      <c r="T18" s="89"/>
      <c r="U18" s="89"/>
      <c r="V18" s="89"/>
      <c r="W18" s="89"/>
      <c r="X18" s="89"/>
      <c r="Y18" s="90"/>
    </row>
    <row r="19" spans="4:25" s="7" customFormat="1" ht="14">
      <c r="D19" s="69"/>
      <c r="E19" s="89"/>
      <c r="F19" s="89"/>
      <c r="G19" s="89"/>
      <c r="H19" s="89"/>
      <c r="I19" s="89"/>
      <c r="J19" s="89"/>
      <c r="K19" s="89"/>
      <c r="L19" s="89"/>
      <c r="M19" s="89"/>
      <c r="N19" s="89"/>
      <c r="O19" s="89"/>
      <c r="P19" s="89"/>
      <c r="Q19" s="89"/>
      <c r="R19" s="89"/>
      <c r="S19" s="89"/>
      <c r="T19" s="89"/>
      <c r="U19" s="89"/>
      <c r="V19" s="89"/>
      <c r="W19" s="89"/>
      <c r="X19" s="89"/>
      <c r="Y19" s="90"/>
    </row>
    <row r="20" spans="4:25">
      <c r="D20" s="68" t="s">
        <v>77</v>
      </c>
      <c r="E20" s="87"/>
      <c r="F20" s="87"/>
      <c r="G20" s="87"/>
      <c r="H20" s="87"/>
      <c r="I20" s="87"/>
      <c r="J20" s="87"/>
      <c r="K20" s="87"/>
      <c r="L20" s="87"/>
      <c r="M20" s="87"/>
      <c r="N20" s="87"/>
      <c r="O20" s="87"/>
      <c r="P20" s="87"/>
      <c r="Q20" s="87"/>
      <c r="R20" s="87"/>
      <c r="S20" s="87"/>
      <c r="T20" s="87"/>
      <c r="U20" s="87"/>
      <c r="V20" s="87"/>
      <c r="W20" s="87"/>
      <c r="X20" s="87"/>
      <c r="Y20" s="88"/>
    </row>
    <row r="21" spans="4:25">
      <c r="D21" s="68" t="s">
        <v>78</v>
      </c>
      <c r="E21" s="87">
        <v>166835</v>
      </c>
      <c r="F21" s="87">
        <v>154247</v>
      </c>
      <c r="G21" s="87">
        <v>176186</v>
      </c>
      <c r="H21" s="87">
        <v>188381</v>
      </c>
      <c r="I21" s="87">
        <v>210524</v>
      </c>
      <c r="J21" s="87">
        <v>234116</v>
      </c>
      <c r="K21" s="87">
        <v>217993</v>
      </c>
      <c r="L21" s="87">
        <v>279790</v>
      </c>
      <c r="M21" s="87">
        <v>326320</v>
      </c>
      <c r="N21" s="87">
        <v>343691</v>
      </c>
      <c r="O21" s="87">
        <v>458567</v>
      </c>
      <c r="P21" s="87"/>
      <c r="Q21" s="87"/>
      <c r="R21" s="87"/>
      <c r="S21" s="87"/>
      <c r="T21" s="87"/>
      <c r="U21" s="87"/>
      <c r="V21" s="87"/>
      <c r="W21" s="87"/>
      <c r="X21" s="87"/>
      <c r="Y21" s="88"/>
    </row>
    <row r="22" spans="4:25" s="7" customFormat="1" ht="14">
      <c r="D22" s="69"/>
      <c r="E22" s="89"/>
      <c r="F22" s="89"/>
      <c r="G22" s="89"/>
      <c r="H22" s="89"/>
      <c r="I22" s="89"/>
      <c r="J22" s="89"/>
      <c r="K22" s="89"/>
      <c r="L22" s="89"/>
      <c r="M22" s="89"/>
      <c r="N22" s="89"/>
      <c r="O22" s="89"/>
      <c r="P22" s="89"/>
      <c r="Q22" s="89"/>
      <c r="R22" s="89"/>
      <c r="S22" s="89"/>
      <c r="T22" s="89"/>
      <c r="U22" s="89"/>
      <c r="V22" s="89"/>
      <c r="W22" s="89"/>
      <c r="X22" s="89"/>
      <c r="Y22" s="90"/>
    </row>
    <row r="23" spans="4:25" s="7" customFormat="1" ht="14">
      <c r="D23" s="69"/>
      <c r="E23" s="89"/>
      <c r="F23" s="89"/>
      <c r="G23" s="89"/>
      <c r="H23" s="89"/>
      <c r="I23" s="89"/>
      <c r="J23" s="89"/>
      <c r="K23" s="89"/>
      <c r="L23" s="89"/>
      <c r="M23" s="89"/>
      <c r="N23" s="89"/>
      <c r="O23" s="89"/>
      <c r="P23" s="89"/>
      <c r="Q23" s="89"/>
      <c r="R23" s="89"/>
      <c r="S23" s="89"/>
      <c r="T23" s="89"/>
      <c r="U23" s="89"/>
      <c r="V23" s="89"/>
      <c r="W23" s="89"/>
      <c r="X23" s="89"/>
      <c r="Y23" s="90"/>
    </row>
    <row r="24" spans="4:25">
      <c r="D24" s="68" t="s">
        <v>79</v>
      </c>
      <c r="E24" s="87"/>
      <c r="F24" s="87"/>
      <c r="G24" s="87"/>
      <c r="H24" s="87"/>
      <c r="I24" s="87"/>
      <c r="J24" s="87"/>
      <c r="K24" s="87"/>
      <c r="L24" s="87"/>
      <c r="M24" s="87"/>
      <c r="N24" s="87"/>
      <c r="O24" s="87"/>
      <c r="P24" s="87"/>
      <c r="Q24" s="87"/>
      <c r="R24" s="87"/>
      <c r="S24" s="87"/>
      <c r="T24" s="87"/>
      <c r="U24" s="87"/>
      <c r="V24" s="87"/>
      <c r="W24" s="87"/>
      <c r="X24" s="87"/>
      <c r="Y24" s="88"/>
    </row>
    <row r="25" spans="4:25">
      <c r="D25" s="68"/>
      <c r="E25" s="87"/>
      <c r="F25" s="87"/>
      <c r="G25" s="87"/>
      <c r="H25" s="87"/>
      <c r="I25" s="87"/>
      <c r="J25" s="87"/>
      <c r="K25" s="87"/>
      <c r="L25" s="87"/>
      <c r="M25" s="87"/>
      <c r="N25" s="87"/>
      <c r="O25" s="87"/>
      <c r="P25" s="87"/>
      <c r="Q25" s="87"/>
      <c r="R25" s="87"/>
      <c r="S25" s="87"/>
      <c r="T25" s="87"/>
      <c r="U25" s="87"/>
      <c r="V25" s="87"/>
      <c r="W25" s="87"/>
      <c r="X25" s="87"/>
      <c r="Y25" s="88"/>
    </row>
    <row r="26" spans="4:25" s="63" customFormat="1" ht="18">
      <c r="D26" s="70" t="s">
        <v>80</v>
      </c>
      <c r="E26" s="91">
        <f t="shared" ref="E26:G26" si="3">SUM(E21:E24)+SUM(E8:E17)</f>
        <v>2576513</v>
      </c>
      <c r="F26" s="91">
        <f t="shared" si="3"/>
        <v>2544558</v>
      </c>
      <c r="G26" s="91">
        <f t="shared" si="3"/>
        <v>2608894</v>
      </c>
      <c r="H26" s="91">
        <f t="shared" ref="H26:Y26" si="4">SUM(H21:H24)+SUM(H8:H17)</f>
        <v>3002476</v>
      </c>
      <c r="I26" s="91">
        <f t="shared" si="4"/>
        <v>3301288</v>
      </c>
      <c r="J26" s="91">
        <f t="shared" si="4"/>
        <v>3423219</v>
      </c>
      <c r="K26" s="91">
        <f t="shared" si="4"/>
        <v>3657196</v>
      </c>
      <c r="L26" s="91">
        <f t="shared" si="4"/>
        <v>4647951</v>
      </c>
      <c r="M26" s="91">
        <f>SUM(M21:M24)+SUM(M8:M17)</f>
        <v>4701224</v>
      </c>
      <c r="N26" s="91">
        <f t="shared" si="4"/>
        <v>5039134</v>
      </c>
      <c r="O26" s="91">
        <f t="shared" si="4"/>
        <v>6168777</v>
      </c>
      <c r="P26" s="91">
        <f t="shared" si="4"/>
        <v>0</v>
      </c>
      <c r="Q26" s="91">
        <f t="shared" si="4"/>
        <v>0</v>
      </c>
      <c r="R26" s="91">
        <f t="shared" si="4"/>
        <v>0</v>
      </c>
      <c r="S26" s="91">
        <f t="shared" si="4"/>
        <v>0</v>
      </c>
      <c r="T26" s="91">
        <f t="shared" si="4"/>
        <v>0</v>
      </c>
      <c r="U26" s="91">
        <f t="shared" si="4"/>
        <v>0</v>
      </c>
      <c r="V26" s="91">
        <f t="shared" si="4"/>
        <v>0</v>
      </c>
      <c r="W26" s="91">
        <f t="shared" si="4"/>
        <v>0</v>
      </c>
      <c r="X26" s="91">
        <f t="shared" si="4"/>
        <v>0</v>
      </c>
      <c r="Y26" s="92">
        <f t="shared" si="4"/>
        <v>0</v>
      </c>
    </row>
    <row r="27" spans="4:25" s="6" customFormat="1" ht="14">
      <c r="D27" s="71"/>
      <c r="E27" s="93"/>
      <c r="F27" s="93"/>
      <c r="G27" s="93"/>
      <c r="H27" s="93"/>
      <c r="I27" s="93"/>
      <c r="J27" s="93"/>
      <c r="K27" s="93"/>
      <c r="L27" s="93"/>
      <c r="M27" s="93"/>
      <c r="N27" s="93"/>
      <c r="O27" s="93"/>
      <c r="P27" s="93"/>
      <c r="Q27" s="93"/>
      <c r="R27" s="93"/>
      <c r="S27" s="93"/>
      <c r="T27" s="93"/>
      <c r="U27" s="93"/>
      <c r="V27" s="93"/>
      <c r="W27" s="93"/>
      <c r="X27" s="93"/>
      <c r="Y27" s="94"/>
    </row>
    <row r="28" spans="4:25" s="13" customFormat="1" ht="11">
      <c r="D28" s="72" t="s">
        <v>391</v>
      </c>
      <c r="E28" s="95">
        <f>E26-'2a. Income Statement'!E6</f>
        <v>0</v>
      </c>
      <c r="F28" s="95">
        <f>F26-'2a. Income Statement'!F6</f>
        <v>0</v>
      </c>
      <c r="G28" s="95">
        <f>G26-'2a. Income Statement'!G6</f>
        <v>0</v>
      </c>
      <c r="H28" s="95">
        <f>H26-'2a. Income Statement'!H6</f>
        <v>0</v>
      </c>
      <c r="I28" s="95">
        <f>I26-'2a. Income Statement'!I6</f>
        <v>0</v>
      </c>
      <c r="J28" s="95">
        <f>J26-'2a. Income Statement'!J6</f>
        <v>0</v>
      </c>
      <c r="K28" s="95">
        <f>K26-'2a. Income Statement'!K6</f>
        <v>0</v>
      </c>
      <c r="L28" s="95">
        <f>L26-'2a. Income Statement'!L6</f>
        <v>0</v>
      </c>
      <c r="M28" s="95">
        <f>M26-'2a. Income Statement'!M6</f>
        <v>0</v>
      </c>
      <c r="N28" s="95">
        <f>N26-'2a. Income Statement'!N6</f>
        <v>0</v>
      </c>
      <c r="O28" s="95">
        <f>O26-'2a. Income Statement'!O6</f>
        <v>0</v>
      </c>
      <c r="P28" s="95"/>
      <c r="Q28" s="95"/>
      <c r="R28" s="95"/>
      <c r="S28" s="95"/>
      <c r="T28" s="95"/>
      <c r="U28" s="95"/>
      <c r="V28" s="95"/>
      <c r="W28" s="95"/>
      <c r="X28" s="95"/>
      <c r="Y28" s="96"/>
    </row>
    <row r="29" spans="4:25">
      <c r="D29" s="68"/>
      <c r="E29" s="87"/>
      <c r="F29" s="87"/>
      <c r="G29" s="87"/>
      <c r="H29" s="87"/>
      <c r="I29" s="87"/>
      <c r="J29" s="87"/>
      <c r="K29" s="87"/>
      <c r="L29" s="87"/>
      <c r="M29" s="87"/>
      <c r="N29" s="87"/>
      <c r="O29" s="87"/>
      <c r="P29" s="87"/>
      <c r="Q29" s="87"/>
      <c r="R29" s="87"/>
      <c r="S29" s="87"/>
      <c r="T29" s="87"/>
      <c r="U29" s="87"/>
      <c r="V29" s="87"/>
      <c r="W29" s="87"/>
      <c r="X29" s="87"/>
      <c r="Y29" s="88"/>
    </row>
    <row r="30" spans="4:25">
      <c r="D30" s="68" t="s">
        <v>226</v>
      </c>
      <c r="E30" s="87">
        <v>1470587</v>
      </c>
      <c r="F30" s="87">
        <v>1318949</v>
      </c>
      <c r="G30" s="87">
        <v>1409041</v>
      </c>
      <c r="H30" s="87">
        <v>1879711</v>
      </c>
      <c r="I30" s="87">
        <v>2142497</v>
      </c>
      <c r="J30" s="87">
        <v>2280069</v>
      </c>
      <c r="K30" s="87">
        <v>2268296</v>
      </c>
      <c r="L30" s="87">
        <f>L8+L17</f>
        <v>2933079</v>
      </c>
      <c r="M30" s="87">
        <f>M8+M17</f>
        <v>3001080</v>
      </c>
      <c r="N30" s="87">
        <f>N8+N17</f>
        <v>3491973</v>
      </c>
      <c r="O30" s="87">
        <f>O8+O17+O11</f>
        <v>4395463</v>
      </c>
      <c r="P30" s="87"/>
      <c r="Q30" s="87"/>
      <c r="R30" s="87"/>
      <c r="S30" s="87"/>
      <c r="T30" s="87"/>
      <c r="U30" s="87"/>
      <c r="V30" s="87"/>
      <c r="W30" s="87"/>
      <c r="X30" s="87"/>
      <c r="Y30" s="88"/>
    </row>
    <row r="31" spans="4:25" s="7" customFormat="1" ht="14">
      <c r="D31" s="69"/>
      <c r="E31" s="89"/>
      <c r="F31" s="89"/>
      <c r="G31" s="89"/>
      <c r="H31" s="89"/>
      <c r="I31" s="89"/>
      <c r="J31" s="89"/>
      <c r="K31" s="89"/>
      <c r="L31" s="89"/>
      <c r="M31" s="89"/>
      <c r="N31" s="89"/>
      <c r="O31" s="89"/>
      <c r="P31" s="89"/>
      <c r="Q31" s="89"/>
      <c r="R31" s="89"/>
      <c r="S31" s="89"/>
      <c r="T31" s="89"/>
      <c r="U31" s="89"/>
      <c r="V31" s="89"/>
      <c r="W31" s="89"/>
      <c r="X31" s="89"/>
      <c r="Y31" s="90"/>
    </row>
    <row r="32" spans="4:25" s="7" customFormat="1" ht="14">
      <c r="D32" s="69"/>
      <c r="E32" s="89"/>
      <c r="F32" s="89"/>
      <c r="G32" s="89"/>
      <c r="H32" s="89"/>
      <c r="I32" s="89"/>
      <c r="J32" s="89"/>
      <c r="K32" s="89"/>
      <c r="L32" s="89"/>
      <c r="M32" s="89"/>
      <c r="N32" s="89"/>
      <c r="O32" s="89"/>
      <c r="P32" s="89"/>
      <c r="Q32" s="89"/>
      <c r="R32" s="89"/>
      <c r="S32" s="89"/>
      <c r="T32" s="89"/>
      <c r="U32" s="89"/>
      <c r="V32" s="89"/>
      <c r="W32" s="89"/>
      <c r="X32" s="89"/>
      <c r="Y32" s="90"/>
    </row>
    <row r="33" spans="4:25">
      <c r="D33" s="68" t="s">
        <v>225</v>
      </c>
      <c r="E33" s="87">
        <v>939091</v>
      </c>
      <c r="F33" s="87">
        <v>1071362</v>
      </c>
      <c r="G33" s="87">
        <v>1023667</v>
      </c>
      <c r="H33" s="87">
        <v>934384</v>
      </c>
      <c r="I33" s="87">
        <v>948267</v>
      </c>
      <c r="J33" s="87">
        <v>909034</v>
      </c>
      <c r="K33" s="87">
        <v>1170907</v>
      </c>
      <c r="L33" s="87">
        <f>L14</f>
        <v>1435082</v>
      </c>
      <c r="M33" s="87">
        <f>M14</f>
        <v>1373824</v>
      </c>
      <c r="N33" s="87">
        <f>N14</f>
        <v>1203470</v>
      </c>
      <c r="O33" s="87">
        <f>O14</f>
        <v>1314747</v>
      </c>
      <c r="P33" s="87"/>
      <c r="Q33" s="87"/>
      <c r="R33" s="87"/>
      <c r="S33" s="87"/>
      <c r="T33" s="87"/>
      <c r="U33" s="87"/>
      <c r="V33" s="87"/>
      <c r="W33" s="87"/>
      <c r="X33" s="87"/>
      <c r="Y33" s="88"/>
    </row>
    <row r="34" spans="4:25" s="7" customFormat="1" ht="14">
      <c r="D34" s="69"/>
      <c r="E34" s="89"/>
      <c r="F34" s="89"/>
      <c r="G34" s="89"/>
      <c r="H34" s="89"/>
      <c r="I34" s="89"/>
      <c r="J34" s="89"/>
      <c r="K34" s="89"/>
      <c r="L34" s="89"/>
      <c r="M34" s="89"/>
      <c r="N34" s="89"/>
      <c r="O34" s="89"/>
      <c r="P34" s="89"/>
      <c r="Q34" s="89"/>
      <c r="R34" s="89"/>
      <c r="S34" s="89"/>
      <c r="T34" s="89"/>
      <c r="U34" s="89"/>
      <c r="V34" s="89"/>
      <c r="W34" s="89"/>
      <c r="X34" s="89"/>
      <c r="Y34" s="90"/>
    </row>
    <row r="35" spans="4:25" s="7" customFormat="1" ht="14">
      <c r="D35" s="69"/>
      <c r="E35" s="89"/>
      <c r="F35" s="89"/>
      <c r="G35" s="89"/>
      <c r="H35" s="89"/>
      <c r="I35" s="89"/>
      <c r="J35" s="89"/>
      <c r="K35" s="89"/>
      <c r="L35" s="89"/>
      <c r="M35" s="89"/>
      <c r="N35" s="89"/>
      <c r="O35" s="89"/>
      <c r="P35" s="89"/>
      <c r="Q35" s="89"/>
      <c r="R35" s="89"/>
      <c r="S35" s="89"/>
      <c r="T35" s="89"/>
      <c r="U35" s="89"/>
      <c r="V35" s="89"/>
      <c r="W35" s="89"/>
      <c r="X35" s="89"/>
      <c r="Y35" s="90"/>
    </row>
    <row r="36" spans="4:25">
      <c r="D36" s="68"/>
      <c r="E36" s="87"/>
      <c r="F36" s="87"/>
      <c r="G36" s="87"/>
      <c r="H36" s="87"/>
      <c r="I36" s="87"/>
      <c r="J36" s="87"/>
      <c r="K36" s="87"/>
      <c r="L36" s="87"/>
      <c r="M36" s="87"/>
      <c r="N36" s="87"/>
      <c r="O36" s="87"/>
      <c r="P36" s="87"/>
      <c r="Q36" s="87"/>
      <c r="R36" s="87"/>
      <c r="S36" s="87"/>
      <c r="T36" s="87"/>
      <c r="U36" s="87"/>
      <c r="V36" s="87"/>
      <c r="W36" s="87"/>
      <c r="X36" s="87"/>
      <c r="Y36" s="88"/>
    </row>
    <row r="37" spans="4:25" ht="16" thickBot="1">
      <c r="D37" s="73" t="s">
        <v>227</v>
      </c>
      <c r="E37" s="97">
        <f t="shared" ref="E37:G37" si="5">AVERAGE($K$37:$O$37)</f>
        <v>0.88142241628850226</v>
      </c>
      <c r="F37" s="97">
        <f t="shared" si="5"/>
        <v>0.88142241628850226</v>
      </c>
      <c r="G37" s="97">
        <f t="shared" si="5"/>
        <v>0.88142241628850226</v>
      </c>
      <c r="H37" s="97">
        <f t="shared" ref="H37:I37" si="6">AVERAGE($K$37:$O$37)</f>
        <v>0.88142241628850226</v>
      </c>
      <c r="I37" s="97">
        <f t="shared" si="6"/>
        <v>0.88142241628850226</v>
      </c>
      <c r="J37" s="97">
        <f>AVERAGE($K$37:$O$37)</f>
        <v>0.88142241628850226</v>
      </c>
      <c r="K37" s="97">
        <f>K8/(K8+K17)</f>
        <v>0.87366110948482911</v>
      </c>
      <c r="L37" s="97">
        <f t="shared" ref="L37:O37" si="7">L8/(L8+L17)</f>
        <v>0.88052043603326058</v>
      </c>
      <c r="M37" s="97">
        <f t="shared" si="7"/>
        <v>0.87691297799458856</v>
      </c>
      <c r="N37" s="97">
        <f t="shared" si="7"/>
        <v>0.883877395386505</v>
      </c>
      <c r="O37" s="97">
        <f t="shared" si="7"/>
        <v>0.89214016254332806</v>
      </c>
      <c r="P37" s="97"/>
      <c r="Q37" s="97"/>
      <c r="R37" s="97"/>
      <c r="S37" s="97"/>
      <c r="T37" s="97"/>
      <c r="U37" s="97"/>
      <c r="V37" s="97"/>
      <c r="W37" s="97"/>
      <c r="X37" s="97"/>
      <c r="Y37" s="98"/>
    </row>
    <row r="38" spans="4:25" ht="16" thickTop="1">
      <c r="D38" s="66"/>
      <c r="E38" s="18"/>
      <c r="F38" s="18"/>
      <c r="G38" s="18"/>
      <c r="H38" s="18"/>
      <c r="I38" s="18"/>
      <c r="J38" s="18"/>
      <c r="K38" s="18"/>
      <c r="L38" s="18"/>
      <c r="M38" s="18"/>
      <c r="N38" s="18"/>
      <c r="O38" s="18"/>
      <c r="P38" s="18"/>
      <c r="Q38" s="18"/>
      <c r="R38" s="18"/>
      <c r="S38" s="18"/>
      <c r="T38" s="18"/>
      <c r="U38" s="18"/>
      <c r="V38" s="18"/>
      <c r="W38" s="18"/>
      <c r="X38" s="18"/>
      <c r="Y38" s="18"/>
    </row>
    <row r="39" spans="4:25">
      <c r="D39" s="66"/>
      <c r="E39" s="18"/>
      <c r="F39" s="18"/>
      <c r="G39" s="18"/>
      <c r="H39" s="18"/>
      <c r="I39" s="18"/>
      <c r="J39" s="18"/>
      <c r="K39" s="18"/>
      <c r="L39" s="18"/>
      <c r="M39" s="18"/>
      <c r="N39" s="18"/>
      <c r="O39" s="18"/>
      <c r="P39" s="18"/>
      <c r="Q39" s="18"/>
      <c r="R39" s="18"/>
      <c r="S39" s="18"/>
      <c r="T39" s="18"/>
      <c r="U39" s="18"/>
      <c r="V39" s="18"/>
      <c r="W39" s="18"/>
      <c r="X39" s="18"/>
      <c r="Y39" s="18"/>
    </row>
    <row r="40" spans="4:25">
      <c r="D40" s="66"/>
    </row>
    <row r="41" spans="4:25">
      <c r="D41" s="67" t="s">
        <v>272</v>
      </c>
      <c r="E41" s="1" t="s">
        <v>216</v>
      </c>
      <c r="F41" s="1" t="s">
        <v>217</v>
      </c>
      <c r="G41" s="1" t="s">
        <v>218</v>
      </c>
      <c r="H41" s="1" t="s">
        <v>28</v>
      </c>
      <c r="I41" s="1" t="s">
        <v>17</v>
      </c>
      <c r="J41" s="1" t="s">
        <v>18</v>
      </c>
      <c r="K41" s="1" t="s">
        <v>19</v>
      </c>
      <c r="L41" s="1" t="s">
        <v>20</v>
      </c>
      <c r="M41" s="1" t="s">
        <v>21</v>
      </c>
      <c r="N41" s="1" t="s">
        <v>22</v>
      </c>
      <c r="O41" s="1" t="s">
        <v>23</v>
      </c>
      <c r="P41" s="1" t="s">
        <v>24</v>
      </c>
      <c r="Q41" s="1" t="s">
        <v>25</v>
      </c>
      <c r="R41" s="1" t="s">
        <v>26</v>
      </c>
      <c r="S41" s="1" t="s">
        <v>27</v>
      </c>
      <c r="T41" s="1"/>
      <c r="U41" s="1"/>
      <c r="V41" s="1"/>
      <c r="W41" s="1"/>
      <c r="X41" s="1"/>
      <c r="Y41" s="1"/>
    </row>
    <row r="42" spans="4:25" s="18" customFormat="1">
      <c r="D42" s="74"/>
      <c r="E42" s="3"/>
      <c r="F42" s="3"/>
      <c r="G42" s="3"/>
      <c r="H42" s="3"/>
      <c r="I42" s="3"/>
      <c r="J42" s="3"/>
      <c r="K42" s="3"/>
      <c r="L42" s="3"/>
      <c r="M42" s="3"/>
      <c r="N42" s="3"/>
      <c r="O42" s="3"/>
      <c r="P42" s="3"/>
      <c r="Q42" s="3"/>
      <c r="R42" s="3"/>
      <c r="S42" s="3"/>
      <c r="T42" s="3"/>
      <c r="U42" s="3"/>
      <c r="V42" s="3"/>
      <c r="W42" s="3"/>
      <c r="X42" s="3"/>
      <c r="Y42" s="3"/>
    </row>
    <row r="43" spans="4:25">
      <c r="D43" s="75" t="s">
        <v>171</v>
      </c>
      <c r="E43" s="55"/>
      <c r="F43" s="55"/>
      <c r="G43" s="55"/>
      <c r="H43" s="56"/>
      <c r="I43" s="56"/>
      <c r="J43" s="56"/>
      <c r="K43" s="56"/>
      <c r="L43" s="56"/>
      <c r="M43" s="56"/>
      <c r="N43" s="56"/>
      <c r="O43" s="56"/>
      <c r="P43" s="56"/>
      <c r="Q43" s="56"/>
      <c r="R43" s="56"/>
      <c r="S43" s="56"/>
      <c r="T43" s="56"/>
      <c r="U43" s="56"/>
      <c r="V43" s="57"/>
      <c r="W43" s="57"/>
      <c r="X43" s="57"/>
      <c r="Y43" s="58"/>
    </row>
    <row r="44" spans="4:25">
      <c r="D44" s="76" t="s">
        <v>81</v>
      </c>
      <c r="E44" s="50"/>
      <c r="F44" s="50"/>
      <c r="G44" s="50"/>
      <c r="H44" s="50"/>
      <c r="I44" s="39"/>
      <c r="J44" s="39"/>
      <c r="K44" s="39"/>
      <c r="L44" s="39"/>
      <c r="M44" s="39"/>
      <c r="N44" s="39"/>
      <c r="O44" s="39"/>
      <c r="P44" s="39"/>
      <c r="Q44" s="39"/>
      <c r="R44" s="39"/>
      <c r="S44" s="39"/>
      <c r="T44" s="39"/>
      <c r="U44" s="39"/>
      <c r="V44" s="39"/>
      <c r="W44" s="39"/>
      <c r="X44" s="39"/>
      <c r="Y44" s="51"/>
    </row>
    <row r="45" spans="4:25">
      <c r="D45" s="76" t="s">
        <v>82</v>
      </c>
      <c r="E45" s="50">
        <v>2075</v>
      </c>
      <c r="F45" s="50">
        <v>9838</v>
      </c>
      <c r="G45" s="50">
        <v>5308</v>
      </c>
      <c r="H45" s="39">
        <v>15769</v>
      </c>
      <c r="I45" s="39">
        <v>-4900</v>
      </c>
      <c r="J45" s="39">
        <v>-13595</v>
      </c>
      <c r="K45" s="39">
        <v>74</v>
      </c>
      <c r="L45" s="39">
        <v>18395</v>
      </c>
      <c r="M45" s="39">
        <v>43293</v>
      </c>
      <c r="N45" s="59">
        <f>-'2a. Income Statement'!N23</f>
        <v>37196</v>
      </c>
      <c r="O45" s="60">
        <f>-'2a. Income Statement'!O23</f>
        <v>40542</v>
      </c>
      <c r="P45" s="39"/>
      <c r="Q45" s="39"/>
      <c r="R45" s="39"/>
      <c r="S45" s="39"/>
      <c r="T45" s="39"/>
      <c r="U45" s="39"/>
      <c r="V45" s="39"/>
      <c r="W45" s="39"/>
      <c r="X45" s="39"/>
      <c r="Y45" s="51"/>
    </row>
    <row r="46" spans="4:25">
      <c r="D46" s="76"/>
      <c r="E46" s="50"/>
      <c r="F46" s="50"/>
      <c r="G46" s="50"/>
      <c r="H46" s="39"/>
      <c r="I46" s="39"/>
      <c r="J46" s="39"/>
      <c r="K46" s="39"/>
      <c r="L46" s="39"/>
      <c r="M46" s="39"/>
      <c r="N46" s="59"/>
      <c r="O46" s="60"/>
      <c r="P46" s="39"/>
      <c r="Q46" s="39"/>
      <c r="R46" s="39"/>
      <c r="S46" s="39"/>
      <c r="T46" s="39"/>
      <c r="U46" s="39"/>
      <c r="V46" s="39"/>
      <c r="W46" s="39"/>
      <c r="X46" s="39"/>
      <c r="Y46" s="51"/>
    </row>
    <row r="47" spans="4:25">
      <c r="D47" s="76" t="s">
        <v>688</v>
      </c>
      <c r="E47" s="50">
        <v>-508</v>
      </c>
      <c r="F47" s="50">
        <v>235</v>
      </c>
      <c r="G47" s="50">
        <v>522</v>
      </c>
      <c r="H47" s="39">
        <v>33</v>
      </c>
      <c r="I47" s="39">
        <v>1480</v>
      </c>
      <c r="J47" s="39">
        <v>483</v>
      </c>
      <c r="K47" s="39">
        <v>57</v>
      </c>
      <c r="L47" s="39">
        <v>1193</v>
      </c>
      <c r="M47" s="39"/>
      <c r="N47" s="61"/>
      <c r="O47" s="50">
        <v>1293</v>
      </c>
      <c r="P47" s="39"/>
      <c r="Q47" s="39"/>
      <c r="R47" s="39"/>
      <c r="S47" s="39"/>
      <c r="T47" s="39"/>
      <c r="U47" s="39"/>
      <c r="V47" s="39"/>
      <c r="W47" s="39"/>
      <c r="X47" s="39"/>
      <c r="Y47" s="51"/>
    </row>
    <row r="48" spans="4:25">
      <c r="D48" s="76" t="s">
        <v>83</v>
      </c>
      <c r="E48" s="50"/>
      <c r="F48" s="50"/>
      <c r="G48" s="50"/>
      <c r="H48" s="39"/>
      <c r="I48" s="39"/>
      <c r="J48" s="39"/>
      <c r="K48" s="39"/>
      <c r="L48" s="39"/>
      <c r="M48" s="39"/>
      <c r="N48" s="39"/>
      <c r="O48" s="50">
        <v>500</v>
      </c>
      <c r="P48" s="39"/>
      <c r="Q48" s="39"/>
      <c r="R48" s="39"/>
      <c r="S48" s="39"/>
      <c r="T48" s="39"/>
      <c r="U48" s="39"/>
      <c r="V48" s="39"/>
      <c r="W48" s="39"/>
      <c r="X48" s="39"/>
      <c r="Y48" s="51"/>
    </row>
    <row r="49" spans="2:25">
      <c r="D49" s="76" t="s">
        <v>170</v>
      </c>
      <c r="E49" s="50"/>
      <c r="F49" s="50"/>
      <c r="G49" s="50"/>
      <c r="H49" s="39"/>
      <c r="I49" s="39"/>
      <c r="J49" s="39"/>
      <c r="K49" s="39"/>
      <c r="L49" s="39"/>
      <c r="M49" s="39">
        <v>2418</v>
      </c>
      <c r="N49" s="39"/>
      <c r="O49" s="50"/>
      <c r="P49" s="39"/>
      <c r="Q49" s="39"/>
      <c r="R49" s="39"/>
      <c r="S49" s="39"/>
      <c r="T49" s="39"/>
      <c r="U49" s="39"/>
      <c r="V49" s="39"/>
      <c r="W49" s="39"/>
      <c r="X49" s="39"/>
      <c r="Y49" s="51"/>
    </row>
    <row r="50" spans="2:25">
      <c r="D50" s="76" t="s">
        <v>84</v>
      </c>
      <c r="E50" s="50"/>
      <c r="F50" s="50"/>
      <c r="G50" s="50"/>
      <c r="H50" s="39"/>
      <c r="I50" s="39"/>
      <c r="J50" s="39"/>
      <c r="K50" s="39"/>
      <c r="L50" s="39"/>
      <c r="M50" s="39"/>
      <c r="N50" s="39">
        <v>268</v>
      </c>
      <c r="O50" s="50"/>
      <c r="P50" s="39"/>
      <c r="Q50" s="39"/>
      <c r="R50" s="39"/>
      <c r="S50" s="39"/>
      <c r="T50" s="39"/>
      <c r="U50" s="39"/>
      <c r="V50" s="39"/>
      <c r="W50" s="39"/>
      <c r="X50" s="39"/>
      <c r="Y50" s="51"/>
    </row>
    <row r="51" spans="2:25" s="4" customFormat="1">
      <c r="D51" s="77" t="s">
        <v>103</v>
      </c>
      <c r="E51" s="53">
        <f>SUM(E44:E50)</f>
        <v>1567</v>
      </c>
      <c r="F51" s="53">
        <f t="shared" ref="F51:Y51" si="8">SUM(F44:F50)</f>
        <v>10073</v>
      </c>
      <c r="G51" s="53">
        <f t="shared" si="8"/>
        <v>5830</v>
      </c>
      <c r="H51" s="53">
        <f t="shared" si="8"/>
        <v>15802</v>
      </c>
      <c r="I51" s="53">
        <f t="shared" si="8"/>
        <v>-3420</v>
      </c>
      <c r="J51" s="53">
        <f t="shared" si="8"/>
        <v>-13112</v>
      </c>
      <c r="K51" s="53">
        <f t="shared" si="8"/>
        <v>131</v>
      </c>
      <c r="L51" s="53">
        <f t="shared" si="8"/>
        <v>19588</v>
      </c>
      <c r="M51" s="53">
        <f t="shared" si="8"/>
        <v>45711</v>
      </c>
      <c r="N51" s="53">
        <f t="shared" si="8"/>
        <v>37464</v>
      </c>
      <c r="O51" s="53">
        <f t="shared" si="8"/>
        <v>42335</v>
      </c>
      <c r="P51" s="53">
        <f t="shared" si="8"/>
        <v>0</v>
      </c>
      <c r="Q51" s="53">
        <f t="shared" si="8"/>
        <v>0</v>
      </c>
      <c r="R51" s="53">
        <f t="shared" si="8"/>
        <v>0</v>
      </c>
      <c r="S51" s="53">
        <f t="shared" si="8"/>
        <v>0</v>
      </c>
      <c r="T51" s="53">
        <f t="shared" si="8"/>
        <v>0</v>
      </c>
      <c r="U51" s="53">
        <f t="shared" si="8"/>
        <v>0</v>
      </c>
      <c r="V51" s="53">
        <f t="shared" si="8"/>
        <v>0</v>
      </c>
      <c r="W51" s="53">
        <f t="shared" si="8"/>
        <v>0</v>
      </c>
      <c r="X51" s="53">
        <f t="shared" si="8"/>
        <v>0</v>
      </c>
      <c r="Y51" s="53">
        <f t="shared" si="8"/>
        <v>0</v>
      </c>
    </row>
    <row r="52" spans="2:25">
      <c r="D52" s="76"/>
      <c r="E52" s="50"/>
      <c r="F52" s="50"/>
      <c r="G52" s="50"/>
      <c r="H52" s="39"/>
      <c r="I52" s="39"/>
      <c r="J52" s="39"/>
      <c r="K52" s="39"/>
      <c r="L52" s="39"/>
      <c r="M52" s="39"/>
      <c r="N52" s="39"/>
      <c r="O52" s="50"/>
      <c r="P52" s="39"/>
      <c r="Q52" s="39"/>
      <c r="R52" s="39"/>
      <c r="S52" s="39"/>
      <c r="T52" s="39"/>
      <c r="U52" s="39"/>
      <c r="V52" s="39"/>
      <c r="W52" s="39"/>
      <c r="X52" s="39"/>
      <c r="Y52" s="51"/>
    </row>
    <row r="53" spans="2:25">
      <c r="D53" s="78" t="s">
        <v>85</v>
      </c>
      <c r="E53" s="62"/>
      <c r="F53" s="62"/>
      <c r="G53" s="62"/>
      <c r="H53" s="48"/>
      <c r="I53" s="48"/>
      <c r="J53" s="48"/>
      <c r="K53" s="48"/>
      <c r="L53" s="48"/>
      <c r="M53" s="48"/>
      <c r="N53" s="48"/>
      <c r="O53" s="47"/>
      <c r="P53" s="48"/>
      <c r="Q53" s="48"/>
      <c r="R53" s="48"/>
      <c r="S53" s="48"/>
      <c r="T53" s="48"/>
      <c r="U53" s="48"/>
      <c r="V53" s="48"/>
      <c r="W53" s="48"/>
      <c r="X53" s="48"/>
      <c r="Y53" s="49"/>
    </row>
    <row r="54" spans="2:25">
      <c r="D54" s="76" t="s">
        <v>102</v>
      </c>
      <c r="E54" s="50"/>
      <c r="F54" s="50"/>
      <c r="G54" s="50"/>
      <c r="H54" s="39"/>
      <c r="I54" s="39"/>
      <c r="J54" s="39"/>
      <c r="K54" s="39"/>
      <c r="L54" s="39"/>
      <c r="M54" s="39"/>
      <c r="N54" s="39"/>
      <c r="O54" s="50"/>
      <c r="P54" s="39"/>
      <c r="Q54" s="39"/>
      <c r="R54" s="39"/>
      <c r="S54" s="39"/>
      <c r="T54" s="39"/>
      <c r="U54" s="39"/>
      <c r="V54" s="39"/>
      <c r="W54" s="39"/>
      <c r="X54" s="39"/>
      <c r="Y54" s="51"/>
    </row>
    <row r="55" spans="2:25">
      <c r="D55" s="76" t="s">
        <v>86</v>
      </c>
      <c r="E55" s="50">
        <v>3693</v>
      </c>
      <c r="F55" s="50">
        <v>4628</v>
      </c>
      <c r="G55" s="50">
        <v>5287</v>
      </c>
      <c r="H55" s="39">
        <v>3743</v>
      </c>
      <c r="I55" s="39">
        <v>4215</v>
      </c>
      <c r="J55" s="39">
        <v>4651</v>
      </c>
      <c r="K55" s="39">
        <v>4896</v>
      </c>
      <c r="L55" s="39">
        <v>4732</v>
      </c>
      <c r="M55" s="39">
        <v>4872</v>
      </c>
      <c r="N55" s="39">
        <v>5097</v>
      </c>
      <c r="O55" s="50">
        <v>7771</v>
      </c>
      <c r="P55" s="39"/>
      <c r="Q55" s="39"/>
      <c r="R55" s="39"/>
      <c r="S55" s="39"/>
      <c r="T55" s="39"/>
      <c r="U55" s="39"/>
      <c r="V55" s="39"/>
      <c r="W55" s="39"/>
      <c r="X55" s="39"/>
      <c r="Y55" s="51"/>
    </row>
    <row r="56" spans="2:25">
      <c r="D56" s="76" t="s">
        <v>87</v>
      </c>
      <c r="E56" s="50">
        <v>91</v>
      </c>
      <c r="F56" s="50">
        <v>696</v>
      </c>
      <c r="G56" s="50">
        <v>309</v>
      </c>
      <c r="H56" s="39">
        <v>412</v>
      </c>
      <c r="I56" s="39">
        <v>201</v>
      </c>
      <c r="J56" s="39">
        <v>115</v>
      </c>
      <c r="K56" s="39">
        <v>74</v>
      </c>
      <c r="L56" s="39">
        <v>54</v>
      </c>
      <c r="M56" s="39">
        <v>46</v>
      </c>
      <c r="N56" s="39">
        <v>99</v>
      </c>
      <c r="O56" s="50">
        <v>95</v>
      </c>
      <c r="P56" s="39"/>
      <c r="Q56" s="39"/>
      <c r="R56" s="39"/>
      <c r="S56" s="39"/>
      <c r="T56" s="39"/>
      <c r="U56" s="39"/>
      <c r="V56" s="39"/>
      <c r="W56" s="39"/>
      <c r="X56" s="39"/>
      <c r="Y56" s="51"/>
    </row>
    <row r="57" spans="2:25">
      <c r="D57" s="76" t="s">
        <v>88</v>
      </c>
      <c r="E57" s="50">
        <v>64</v>
      </c>
      <c r="F57" s="50">
        <v>82</v>
      </c>
      <c r="G57" s="50">
        <v>104</v>
      </c>
      <c r="H57" s="39">
        <v>49</v>
      </c>
      <c r="I57" s="39">
        <v>139</v>
      </c>
      <c r="J57" s="39">
        <v>82</v>
      </c>
      <c r="K57" s="39">
        <v>8</v>
      </c>
      <c r="L57" s="39">
        <v>18</v>
      </c>
      <c r="M57" s="39">
        <v>13</v>
      </c>
      <c r="N57" s="39">
        <v>21</v>
      </c>
      <c r="O57" s="50">
        <v>41</v>
      </c>
      <c r="P57" s="39"/>
      <c r="Q57" s="39"/>
      <c r="R57" s="39"/>
      <c r="S57" s="39"/>
      <c r="T57" s="39"/>
      <c r="U57" s="39"/>
      <c r="V57" s="39"/>
      <c r="W57" s="39"/>
      <c r="X57" s="39"/>
      <c r="Y57" s="51"/>
    </row>
    <row r="58" spans="2:25">
      <c r="D58" s="76" t="s">
        <v>89</v>
      </c>
      <c r="E58" s="50">
        <v>1204</v>
      </c>
      <c r="F58" s="50">
        <v>2350</v>
      </c>
      <c r="G58" s="50">
        <v>2382</v>
      </c>
      <c r="H58" s="39">
        <v>1639</v>
      </c>
      <c r="I58" s="39">
        <v>1177</v>
      </c>
      <c r="J58" s="39">
        <v>405</v>
      </c>
      <c r="K58" s="39">
        <v>2130</v>
      </c>
      <c r="L58" s="39">
        <v>2097</v>
      </c>
      <c r="M58" s="39">
        <v>1650</v>
      </c>
      <c r="N58" s="39">
        <v>1933</v>
      </c>
      <c r="O58" s="50">
        <v>3250</v>
      </c>
      <c r="P58" s="39"/>
      <c r="Q58" s="39"/>
      <c r="R58" s="39"/>
      <c r="S58" s="39"/>
      <c r="T58" s="39"/>
      <c r="U58" s="39"/>
      <c r="V58" s="39"/>
      <c r="W58" s="39"/>
      <c r="X58" s="39"/>
      <c r="Y58" s="51"/>
    </row>
    <row r="59" spans="2:25" s="4" customFormat="1">
      <c r="D59" s="77" t="s">
        <v>103</v>
      </c>
      <c r="E59" s="53">
        <f>SUM(E55:E58)</f>
        <v>5052</v>
      </c>
      <c r="F59" s="53">
        <f t="shared" ref="F59" si="9">SUM(F55:F58)</f>
        <v>7756</v>
      </c>
      <c r="G59" s="53">
        <f t="shared" ref="G59" si="10">SUM(G55:G58)</f>
        <v>8082</v>
      </c>
      <c r="H59" s="53">
        <f t="shared" ref="H59:M59" si="11">SUM(H55:H58)</f>
        <v>5843</v>
      </c>
      <c r="I59" s="53">
        <f t="shared" si="11"/>
        <v>5732</v>
      </c>
      <c r="J59" s="53">
        <f t="shared" si="11"/>
        <v>5253</v>
      </c>
      <c r="K59" s="53">
        <f>SUM(K55:K58)</f>
        <v>7108</v>
      </c>
      <c r="L59" s="53">
        <f t="shared" si="11"/>
        <v>6901</v>
      </c>
      <c r="M59" s="53">
        <f t="shared" si="11"/>
        <v>6581</v>
      </c>
      <c r="N59" s="53">
        <f>SUM(N55:N58)</f>
        <v>7150</v>
      </c>
      <c r="O59" s="53">
        <f t="shared" ref="O59" si="12">SUM(O55:O58)</f>
        <v>11157</v>
      </c>
      <c r="P59" s="53">
        <f t="shared" ref="P59" si="13">SUM(P55:P58)</f>
        <v>0</v>
      </c>
      <c r="Q59" s="53">
        <f t="shared" ref="Q59" si="14">SUM(Q55:Q58)</f>
        <v>0</v>
      </c>
      <c r="R59" s="53">
        <f t="shared" ref="R59" si="15">SUM(R55:R58)</f>
        <v>0</v>
      </c>
      <c r="S59" s="53">
        <f t="shared" ref="S59" si="16">SUM(S55:S58)</f>
        <v>0</v>
      </c>
      <c r="T59" s="53">
        <f t="shared" ref="T59:U59" si="17">SUM(T55:T58)</f>
        <v>0</v>
      </c>
      <c r="U59" s="53">
        <f t="shared" si="17"/>
        <v>0</v>
      </c>
      <c r="V59" s="53">
        <f t="shared" ref="V59" si="18">SUM(V55:V58)</f>
        <v>0</v>
      </c>
      <c r="W59" s="53">
        <f t="shared" ref="W59" si="19">SUM(W55:W58)</f>
        <v>0</v>
      </c>
      <c r="X59" s="53">
        <f t="shared" ref="X59" si="20">SUM(X55:X58)</f>
        <v>0</v>
      </c>
      <c r="Y59" s="54">
        <f t="shared" ref="Y59" si="21">SUM(Y55:Y58)</f>
        <v>0</v>
      </c>
    </row>
    <row r="60" spans="2:25">
      <c r="D60" s="66"/>
      <c r="E60" s="4"/>
      <c r="F60" s="4"/>
      <c r="G60" s="4"/>
      <c r="H60" s="4"/>
      <c r="I60" s="4"/>
      <c r="J60" s="4"/>
      <c r="K60" s="4"/>
      <c r="L60" s="4"/>
      <c r="M60" s="4"/>
      <c r="N60" s="4"/>
      <c r="O60" s="4"/>
      <c r="P60" s="4"/>
      <c r="Q60" s="4"/>
      <c r="R60" s="4"/>
      <c r="S60" s="4"/>
      <c r="T60" s="4"/>
      <c r="U60" s="4"/>
      <c r="V60" s="4"/>
      <c r="W60" s="4"/>
      <c r="X60" s="4"/>
      <c r="Y60" s="4"/>
    </row>
    <row r="61" spans="2:25">
      <c r="B61" s="18"/>
      <c r="C61" s="18"/>
      <c r="D61" s="79" t="s">
        <v>90</v>
      </c>
      <c r="E61" s="47"/>
      <c r="F61" s="47"/>
      <c r="G61" s="47"/>
      <c r="H61" s="48"/>
      <c r="I61" s="48"/>
      <c r="J61" s="48"/>
      <c r="K61" s="48"/>
      <c r="L61" s="48"/>
      <c r="M61" s="48"/>
      <c r="N61" s="48"/>
      <c r="O61" s="47"/>
      <c r="P61" s="48"/>
      <c r="Q61" s="48"/>
      <c r="R61" s="48"/>
      <c r="S61" s="48"/>
      <c r="T61" s="48"/>
      <c r="U61" s="48"/>
      <c r="V61" s="48"/>
      <c r="W61" s="48"/>
      <c r="X61" s="48"/>
      <c r="Y61" s="49"/>
    </row>
    <row r="62" spans="2:25">
      <c r="B62" s="18"/>
      <c r="C62" s="18"/>
      <c r="D62" s="76" t="s">
        <v>374</v>
      </c>
      <c r="E62" s="50">
        <v>5773</v>
      </c>
      <c r="F62" s="50">
        <v>5506</v>
      </c>
      <c r="G62" s="50">
        <v>9297</v>
      </c>
      <c r="H62" s="39">
        <v>10169</v>
      </c>
      <c r="I62" s="39">
        <v>9567</v>
      </c>
      <c r="J62" s="39">
        <v>8919</v>
      </c>
      <c r="K62" s="39">
        <v>5969</v>
      </c>
      <c r="L62" s="39">
        <v>6100</v>
      </c>
      <c r="M62" s="39">
        <v>5614</v>
      </c>
      <c r="N62" s="39">
        <v>6403</v>
      </c>
      <c r="O62" s="50">
        <v>12313</v>
      </c>
      <c r="P62" s="39"/>
      <c r="Q62" s="39"/>
      <c r="R62" s="39"/>
      <c r="S62" s="39"/>
      <c r="T62" s="39"/>
      <c r="U62" s="39"/>
      <c r="V62" s="39"/>
      <c r="W62" s="39"/>
      <c r="X62" s="39"/>
      <c r="Y62" s="51"/>
    </row>
    <row r="63" spans="2:25">
      <c r="B63" s="18"/>
      <c r="C63" s="18"/>
      <c r="D63" s="76" t="s">
        <v>375</v>
      </c>
      <c r="E63" s="50">
        <v>29814</v>
      </c>
      <c r="F63" s="50">
        <v>29158</v>
      </c>
      <c r="G63" s="50">
        <v>31552</v>
      </c>
      <c r="H63" s="39">
        <v>31823</v>
      </c>
      <c r="I63" s="39">
        <v>30744</v>
      </c>
      <c r="J63" s="39">
        <v>35441</v>
      </c>
      <c r="K63" s="39">
        <v>42781</v>
      </c>
      <c r="L63" s="39">
        <v>47710</v>
      </c>
      <c r="M63" s="39">
        <v>48021</v>
      </c>
      <c r="N63" s="39">
        <v>44303</v>
      </c>
      <c r="O63" s="50">
        <v>58476</v>
      </c>
      <c r="P63" s="39"/>
      <c r="Q63" s="39"/>
      <c r="R63" s="39"/>
      <c r="S63" s="39"/>
      <c r="T63" s="39"/>
      <c r="U63" s="39"/>
      <c r="V63" s="39"/>
      <c r="W63" s="39"/>
      <c r="X63" s="39"/>
      <c r="Y63" s="51"/>
    </row>
    <row r="64" spans="2:25">
      <c r="B64" s="18"/>
      <c r="C64" s="18"/>
      <c r="D64" s="76" t="s">
        <v>376</v>
      </c>
      <c r="E64" s="50">
        <v>23271</v>
      </c>
      <c r="F64" s="50">
        <v>22651</v>
      </c>
      <c r="G64" s="50">
        <v>26550</v>
      </c>
      <c r="H64" s="39">
        <v>25263</v>
      </c>
      <c r="I64" s="39">
        <v>31724</v>
      </c>
      <c r="J64" s="39">
        <v>32515</v>
      </c>
      <c r="K64" s="39">
        <v>28459</v>
      </c>
      <c r="L64" s="39">
        <v>32529</v>
      </c>
      <c r="M64" s="39">
        <v>33558</v>
      </c>
      <c r="N64" s="39">
        <v>40496</v>
      </c>
      <c r="O64" s="50">
        <v>65634</v>
      </c>
      <c r="P64" s="39"/>
      <c r="Q64" s="39"/>
      <c r="R64" s="39"/>
      <c r="S64" s="39"/>
      <c r="T64" s="39"/>
      <c r="U64" s="39"/>
      <c r="V64" s="39"/>
      <c r="W64" s="39"/>
      <c r="X64" s="39"/>
      <c r="Y64" s="51"/>
    </row>
    <row r="65" spans="2:25" s="4" customFormat="1">
      <c r="B65" s="46"/>
      <c r="C65" s="46"/>
      <c r="D65" s="80" t="s">
        <v>417</v>
      </c>
      <c r="E65" s="20">
        <f>SUM(E62:E64)</f>
        <v>58858</v>
      </c>
      <c r="F65" s="20">
        <f t="shared" ref="F65" si="22">SUM(F62:F64)</f>
        <v>57315</v>
      </c>
      <c r="G65" s="20">
        <f t="shared" ref="G65" si="23">SUM(G62:G64)</f>
        <v>67399</v>
      </c>
      <c r="H65" s="20">
        <f t="shared" ref="H65:M65" si="24">SUM(H62:H64)</f>
        <v>67255</v>
      </c>
      <c r="I65" s="20">
        <f t="shared" si="24"/>
        <v>72035</v>
      </c>
      <c r="J65" s="20">
        <f t="shared" si="24"/>
        <v>76875</v>
      </c>
      <c r="K65" s="20">
        <f t="shared" si="24"/>
        <v>77209</v>
      </c>
      <c r="L65" s="20">
        <f t="shared" si="24"/>
        <v>86339</v>
      </c>
      <c r="M65" s="20">
        <f t="shared" si="24"/>
        <v>87193</v>
      </c>
      <c r="N65" s="20">
        <f>SUM(N62:N64)</f>
        <v>91202</v>
      </c>
      <c r="O65" s="20">
        <f t="shared" ref="O65" si="25">SUM(O62:O64)</f>
        <v>136423</v>
      </c>
      <c r="P65" s="20">
        <f t="shared" ref="P65" si="26">SUM(P62:P64)</f>
        <v>0</v>
      </c>
      <c r="Q65" s="20">
        <f t="shared" ref="Q65" si="27">SUM(Q62:Q64)</f>
        <v>0</v>
      </c>
      <c r="R65" s="20">
        <f t="shared" ref="R65" si="28">SUM(R62:R64)</f>
        <v>0</v>
      </c>
      <c r="S65" s="20">
        <f t="shared" ref="S65" si="29">SUM(S62:S64)</f>
        <v>0</v>
      </c>
      <c r="T65" s="20">
        <f t="shared" ref="T65:U65" si="30">SUM(T62:T64)</f>
        <v>0</v>
      </c>
      <c r="U65" s="20">
        <f t="shared" si="30"/>
        <v>0</v>
      </c>
      <c r="V65" s="20">
        <f t="shared" ref="V65" si="31">SUM(V62:V64)</f>
        <v>0</v>
      </c>
      <c r="W65" s="20">
        <f t="shared" ref="W65" si="32">SUM(W62:W64)</f>
        <v>0</v>
      </c>
      <c r="X65" s="20">
        <f t="shared" ref="X65" si="33">SUM(X62:X64)</f>
        <v>0</v>
      </c>
      <c r="Y65" s="52">
        <f t="shared" ref="Y65" si="34">SUM(Y62:Y64)</f>
        <v>0</v>
      </c>
    </row>
    <row r="66" spans="2:25">
      <c r="B66" s="18"/>
      <c r="C66" s="18"/>
      <c r="D66" s="76" t="s">
        <v>91</v>
      </c>
      <c r="E66" s="50"/>
      <c r="F66" s="50"/>
      <c r="G66" s="50"/>
      <c r="H66" s="39"/>
      <c r="I66" s="39"/>
      <c r="J66" s="39"/>
      <c r="K66" s="39"/>
      <c r="L66" s="39"/>
      <c r="M66" s="39"/>
      <c r="N66" s="39"/>
      <c r="O66" s="50"/>
      <c r="P66" s="39"/>
      <c r="Q66" s="39"/>
      <c r="R66" s="39"/>
      <c r="S66" s="39"/>
      <c r="T66" s="39"/>
      <c r="U66" s="39"/>
      <c r="V66" s="39"/>
      <c r="W66" s="39"/>
      <c r="X66" s="39"/>
      <c r="Y66" s="51"/>
    </row>
    <row r="67" spans="2:25">
      <c r="B67" s="18"/>
      <c r="C67" s="18"/>
      <c r="D67" s="76" t="s">
        <v>377</v>
      </c>
      <c r="E67" s="50"/>
      <c r="F67" s="50"/>
      <c r="G67" s="50"/>
      <c r="H67" s="39"/>
      <c r="I67" s="39"/>
      <c r="J67" s="39"/>
      <c r="K67" s="39"/>
      <c r="L67" s="39">
        <v>853</v>
      </c>
      <c r="M67" s="39">
        <v>15175</v>
      </c>
      <c r="N67" s="39">
        <v>16981</v>
      </c>
      <c r="O67" s="50">
        <v>27611</v>
      </c>
      <c r="P67" s="39"/>
      <c r="Q67" s="39"/>
      <c r="R67" s="39"/>
      <c r="S67" s="39"/>
      <c r="T67" s="39"/>
      <c r="U67" s="39"/>
      <c r="V67" s="39"/>
      <c r="W67" s="39"/>
      <c r="X67" s="39"/>
      <c r="Y67" s="51"/>
    </row>
    <row r="68" spans="2:25">
      <c r="B68" s="18"/>
      <c r="C68" s="18"/>
      <c r="D68" s="76" t="s">
        <v>378</v>
      </c>
      <c r="E68" s="50"/>
      <c r="F68" s="50"/>
      <c r="G68" s="50"/>
      <c r="H68" s="39"/>
      <c r="I68" s="39"/>
      <c r="J68" s="39"/>
      <c r="K68" s="39"/>
      <c r="L68" s="39"/>
      <c r="M68" s="39"/>
      <c r="N68" s="39">
        <v>5440</v>
      </c>
      <c r="O68" s="50">
        <v>6262</v>
      </c>
      <c r="P68" s="39"/>
      <c r="Q68" s="39"/>
      <c r="R68" s="39"/>
      <c r="S68" s="39"/>
      <c r="T68" s="39"/>
      <c r="U68" s="39"/>
      <c r="V68" s="39"/>
      <c r="W68" s="39"/>
      <c r="X68" s="39"/>
      <c r="Y68" s="51"/>
    </row>
    <row r="69" spans="2:25">
      <c r="B69" s="18"/>
      <c r="C69" s="18"/>
      <c r="D69" s="76" t="s">
        <v>379</v>
      </c>
      <c r="E69" s="50"/>
      <c r="F69" s="50"/>
      <c r="G69" s="50"/>
      <c r="H69" s="39"/>
      <c r="I69" s="39"/>
      <c r="J69" s="39"/>
      <c r="K69" s="39"/>
      <c r="L69" s="39"/>
      <c r="M69" s="39"/>
      <c r="N69" s="39"/>
      <c r="O69" s="50">
        <v>3577</v>
      </c>
      <c r="P69" s="39"/>
      <c r="Q69" s="39"/>
      <c r="R69" s="39"/>
      <c r="S69" s="39"/>
      <c r="T69" s="39"/>
      <c r="U69" s="39"/>
      <c r="V69" s="39"/>
      <c r="W69" s="39"/>
      <c r="X69" s="39"/>
      <c r="Y69" s="51"/>
    </row>
    <row r="70" spans="2:25">
      <c r="B70" s="18"/>
      <c r="C70" s="18"/>
      <c r="D70" s="76" t="s">
        <v>380</v>
      </c>
      <c r="E70" s="50"/>
      <c r="F70" s="50"/>
      <c r="G70" s="50"/>
      <c r="H70" s="39"/>
      <c r="I70" s="39"/>
      <c r="J70" s="39"/>
      <c r="K70" s="39"/>
      <c r="L70" s="39"/>
      <c r="M70" s="39"/>
      <c r="N70" s="39"/>
      <c r="O70" s="50">
        <v>3298</v>
      </c>
      <c r="P70" s="39"/>
      <c r="Q70" s="39"/>
      <c r="R70" s="39"/>
      <c r="S70" s="39"/>
      <c r="T70" s="39"/>
      <c r="U70" s="39"/>
      <c r="V70" s="39"/>
      <c r="W70" s="39"/>
      <c r="X70" s="39"/>
      <c r="Y70" s="51"/>
    </row>
    <row r="71" spans="2:25" s="4" customFormat="1">
      <c r="B71" s="46"/>
      <c r="C71" s="46"/>
      <c r="D71" s="77" t="s">
        <v>418</v>
      </c>
      <c r="E71" s="53">
        <f t="shared" ref="E71:G71" si="35">SUM(E67:E70)</f>
        <v>0</v>
      </c>
      <c r="F71" s="53">
        <f t="shared" si="35"/>
        <v>0</v>
      </c>
      <c r="G71" s="53">
        <f t="shared" si="35"/>
        <v>0</v>
      </c>
      <c r="H71" s="53">
        <f t="shared" ref="H71:Y71" si="36">SUM(H67:H70)</f>
        <v>0</v>
      </c>
      <c r="I71" s="53">
        <f>SUM(I67:I70)</f>
        <v>0</v>
      </c>
      <c r="J71" s="53">
        <f t="shared" si="36"/>
        <v>0</v>
      </c>
      <c r="K71" s="53">
        <f t="shared" si="36"/>
        <v>0</v>
      </c>
      <c r="L71" s="53">
        <f t="shared" si="36"/>
        <v>853</v>
      </c>
      <c r="M71" s="53">
        <f t="shared" si="36"/>
        <v>15175</v>
      </c>
      <c r="N71" s="53">
        <f t="shared" si="36"/>
        <v>22421</v>
      </c>
      <c r="O71" s="53">
        <f t="shared" si="36"/>
        <v>40748</v>
      </c>
      <c r="P71" s="53">
        <f t="shared" si="36"/>
        <v>0</v>
      </c>
      <c r="Q71" s="53">
        <f t="shared" si="36"/>
        <v>0</v>
      </c>
      <c r="R71" s="53">
        <f t="shared" si="36"/>
        <v>0</v>
      </c>
      <c r="S71" s="53">
        <f t="shared" si="36"/>
        <v>0</v>
      </c>
      <c r="T71" s="53">
        <f t="shared" si="36"/>
        <v>0</v>
      </c>
      <c r="U71" s="53">
        <f t="shared" si="36"/>
        <v>0</v>
      </c>
      <c r="V71" s="53">
        <f t="shared" si="36"/>
        <v>0</v>
      </c>
      <c r="W71" s="53">
        <f t="shared" si="36"/>
        <v>0</v>
      </c>
      <c r="X71" s="53">
        <f t="shared" si="36"/>
        <v>0</v>
      </c>
      <c r="Y71" s="54">
        <f t="shared" si="36"/>
        <v>0</v>
      </c>
    </row>
    <row r="72" spans="2:25">
      <c r="D72" s="66"/>
    </row>
    <row r="73" spans="2:25">
      <c r="D73" s="79" t="s">
        <v>93</v>
      </c>
      <c r="E73" s="47">
        <v>2139</v>
      </c>
      <c r="F73" s="47">
        <v>1280</v>
      </c>
      <c r="G73" s="47">
        <v>928</v>
      </c>
      <c r="H73" s="48">
        <v>1314</v>
      </c>
      <c r="I73" s="48">
        <v>1444</v>
      </c>
      <c r="J73" s="48">
        <v>21806</v>
      </c>
      <c r="K73" s="48">
        <v>20787</v>
      </c>
      <c r="L73" s="48">
        <v>15765</v>
      </c>
      <c r="M73" s="48">
        <v>17994</v>
      </c>
      <c r="N73" s="48">
        <v>20143</v>
      </c>
      <c r="O73" s="47">
        <v>23792</v>
      </c>
      <c r="P73" s="48"/>
      <c r="Q73" s="48"/>
      <c r="R73" s="48"/>
      <c r="S73" s="48"/>
      <c r="T73" s="48"/>
      <c r="U73" s="48"/>
      <c r="V73" s="48"/>
      <c r="W73" s="48"/>
      <c r="X73" s="48"/>
      <c r="Y73" s="49"/>
    </row>
    <row r="74" spans="2:25">
      <c r="D74" s="76" t="s">
        <v>94</v>
      </c>
      <c r="E74" s="50"/>
      <c r="F74" s="50"/>
      <c r="G74" s="50"/>
      <c r="H74" s="39"/>
      <c r="K74" s="39"/>
      <c r="L74" s="39"/>
      <c r="M74" s="39"/>
      <c r="N74" s="39"/>
      <c r="O74" s="50"/>
      <c r="P74" s="39"/>
      <c r="Q74" s="39"/>
      <c r="R74" s="39"/>
      <c r="S74" s="39"/>
      <c r="T74" s="39"/>
      <c r="U74" s="39"/>
      <c r="V74" s="39"/>
      <c r="W74" s="39"/>
      <c r="X74" s="39"/>
      <c r="Y74" s="51"/>
    </row>
    <row r="75" spans="2:25">
      <c r="D75" s="76" t="s">
        <v>95</v>
      </c>
      <c r="E75" s="50"/>
      <c r="F75" s="50"/>
      <c r="G75" s="50"/>
      <c r="H75" s="39"/>
      <c r="I75" s="39"/>
      <c r="J75" s="39"/>
      <c r="K75" s="39"/>
      <c r="L75" s="39"/>
      <c r="M75" s="39"/>
      <c r="N75" s="39"/>
      <c r="O75" s="50"/>
      <c r="P75" s="39"/>
      <c r="Q75" s="39"/>
      <c r="R75" s="39"/>
      <c r="S75" s="39"/>
      <c r="T75" s="39"/>
      <c r="U75" s="39"/>
      <c r="V75" s="39"/>
      <c r="W75" s="39"/>
      <c r="X75" s="39"/>
      <c r="Y75" s="51"/>
    </row>
    <row r="76" spans="2:25">
      <c r="D76" s="76" t="s">
        <v>270</v>
      </c>
      <c r="E76" s="50">
        <v>16168</v>
      </c>
      <c r="F76" s="50">
        <v>14337</v>
      </c>
      <c r="G76" s="50">
        <v>17083</v>
      </c>
      <c r="H76" s="39">
        <v>16298</v>
      </c>
      <c r="I76" s="39">
        <v>21330</v>
      </c>
      <c r="J76" s="39">
        <v>23725</v>
      </c>
      <c r="K76" s="39">
        <v>22587</v>
      </c>
      <c r="L76" s="39">
        <v>33335</v>
      </c>
      <c r="M76" s="39">
        <v>44669</v>
      </c>
      <c r="N76" s="39">
        <v>44938</v>
      </c>
      <c r="O76" s="50">
        <v>62289</v>
      </c>
      <c r="P76" s="39"/>
      <c r="Q76" s="39"/>
      <c r="R76" s="39"/>
      <c r="S76" s="39"/>
      <c r="T76" s="39"/>
      <c r="U76" s="39"/>
      <c r="V76" s="39"/>
      <c r="W76" s="39"/>
      <c r="X76" s="39"/>
      <c r="Y76" s="51"/>
    </row>
    <row r="77" spans="2:25">
      <c r="D77" s="76" t="s">
        <v>271</v>
      </c>
      <c r="E77" s="50">
        <v>2479</v>
      </c>
      <c r="F77" s="50">
        <v>3133</v>
      </c>
      <c r="G77" s="50">
        <v>1125</v>
      </c>
      <c r="H77" s="39">
        <v>2578</v>
      </c>
      <c r="I77" s="39">
        <v>2909</v>
      </c>
      <c r="J77" s="39">
        <v>4966</v>
      </c>
      <c r="K77" s="39">
        <v>6176</v>
      </c>
      <c r="L77" s="39">
        <v>6280</v>
      </c>
      <c r="M77" s="39">
        <v>8557</v>
      </c>
      <c r="N77" s="39">
        <v>9516</v>
      </c>
      <c r="O77" s="50">
        <v>13270</v>
      </c>
      <c r="P77" s="39"/>
      <c r="Q77" s="39"/>
      <c r="R77" s="39"/>
      <c r="S77" s="39"/>
      <c r="T77" s="39"/>
      <c r="U77" s="39"/>
      <c r="V77" s="39"/>
      <c r="W77" s="39"/>
      <c r="X77" s="39"/>
      <c r="Y77" s="51"/>
    </row>
    <row r="78" spans="2:25">
      <c r="D78" s="76" t="s">
        <v>269</v>
      </c>
      <c r="E78" s="50">
        <v>448</v>
      </c>
      <c r="F78" s="50">
        <v>466</v>
      </c>
      <c r="G78" s="50">
        <v>489</v>
      </c>
      <c r="H78" s="39">
        <v>516</v>
      </c>
      <c r="I78" s="39"/>
      <c r="J78" s="39"/>
      <c r="K78" s="39"/>
      <c r="L78" s="39"/>
      <c r="M78" s="39"/>
      <c r="N78" s="39"/>
      <c r="O78" s="50"/>
      <c r="P78" s="39"/>
      <c r="Q78" s="39"/>
      <c r="R78" s="39"/>
      <c r="S78" s="39"/>
      <c r="T78" s="39"/>
      <c r="U78" s="39"/>
      <c r="V78" s="39"/>
      <c r="W78" s="39"/>
      <c r="X78" s="39"/>
      <c r="Y78" s="51"/>
    </row>
    <row r="79" spans="2:25">
      <c r="D79" s="76" t="s">
        <v>229</v>
      </c>
      <c r="E79" s="50">
        <v>945</v>
      </c>
      <c r="F79" s="50">
        <v>10369</v>
      </c>
      <c r="G79" s="50">
        <v>5113</v>
      </c>
      <c r="H79" s="39">
        <v>16205</v>
      </c>
      <c r="I79" s="39"/>
      <c r="J79" s="39"/>
      <c r="K79" s="39"/>
      <c r="L79" s="39"/>
      <c r="M79" s="39"/>
      <c r="N79" s="39"/>
      <c r="O79" s="50"/>
      <c r="P79" s="39"/>
      <c r="Q79" s="39"/>
      <c r="R79" s="39"/>
      <c r="S79" s="39"/>
      <c r="T79" s="39"/>
      <c r="U79" s="39"/>
      <c r="V79" s="39"/>
      <c r="W79" s="39"/>
      <c r="X79" s="39"/>
      <c r="Y79" s="51"/>
    </row>
    <row r="80" spans="2:25">
      <c r="D80" s="76" t="s">
        <v>96</v>
      </c>
      <c r="E80" s="50">
        <v>278716</v>
      </c>
      <c r="F80" s="50">
        <v>261656</v>
      </c>
      <c r="G80" s="50">
        <v>301624</v>
      </c>
      <c r="H80" s="39">
        <v>334187</v>
      </c>
      <c r="I80" s="39">
        <v>381465</v>
      </c>
      <c r="J80" s="39">
        <v>388741</v>
      </c>
      <c r="K80" s="39">
        <v>447404</v>
      </c>
      <c r="L80" s="39">
        <v>547373</v>
      </c>
      <c r="M80" s="39">
        <v>553816</v>
      </c>
      <c r="N80" s="39">
        <v>638452</v>
      </c>
      <c r="O80" s="50">
        <v>849194</v>
      </c>
      <c r="P80" s="39"/>
      <c r="Q80" s="39"/>
      <c r="R80" s="39"/>
      <c r="S80" s="39"/>
      <c r="T80" s="39"/>
      <c r="U80" s="39"/>
      <c r="V80" s="39"/>
      <c r="W80" s="39"/>
      <c r="X80" s="39"/>
      <c r="Y80" s="51"/>
    </row>
    <row r="81" spans="2:25">
      <c r="B81" s="18"/>
      <c r="D81" s="76" t="s">
        <v>233</v>
      </c>
      <c r="E81" s="50">
        <v>845</v>
      </c>
      <c r="F81" s="50">
        <v>865</v>
      </c>
      <c r="G81" s="50"/>
      <c r="H81" s="39"/>
      <c r="I81" s="39"/>
      <c r="J81" s="39"/>
      <c r="K81" s="39"/>
      <c r="L81" s="39"/>
      <c r="M81" s="39"/>
      <c r="N81" s="39"/>
      <c r="O81" s="50"/>
      <c r="P81" s="39"/>
      <c r="Q81" s="39"/>
      <c r="R81" s="39"/>
      <c r="S81" s="39"/>
      <c r="T81" s="39"/>
      <c r="U81" s="39"/>
      <c r="V81" s="39"/>
      <c r="W81" s="39"/>
      <c r="X81" s="39"/>
      <c r="Y81" s="51"/>
    </row>
    <row r="82" spans="2:25">
      <c r="B82" s="18"/>
      <c r="D82" s="76" t="s">
        <v>97</v>
      </c>
      <c r="E82" s="50"/>
      <c r="F82" s="50"/>
      <c r="G82" s="50"/>
      <c r="H82" s="39"/>
      <c r="I82" s="39"/>
      <c r="J82" s="39"/>
      <c r="K82" s="39"/>
      <c r="L82" s="39"/>
      <c r="M82" s="39"/>
      <c r="N82" s="39"/>
      <c r="O82" s="50">
        <v>3455</v>
      </c>
      <c r="P82" s="39"/>
      <c r="Q82" s="39"/>
      <c r="R82" s="39"/>
      <c r="S82" s="39"/>
      <c r="T82" s="39"/>
      <c r="U82" s="39"/>
      <c r="V82" s="39"/>
      <c r="W82" s="39"/>
      <c r="X82" s="39"/>
      <c r="Y82" s="51"/>
    </row>
    <row r="83" spans="2:25">
      <c r="B83" s="18"/>
      <c r="D83" s="76" t="s">
        <v>407</v>
      </c>
      <c r="E83" s="50"/>
      <c r="F83" s="50"/>
      <c r="G83" s="50"/>
      <c r="H83" s="39"/>
      <c r="I83" s="39"/>
      <c r="J83" s="39"/>
      <c r="K83" s="39"/>
      <c r="L83" s="39"/>
      <c r="M83" s="39">
        <v>67</v>
      </c>
      <c r="N83" s="39"/>
      <c r="O83" s="50"/>
      <c r="P83" s="39"/>
      <c r="Q83" s="39"/>
      <c r="R83" s="39"/>
      <c r="S83" s="39"/>
      <c r="T83" s="39"/>
      <c r="U83" s="39"/>
      <c r="V83" s="39"/>
      <c r="W83" s="39"/>
      <c r="X83" s="39"/>
      <c r="Y83" s="51"/>
    </row>
    <row r="84" spans="2:25">
      <c r="B84" s="18"/>
      <c r="D84" s="76" t="s">
        <v>98</v>
      </c>
      <c r="E84" s="50">
        <v>20874</v>
      </c>
      <c r="F84" s="50">
        <v>20866</v>
      </c>
      <c r="G84" s="50">
        <v>18264</v>
      </c>
      <c r="H84" s="39">
        <v>19486</v>
      </c>
      <c r="I84" s="39">
        <v>21267</v>
      </c>
      <c r="J84" s="39">
        <v>22984</v>
      </c>
      <c r="K84" s="39">
        <v>27253</v>
      </c>
      <c r="L84" s="39">
        <v>31711</v>
      </c>
      <c r="M84" s="39">
        <v>34807</v>
      </c>
      <c r="N84" s="39">
        <v>37201</v>
      </c>
      <c r="O84" s="50">
        <v>43635</v>
      </c>
      <c r="P84" s="39"/>
      <c r="Q84" s="39"/>
      <c r="R84" s="39"/>
      <c r="S84" s="39"/>
      <c r="T84" s="39"/>
      <c r="U84" s="39"/>
      <c r="V84" s="39"/>
      <c r="W84" s="39"/>
      <c r="X84" s="39"/>
      <c r="Y84" s="51"/>
    </row>
    <row r="85" spans="2:25">
      <c r="B85" s="18"/>
      <c r="D85" s="76" t="s">
        <v>99</v>
      </c>
      <c r="E85" s="50"/>
      <c r="F85" s="50">
        <v>1087</v>
      </c>
      <c r="G85" s="50">
        <v>5912</v>
      </c>
      <c r="H85" s="39">
        <v>7958</v>
      </c>
      <c r="I85" s="39">
        <v>15703</v>
      </c>
      <c r="J85" s="39">
        <v>28384</v>
      </c>
      <c r="K85" s="39">
        <v>35019</v>
      </c>
      <c r="L85" s="39">
        <v>75583</v>
      </c>
      <c r="M85" s="39">
        <v>152523</v>
      </c>
      <c r="N85" s="39">
        <v>19225</v>
      </c>
      <c r="O85" s="50">
        <v>86339</v>
      </c>
      <c r="P85" s="39"/>
      <c r="Q85" s="39"/>
      <c r="R85" s="39"/>
      <c r="S85" s="39"/>
      <c r="T85" s="39"/>
      <c r="U85" s="39"/>
      <c r="V85" s="39"/>
      <c r="W85" s="39"/>
      <c r="X85" s="39"/>
      <c r="Y85" s="51"/>
    </row>
    <row r="86" spans="2:25">
      <c r="B86" s="18"/>
      <c r="D86" s="76" t="s">
        <v>100</v>
      </c>
      <c r="E86" s="50">
        <v>3709</v>
      </c>
      <c r="F86" s="50">
        <v>2613</v>
      </c>
      <c r="G86" s="50">
        <v>377</v>
      </c>
      <c r="H86" s="39">
        <v>441</v>
      </c>
      <c r="I86" s="39">
        <v>42</v>
      </c>
      <c r="K86" s="39">
        <v>9628</v>
      </c>
      <c r="L86" s="39">
        <v>7614</v>
      </c>
      <c r="M86" s="39"/>
      <c r="N86" s="39">
        <v>2379</v>
      </c>
      <c r="O86" s="50">
        <v>4747</v>
      </c>
      <c r="P86" s="39"/>
      <c r="Q86" s="39"/>
      <c r="R86" s="39"/>
      <c r="S86" s="39"/>
      <c r="T86" s="39"/>
      <c r="U86" s="39"/>
      <c r="V86" s="39"/>
      <c r="W86" s="39"/>
      <c r="X86" s="39"/>
      <c r="Y86" s="51"/>
    </row>
    <row r="87" spans="2:25">
      <c r="B87" s="18"/>
      <c r="D87" s="76" t="s">
        <v>651</v>
      </c>
      <c r="E87" s="50"/>
      <c r="F87" s="50"/>
      <c r="G87" s="50">
        <v>5257</v>
      </c>
      <c r="H87" s="137">
        <v>7424</v>
      </c>
      <c r="I87" s="39">
        <v>7424</v>
      </c>
      <c r="J87" s="39">
        <v>8117</v>
      </c>
      <c r="K87" s="39"/>
      <c r="L87" s="39"/>
      <c r="M87" s="39">
        <v>2211</v>
      </c>
      <c r="N87" s="39">
        <v>3496</v>
      </c>
      <c r="O87" s="50">
        <v>3069</v>
      </c>
      <c r="P87" s="39"/>
      <c r="Q87" s="39"/>
      <c r="R87" s="39"/>
      <c r="S87" s="39"/>
      <c r="T87" s="39"/>
      <c r="U87" s="39"/>
      <c r="V87" s="39"/>
      <c r="W87" s="39"/>
      <c r="X87" s="39"/>
      <c r="Y87" s="51"/>
    </row>
    <row r="88" spans="2:25" s="4" customFormat="1">
      <c r="B88" s="46"/>
      <c r="D88" s="77" t="s">
        <v>103</v>
      </c>
      <c r="E88" s="53">
        <f>SUM(E73:E87)</f>
        <v>326323</v>
      </c>
      <c r="F88" s="53">
        <f t="shared" ref="F88:Y88" si="37">SUM(F73:F87)</f>
        <v>316672</v>
      </c>
      <c r="G88" s="53">
        <f t="shared" si="37"/>
        <v>356172</v>
      </c>
      <c r="H88" s="53">
        <f t="shared" si="37"/>
        <v>406407</v>
      </c>
      <c r="I88" s="53">
        <f t="shared" si="37"/>
        <v>451584</v>
      </c>
      <c r="J88" s="53">
        <f>SUM(J73:J87)</f>
        <v>498723</v>
      </c>
      <c r="K88" s="53">
        <f t="shared" si="37"/>
        <v>568854</v>
      </c>
      <c r="L88" s="53">
        <f t="shared" si="37"/>
        <v>717661</v>
      </c>
      <c r="M88" s="53">
        <f t="shared" si="37"/>
        <v>814644</v>
      </c>
      <c r="N88" s="53">
        <f t="shared" si="37"/>
        <v>775350</v>
      </c>
      <c r="O88" s="53">
        <f>SUM(O73:O87)</f>
        <v>1089790</v>
      </c>
      <c r="P88" s="53">
        <f t="shared" si="37"/>
        <v>0</v>
      </c>
      <c r="Q88" s="53">
        <f t="shared" si="37"/>
        <v>0</v>
      </c>
      <c r="R88" s="53">
        <f t="shared" si="37"/>
        <v>0</v>
      </c>
      <c r="S88" s="53">
        <f t="shared" si="37"/>
        <v>0</v>
      </c>
      <c r="T88" s="53">
        <f t="shared" si="37"/>
        <v>0</v>
      </c>
      <c r="U88" s="53">
        <f t="shared" si="37"/>
        <v>0</v>
      </c>
      <c r="V88" s="53">
        <f t="shared" si="37"/>
        <v>0</v>
      </c>
      <c r="W88" s="53">
        <f t="shared" si="37"/>
        <v>0</v>
      </c>
      <c r="X88" s="53">
        <f t="shared" si="37"/>
        <v>0</v>
      </c>
      <c r="Y88" s="54">
        <f t="shared" si="37"/>
        <v>0</v>
      </c>
    </row>
    <row r="89" spans="2:25">
      <c r="B89" s="18"/>
      <c r="D89" s="66"/>
      <c r="E89" s="9"/>
      <c r="F89" s="9"/>
      <c r="G89" s="9"/>
      <c r="O89" s="9"/>
    </row>
    <row r="90" spans="2:25">
      <c r="B90" s="18"/>
      <c r="D90" s="66"/>
      <c r="E90" s="5">
        <f t="shared" ref="E90:Y90" si="38">E88+E71+E65+E59+E51</f>
        <v>391800</v>
      </c>
      <c r="F90" s="5">
        <f t="shared" si="38"/>
        <v>391816</v>
      </c>
      <c r="G90" s="5">
        <f t="shared" si="38"/>
        <v>437483</v>
      </c>
      <c r="H90" s="5">
        <f t="shared" si="38"/>
        <v>495307</v>
      </c>
      <c r="I90" s="5">
        <f t="shared" si="38"/>
        <v>525931</v>
      </c>
      <c r="J90" s="5">
        <f t="shared" si="38"/>
        <v>567739</v>
      </c>
      <c r="K90" s="5">
        <f t="shared" si="38"/>
        <v>653302</v>
      </c>
      <c r="L90" s="5">
        <f t="shared" si="38"/>
        <v>831342</v>
      </c>
      <c r="M90" s="5">
        <f t="shared" si="38"/>
        <v>969304</v>
      </c>
      <c r="N90" s="5">
        <f t="shared" si="38"/>
        <v>933587</v>
      </c>
      <c r="O90" s="5">
        <f>O88+O71+O65+O59+O51</f>
        <v>1320453</v>
      </c>
      <c r="P90" s="5">
        <f t="shared" si="38"/>
        <v>0</v>
      </c>
      <c r="Q90" s="5">
        <f t="shared" si="38"/>
        <v>0</v>
      </c>
      <c r="R90" s="5">
        <f t="shared" si="38"/>
        <v>0</v>
      </c>
      <c r="S90" s="5">
        <f t="shared" si="38"/>
        <v>0</v>
      </c>
      <c r="T90" s="5">
        <f t="shared" si="38"/>
        <v>0</v>
      </c>
      <c r="U90" s="5">
        <f t="shared" si="38"/>
        <v>0</v>
      </c>
      <c r="V90" s="5">
        <f t="shared" si="38"/>
        <v>0</v>
      </c>
      <c r="W90" s="5">
        <f t="shared" si="38"/>
        <v>0</v>
      </c>
      <c r="X90" s="5">
        <f t="shared" si="38"/>
        <v>0</v>
      </c>
      <c r="Y90" s="5">
        <f t="shared" si="38"/>
        <v>0</v>
      </c>
    </row>
    <row r="91" spans="2:25">
      <c r="D91" s="66"/>
      <c r="E91" s="5"/>
      <c r="F91" s="5"/>
      <c r="G91" s="5"/>
      <c r="H91" s="5"/>
      <c r="I91" s="5"/>
      <c r="J91" s="5"/>
      <c r="K91" s="5"/>
      <c r="L91" s="5"/>
      <c r="M91" s="5"/>
      <c r="N91" s="5"/>
      <c r="O91" s="2">
        <f>SUM('2a. Income Statement'!O14:O23)</f>
        <v>1354622.8141171618</v>
      </c>
      <c r="P91" s="5"/>
      <c r="Q91" s="5"/>
      <c r="R91" s="5"/>
      <c r="S91" s="5"/>
      <c r="T91" s="5"/>
      <c r="U91" s="5"/>
      <c r="V91" s="5"/>
      <c r="W91" s="5"/>
      <c r="X91" s="5"/>
      <c r="Y91" s="5"/>
    </row>
    <row r="92" spans="2:25" ht="16" thickBot="1">
      <c r="D92" s="66"/>
    </row>
    <row r="93" spans="2:25" ht="16" thickTop="1">
      <c r="C93" s="16"/>
      <c r="D93" s="81" t="s">
        <v>277</v>
      </c>
      <c r="E93" s="37" t="s">
        <v>216</v>
      </c>
      <c r="F93" s="37" t="s">
        <v>217</v>
      </c>
      <c r="G93" s="37" t="s">
        <v>218</v>
      </c>
      <c r="H93" s="37" t="s">
        <v>28</v>
      </c>
      <c r="I93" s="37" t="s">
        <v>17</v>
      </c>
      <c r="J93" s="37" t="s">
        <v>18</v>
      </c>
      <c r="K93" s="37" t="s">
        <v>19</v>
      </c>
      <c r="L93" s="37" t="s">
        <v>20</v>
      </c>
      <c r="M93" s="37" t="s">
        <v>21</v>
      </c>
      <c r="N93" s="37" t="s">
        <v>22</v>
      </c>
      <c r="O93" s="37" t="s">
        <v>23</v>
      </c>
      <c r="P93" s="37" t="s">
        <v>24</v>
      </c>
      <c r="Q93" s="37" t="s">
        <v>25</v>
      </c>
      <c r="R93" s="37" t="s">
        <v>26</v>
      </c>
      <c r="S93" s="37" t="s">
        <v>27</v>
      </c>
      <c r="T93" s="37"/>
      <c r="U93" s="37"/>
      <c r="V93" s="37"/>
      <c r="W93" s="37"/>
      <c r="X93" s="37"/>
      <c r="Y93" s="38"/>
    </row>
    <row r="94" spans="2:25">
      <c r="D94" s="68" t="s">
        <v>110</v>
      </c>
      <c r="E94" s="40"/>
      <c r="F94" s="40"/>
      <c r="G94" s="40"/>
      <c r="H94" s="40"/>
      <c r="I94" s="40"/>
      <c r="J94" s="40"/>
      <c r="K94" s="40"/>
      <c r="L94" s="40"/>
      <c r="M94" s="40"/>
      <c r="N94" s="40"/>
      <c r="O94" s="40">
        <v>-80815</v>
      </c>
      <c r="P94" s="40"/>
      <c r="Q94" s="40"/>
      <c r="R94" s="40"/>
      <c r="S94" s="40"/>
      <c r="T94" s="40"/>
      <c r="U94" s="40"/>
      <c r="V94" s="40"/>
      <c r="W94" s="40"/>
      <c r="X94" s="40"/>
      <c r="Y94" s="41"/>
    </row>
    <row r="95" spans="2:25">
      <c r="D95" s="68" t="s">
        <v>111</v>
      </c>
      <c r="E95" s="40"/>
      <c r="F95" s="40"/>
      <c r="G95" s="40">
        <v>1652</v>
      </c>
      <c r="I95" s="40"/>
      <c r="J95" s="40"/>
      <c r="K95" s="40"/>
      <c r="L95" s="40"/>
      <c r="M95" s="40"/>
      <c r="N95" s="40"/>
      <c r="O95" s="40">
        <v>97734</v>
      </c>
      <c r="P95" s="40"/>
      <c r="Q95" s="40"/>
      <c r="R95" s="40"/>
      <c r="S95" s="40"/>
      <c r="T95" s="40"/>
      <c r="U95" s="40"/>
      <c r="V95" s="40"/>
      <c r="W95" s="40"/>
      <c r="X95" s="40"/>
      <c r="Y95" s="41"/>
    </row>
    <row r="96" spans="2:25">
      <c r="D96" s="68" t="s">
        <v>234</v>
      </c>
      <c r="E96" s="40">
        <v>2364</v>
      </c>
      <c r="F96" s="40">
        <v>450</v>
      </c>
      <c r="G96" s="40">
        <v>-64</v>
      </c>
      <c r="H96" s="40">
        <v>1684</v>
      </c>
      <c r="I96" s="40">
        <v>8474</v>
      </c>
      <c r="J96" s="40">
        <v>14</v>
      </c>
      <c r="K96" s="40"/>
      <c r="L96" s="40"/>
      <c r="M96" s="40"/>
      <c r="N96" s="40"/>
      <c r="O96" s="40">
        <v>1537</v>
      </c>
      <c r="P96" s="40"/>
      <c r="Q96" s="40"/>
      <c r="R96" s="40"/>
      <c r="S96" s="40"/>
      <c r="T96" s="40"/>
      <c r="U96" s="40"/>
      <c r="V96" s="40"/>
      <c r="W96" s="40"/>
      <c r="X96" s="40"/>
      <c r="Y96" s="41"/>
    </row>
    <row r="97" spans="4:25">
      <c r="D97" s="68" t="s">
        <v>112</v>
      </c>
      <c r="E97" s="40"/>
      <c r="F97" s="40"/>
      <c r="G97" s="40"/>
      <c r="H97" s="40"/>
      <c r="I97" s="40">
        <v>-713</v>
      </c>
      <c r="J97" s="40">
        <v>-432</v>
      </c>
      <c r="K97" s="40"/>
      <c r="L97" s="40"/>
      <c r="M97" s="40"/>
      <c r="N97" s="40"/>
      <c r="O97" s="40">
        <v>-110</v>
      </c>
      <c r="P97" s="40"/>
      <c r="Q97" s="40"/>
      <c r="R97" s="40"/>
      <c r="S97" s="40"/>
      <c r="T97" s="40"/>
      <c r="U97" s="40"/>
      <c r="V97" s="40"/>
      <c r="W97" s="40"/>
      <c r="X97" s="40"/>
      <c r="Y97" s="41"/>
    </row>
    <row r="98" spans="4:25">
      <c r="D98" s="68" t="s">
        <v>235</v>
      </c>
      <c r="E98" s="40">
        <v>7288</v>
      </c>
      <c r="F98" s="40">
        <v>283</v>
      </c>
      <c r="G98" s="40">
        <v>7920</v>
      </c>
      <c r="H98" s="40">
        <v>809</v>
      </c>
      <c r="I98" s="40"/>
      <c r="J98" s="40"/>
      <c r="K98" s="40"/>
      <c r="L98" s="40"/>
      <c r="M98" s="40"/>
      <c r="N98" s="40"/>
      <c r="O98" s="40"/>
      <c r="P98" s="40"/>
      <c r="Q98" s="40"/>
      <c r="R98" s="40"/>
      <c r="S98" s="40"/>
      <c r="T98" s="40"/>
      <c r="U98" s="40"/>
      <c r="V98" s="40"/>
      <c r="W98" s="40"/>
      <c r="X98" s="40"/>
      <c r="Y98" s="41"/>
    </row>
    <row r="99" spans="4:25">
      <c r="D99" s="68" t="s">
        <v>113</v>
      </c>
      <c r="E99" s="40"/>
      <c r="F99" s="40"/>
      <c r="G99" s="40"/>
      <c r="H99" s="40"/>
      <c r="I99" s="40"/>
      <c r="J99" s="40"/>
      <c r="K99" s="40"/>
      <c r="L99" s="40"/>
      <c r="M99" s="40"/>
      <c r="N99" s="40"/>
      <c r="O99" s="40"/>
      <c r="P99" s="40"/>
      <c r="Q99" s="40"/>
      <c r="R99" s="40"/>
      <c r="S99" s="40"/>
      <c r="T99" s="40"/>
      <c r="U99" s="40"/>
      <c r="V99" s="40"/>
      <c r="W99" s="40"/>
      <c r="X99" s="40"/>
      <c r="Y99" s="41"/>
    </row>
    <row r="100" spans="4:25">
      <c r="D100" s="68" t="s">
        <v>273</v>
      </c>
      <c r="E100" s="40">
        <v>-28764</v>
      </c>
      <c r="F100" s="40"/>
      <c r="G100" s="40">
        <v>5547</v>
      </c>
      <c r="H100" s="40">
        <v>5395</v>
      </c>
      <c r="I100" s="40">
        <v>7422</v>
      </c>
      <c r="J100" s="40"/>
      <c r="K100" s="40"/>
      <c r="L100" s="40"/>
      <c r="M100" s="40"/>
      <c r="N100" s="40"/>
      <c r="O100" s="40"/>
      <c r="P100" s="40"/>
      <c r="Q100" s="40"/>
      <c r="R100" s="40"/>
      <c r="S100" s="40"/>
      <c r="T100" s="40"/>
      <c r="U100" s="40"/>
      <c r="V100" s="40"/>
      <c r="W100" s="40"/>
      <c r="X100" s="40"/>
      <c r="Y100" s="41"/>
    </row>
    <row r="101" spans="4:25">
      <c r="D101" s="68" t="s">
        <v>381</v>
      </c>
      <c r="E101" s="40"/>
      <c r="F101" s="40">
        <v>-6842</v>
      </c>
      <c r="G101" s="40">
        <v>-1514</v>
      </c>
      <c r="H101" s="40"/>
      <c r="I101" s="40">
        <v>-666</v>
      </c>
      <c r="J101" s="40"/>
      <c r="K101" s="40"/>
      <c r="L101" s="40"/>
      <c r="M101" s="40"/>
      <c r="N101" s="40"/>
      <c r="O101" s="40"/>
      <c r="P101" s="40"/>
      <c r="Q101" s="40"/>
      <c r="R101" s="40"/>
      <c r="S101" s="40"/>
      <c r="T101" s="40"/>
      <c r="U101" s="40"/>
      <c r="V101" s="40"/>
      <c r="W101" s="40"/>
      <c r="X101" s="40"/>
      <c r="Y101" s="41"/>
    </row>
    <row r="102" spans="4:25">
      <c r="D102" s="68" t="s">
        <v>394</v>
      </c>
      <c r="E102" s="40"/>
      <c r="F102" s="40"/>
      <c r="G102" s="40"/>
      <c r="H102" s="40">
        <v>243</v>
      </c>
      <c r="I102" s="40">
        <v>1413</v>
      </c>
      <c r="J102" s="40"/>
      <c r="K102" s="40"/>
      <c r="L102" s="40"/>
      <c r="M102" s="40"/>
      <c r="N102" s="40"/>
      <c r="O102" s="40"/>
      <c r="P102" s="40"/>
      <c r="Q102" s="40"/>
      <c r="R102" s="40"/>
      <c r="S102" s="40"/>
      <c r="T102" s="40"/>
      <c r="U102" s="40"/>
      <c r="V102" s="40"/>
      <c r="W102" s="40"/>
      <c r="X102" s="40"/>
      <c r="Y102" s="41"/>
    </row>
    <row r="103" spans="4:25">
      <c r="D103" s="68" t="s">
        <v>382</v>
      </c>
      <c r="E103" s="40"/>
      <c r="F103" s="40">
        <v>227</v>
      </c>
      <c r="G103" s="40"/>
      <c r="H103" s="40"/>
      <c r="I103" s="40"/>
      <c r="J103" s="40"/>
      <c r="K103" s="40"/>
      <c r="L103" s="40"/>
      <c r="M103" s="40"/>
      <c r="N103" s="40"/>
      <c r="O103" s="40"/>
      <c r="P103" s="40"/>
      <c r="Q103" s="40"/>
      <c r="R103" s="40"/>
      <c r="S103" s="40"/>
      <c r="T103" s="40"/>
      <c r="U103" s="40"/>
      <c r="V103" s="40"/>
      <c r="W103" s="40"/>
      <c r="X103" s="40"/>
      <c r="Y103" s="41"/>
    </row>
    <row r="104" spans="4:25">
      <c r="D104" s="68" t="s">
        <v>274</v>
      </c>
      <c r="E104" s="40">
        <v>-5580</v>
      </c>
      <c r="F104" s="40"/>
      <c r="G104" s="40"/>
      <c r="H104" s="40"/>
      <c r="I104" s="40"/>
      <c r="J104" s="40"/>
      <c r="K104" s="40"/>
      <c r="L104" s="40"/>
      <c r="M104" s="40"/>
      <c r="N104" s="40"/>
      <c r="O104" s="40"/>
      <c r="P104" s="40"/>
      <c r="Q104" s="40"/>
      <c r="R104" s="40"/>
      <c r="S104" s="40"/>
      <c r="T104" s="40"/>
      <c r="U104" s="40"/>
      <c r="V104" s="40"/>
      <c r="W104" s="40"/>
      <c r="X104" s="40"/>
      <c r="Y104" s="41"/>
    </row>
    <row r="105" spans="4:25">
      <c r="D105" s="68" t="s">
        <v>275</v>
      </c>
      <c r="E105" s="40">
        <v>-1238</v>
      </c>
      <c r="F105" s="40"/>
      <c r="G105" s="40">
        <v>-1839</v>
      </c>
      <c r="H105" s="40"/>
      <c r="I105" s="40"/>
      <c r="J105" s="40"/>
      <c r="K105" s="40"/>
      <c r="L105" s="40"/>
      <c r="M105" s="40"/>
      <c r="N105" s="40"/>
      <c r="O105" s="40"/>
      <c r="P105" s="40"/>
      <c r="Q105" s="40"/>
      <c r="R105" s="40"/>
      <c r="S105" s="40"/>
      <c r="T105" s="40"/>
      <c r="U105" s="40"/>
      <c r="V105" s="40"/>
      <c r="W105" s="40"/>
      <c r="X105" s="40"/>
      <c r="Y105" s="41"/>
    </row>
    <row r="106" spans="4:25">
      <c r="D106" s="68" t="s">
        <v>383</v>
      </c>
      <c r="E106" s="40"/>
      <c r="F106" s="40"/>
      <c r="G106" s="40">
        <v>-1750</v>
      </c>
      <c r="H106" s="40"/>
      <c r="I106" s="40"/>
      <c r="J106" s="40"/>
      <c r="K106" s="40"/>
      <c r="L106" s="40"/>
      <c r="M106" s="40"/>
      <c r="N106" s="40"/>
      <c r="O106" s="40"/>
      <c r="P106" s="40"/>
      <c r="Q106" s="40"/>
      <c r="R106" s="40"/>
      <c r="S106" s="40"/>
      <c r="T106" s="40"/>
      <c r="U106" s="40"/>
      <c r="V106" s="40"/>
      <c r="W106" s="40"/>
      <c r="X106" s="40"/>
      <c r="Y106" s="41"/>
    </row>
    <row r="107" spans="4:25">
      <c r="D107" s="68" t="s">
        <v>397</v>
      </c>
      <c r="E107" s="40"/>
      <c r="F107" s="40"/>
      <c r="G107" s="40"/>
      <c r="H107" s="40"/>
      <c r="I107" s="40">
        <v>2799</v>
      </c>
      <c r="J107" s="40"/>
      <c r="K107" s="40"/>
      <c r="L107" s="40"/>
      <c r="M107" s="40"/>
      <c r="N107" s="40"/>
      <c r="O107" s="40"/>
      <c r="P107" s="40"/>
      <c r="Q107" s="40"/>
      <c r="R107" s="40"/>
      <c r="S107" s="40"/>
      <c r="T107" s="40"/>
      <c r="U107" s="40"/>
      <c r="V107" s="40"/>
      <c r="W107" s="40"/>
      <c r="X107" s="40"/>
      <c r="Y107" s="41"/>
    </row>
    <row r="108" spans="4:25">
      <c r="D108" s="68" t="s">
        <v>276</v>
      </c>
      <c r="E108" s="40">
        <v>-1900</v>
      </c>
      <c r="F108" s="40"/>
      <c r="G108" s="40">
        <v>-6223</v>
      </c>
      <c r="H108" s="40">
        <v>-1476</v>
      </c>
      <c r="I108" s="40"/>
      <c r="J108" s="40"/>
      <c r="K108" s="40"/>
      <c r="L108" s="40"/>
      <c r="M108" s="40"/>
      <c r="N108" s="40"/>
      <c r="O108" s="40"/>
      <c r="P108" s="40"/>
      <c r="Q108" s="40"/>
      <c r="R108" s="40"/>
      <c r="S108" s="40"/>
      <c r="T108" s="40"/>
      <c r="U108" s="40"/>
      <c r="V108" s="40"/>
      <c r="W108" s="40"/>
      <c r="X108" s="40"/>
      <c r="Y108" s="41"/>
    </row>
    <row r="109" spans="4:25">
      <c r="D109" s="68" t="s">
        <v>384</v>
      </c>
      <c r="E109" s="40"/>
      <c r="F109" s="40"/>
      <c r="G109" s="40">
        <v>-1180</v>
      </c>
      <c r="H109" s="40">
        <v>505</v>
      </c>
      <c r="I109" s="40">
        <v>600</v>
      </c>
      <c r="J109" s="40"/>
      <c r="K109" s="40"/>
      <c r="L109" s="40"/>
      <c r="M109" s="40"/>
      <c r="N109" s="40"/>
      <c r="O109" s="40"/>
      <c r="P109" s="40"/>
      <c r="Q109" s="40"/>
      <c r="R109" s="40"/>
      <c r="S109" s="40"/>
      <c r="T109" s="40"/>
      <c r="U109" s="40"/>
      <c r="V109" s="40"/>
      <c r="W109" s="40"/>
      <c r="X109" s="40"/>
      <c r="Y109" s="41"/>
    </row>
    <row r="110" spans="4:25">
      <c r="D110" s="68" t="s">
        <v>650</v>
      </c>
      <c r="E110" s="40"/>
      <c r="F110" s="40"/>
      <c r="G110" s="40"/>
      <c r="H110" s="40">
        <v>4565</v>
      </c>
      <c r="I110" s="40"/>
      <c r="J110" s="40"/>
      <c r="K110" s="40"/>
      <c r="L110" s="40"/>
      <c r="M110" s="40"/>
      <c r="N110" s="40"/>
      <c r="O110" s="40"/>
      <c r="P110" s="40"/>
      <c r="Q110" s="40"/>
      <c r="R110" s="40"/>
      <c r="S110" s="40"/>
      <c r="T110" s="40"/>
      <c r="U110" s="40"/>
      <c r="V110" s="40"/>
      <c r="W110" s="40"/>
      <c r="X110" s="40"/>
      <c r="Y110" s="41"/>
    </row>
    <row r="111" spans="4:25">
      <c r="D111" s="68" t="s">
        <v>114</v>
      </c>
      <c r="E111" s="40"/>
      <c r="F111" s="40"/>
      <c r="G111" s="40"/>
      <c r="H111" s="40"/>
      <c r="I111" s="40"/>
      <c r="J111" s="40"/>
      <c r="K111" s="40"/>
      <c r="L111" s="40"/>
      <c r="M111" s="40"/>
      <c r="N111" s="40"/>
      <c r="O111" s="40"/>
      <c r="P111" s="40"/>
      <c r="Q111" s="40"/>
      <c r="R111" s="40"/>
      <c r="S111" s="40"/>
      <c r="T111" s="40"/>
      <c r="U111" s="40"/>
      <c r="V111" s="40"/>
      <c r="W111" s="40"/>
      <c r="X111" s="40"/>
      <c r="Y111" s="41"/>
    </row>
    <row r="112" spans="4:25">
      <c r="D112" s="68" t="s">
        <v>219</v>
      </c>
      <c r="E112" s="40"/>
      <c r="F112" s="40"/>
      <c r="G112" s="40"/>
      <c r="H112" s="40"/>
      <c r="I112" s="40"/>
      <c r="J112" s="40"/>
      <c r="K112" s="40"/>
      <c r="L112" s="40">
        <v>-34750</v>
      </c>
      <c r="M112" s="40"/>
      <c r="N112" s="40"/>
      <c r="O112" s="40"/>
      <c r="P112" s="40"/>
      <c r="Q112" s="40"/>
      <c r="R112" s="40"/>
      <c r="S112" s="40"/>
      <c r="T112" s="40"/>
      <c r="U112" s="40"/>
      <c r="V112" s="40"/>
      <c r="W112" s="40"/>
      <c r="X112" s="40"/>
      <c r="Y112" s="41"/>
    </row>
    <row r="113" spans="4:68">
      <c r="D113" s="68" t="s">
        <v>220</v>
      </c>
      <c r="E113" s="40"/>
      <c r="F113" s="40"/>
      <c r="G113" s="40"/>
      <c r="H113" s="21"/>
      <c r="I113" s="21"/>
      <c r="J113" s="21"/>
      <c r="K113" s="21"/>
      <c r="L113" s="21">
        <v>-13205</v>
      </c>
      <c r="M113" s="21"/>
      <c r="N113" s="21"/>
      <c r="O113" s="21"/>
      <c r="P113" s="21"/>
      <c r="Q113" s="21"/>
      <c r="R113" s="21"/>
      <c r="S113" s="21"/>
      <c r="T113" s="21"/>
      <c r="U113" s="21"/>
      <c r="V113" s="21"/>
      <c r="W113" s="21"/>
      <c r="X113" s="21"/>
      <c r="Y113" s="42"/>
    </row>
    <row r="114" spans="4:68">
      <c r="D114" s="68" t="s">
        <v>228</v>
      </c>
      <c r="E114" s="40"/>
      <c r="F114" s="40"/>
      <c r="G114" s="40"/>
      <c r="H114" s="21"/>
      <c r="I114" s="21"/>
      <c r="J114" s="21">
        <v>-19279</v>
      </c>
      <c r="K114" s="21"/>
      <c r="L114" s="21"/>
      <c r="M114" s="21"/>
      <c r="N114" s="21"/>
      <c r="O114" s="21"/>
      <c r="P114" s="21"/>
      <c r="Q114" s="21"/>
      <c r="R114" s="21"/>
      <c r="S114" s="21"/>
      <c r="T114" s="21"/>
      <c r="U114" s="21"/>
      <c r="V114" s="21"/>
      <c r="W114" s="21"/>
      <c r="X114" s="21"/>
      <c r="Y114" s="42"/>
    </row>
    <row r="115" spans="4:68">
      <c r="D115" s="68" t="s">
        <v>108</v>
      </c>
      <c r="E115" s="40"/>
      <c r="F115" s="40"/>
      <c r="G115" s="40"/>
      <c r="H115" s="21"/>
      <c r="I115" s="21"/>
      <c r="J115" s="21"/>
      <c r="K115" s="21"/>
      <c r="L115" s="21"/>
      <c r="M115" s="21"/>
      <c r="N115" s="21"/>
      <c r="O115" s="21"/>
      <c r="P115" s="21"/>
      <c r="Q115" s="21"/>
      <c r="R115" s="21"/>
      <c r="S115" s="21"/>
      <c r="T115" s="21"/>
      <c r="U115" s="21"/>
      <c r="V115" s="21"/>
      <c r="W115" s="21"/>
      <c r="X115" s="21"/>
      <c r="Y115" s="42"/>
    </row>
    <row r="116" spans="4:68">
      <c r="D116" s="68" t="s">
        <v>115</v>
      </c>
      <c r="E116" s="40"/>
      <c r="F116" s="40"/>
      <c r="G116" s="40"/>
      <c r="H116" s="40"/>
      <c r="I116" s="40"/>
      <c r="J116" s="40"/>
      <c r="K116" s="40"/>
      <c r="L116" s="40"/>
      <c r="M116" s="40"/>
      <c r="N116" s="40"/>
      <c r="O116" s="40"/>
      <c r="P116" s="40"/>
      <c r="Q116" s="40"/>
      <c r="R116" s="40"/>
      <c r="S116" s="40"/>
      <c r="T116" s="40"/>
      <c r="U116" s="40"/>
      <c r="V116" s="40"/>
      <c r="W116" s="40"/>
      <c r="X116" s="40"/>
      <c r="Y116" s="41"/>
    </row>
    <row r="117" spans="4:68" s="4" customFormat="1">
      <c r="D117" s="82" t="s">
        <v>103</v>
      </c>
      <c r="E117" s="21">
        <f>SUM(E94:E115)</f>
        <v>-27830</v>
      </c>
      <c r="F117" s="21">
        <f>SUM(F94:F115)</f>
        <v>-5882</v>
      </c>
      <c r="G117" s="21">
        <f t="shared" ref="G117:Y117" si="39">SUM(G94:G116)</f>
        <v>2549</v>
      </c>
      <c r="H117" s="21">
        <f t="shared" si="39"/>
        <v>11725</v>
      </c>
      <c r="I117" s="21">
        <f t="shared" si="39"/>
        <v>19329</v>
      </c>
      <c r="J117" s="21">
        <f t="shared" si="39"/>
        <v>-19697</v>
      </c>
      <c r="K117" s="21">
        <f t="shared" si="39"/>
        <v>0</v>
      </c>
      <c r="L117" s="21">
        <f t="shared" si="39"/>
        <v>-47955</v>
      </c>
      <c r="M117" s="21">
        <f t="shared" si="39"/>
        <v>0</v>
      </c>
      <c r="N117" s="21">
        <f t="shared" si="39"/>
        <v>0</v>
      </c>
      <c r="O117" s="21">
        <f>SUM(O94:O116)</f>
        <v>18346</v>
      </c>
      <c r="P117" s="21">
        <f t="shared" si="39"/>
        <v>0</v>
      </c>
      <c r="Q117" s="21">
        <f t="shared" si="39"/>
        <v>0</v>
      </c>
      <c r="R117" s="21">
        <f t="shared" si="39"/>
        <v>0</v>
      </c>
      <c r="S117" s="21">
        <f t="shared" si="39"/>
        <v>0</v>
      </c>
      <c r="T117" s="21">
        <f t="shared" si="39"/>
        <v>0</v>
      </c>
      <c r="U117" s="21">
        <f t="shared" si="39"/>
        <v>0</v>
      </c>
      <c r="V117" s="21">
        <f t="shared" si="39"/>
        <v>0</v>
      </c>
      <c r="W117" s="21">
        <f t="shared" si="39"/>
        <v>0</v>
      </c>
      <c r="X117" s="21">
        <f t="shared" si="39"/>
        <v>0</v>
      </c>
      <c r="Y117" s="42">
        <f t="shared" si="39"/>
        <v>0</v>
      </c>
      <c r="AH117" s="4">
        <f t="shared" ref="AH117:BP117" si="40">SUM(AH94:AH116)</f>
        <v>0</v>
      </c>
      <c r="AI117" s="4">
        <f t="shared" si="40"/>
        <v>0</v>
      </c>
      <c r="AJ117" s="4">
        <f t="shared" si="40"/>
        <v>0</v>
      </c>
      <c r="AK117" s="4">
        <f t="shared" si="40"/>
        <v>0</v>
      </c>
      <c r="AL117" s="4">
        <f t="shared" si="40"/>
        <v>0</v>
      </c>
      <c r="AM117" s="4">
        <f t="shared" si="40"/>
        <v>0</v>
      </c>
      <c r="AN117" s="4">
        <f t="shared" si="40"/>
        <v>0</v>
      </c>
      <c r="AO117" s="4">
        <f t="shared" si="40"/>
        <v>0</v>
      </c>
      <c r="AP117" s="4">
        <f t="shared" si="40"/>
        <v>0</v>
      </c>
      <c r="AQ117" s="4">
        <f t="shared" si="40"/>
        <v>0</v>
      </c>
      <c r="AR117" s="4">
        <f t="shared" si="40"/>
        <v>0</v>
      </c>
      <c r="AS117" s="4">
        <f t="shared" si="40"/>
        <v>0</v>
      </c>
      <c r="AT117" s="4">
        <f t="shared" si="40"/>
        <v>0</v>
      </c>
      <c r="AU117" s="4">
        <f t="shared" si="40"/>
        <v>0</v>
      </c>
      <c r="AV117" s="4">
        <f t="shared" si="40"/>
        <v>0</v>
      </c>
      <c r="AW117" s="4">
        <f t="shared" si="40"/>
        <v>0</v>
      </c>
      <c r="AX117" s="4">
        <f t="shared" si="40"/>
        <v>0</v>
      </c>
      <c r="AY117" s="4">
        <f t="shared" si="40"/>
        <v>0</v>
      </c>
      <c r="AZ117" s="4">
        <f t="shared" si="40"/>
        <v>0</v>
      </c>
      <c r="BA117" s="4">
        <f t="shared" si="40"/>
        <v>0</v>
      </c>
      <c r="BB117" s="4">
        <f t="shared" si="40"/>
        <v>0</v>
      </c>
      <c r="BC117" s="4">
        <f t="shared" si="40"/>
        <v>0</v>
      </c>
      <c r="BD117" s="4">
        <f t="shared" si="40"/>
        <v>0</v>
      </c>
      <c r="BE117" s="4">
        <f t="shared" si="40"/>
        <v>0</v>
      </c>
      <c r="BF117" s="4">
        <f t="shared" si="40"/>
        <v>0</v>
      </c>
      <c r="BG117" s="4">
        <f t="shared" si="40"/>
        <v>0</v>
      </c>
      <c r="BH117" s="4">
        <f t="shared" si="40"/>
        <v>0</v>
      </c>
      <c r="BI117" s="4">
        <f t="shared" si="40"/>
        <v>0</v>
      </c>
      <c r="BJ117" s="4">
        <f t="shared" si="40"/>
        <v>0</v>
      </c>
      <c r="BK117" s="4">
        <f t="shared" si="40"/>
        <v>0</v>
      </c>
      <c r="BL117" s="4">
        <f t="shared" si="40"/>
        <v>0</v>
      </c>
      <c r="BM117" s="4">
        <f t="shared" si="40"/>
        <v>0</v>
      </c>
      <c r="BN117" s="4">
        <f t="shared" si="40"/>
        <v>0</v>
      </c>
      <c r="BO117" s="4">
        <f t="shared" si="40"/>
        <v>0</v>
      </c>
      <c r="BP117" s="4">
        <f t="shared" si="40"/>
        <v>0</v>
      </c>
    </row>
    <row r="118" spans="4:68" s="17" customFormat="1" ht="16" thickBot="1">
      <c r="D118" s="83" t="s">
        <v>391</v>
      </c>
      <c r="E118" s="43">
        <f>E117-'2a. Income Statement'!E35</f>
        <v>0</v>
      </c>
      <c r="F118" s="43">
        <f>F117-'2a. Income Statement'!F35</f>
        <v>0</v>
      </c>
      <c r="G118" s="43">
        <f>G117-'2a. Income Statement'!G35</f>
        <v>0</v>
      </c>
      <c r="H118" s="43">
        <f>H117-'2a. Income Statement'!H35</f>
        <v>0</v>
      </c>
      <c r="I118" s="43">
        <f>I117-'2a. Income Statement'!I35</f>
        <v>0</v>
      </c>
      <c r="J118" s="43">
        <f>J117-'2a. Income Statement'!J35</f>
        <v>0</v>
      </c>
      <c r="K118" s="43">
        <f>K117-'2a. Income Statement'!K35</f>
        <v>0</v>
      </c>
      <c r="L118" s="43">
        <f>L117-'2a. Income Statement'!L35</f>
        <v>0</v>
      </c>
      <c r="M118" s="43">
        <f>M117-'2a. Income Statement'!M35</f>
        <v>0</v>
      </c>
      <c r="N118" s="43">
        <f>N117-'2a. Income Statement'!N35</f>
        <v>0</v>
      </c>
      <c r="O118" s="44">
        <f>O117-'2a. Income Statement'!O35</f>
        <v>0</v>
      </c>
      <c r="P118" s="43">
        <f>P117-'2a. Income Statement'!P35</f>
        <v>0</v>
      </c>
      <c r="Q118" s="43">
        <f>Q117-'2a. Income Statement'!Q35</f>
        <v>0</v>
      </c>
      <c r="R118" s="43">
        <f>R117-'2a. Income Statement'!R35</f>
        <v>0</v>
      </c>
      <c r="S118" s="43">
        <f>S117-'2a. Income Statement'!S35</f>
        <v>0</v>
      </c>
      <c r="T118" s="43">
        <f>T117-'2a. Income Statement'!T35</f>
        <v>0</v>
      </c>
      <c r="U118" s="43">
        <f>U117-'2a. Income Statement'!U35</f>
        <v>0</v>
      </c>
      <c r="V118" s="43">
        <f>V117-'2a. Income Statement'!V35</f>
        <v>0</v>
      </c>
      <c r="W118" s="43">
        <f>W117-'2a. Income Statement'!W35</f>
        <v>0</v>
      </c>
      <c r="X118" s="43">
        <f>X117-'2a. Income Statement'!X35</f>
        <v>0</v>
      </c>
      <c r="Y118" s="45">
        <f>Y117-'2a. Income Statement'!Y35</f>
        <v>0</v>
      </c>
    </row>
    <row r="119" spans="4:68" s="17" customFormat="1" ht="16" thickTop="1">
      <c r="D119" s="84"/>
      <c r="O119" s="35"/>
    </row>
    <row r="120" spans="4:68" s="17" customFormat="1">
      <c r="D120" s="84"/>
      <c r="O120" s="35"/>
    </row>
    <row r="121" spans="4:68">
      <c r="D121" s="85" t="s">
        <v>282</v>
      </c>
      <c r="E121" s="1" t="s">
        <v>216</v>
      </c>
      <c r="F121" s="1" t="s">
        <v>217</v>
      </c>
      <c r="G121" s="1" t="s">
        <v>218</v>
      </c>
      <c r="H121" s="1" t="s">
        <v>28</v>
      </c>
      <c r="I121" s="1" t="s">
        <v>17</v>
      </c>
      <c r="J121" s="1" t="s">
        <v>18</v>
      </c>
      <c r="K121" s="1" t="s">
        <v>19</v>
      </c>
      <c r="L121" s="1" t="s">
        <v>20</v>
      </c>
      <c r="M121" s="1" t="s">
        <v>21</v>
      </c>
      <c r="N121" s="1" t="s">
        <v>22</v>
      </c>
      <c r="O121" s="1" t="s">
        <v>23</v>
      </c>
      <c r="P121" s="1" t="s">
        <v>24</v>
      </c>
      <c r="Q121" s="1" t="s">
        <v>25</v>
      </c>
      <c r="R121" s="1" t="s">
        <v>26</v>
      </c>
      <c r="S121" s="1" t="s">
        <v>27</v>
      </c>
      <c r="T121" s="1"/>
      <c r="U121" s="1"/>
      <c r="V121" s="1"/>
      <c r="W121" s="1"/>
      <c r="X121" s="1"/>
      <c r="Y121" s="1"/>
    </row>
    <row r="122" spans="4:68">
      <c r="D122" s="86" t="s">
        <v>116</v>
      </c>
    </row>
    <row r="123" spans="4:68">
      <c r="D123" s="66" t="s">
        <v>278</v>
      </c>
    </row>
    <row r="124" spans="4:68">
      <c r="D124" s="66" t="s">
        <v>279</v>
      </c>
      <c r="E124">
        <v>1</v>
      </c>
      <c r="F124">
        <v>6151</v>
      </c>
      <c r="G124">
        <v>4616</v>
      </c>
      <c r="H124">
        <v>4223</v>
      </c>
      <c r="I124">
        <v>3679</v>
      </c>
      <c r="J124">
        <v>421</v>
      </c>
      <c r="K124">
        <v>1635</v>
      </c>
    </row>
    <row r="125" spans="4:68">
      <c r="D125" s="66" t="s">
        <v>385</v>
      </c>
      <c r="E125">
        <f>SUM(E123:E124)</f>
        <v>1</v>
      </c>
      <c r="F125">
        <f t="shared" ref="F125:G125" si="41">SUM(F123:F124)</f>
        <v>6151</v>
      </c>
      <c r="G125">
        <f t="shared" si="41"/>
        <v>4616</v>
      </c>
      <c r="H125">
        <f t="shared" ref="H125" si="42">SUM(H123:H124)</f>
        <v>4223</v>
      </c>
      <c r="I125">
        <f t="shared" ref="I125" si="43">SUM(I123:I124)</f>
        <v>3679</v>
      </c>
      <c r="J125">
        <f t="shared" ref="J125" si="44">SUM(J123:J124)</f>
        <v>421</v>
      </c>
      <c r="K125">
        <f t="shared" ref="K125" si="45">SUM(K123:K124)</f>
        <v>1635</v>
      </c>
      <c r="L125">
        <f t="shared" ref="L125" si="46">SUM(L123:L124)</f>
        <v>0</v>
      </c>
      <c r="M125">
        <f t="shared" ref="M125" si="47">SUM(M123:M124)</f>
        <v>0</v>
      </c>
      <c r="N125">
        <f t="shared" ref="N125" si="48">SUM(N123:N124)</f>
        <v>0</v>
      </c>
      <c r="O125">
        <f t="shared" ref="O125" si="49">SUM(O123:O124)</f>
        <v>0</v>
      </c>
      <c r="P125">
        <f t="shared" ref="P125" si="50">SUM(P123:P124)</f>
        <v>0</v>
      </c>
      <c r="Q125">
        <f t="shared" ref="Q125" si="51">SUM(Q123:Q124)</f>
        <v>0</v>
      </c>
      <c r="R125">
        <f t="shared" ref="R125" si="52">SUM(R123:R124)</f>
        <v>0</v>
      </c>
      <c r="S125">
        <f t="shared" ref="S125" si="53">SUM(S123:S124)</f>
        <v>0</v>
      </c>
      <c r="T125">
        <f t="shared" ref="T125" si="54">SUM(T123:T124)</f>
        <v>0</v>
      </c>
      <c r="U125">
        <f t="shared" ref="U125" si="55">SUM(U123:U124)</f>
        <v>0</v>
      </c>
      <c r="V125">
        <f t="shared" ref="V125" si="56">SUM(V123:V124)</f>
        <v>0</v>
      </c>
      <c r="W125">
        <f t="shared" ref="W125" si="57">SUM(W123:W124)</f>
        <v>0</v>
      </c>
      <c r="X125">
        <f t="shared" ref="X125" si="58">SUM(X123:X124)</f>
        <v>0</v>
      </c>
      <c r="Y125">
        <f t="shared" ref="Y125" si="59">SUM(Y123:Y124)</f>
        <v>0</v>
      </c>
    </row>
    <row r="126" spans="4:68">
      <c r="D126" s="66" t="s">
        <v>386</v>
      </c>
      <c r="G126">
        <v>11306</v>
      </c>
      <c r="H126">
        <v>14880</v>
      </c>
      <c r="I126">
        <v>15052</v>
      </c>
      <c r="J126">
        <v>13111</v>
      </c>
      <c r="K126">
        <v>11506</v>
      </c>
    </row>
    <row r="127" spans="4:68" s="4" customFormat="1">
      <c r="D127" s="86" t="s">
        <v>103</v>
      </c>
      <c r="E127" s="4">
        <f>SUM(E125:E126)</f>
        <v>1</v>
      </c>
      <c r="F127" s="4">
        <f t="shared" ref="F127:G127" si="60">SUM(F125:F126)</f>
        <v>6151</v>
      </c>
      <c r="G127" s="4">
        <f t="shared" si="60"/>
        <v>15922</v>
      </c>
      <c r="H127" s="4">
        <f t="shared" ref="H127" si="61">SUM(H125:H126)</f>
        <v>19103</v>
      </c>
      <c r="I127" s="4">
        <f t="shared" ref="I127" si="62">SUM(I125:I126)</f>
        <v>18731</v>
      </c>
      <c r="J127" s="4">
        <f t="shared" ref="J127" si="63">SUM(J125:J126)</f>
        <v>13532</v>
      </c>
      <c r="K127" s="4">
        <f t="shared" ref="K127" si="64">SUM(K125:K126)</f>
        <v>13141</v>
      </c>
      <c r="L127" s="4">
        <f t="shared" ref="L127" si="65">SUM(L125:L126)</f>
        <v>0</v>
      </c>
      <c r="M127" s="4">
        <f t="shared" ref="M127" si="66">SUM(M125:M126)</f>
        <v>0</v>
      </c>
      <c r="N127" s="4">
        <f t="shared" ref="N127" si="67">SUM(N125:N126)</f>
        <v>0</v>
      </c>
      <c r="O127" s="4">
        <f t="shared" ref="O127" si="68">SUM(O125:O126)</f>
        <v>0</v>
      </c>
      <c r="P127" s="4">
        <f t="shared" ref="P127" si="69">SUM(P125:P126)</f>
        <v>0</v>
      </c>
      <c r="Q127" s="4">
        <f t="shared" ref="Q127" si="70">SUM(Q125:Q126)</f>
        <v>0</v>
      </c>
      <c r="R127" s="4">
        <f t="shared" ref="R127" si="71">SUM(R125:R126)</f>
        <v>0</v>
      </c>
      <c r="S127" s="4">
        <f t="shared" ref="S127" si="72">SUM(S125:S126)</f>
        <v>0</v>
      </c>
      <c r="T127" s="4">
        <f t="shared" ref="T127" si="73">SUM(T125:T126)</f>
        <v>0</v>
      </c>
      <c r="U127" s="4">
        <f t="shared" ref="U127" si="74">SUM(U125:U126)</f>
        <v>0</v>
      </c>
      <c r="V127" s="4">
        <f t="shared" ref="V127" si="75">SUM(V125:V126)</f>
        <v>0</v>
      </c>
      <c r="W127" s="4">
        <f t="shared" ref="W127" si="76">SUM(W125:W126)</f>
        <v>0</v>
      </c>
      <c r="X127" s="4">
        <f t="shared" ref="X127" si="77">SUM(X125:X126)</f>
        <v>0</v>
      </c>
      <c r="Y127" s="4">
        <f t="shared" ref="Y127" si="78">SUM(Y125:Y126)</f>
        <v>0</v>
      </c>
    </row>
    <row r="128" spans="4:68">
      <c r="D128" s="66"/>
    </row>
    <row r="129" spans="4:25">
      <c r="D129" s="86" t="s">
        <v>117</v>
      </c>
    </row>
    <row r="130" spans="4:25">
      <c r="D130" s="66" t="s">
        <v>280</v>
      </c>
      <c r="E130">
        <v>5810</v>
      </c>
      <c r="F130">
        <v>632</v>
      </c>
      <c r="G130">
        <v>141</v>
      </c>
    </row>
    <row r="131" spans="4:25" s="9" customFormat="1">
      <c r="D131" s="66" t="s">
        <v>402</v>
      </c>
      <c r="L131" s="9">
        <v>10967</v>
      </c>
      <c r="M131">
        <v>9013</v>
      </c>
      <c r="N131">
        <v>8385</v>
      </c>
      <c r="O131" s="9">
        <v>5557</v>
      </c>
    </row>
    <row r="132" spans="4:25" s="9" customFormat="1">
      <c r="D132" s="66" t="s">
        <v>409</v>
      </c>
      <c r="M132"/>
      <c r="N132"/>
      <c r="O132" s="9">
        <v>3706</v>
      </c>
    </row>
    <row r="133" spans="4:25">
      <c r="D133" s="66" t="s">
        <v>278</v>
      </c>
    </row>
    <row r="134" spans="4:25">
      <c r="D134" s="66" t="s">
        <v>345</v>
      </c>
      <c r="H134">
        <v>1911</v>
      </c>
      <c r="I134">
        <v>1282</v>
      </c>
      <c r="J134">
        <v>1419</v>
      </c>
      <c r="K134">
        <v>816</v>
      </c>
      <c r="L134">
        <v>1307</v>
      </c>
      <c r="M134">
        <v>435</v>
      </c>
      <c r="N134">
        <v>1276</v>
      </c>
      <c r="O134">
        <v>675</v>
      </c>
    </row>
    <row r="135" spans="4:25">
      <c r="D135" s="66" t="s">
        <v>568</v>
      </c>
      <c r="N135">
        <v>2573</v>
      </c>
      <c r="O135">
        <v>49391</v>
      </c>
    </row>
    <row r="136" spans="4:25">
      <c r="D136" s="66" t="s">
        <v>281</v>
      </c>
      <c r="E136">
        <v>23237</v>
      </c>
      <c r="F136">
        <v>27868</v>
      </c>
      <c r="G136">
        <v>19715</v>
      </c>
      <c r="H136">
        <f>4350+10514</f>
        <v>14864</v>
      </c>
      <c r="I136">
        <f>3663+7885</f>
        <v>11548</v>
      </c>
      <c r="J136">
        <f>3022+1777</f>
        <v>4799</v>
      </c>
      <c r="K136">
        <f>1101+10768</f>
        <v>11869</v>
      </c>
      <c r="L136">
        <f>22910+1095</f>
        <v>24005</v>
      </c>
      <c r="M136">
        <f>5666+1337</f>
        <v>7003</v>
      </c>
      <c r="N136">
        <v>1039</v>
      </c>
      <c r="O136">
        <v>2229</v>
      </c>
    </row>
    <row r="137" spans="4:25" s="4" customFormat="1">
      <c r="D137" s="86" t="s">
        <v>103</v>
      </c>
      <c r="E137" s="4">
        <f>SUM(E130:E136)</f>
        <v>29047</v>
      </c>
      <c r="F137" s="4">
        <f t="shared" ref="F137:G137" si="79">SUM(F130:F136)</f>
        <v>28500</v>
      </c>
      <c r="G137" s="4">
        <f t="shared" si="79"/>
        <v>19856</v>
      </c>
      <c r="H137" s="4">
        <f t="shared" ref="H137" si="80">SUM(H130:H136)</f>
        <v>16775</v>
      </c>
      <c r="I137" s="4">
        <f t="shared" ref="I137" si="81">SUM(I130:I136)</f>
        <v>12830</v>
      </c>
      <c r="J137" s="4">
        <f t="shared" ref="J137" si="82">SUM(J130:J136)</f>
        <v>6218</v>
      </c>
      <c r="K137" s="4">
        <f t="shared" ref="K137" si="83">SUM(K130:K136)</f>
        <v>12685</v>
      </c>
      <c r="L137" s="4">
        <f t="shared" ref="L137" si="84">SUM(L130:L136)</f>
        <v>36279</v>
      </c>
      <c r="M137" s="4">
        <f t="shared" ref="M137" si="85">SUM(M130:M136)</f>
        <v>16451</v>
      </c>
      <c r="N137" s="4">
        <f t="shared" ref="N137" si="86">SUM(N130:N136)</f>
        <v>13273</v>
      </c>
      <c r="O137" s="4">
        <f t="shared" ref="O137" si="87">SUM(O130:O136)</f>
        <v>61558</v>
      </c>
      <c r="P137" s="4">
        <f t="shared" ref="P137" si="88">SUM(P130:P136)</f>
        <v>0</v>
      </c>
      <c r="Q137" s="4">
        <f t="shared" ref="Q137" si="89">SUM(Q130:Q136)</f>
        <v>0</v>
      </c>
      <c r="R137" s="4">
        <f t="shared" ref="R137" si="90">SUM(R130:R136)</f>
        <v>0</v>
      </c>
      <c r="S137" s="4">
        <f t="shared" ref="S137" si="91">SUM(S130:S136)</f>
        <v>0</v>
      </c>
      <c r="T137" s="4">
        <f t="shared" ref="T137" si="92">SUM(T130:T136)</f>
        <v>0</v>
      </c>
      <c r="U137" s="4">
        <f t="shared" ref="U137" si="93">SUM(U130:U136)</f>
        <v>0</v>
      </c>
      <c r="V137" s="4">
        <f t="shared" ref="V137" si="94">SUM(V130:V136)</f>
        <v>0</v>
      </c>
      <c r="W137" s="4">
        <f t="shared" ref="W137" si="95">SUM(W130:W136)</f>
        <v>0</v>
      </c>
      <c r="X137" s="4">
        <f t="shared" ref="X137" si="96">SUM(X130:X136)</f>
        <v>0</v>
      </c>
      <c r="Y137" s="4">
        <f t="shared" ref="Y137" si="97">SUM(Y130:Y136)</f>
        <v>0</v>
      </c>
    </row>
    <row r="138" spans="4:25">
      <c r="D138" s="66"/>
    </row>
    <row r="139" spans="4:25">
      <c r="D139" s="66" t="s">
        <v>118</v>
      </c>
    </row>
    <row r="140" spans="4:25">
      <c r="D140" s="66" t="s">
        <v>119</v>
      </c>
      <c r="O140">
        <f>O135+O132+O131+O134</f>
        <v>59329</v>
      </c>
    </row>
    <row r="141" spans="4:25">
      <c r="D141" s="66" t="s">
        <v>120</v>
      </c>
    </row>
    <row r="142" spans="4:25">
      <c r="D142" s="66" t="s">
        <v>121</v>
      </c>
    </row>
    <row r="143" spans="4:25">
      <c r="D143" s="66" t="s">
        <v>108</v>
      </c>
    </row>
    <row r="144" spans="4:25">
      <c r="D144" s="66"/>
    </row>
    <row r="145" spans="4:25" s="4" customFormat="1">
      <c r="D145" s="86" t="s">
        <v>387</v>
      </c>
      <c r="E145" s="4">
        <f>E127+E137</f>
        <v>29048</v>
      </c>
      <c r="F145" s="4">
        <f t="shared" ref="F145:Y145" si="98">F127+F137</f>
        <v>34651</v>
      </c>
      <c r="G145" s="4">
        <f t="shared" si="98"/>
        <v>35778</v>
      </c>
      <c r="H145" s="4">
        <f t="shared" si="98"/>
        <v>35878</v>
      </c>
      <c r="I145" s="4">
        <f t="shared" si="98"/>
        <v>31561</v>
      </c>
      <c r="J145" s="4">
        <f t="shared" si="98"/>
        <v>19750</v>
      </c>
      <c r="K145" s="4">
        <f t="shared" si="98"/>
        <v>25826</v>
      </c>
      <c r="L145" s="4">
        <f t="shared" si="98"/>
        <v>36279</v>
      </c>
      <c r="M145" s="4">
        <f t="shared" si="98"/>
        <v>16451</v>
      </c>
      <c r="N145" s="4">
        <f t="shared" si="98"/>
        <v>13273</v>
      </c>
      <c r="O145" s="4">
        <f t="shared" si="98"/>
        <v>61558</v>
      </c>
      <c r="P145" s="4">
        <f t="shared" si="98"/>
        <v>0</v>
      </c>
      <c r="Q145" s="4">
        <f t="shared" si="98"/>
        <v>0</v>
      </c>
      <c r="R145" s="4">
        <f t="shared" si="98"/>
        <v>0</v>
      </c>
      <c r="S145" s="4">
        <f t="shared" si="98"/>
        <v>0</v>
      </c>
      <c r="T145" s="4">
        <f t="shared" si="98"/>
        <v>0</v>
      </c>
      <c r="U145" s="4">
        <f t="shared" si="98"/>
        <v>0</v>
      </c>
      <c r="V145" s="4">
        <f t="shared" si="98"/>
        <v>0</v>
      </c>
      <c r="W145" s="4">
        <f t="shared" si="98"/>
        <v>0</v>
      </c>
      <c r="X145" s="4">
        <f t="shared" si="98"/>
        <v>0</v>
      </c>
      <c r="Y145" s="4">
        <f t="shared" si="98"/>
        <v>0</v>
      </c>
    </row>
    <row r="146" spans="4:25">
      <c r="D146" s="66"/>
    </row>
    <row r="147" spans="4:25">
      <c r="D147" s="85" t="s">
        <v>283</v>
      </c>
      <c r="E147" s="1" t="s">
        <v>216</v>
      </c>
      <c r="F147" s="1" t="s">
        <v>217</v>
      </c>
      <c r="G147" s="1" t="s">
        <v>218</v>
      </c>
      <c r="H147" s="1" t="s">
        <v>28</v>
      </c>
      <c r="I147" s="1" t="s">
        <v>17</v>
      </c>
      <c r="J147" s="1" t="s">
        <v>18</v>
      </c>
      <c r="K147" s="1" t="s">
        <v>19</v>
      </c>
      <c r="L147" s="1" t="s">
        <v>20</v>
      </c>
      <c r="M147" s="1" t="s">
        <v>21</v>
      </c>
      <c r="N147" s="1" t="s">
        <v>22</v>
      </c>
      <c r="O147" s="1" t="s">
        <v>23</v>
      </c>
      <c r="P147" s="1" t="s">
        <v>24</v>
      </c>
      <c r="Q147" s="1" t="s">
        <v>25</v>
      </c>
      <c r="R147" s="1" t="s">
        <v>26</v>
      </c>
      <c r="S147" s="1" t="s">
        <v>27</v>
      </c>
      <c r="T147" s="1"/>
      <c r="U147" s="1"/>
      <c r="V147" s="1"/>
      <c r="W147" s="1"/>
      <c r="X147" s="1"/>
      <c r="Y147" s="1"/>
    </row>
    <row r="148" spans="4:25">
      <c r="D148" s="66" t="s">
        <v>122</v>
      </c>
      <c r="L148">
        <v>-2898</v>
      </c>
    </row>
    <row r="149" spans="4:25">
      <c r="D149" s="66" t="s">
        <v>123</v>
      </c>
      <c r="H149">
        <v>-5601</v>
      </c>
      <c r="I149">
        <v>-4588</v>
      </c>
      <c r="J149">
        <v>-4818</v>
      </c>
      <c r="K149">
        <v>-1959</v>
      </c>
      <c r="L149">
        <v>-210</v>
      </c>
      <c r="M149">
        <v>-6390</v>
      </c>
      <c r="N149">
        <v>-16051</v>
      </c>
      <c r="O149">
        <v>-100153</v>
      </c>
    </row>
    <row r="150" spans="4:25">
      <c r="D150" s="66" t="s">
        <v>230</v>
      </c>
      <c r="E150">
        <v>-94</v>
      </c>
      <c r="F150">
        <v>-91</v>
      </c>
      <c r="G150">
        <v>-138</v>
      </c>
      <c r="H150">
        <v>-863</v>
      </c>
    </row>
    <row r="151" spans="4:25">
      <c r="D151" s="66" t="s">
        <v>124</v>
      </c>
      <c r="I151">
        <v>-1012</v>
      </c>
      <c r="O151">
        <v>-56889</v>
      </c>
    </row>
    <row r="152" spans="4:25">
      <c r="D152" s="66" t="s">
        <v>108</v>
      </c>
      <c r="E152">
        <v>-2346</v>
      </c>
      <c r="F152">
        <v>-5069</v>
      </c>
      <c r="G152">
        <v>-8537</v>
      </c>
      <c r="J152">
        <v>-679</v>
      </c>
      <c r="K152">
        <v>-913</v>
      </c>
      <c r="M152">
        <v>-1095</v>
      </c>
      <c r="N152">
        <v>-1051</v>
      </c>
      <c r="O152">
        <v>-1400</v>
      </c>
    </row>
    <row r="153" spans="4:25" s="4" customFormat="1">
      <c r="D153" s="86" t="s">
        <v>103</v>
      </c>
      <c r="E153" s="4">
        <f t="shared" ref="E153" si="99">SUM(E148:E152)</f>
        <v>-2440</v>
      </c>
      <c r="F153" s="4">
        <f t="shared" ref="F153" si="100">SUM(F148:F152)</f>
        <v>-5160</v>
      </c>
      <c r="G153" s="4">
        <f t="shared" ref="G153" si="101">SUM(G148:G152)</f>
        <v>-8675</v>
      </c>
      <c r="H153" s="4">
        <f t="shared" ref="H153:L153" si="102">SUM(H148:H152)</f>
        <v>-6464</v>
      </c>
      <c r="I153" s="4">
        <f t="shared" si="102"/>
        <v>-5600</v>
      </c>
      <c r="J153" s="4">
        <f t="shared" si="102"/>
        <v>-5497</v>
      </c>
      <c r="K153" s="4">
        <f t="shared" si="102"/>
        <v>-2872</v>
      </c>
      <c r="L153" s="4">
        <f t="shared" si="102"/>
        <v>-3108</v>
      </c>
      <c r="M153" s="4">
        <f>SUM(M148:M152)</f>
        <v>-7485</v>
      </c>
      <c r="N153" s="4">
        <f t="shared" ref="N153" si="103">SUM(N148:N152)</f>
        <v>-17102</v>
      </c>
      <c r="O153" s="4">
        <f t="shared" ref="O153" si="104">SUM(O148:O152)</f>
        <v>-158442</v>
      </c>
      <c r="P153" s="4">
        <f t="shared" ref="P153" si="105">SUM(P148:P152)</f>
        <v>0</v>
      </c>
      <c r="Q153" s="4">
        <f t="shared" ref="Q153" si="106">SUM(Q148:Q152)</f>
        <v>0</v>
      </c>
      <c r="R153" s="4">
        <f t="shared" ref="R153:S153" si="107">SUM(R148:R152)</f>
        <v>0</v>
      </c>
      <c r="S153" s="4">
        <f t="shared" si="107"/>
        <v>0</v>
      </c>
      <c r="T153" s="4">
        <f t="shared" ref="T153" si="108">SUM(T148:T152)</f>
        <v>0</v>
      </c>
      <c r="U153" s="4">
        <f t="shared" ref="U153" si="109">SUM(U148:U152)</f>
        <v>0</v>
      </c>
      <c r="V153" s="4">
        <f t="shared" ref="V153" si="110">SUM(V148:V152)</f>
        <v>0</v>
      </c>
      <c r="W153" s="4">
        <f t="shared" ref="W153" si="111">SUM(W148:W152)</f>
        <v>0</v>
      </c>
      <c r="X153" s="4">
        <f t="shared" ref="X153:Y153" si="112">SUM(X148:X152)</f>
        <v>0</v>
      </c>
      <c r="Y153" s="4">
        <f t="shared" si="112"/>
        <v>0</v>
      </c>
    </row>
    <row r="154" spans="4:25">
      <c r="D154" s="66"/>
    </row>
    <row r="155" spans="4:25">
      <c r="D155" s="85" t="s">
        <v>284</v>
      </c>
      <c r="E155" s="1" t="s">
        <v>216</v>
      </c>
      <c r="F155" s="1" t="s">
        <v>217</v>
      </c>
      <c r="G155" s="1" t="s">
        <v>218</v>
      </c>
      <c r="H155" s="1" t="s">
        <v>28</v>
      </c>
      <c r="I155" s="1" t="s">
        <v>17</v>
      </c>
      <c r="J155" s="1" t="s">
        <v>18</v>
      </c>
      <c r="K155" s="1" t="s">
        <v>19</v>
      </c>
      <c r="L155" s="1" t="s">
        <v>20</v>
      </c>
      <c r="M155" s="1" t="s">
        <v>21</v>
      </c>
      <c r="N155" s="1" t="s">
        <v>22</v>
      </c>
      <c r="O155" s="1" t="s">
        <v>23</v>
      </c>
      <c r="P155" s="1" t="s">
        <v>24</v>
      </c>
      <c r="Q155" s="1" t="s">
        <v>25</v>
      </c>
      <c r="R155" s="1" t="s">
        <v>26</v>
      </c>
      <c r="S155" s="1" t="s">
        <v>27</v>
      </c>
      <c r="T155" s="1"/>
      <c r="U155" s="1"/>
      <c r="V155" s="1"/>
      <c r="W155" s="1"/>
      <c r="X155" s="1"/>
      <c r="Y155" s="1"/>
    </row>
    <row r="156" spans="4:25">
      <c r="D156" s="86" t="s">
        <v>285</v>
      </c>
    </row>
    <row r="157" spans="4:25">
      <c r="D157" s="66" t="s">
        <v>286</v>
      </c>
      <c r="E157">
        <v>44600</v>
      </c>
      <c r="F157">
        <v>45728</v>
      </c>
      <c r="G157">
        <v>57586</v>
      </c>
      <c r="H157">
        <v>64511</v>
      </c>
      <c r="I157">
        <v>75770</v>
      </c>
      <c r="J157">
        <v>97642</v>
      </c>
      <c r="K157">
        <v>87537</v>
      </c>
      <c r="L157">
        <v>139300</v>
      </c>
      <c r="M157">
        <v>130348</v>
      </c>
      <c r="N157">
        <v>137850</v>
      </c>
      <c r="O157">
        <v>160151</v>
      </c>
    </row>
    <row r="158" spans="4:25">
      <c r="D158" s="66" t="s">
        <v>287</v>
      </c>
      <c r="E158">
        <v>-532</v>
      </c>
      <c r="F158">
        <v>-988</v>
      </c>
      <c r="G158">
        <v>591</v>
      </c>
      <c r="H158">
        <v>-7257</v>
      </c>
      <c r="I158">
        <v>-1107</v>
      </c>
      <c r="J158">
        <v>-2589</v>
      </c>
      <c r="K158">
        <v>1001</v>
      </c>
      <c r="L158">
        <v>-50</v>
      </c>
      <c r="M158">
        <v>-5078</v>
      </c>
      <c r="N158">
        <v>1358</v>
      </c>
      <c r="O158">
        <v>266</v>
      </c>
    </row>
    <row r="159" spans="4:25">
      <c r="D159" s="66" t="s">
        <v>288</v>
      </c>
      <c r="E159">
        <v>7848</v>
      </c>
      <c r="F159">
        <v>11678</v>
      </c>
      <c r="G159">
        <v>2225</v>
      </c>
      <c r="H159">
        <v>17016</v>
      </c>
      <c r="I159">
        <v>21023</v>
      </c>
      <c r="J159">
        <v>22193</v>
      </c>
      <c r="K159">
        <v>21897</v>
      </c>
      <c r="L159">
        <v>2401</v>
      </c>
    </row>
    <row r="160" spans="4:25">
      <c r="D160" s="66" t="s">
        <v>137</v>
      </c>
      <c r="E160">
        <v>-162</v>
      </c>
      <c r="F160">
        <v>-1954</v>
      </c>
      <c r="G160">
        <v>72</v>
      </c>
      <c r="H160">
        <v>319</v>
      </c>
    </row>
    <row r="161" spans="4:25">
      <c r="D161" s="66" t="s">
        <v>138</v>
      </c>
      <c r="O161">
        <v>8821</v>
      </c>
    </row>
    <row r="162" spans="4:25">
      <c r="D162" s="66"/>
      <c r="E162" s="4">
        <f t="shared" ref="E162" si="113">SUM(E157:E161)</f>
        <v>51754</v>
      </c>
      <c r="F162" s="4">
        <f t="shared" ref="F162" si="114">SUM(F157:F161)</f>
        <v>54464</v>
      </c>
      <c r="G162" s="4">
        <f t="shared" ref="G162" si="115">SUM(G157:G161)</f>
        <v>60474</v>
      </c>
      <c r="H162" s="4">
        <f t="shared" ref="H162" si="116">SUM(H157:H161)</f>
        <v>74589</v>
      </c>
      <c r="I162" s="4">
        <f t="shared" ref="I162" si="117">SUM(I157:I161)</f>
        <v>95686</v>
      </c>
      <c r="J162" s="4">
        <f t="shared" ref="J162" si="118">SUM(J157:J161)</f>
        <v>117246</v>
      </c>
      <c r="K162" s="4">
        <f t="shared" ref="K162" si="119">SUM(K157:K161)</f>
        <v>110435</v>
      </c>
      <c r="L162" s="4">
        <f t="shared" ref="L162" si="120">SUM(L157:L161)</f>
        <v>141651</v>
      </c>
      <c r="M162" s="4">
        <f t="shared" ref="M162" si="121">SUM(M157:M161)</f>
        <v>125270</v>
      </c>
      <c r="N162" s="4">
        <f t="shared" ref="N162" si="122">SUM(N157:N161)</f>
        <v>139208</v>
      </c>
      <c r="O162" s="4">
        <f t="shared" ref="O162" si="123">SUM(O157:O161)</f>
        <v>169238</v>
      </c>
      <c r="P162" s="4">
        <f t="shared" ref="P162" si="124">SUM(P157:P161)</f>
        <v>0</v>
      </c>
      <c r="Q162" s="4">
        <f t="shared" ref="Q162" si="125">SUM(Q157:Q161)</f>
        <v>0</v>
      </c>
      <c r="R162" s="4">
        <f t="shared" ref="R162" si="126">SUM(R157:R161)</f>
        <v>0</v>
      </c>
      <c r="S162" s="4">
        <f t="shared" ref="S162" si="127">SUM(S157:S161)</f>
        <v>0</v>
      </c>
      <c r="T162" s="4">
        <f t="shared" ref="T162" si="128">SUM(T157:T161)</f>
        <v>0</v>
      </c>
      <c r="U162" s="4">
        <f t="shared" ref="U162" si="129">SUM(U157:U161)</f>
        <v>0</v>
      </c>
      <c r="V162" s="4">
        <f t="shared" ref="V162" si="130">SUM(V157:V161)</f>
        <v>0</v>
      </c>
      <c r="W162" s="4">
        <f t="shared" ref="W162" si="131">SUM(W157:W161)</f>
        <v>0</v>
      </c>
      <c r="X162" s="4">
        <f t="shared" ref="X162" si="132">SUM(X157:X161)</f>
        <v>0</v>
      </c>
      <c r="Y162" s="4">
        <f t="shared" ref="Y162" si="133">SUM(Y157:Y161)</f>
        <v>0</v>
      </c>
    </row>
    <row r="163" spans="4:25">
      <c r="D163" s="86" t="s">
        <v>125</v>
      </c>
    </row>
    <row r="164" spans="4:25">
      <c r="D164" s="66" t="s">
        <v>286</v>
      </c>
      <c r="E164">
        <v>9432</v>
      </c>
      <c r="F164">
        <v>8680</v>
      </c>
      <c r="G164">
        <v>20343</v>
      </c>
      <c r="H164">
        <v>15382</v>
      </c>
      <c r="I164">
        <v>41822</v>
      </c>
      <c r="J164">
        <v>58765</v>
      </c>
      <c r="K164">
        <v>82642</v>
      </c>
      <c r="L164">
        <v>93152</v>
      </c>
      <c r="M164">
        <v>109060</v>
      </c>
      <c r="N164">
        <v>92426</v>
      </c>
      <c r="O164">
        <v>110653</v>
      </c>
    </row>
    <row r="165" spans="4:25">
      <c r="D165" s="66" t="s">
        <v>287</v>
      </c>
      <c r="E165">
        <v>-1246</v>
      </c>
      <c r="G165">
        <v>-597</v>
      </c>
      <c r="H165">
        <v>-2854</v>
      </c>
      <c r="I165">
        <v>1402</v>
      </c>
      <c r="J165">
        <v>-257</v>
      </c>
      <c r="K165">
        <v>-64</v>
      </c>
      <c r="L165">
        <v>-245</v>
      </c>
      <c r="M165">
        <v>331</v>
      </c>
      <c r="N165">
        <v>-14</v>
      </c>
      <c r="O165">
        <v>1</v>
      </c>
    </row>
    <row r="166" spans="4:25">
      <c r="D166" s="66" t="s">
        <v>289</v>
      </c>
      <c r="E166">
        <v>63</v>
      </c>
      <c r="F166">
        <v>126</v>
      </c>
      <c r="G166">
        <v>650</v>
      </c>
      <c r="H166">
        <v>250</v>
      </c>
      <c r="I166">
        <v>4715</v>
      </c>
      <c r="J166">
        <v>5340</v>
      </c>
      <c r="K166">
        <v>8545</v>
      </c>
      <c r="L166">
        <v>7566</v>
      </c>
      <c r="M166">
        <v>3810</v>
      </c>
      <c r="N166">
        <v>9286</v>
      </c>
      <c r="O166">
        <v>3344</v>
      </c>
    </row>
    <row r="167" spans="4:25">
      <c r="D167" s="66"/>
      <c r="E167" s="4">
        <f t="shared" ref="E167:O167" si="134">SUM(E164:E166)+E162</f>
        <v>60003</v>
      </c>
      <c r="F167" s="4">
        <f t="shared" si="134"/>
        <v>63270</v>
      </c>
      <c r="G167" s="4">
        <f t="shared" si="134"/>
        <v>80870</v>
      </c>
      <c r="H167" s="4">
        <f t="shared" si="134"/>
        <v>87367</v>
      </c>
      <c r="I167" s="4">
        <f t="shared" si="134"/>
        <v>143625</v>
      </c>
      <c r="J167" s="4">
        <f t="shared" si="134"/>
        <v>181094</v>
      </c>
      <c r="K167" s="4">
        <f t="shared" si="134"/>
        <v>201558</v>
      </c>
      <c r="L167" s="4">
        <f t="shared" si="134"/>
        <v>242124</v>
      </c>
      <c r="M167" s="4">
        <f t="shared" si="134"/>
        <v>238471</v>
      </c>
      <c r="N167" s="4">
        <f t="shared" si="134"/>
        <v>240906</v>
      </c>
      <c r="O167" s="4">
        <f t="shared" si="134"/>
        <v>283236</v>
      </c>
    </row>
    <row r="168" spans="4:25">
      <c r="D168" s="86" t="s">
        <v>126</v>
      </c>
    </row>
    <row r="169" spans="4:25">
      <c r="D169" s="66" t="s">
        <v>286</v>
      </c>
      <c r="E169">
        <v>6917</v>
      </c>
      <c r="F169">
        <v>4933</v>
      </c>
      <c r="G169">
        <v>5895</v>
      </c>
      <c r="H169">
        <v>4055</v>
      </c>
      <c r="I169">
        <v>2950</v>
      </c>
      <c r="J169">
        <v>-8921</v>
      </c>
      <c r="K169">
        <v>-8784</v>
      </c>
      <c r="L169">
        <v>-9323</v>
      </c>
      <c r="M169">
        <v>-13918</v>
      </c>
      <c r="N169">
        <v>28598</v>
      </c>
      <c r="O169">
        <v>-6547</v>
      </c>
    </row>
    <row r="170" spans="4:25">
      <c r="D170" s="66" t="s">
        <v>287</v>
      </c>
      <c r="E170">
        <v>-835</v>
      </c>
      <c r="F170">
        <v>-218</v>
      </c>
      <c r="G170">
        <v>-1573</v>
      </c>
      <c r="H170">
        <v>2517</v>
      </c>
      <c r="I170">
        <v>-603</v>
      </c>
      <c r="J170">
        <v>-529</v>
      </c>
      <c r="K170">
        <v>-1724</v>
      </c>
      <c r="L170">
        <v>-656</v>
      </c>
      <c r="M170">
        <v>3404</v>
      </c>
      <c r="N170">
        <v>-3746</v>
      </c>
      <c r="O170">
        <v>-1307</v>
      </c>
    </row>
    <row r="171" spans="4:25">
      <c r="D171" s="66" t="s">
        <v>290</v>
      </c>
      <c r="E171">
        <v>57</v>
      </c>
      <c r="H171">
        <v>-688</v>
      </c>
    </row>
    <row r="172" spans="4:25">
      <c r="D172" s="66" t="s">
        <v>137</v>
      </c>
      <c r="G172">
        <v>-1000</v>
      </c>
    </row>
    <row r="173" spans="4:25">
      <c r="D173" s="66"/>
    </row>
    <row r="174" spans="4:25">
      <c r="D174" s="86" t="s">
        <v>127</v>
      </c>
    </row>
    <row r="175" spans="4:25">
      <c r="D175" s="66" t="s">
        <v>286</v>
      </c>
      <c r="E175">
        <v>650</v>
      </c>
      <c r="F175">
        <v>2103</v>
      </c>
      <c r="G175">
        <v>1660</v>
      </c>
      <c r="H175">
        <v>10902</v>
      </c>
      <c r="I175">
        <v>3494</v>
      </c>
      <c r="J175">
        <v>4515</v>
      </c>
      <c r="K175">
        <v>-1455</v>
      </c>
      <c r="L175">
        <v>201</v>
      </c>
      <c r="M175">
        <v>1334</v>
      </c>
      <c r="N175">
        <v>1065</v>
      </c>
      <c r="O175">
        <v>11133</v>
      </c>
    </row>
    <row r="176" spans="4:25">
      <c r="D176" s="66" t="s">
        <v>287</v>
      </c>
      <c r="E176">
        <v>-2251</v>
      </c>
      <c r="G176">
        <v>17</v>
      </c>
      <c r="I176">
        <v>-1243</v>
      </c>
      <c r="J176">
        <v>-38</v>
      </c>
      <c r="K176">
        <v>-169</v>
      </c>
      <c r="L176">
        <v>-33</v>
      </c>
      <c r="M176">
        <v>-451</v>
      </c>
      <c r="N176">
        <v>-5</v>
      </c>
    </row>
    <row r="177" spans="4:25">
      <c r="D177" s="66" t="s">
        <v>291</v>
      </c>
      <c r="J177">
        <v>-606</v>
      </c>
      <c r="L177">
        <v>2</v>
      </c>
      <c r="M177">
        <v>-705</v>
      </c>
    </row>
    <row r="178" spans="4:25">
      <c r="D178" s="66"/>
      <c r="E178" s="4">
        <f t="shared" ref="E178:Y178" si="135">SUM(E175:E177)+SUM(E169:E172)+E167</f>
        <v>64541</v>
      </c>
      <c r="F178" s="4">
        <f t="shared" si="135"/>
        <v>70088</v>
      </c>
      <c r="G178" s="4">
        <f t="shared" si="135"/>
        <v>85869</v>
      </c>
      <c r="H178" s="4">
        <f t="shared" si="135"/>
        <v>104153</v>
      </c>
      <c r="I178" s="4">
        <f t="shared" si="135"/>
        <v>148223</v>
      </c>
      <c r="J178" s="4">
        <f t="shared" si="135"/>
        <v>175515</v>
      </c>
      <c r="K178" s="4">
        <f t="shared" si="135"/>
        <v>189426</v>
      </c>
      <c r="L178" s="4">
        <f t="shared" si="135"/>
        <v>232315</v>
      </c>
      <c r="M178" s="4">
        <f t="shared" si="135"/>
        <v>228135</v>
      </c>
      <c r="N178" s="4">
        <f t="shared" si="135"/>
        <v>266818</v>
      </c>
      <c r="O178" s="4">
        <f t="shared" si="135"/>
        <v>286515</v>
      </c>
      <c r="P178" s="4">
        <f t="shared" si="135"/>
        <v>0</v>
      </c>
      <c r="Q178" s="4">
        <f t="shared" si="135"/>
        <v>0</v>
      </c>
      <c r="R178" s="4">
        <f t="shared" si="135"/>
        <v>0</v>
      </c>
      <c r="S178" s="4">
        <f t="shared" si="135"/>
        <v>0</v>
      </c>
      <c r="T178" s="4">
        <f t="shared" si="135"/>
        <v>0</v>
      </c>
      <c r="U178" s="4">
        <f t="shared" si="135"/>
        <v>0</v>
      </c>
      <c r="V178" s="4">
        <f t="shared" si="135"/>
        <v>0</v>
      </c>
      <c r="W178" s="4">
        <f t="shared" si="135"/>
        <v>0</v>
      </c>
      <c r="X178" s="4">
        <f t="shared" si="135"/>
        <v>0</v>
      </c>
      <c r="Y178" s="4">
        <f t="shared" si="135"/>
        <v>0</v>
      </c>
    </row>
    <row r="179" spans="4:25" s="4" customFormat="1">
      <c r="D179" s="86" t="s">
        <v>292</v>
      </c>
    </row>
    <row r="180" spans="4:25">
      <c r="D180" s="66"/>
    </row>
    <row r="181" spans="4:25">
      <c r="D181" s="86" t="s">
        <v>128</v>
      </c>
    </row>
    <row r="182" spans="4:25">
      <c r="D182" s="66" t="s">
        <v>129</v>
      </c>
      <c r="E182" s="27">
        <v>0.36</v>
      </c>
      <c r="F182" s="28">
        <v>0.33900000000000002</v>
      </c>
      <c r="G182" s="28">
        <v>0.32200000000000001</v>
      </c>
      <c r="H182" s="12">
        <v>0.29099999999999998</v>
      </c>
      <c r="I182" s="12">
        <v>0.32500000000000001</v>
      </c>
      <c r="J182" s="12">
        <v>0.36599999999999999</v>
      </c>
      <c r="K182" s="12">
        <v>0.35399999999999998</v>
      </c>
      <c r="L182" s="12">
        <v>0.33400000000000002</v>
      </c>
      <c r="M182" s="12">
        <v>0.30299999999999999</v>
      </c>
      <c r="N182" s="12">
        <v>0.30499999999999999</v>
      </c>
      <c r="O182" s="12">
        <v>0.309</v>
      </c>
      <c r="P182" s="12"/>
      <c r="Q182" s="12"/>
      <c r="R182" s="12"/>
      <c r="S182" s="12"/>
      <c r="T182" s="12"/>
      <c r="U182" s="12"/>
      <c r="V182" s="12"/>
      <c r="W182" s="12"/>
      <c r="X182" s="12"/>
      <c r="Y182" s="12"/>
    </row>
    <row r="183" spans="4:25">
      <c r="D183" s="66" t="s">
        <v>130</v>
      </c>
      <c r="H183" s="12"/>
      <c r="I183" s="12"/>
      <c r="J183" s="12"/>
      <c r="K183" s="12"/>
      <c r="L183" s="12"/>
      <c r="M183" s="12"/>
      <c r="N183" s="12"/>
      <c r="O183" s="12"/>
      <c r="P183" s="12"/>
      <c r="Q183" s="12"/>
      <c r="R183" s="12"/>
      <c r="S183" s="12"/>
      <c r="T183" s="12"/>
      <c r="U183" s="12"/>
      <c r="V183" s="12"/>
      <c r="W183" s="12"/>
      <c r="X183" s="12"/>
      <c r="Y183" s="12"/>
    </row>
    <row r="184" spans="4:25">
      <c r="D184" s="66" t="s">
        <v>131</v>
      </c>
      <c r="F184" s="28">
        <v>8.9999999999999993E-3</v>
      </c>
      <c r="G184" s="28">
        <v>1.7000000000000001E-2</v>
      </c>
      <c r="H184" s="12">
        <v>1.4999999999999999E-2</v>
      </c>
      <c r="I184" s="12">
        <v>1.0999999999999999E-2</v>
      </c>
      <c r="J184" s="12">
        <v>8.0000000000000002E-3</v>
      </c>
      <c r="K184" s="12">
        <v>7.0000000000000001E-3</v>
      </c>
      <c r="L184" s="12">
        <v>1.0999999999999999E-2</v>
      </c>
      <c r="M184" s="12">
        <v>1.2999999999999999E-2</v>
      </c>
      <c r="N184" s="12">
        <v>8.9999999999999993E-3</v>
      </c>
      <c r="O184" s="12">
        <v>6.0000000000000001E-3</v>
      </c>
      <c r="P184" s="12"/>
      <c r="Q184" s="12"/>
      <c r="R184" s="12"/>
      <c r="S184" s="12"/>
      <c r="T184" s="12"/>
      <c r="U184" s="12"/>
      <c r="V184" s="12"/>
      <c r="W184" s="12"/>
      <c r="X184" s="12"/>
      <c r="Y184" s="12"/>
    </row>
    <row r="185" spans="4:25">
      <c r="D185" s="66" t="s">
        <v>132</v>
      </c>
      <c r="E185" s="28">
        <v>1E-3</v>
      </c>
      <c r="F185" s="29">
        <v>0.01</v>
      </c>
      <c r="G185" s="28">
        <v>2E-3</v>
      </c>
      <c r="H185" s="12">
        <v>3.0000000000000001E-3</v>
      </c>
      <c r="I185" s="12">
        <v>4.0000000000000001E-3</v>
      </c>
      <c r="J185" s="12">
        <v>-3.0000000000000001E-3</v>
      </c>
      <c r="K185" s="12">
        <v>1E-3</v>
      </c>
      <c r="L185" s="12">
        <v>1E-3</v>
      </c>
      <c r="M185" s="12">
        <v>-0.1</v>
      </c>
      <c r="N185" s="12">
        <v>-1E-3</v>
      </c>
      <c r="O185" s="12">
        <v>1E-3</v>
      </c>
      <c r="P185" s="12"/>
      <c r="Q185" s="12"/>
      <c r="R185" s="12"/>
      <c r="S185" s="12"/>
      <c r="T185" s="12"/>
      <c r="U185" s="12"/>
      <c r="V185" s="12"/>
      <c r="W185" s="12"/>
      <c r="X185" s="12"/>
      <c r="Y185" s="12"/>
    </row>
    <row r="186" spans="4:25">
      <c r="D186" s="66" t="s">
        <v>221</v>
      </c>
      <c r="E186" s="28">
        <v>-4.3999999999999997E-2</v>
      </c>
      <c r="F186" s="28">
        <v>-5.6000000000000001E-2</v>
      </c>
      <c r="G186" s="28">
        <v>-8.0000000000000002E-3</v>
      </c>
      <c r="H186" s="12">
        <v>-4.7E-2</v>
      </c>
      <c r="I186" s="12">
        <v>-4.5999999999999999E-2</v>
      </c>
      <c r="J186" s="12">
        <v>-4.5999999999999999E-2</v>
      </c>
      <c r="K186" s="12">
        <v>-4.1000000000000002E-2</v>
      </c>
      <c r="L186" s="12">
        <v>-3.0000000000000001E-3</v>
      </c>
      <c r="M186" s="12"/>
      <c r="N186" s="12"/>
      <c r="O186" s="12"/>
      <c r="P186" s="12"/>
      <c r="Q186" s="12"/>
      <c r="R186" s="12"/>
      <c r="S186" s="12"/>
      <c r="T186" s="12"/>
      <c r="U186" s="12"/>
      <c r="V186" s="12"/>
      <c r="W186" s="12"/>
      <c r="X186" s="12"/>
      <c r="Y186" s="12"/>
    </row>
    <row r="187" spans="4:25">
      <c r="D187" s="66" t="s">
        <v>133</v>
      </c>
      <c r="E187" s="28">
        <v>2.7E-2</v>
      </c>
      <c r="F187" s="28">
        <v>6.0000000000000001E-3</v>
      </c>
      <c r="G187" s="28">
        <v>6.0000000000000001E-3</v>
      </c>
      <c r="H187" s="12">
        <v>2.1000000000000001E-2</v>
      </c>
      <c r="I187" s="12">
        <v>3.0000000000000001E-3</v>
      </c>
      <c r="J187" s="12">
        <v>7.0000000000000001E-3</v>
      </c>
      <c r="K187" s="12">
        <v>2E-3</v>
      </c>
      <c r="L187" s="12">
        <v>1E-3</v>
      </c>
      <c r="M187" s="12">
        <v>2E-3</v>
      </c>
      <c r="N187" s="12">
        <v>3.0000000000000001E-3</v>
      </c>
      <c r="O187" s="12">
        <v>1E-3</v>
      </c>
      <c r="P187" s="12"/>
      <c r="Q187" s="12"/>
      <c r="R187" s="12"/>
      <c r="S187" s="12"/>
      <c r="T187" s="12"/>
      <c r="U187" s="12"/>
      <c r="V187" s="12"/>
      <c r="W187" s="12"/>
      <c r="X187" s="12"/>
      <c r="Y187" s="12"/>
    </row>
    <row r="188" spans="4:25">
      <c r="D188" s="66" t="s">
        <v>231</v>
      </c>
      <c r="H188" s="12">
        <v>2E-3</v>
      </c>
      <c r="I188" s="12"/>
      <c r="J188" s="12"/>
      <c r="K188" s="12"/>
      <c r="L188" s="12"/>
      <c r="M188" s="12"/>
      <c r="N188" s="12"/>
      <c r="O188" s="12"/>
      <c r="P188" s="12"/>
      <c r="Q188" s="12"/>
      <c r="R188" s="12"/>
      <c r="S188" s="12"/>
      <c r="T188" s="12"/>
      <c r="U188" s="12"/>
      <c r="V188" s="12"/>
      <c r="W188" s="12"/>
      <c r="X188" s="12"/>
      <c r="Y188" s="12"/>
    </row>
    <row r="189" spans="4:25">
      <c r="D189" s="66" t="s">
        <v>134</v>
      </c>
      <c r="F189" s="28">
        <v>-3.0000000000000001E-3</v>
      </c>
      <c r="G189" s="28">
        <v>-2.5999999999999999E-2</v>
      </c>
      <c r="H189" s="12">
        <v>1E-3</v>
      </c>
      <c r="I189" s="12"/>
      <c r="J189" s="12"/>
      <c r="K189" s="12"/>
      <c r="L189" s="12"/>
      <c r="M189" s="12">
        <v>1E-3</v>
      </c>
      <c r="N189" s="12"/>
      <c r="O189" s="12">
        <v>1E-3</v>
      </c>
      <c r="P189" s="12"/>
      <c r="Q189" s="12"/>
      <c r="R189" s="12"/>
      <c r="S189" s="12"/>
      <c r="T189" s="12"/>
      <c r="U189" s="12"/>
      <c r="V189" s="12"/>
      <c r="W189" s="12"/>
      <c r="X189" s="12"/>
      <c r="Y189" s="12"/>
    </row>
    <row r="190" spans="4:25">
      <c r="D190" s="66" t="s">
        <v>135</v>
      </c>
      <c r="E190" s="28">
        <v>-1.9E-2</v>
      </c>
      <c r="F190" s="28">
        <v>-1.6E-2</v>
      </c>
      <c r="H190" s="12">
        <v>-1E-3</v>
      </c>
      <c r="I190" s="12">
        <v>-1.7000000000000001E-2</v>
      </c>
      <c r="J190" s="12">
        <v>-3.3000000000000002E-2</v>
      </c>
      <c r="K190" s="12">
        <v>-3.5999999999999997E-2</v>
      </c>
      <c r="L190" s="12">
        <v>-3.7999999999999999E-2</v>
      </c>
      <c r="M190" s="12">
        <v>-3.9E-2</v>
      </c>
      <c r="N190" s="12">
        <v>-3.3000000000000002E-2</v>
      </c>
      <c r="O190" s="12">
        <v>-4.3999999999999997E-2</v>
      </c>
      <c r="P190" s="12"/>
      <c r="Q190" s="12"/>
      <c r="R190" s="12"/>
      <c r="S190" s="12"/>
      <c r="T190" s="12"/>
      <c r="U190" s="12"/>
      <c r="V190" s="12"/>
      <c r="W190" s="12"/>
      <c r="X190" s="12"/>
      <c r="Y190" s="12"/>
    </row>
    <row r="191" spans="4:25">
      <c r="D191" s="66" t="s">
        <v>136</v>
      </c>
      <c r="H191" s="12"/>
      <c r="I191" s="12"/>
      <c r="J191" s="12"/>
      <c r="K191" s="12"/>
      <c r="L191" s="12"/>
      <c r="M191" s="12">
        <v>1.0999999999999999E-2</v>
      </c>
      <c r="N191" s="12">
        <v>7.0000000000000001E-3</v>
      </c>
      <c r="O191" s="12">
        <v>7.0000000000000001E-3</v>
      </c>
      <c r="P191" s="12"/>
      <c r="Q191" s="12"/>
      <c r="R191" s="12"/>
      <c r="S191" s="12"/>
      <c r="T191" s="12"/>
      <c r="U191" s="12"/>
      <c r="V191" s="12"/>
      <c r="W191" s="12"/>
      <c r="X191" s="12"/>
      <c r="Y191" s="12"/>
    </row>
    <row r="192" spans="4:25">
      <c r="D192" s="66" t="s">
        <v>137</v>
      </c>
      <c r="E192" s="28">
        <v>-4.3999999999999997E-2</v>
      </c>
      <c r="F192" s="28">
        <v>1E-3</v>
      </c>
      <c r="G192" s="28">
        <v>6.0000000000000001E-3</v>
      </c>
      <c r="H192" s="12">
        <v>8.0000000000000002E-3</v>
      </c>
      <c r="I192" s="12">
        <v>7.0000000000000001E-3</v>
      </c>
      <c r="J192" s="12">
        <v>-1.2E-2</v>
      </c>
      <c r="K192" s="12"/>
      <c r="L192" s="12">
        <v>-1.9E-2</v>
      </c>
      <c r="M192" s="12"/>
      <c r="N192" s="12"/>
      <c r="O192" s="12">
        <v>6.0000000000000001E-3</v>
      </c>
      <c r="P192" s="12"/>
      <c r="Q192" s="12"/>
      <c r="R192" s="12"/>
      <c r="S192" s="12"/>
      <c r="T192" s="12"/>
      <c r="U192" s="12"/>
      <c r="V192" s="12"/>
      <c r="W192" s="12"/>
      <c r="X192" s="12"/>
      <c r="Y192" s="12"/>
    </row>
    <row r="193" spans="4:25">
      <c r="D193" s="66" t="s">
        <v>138</v>
      </c>
      <c r="H193" s="12"/>
      <c r="I193" s="12">
        <v>-7.0000000000000001E-3</v>
      </c>
      <c r="J193" s="12">
        <v>-8.0000000000000002E-3</v>
      </c>
      <c r="K193" s="12"/>
      <c r="L193" s="12"/>
      <c r="M193" s="12"/>
      <c r="N193" s="12"/>
      <c r="O193" s="12">
        <v>-8.9999999999999993E-3</v>
      </c>
      <c r="P193" s="12"/>
      <c r="Q193" s="12"/>
      <c r="R193" s="12"/>
      <c r="S193" s="12"/>
      <c r="T193" s="12"/>
      <c r="U193" s="12"/>
      <c r="V193" s="12"/>
      <c r="W193" s="12"/>
      <c r="X193" s="12"/>
      <c r="Y193" s="12"/>
    </row>
    <row r="194" spans="4:25">
      <c r="D194" s="66" t="s">
        <v>139</v>
      </c>
      <c r="G194" s="28">
        <v>-2.9000000000000001E-2</v>
      </c>
      <c r="H194" s="12">
        <v>-1.2999999999999999E-2</v>
      </c>
      <c r="I194" s="12"/>
      <c r="J194" s="12"/>
      <c r="K194" s="12"/>
      <c r="L194" s="12">
        <v>-7.0000000000000001E-3</v>
      </c>
      <c r="M194" s="12">
        <v>-1E-3</v>
      </c>
      <c r="N194" s="12">
        <v>-1E-3</v>
      </c>
      <c r="O194" s="12">
        <v>2E-3</v>
      </c>
      <c r="P194" s="12"/>
      <c r="Q194" s="12"/>
      <c r="R194" s="12"/>
      <c r="S194" s="12"/>
      <c r="T194" s="12"/>
      <c r="U194" s="12"/>
      <c r="V194" s="12"/>
      <c r="W194" s="12"/>
      <c r="X194" s="12"/>
      <c r="Y194" s="12"/>
    </row>
    <row r="195" spans="4:25">
      <c r="D195" s="66"/>
      <c r="H195" s="12"/>
      <c r="I195" s="12"/>
      <c r="J195" s="12"/>
      <c r="K195" s="12"/>
      <c r="L195" s="12"/>
      <c r="M195" s="12"/>
      <c r="N195" s="12">
        <f>SUM(N184:N194)</f>
        <v>-1.6000000000000004E-2</v>
      </c>
      <c r="O195" s="12">
        <f>SUM(O184:O194)</f>
        <v>-2.8999999999999998E-2</v>
      </c>
      <c r="P195" s="12"/>
      <c r="Q195" s="12"/>
      <c r="R195" s="12"/>
      <c r="S195" s="12"/>
      <c r="T195" s="12"/>
      <c r="U195" s="12"/>
      <c r="V195" s="12"/>
      <c r="W195" s="12"/>
      <c r="X195" s="12"/>
      <c r="Y195" s="12"/>
    </row>
    <row r="196" spans="4:25">
      <c r="D196" s="66" t="s">
        <v>140</v>
      </c>
      <c r="E196" s="29">
        <v>0.28999999999999998</v>
      </c>
      <c r="F196" s="29">
        <v>0.28999999999999998</v>
      </c>
      <c r="G196" s="29">
        <v>0.28999999999999998</v>
      </c>
      <c r="H196" s="12">
        <v>0.28000000000000003</v>
      </c>
      <c r="I196" s="12">
        <v>0.28000000000000003</v>
      </c>
      <c r="J196" s="12">
        <v>0.28000000000000003</v>
      </c>
      <c r="K196" s="12">
        <v>0.28000000000000003</v>
      </c>
      <c r="L196" s="12">
        <v>0.28000000000000003</v>
      </c>
      <c r="M196" s="12">
        <v>0.28000000000000003</v>
      </c>
      <c r="N196" s="12">
        <v>0.28000000000000003</v>
      </c>
      <c r="O196" s="12">
        <v>0.28000000000000003</v>
      </c>
      <c r="P196" s="12"/>
      <c r="Q196" s="12"/>
      <c r="R196" s="12"/>
      <c r="S196" s="12"/>
      <c r="T196" s="12"/>
      <c r="U196" s="12"/>
      <c r="V196" s="12"/>
      <c r="W196" s="12"/>
      <c r="X196" s="12"/>
      <c r="Y196" s="12"/>
    </row>
    <row r="197" spans="4:25">
      <c r="D197" s="66"/>
    </row>
    <row r="198" spans="4:25">
      <c r="D198" s="86" t="s">
        <v>141</v>
      </c>
    </row>
    <row r="199" spans="4:25">
      <c r="D199" s="66" t="s">
        <v>142</v>
      </c>
      <c r="E199">
        <v>16304</v>
      </c>
      <c r="F199">
        <v>10074</v>
      </c>
      <c r="G199">
        <v>5377</v>
      </c>
      <c r="J199">
        <v>2135</v>
      </c>
      <c r="K199">
        <v>7877</v>
      </c>
      <c r="L199">
        <v>9257</v>
      </c>
      <c r="M199">
        <v>13891</v>
      </c>
      <c r="N199">
        <v>41592</v>
      </c>
      <c r="O199">
        <v>67765</v>
      </c>
    </row>
    <row r="200" spans="4:25">
      <c r="D200" s="66" t="s">
        <v>143</v>
      </c>
      <c r="E200">
        <v>32305</v>
      </c>
      <c r="F200">
        <v>22153</v>
      </c>
      <c r="G200">
        <v>21251</v>
      </c>
      <c r="H200">
        <v>17396</v>
      </c>
      <c r="I200">
        <v>23759</v>
      </c>
      <c r="J200">
        <v>28407</v>
      </c>
      <c r="K200">
        <v>39387</v>
      </c>
      <c r="L200">
        <v>39013</v>
      </c>
      <c r="M200">
        <v>24960</v>
      </c>
      <c r="N200">
        <v>40418</v>
      </c>
      <c r="O200">
        <v>43019</v>
      </c>
    </row>
    <row r="201" spans="4:25" s="4" customFormat="1">
      <c r="D201" s="86" t="s">
        <v>103</v>
      </c>
      <c r="E201" s="4">
        <f t="shared" ref="E201:K201" si="136">E200+E199</f>
        <v>48609</v>
      </c>
      <c r="F201" s="4">
        <f t="shared" si="136"/>
        <v>32227</v>
      </c>
      <c r="G201" s="4">
        <f t="shared" si="136"/>
        <v>26628</v>
      </c>
      <c r="H201" s="4">
        <f t="shared" si="136"/>
        <v>17396</v>
      </c>
      <c r="I201" s="4">
        <f t="shared" si="136"/>
        <v>23759</v>
      </c>
      <c r="J201" s="4">
        <f t="shared" si="136"/>
        <v>30542</v>
      </c>
      <c r="K201" s="4">
        <f t="shared" si="136"/>
        <v>47264</v>
      </c>
      <c r="L201" s="4">
        <f>L200+L199</f>
        <v>48270</v>
      </c>
      <c r="M201" s="4">
        <f t="shared" ref="M201" si="137">M200+M199</f>
        <v>38851</v>
      </c>
      <c r="N201" s="4">
        <f t="shared" ref="N201" si="138">N200+N199</f>
        <v>82010</v>
      </c>
      <c r="O201" s="4">
        <f t="shared" ref="O201" si="139">O200+O199</f>
        <v>110784</v>
      </c>
      <c r="P201" s="4">
        <f t="shared" ref="P201" si="140">P200+P199</f>
        <v>0</v>
      </c>
      <c r="Q201" s="4">
        <f t="shared" ref="Q201" si="141">Q200+Q199</f>
        <v>0</v>
      </c>
    </row>
    <row r="202" spans="4:25">
      <c r="D202" s="66" t="s">
        <v>144</v>
      </c>
    </row>
    <row r="203" spans="4:25">
      <c r="D203" s="66" t="s">
        <v>145</v>
      </c>
      <c r="E203">
        <v>16026</v>
      </c>
      <c r="F203">
        <v>10668</v>
      </c>
      <c r="G203">
        <v>8995</v>
      </c>
      <c r="H203">
        <v>6089</v>
      </c>
      <c r="I203">
        <v>8316</v>
      </c>
      <c r="J203">
        <v>10147</v>
      </c>
      <c r="K203">
        <v>15420</v>
      </c>
      <c r="L203">
        <v>15537</v>
      </c>
      <c r="M203">
        <v>12376</v>
      </c>
      <c r="N203">
        <v>24984</v>
      </c>
      <c r="O203">
        <v>33170</v>
      </c>
    </row>
    <row r="204" spans="4:25">
      <c r="D204" s="66" t="s">
        <v>146</v>
      </c>
      <c r="E204">
        <v>6650</v>
      </c>
      <c r="F204">
        <v>3532</v>
      </c>
      <c r="G204">
        <v>6580</v>
      </c>
      <c r="H204">
        <v>4800</v>
      </c>
      <c r="I204">
        <v>1792</v>
      </c>
      <c r="J204">
        <v>3251</v>
      </c>
      <c r="K204">
        <v>2335</v>
      </c>
      <c r="L204">
        <v>1395</v>
      </c>
      <c r="M204">
        <v>2088</v>
      </c>
      <c r="N204">
        <v>2904</v>
      </c>
      <c r="O204">
        <v>1839</v>
      </c>
    </row>
    <row r="205" spans="4:25">
      <c r="D205" s="66"/>
    </row>
    <row r="206" spans="4:25">
      <c r="D206" s="66"/>
    </row>
    <row r="207" spans="4:25">
      <c r="D207" s="66"/>
    </row>
    <row r="208" spans="4:25">
      <c r="D208" s="66"/>
    </row>
    <row r="209" spans="4:25">
      <c r="D209" s="66"/>
    </row>
    <row r="210" spans="4:25">
      <c r="D210" s="85" t="s">
        <v>293</v>
      </c>
      <c r="E210" s="1" t="s">
        <v>216</v>
      </c>
      <c r="F210" s="1" t="s">
        <v>217</v>
      </c>
      <c r="G210" s="1" t="s">
        <v>218</v>
      </c>
      <c r="H210" s="1" t="s">
        <v>28</v>
      </c>
      <c r="I210" s="1" t="s">
        <v>17</v>
      </c>
      <c r="J210" s="1" t="s">
        <v>18</v>
      </c>
      <c r="K210" s="1" t="s">
        <v>19</v>
      </c>
      <c r="L210" s="1" t="s">
        <v>20</v>
      </c>
      <c r="M210" s="1" t="s">
        <v>21</v>
      </c>
      <c r="N210" s="1" t="s">
        <v>22</v>
      </c>
      <c r="O210" s="1" t="s">
        <v>23</v>
      </c>
      <c r="P210" s="1" t="s">
        <v>24</v>
      </c>
      <c r="Q210" s="1" t="s">
        <v>25</v>
      </c>
      <c r="R210" s="1" t="s">
        <v>26</v>
      </c>
      <c r="S210" s="1" t="s">
        <v>27</v>
      </c>
      <c r="T210" s="1"/>
      <c r="U210" s="1"/>
      <c r="V210" s="1"/>
      <c r="W210" s="1"/>
      <c r="X210" s="1"/>
      <c r="Y210" s="1"/>
    </row>
    <row r="211" spans="4:25">
      <c r="D211" s="86" t="s">
        <v>294</v>
      </c>
      <c r="E211" s="4"/>
      <c r="F211" s="4"/>
      <c r="G211" s="4"/>
    </row>
    <row r="212" spans="4:25">
      <c r="D212" s="66" t="s">
        <v>147</v>
      </c>
      <c r="E212">
        <v>111524814</v>
      </c>
      <c r="F212">
        <v>113099399</v>
      </c>
      <c r="G212">
        <v>116795584</v>
      </c>
      <c r="H212">
        <v>117610425</v>
      </c>
      <c r="I212">
        <v>118386396</v>
      </c>
      <c r="J212">
        <v>118894880</v>
      </c>
      <c r="K212">
        <v>119157508</v>
      </c>
      <c r="L212">
        <v>119331836</v>
      </c>
      <c r="M212">
        <v>119451349</v>
      </c>
      <c r="N212">
        <v>119525960</v>
      </c>
      <c r="O212">
        <v>120226586</v>
      </c>
    </row>
    <row r="213" spans="4:25">
      <c r="D213" s="66" t="s">
        <v>148</v>
      </c>
      <c r="N213">
        <v>2877790</v>
      </c>
      <c r="O213">
        <v>2774917</v>
      </c>
    </row>
    <row r="214" spans="4:25">
      <c r="D214" s="66" t="s">
        <v>149</v>
      </c>
    </row>
    <row r="215" spans="4:25">
      <c r="D215" s="66" t="s">
        <v>232</v>
      </c>
      <c r="G215">
        <v>-14380465</v>
      </c>
      <c r="H215">
        <v>-14364122</v>
      </c>
      <c r="I215">
        <v>-14236739</v>
      </c>
      <c r="J215">
        <v>-14204722</v>
      </c>
      <c r="K215">
        <v>-14178539</v>
      </c>
      <c r="L215">
        <v>-14121277</v>
      </c>
      <c r="M215">
        <v>-14038527</v>
      </c>
      <c r="N215">
        <v>-14014670</v>
      </c>
      <c r="O215">
        <v>-13885458</v>
      </c>
    </row>
    <row r="216" spans="4:25">
      <c r="D216" s="66" t="s">
        <v>150</v>
      </c>
      <c r="G216">
        <v>-1541894</v>
      </c>
      <c r="H216">
        <v>-4514014</v>
      </c>
      <c r="I216">
        <v>-5094350</v>
      </c>
      <c r="J216">
        <v>-5094350</v>
      </c>
      <c r="K216">
        <v>-5094350</v>
      </c>
      <c r="L216">
        <v>-5094350</v>
      </c>
      <c r="M216">
        <v>-5094350</v>
      </c>
      <c r="N216">
        <v>-5094350</v>
      </c>
      <c r="O216">
        <v>-5094350</v>
      </c>
    </row>
    <row r="217" spans="4:25">
      <c r="D217" s="66" t="s">
        <v>151</v>
      </c>
      <c r="G217">
        <v>-7500</v>
      </c>
      <c r="H217">
        <v>-11000</v>
      </c>
      <c r="I217">
        <v>-14250</v>
      </c>
      <c r="J217">
        <v>-16086</v>
      </c>
      <c r="K217">
        <v>-16500</v>
      </c>
      <c r="L217">
        <v>-16500</v>
      </c>
      <c r="M217">
        <v>-16500</v>
      </c>
      <c r="N217">
        <v>-16500</v>
      </c>
      <c r="O217">
        <v>-16500</v>
      </c>
    </row>
    <row r="218" spans="4:25" s="4" customFormat="1">
      <c r="D218" s="86" t="s">
        <v>152</v>
      </c>
      <c r="E218" s="4">
        <f t="shared" ref="E218" si="142">SUM(E212:E217)</f>
        <v>111524814</v>
      </c>
      <c r="F218" s="4">
        <f t="shared" ref="F218" si="143">SUM(F212:F217)</f>
        <v>113099399</v>
      </c>
      <c r="G218" s="4">
        <f t="shared" ref="G218" si="144">SUM(G212:G217)</f>
        <v>100865725</v>
      </c>
      <c r="H218" s="4">
        <f t="shared" ref="H218" si="145">SUM(H212:H217)</f>
        <v>98721289</v>
      </c>
      <c r="I218" s="4">
        <f t="shared" ref="I218" si="146">SUM(I212:I217)</f>
        <v>99041057</v>
      </c>
      <c r="J218" s="4">
        <f t="shared" ref="J218" si="147">SUM(J212:J217)</f>
        <v>99579722</v>
      </c>
      <c r="K218" s="4">
        <f t="shared" ref="K218" si="148">SUM(K212:K217)</f>
        <v>99868119</v>
      </c>
      <c r="L218" s="4">
        <f t="shared" ref="L218:M218" si="149">SUM(L212:L217)</f>
        <v>100099709</v>
      </c>
      <c r="M218" s="4">
        <f t="shared" si="149"/>
        <v>100301972</v>
      </c>
      <c r="N218" s="4">
        <f>SUM(N212:N217)</f>
        <v>103278230</v>
      </c>
      <c r="O218" s="4">
        <f>SUM(O212:O217)</f>
        <v>104005195</v>
      </c>
      <c r="P218" s="4">
        <f t="shared" ref="P218:Y218" si="150">SUM(P212:P217)</f>
        <v>0</v>
      </c>
      <c r="Q218" s="4">
        <f t="shared" si="150"/>
        <v>0</v>
      </c>
      <c r="R218" s="4">
        <f t="shared" si="150"/>
        <v>0</v>
      </c>
      <c r="S218" s="4">
        <f t="shared" si="150"/>
        <v>0</v>
      </c>
      <c r="T218" s="4">
        <f t="shared" si="150"/>
        <v>0</v>
      </c>
      <c r="U218" s="4">
        <f t="shared" si="150"/>
        <v>0</v>
      </c>
      <c r="V218" s="4">
        <f t="shared" si="150"/>
        <v>0</v>
      </c>
      <c r="W218" s="4">
        <f t="shared" si="150"/>
        <v>0</v>
      </c>
      <c r="X218" s="4">
        <f t="shared" si="150"/>
        <v>0</v>
      </c>
      <c r="Y218" s="4">
        <f t="shared" si="150"/>
        <v>0</v>
      </c>
    </row>
    <row r="219" spans="4:25">
      <c r="D219" s="66" t="s">
        <v>153</v>
      </c>
      <c r="G219">
        <v>150962</v>
      </c>
      <c r="H219">
        <v>1422914</v>
      </c>
      <c r="I219">
        <v>2909418</v>
      </c>
      <c r="J219">
        <v>5342960</v>
      </c>
      <c r="K219">
        <v>6676262</v>
      </c>
      <c r="L219">
        <v>8559497</v>
      </c>
      <c r="M219">
        <v>10100067</v>
      </c>
      <c r="N219">
        <v>10609009</v>
      </c>
      <c r="O219">
        <v>10954221</v>
      </c>
    </row>
    <row r="220" spans="4:25" s="4" customFormat="1">
      <c r="D220" s="86" t="s">
        <v>154</v>
      </c>
      <c r="E220" s="4">
        <v>112245919</v>
      </c>
      <c r="F220" s="4">
        <v>113426038</v>
      </c>
      <c r="G220" s="4">
        <f t="shared" ref="G220" si="151">G218+G219</f>
        <v>101016687</v>
      </c>
      <c r="H220" s="4">
        <f t="shared" ref="H220" si="152">H218+H219</f>
        <v>100144203</v>
      </c>
      <c r="I220" s="4">
        <f t="shared" ref="I220" si="153">I218+I219</f>
        <v>101950475</v>
      </c>
      <c r="J220" s="4">
        <f t="shared" ref="J220" si="154">J218+J219</f>
        <v>104922682</v>
      </c>
      <c r="K220" s="4">
        <f t="shared" ref="K220" si="155">K218+K219</f>
        <v>106544381</v>
      </c>
      <c r="L220" s="4">
        <f t="shared" ref="L220:M220" si="156">L218+L219</f>
        <v>108659206</v>
      </c>
      <c r="M220" s="4">
        <f t="shared" si="156"/>
        <v>110402039</v>
      </c>
      <c r="N220" s="4">
        <f>N218+N219</f>
        <v>113887239</v>
      </c>
      <c r="O220" s="4">
        <f t="shared" ref="O220:Y220" si="157">O218+O219</f>
        <v>114959416</v>
      </c>
      <c r="P220" s="4">
        <f t="shared" si="157"/>
        <v>0</v>
      </c>
      <c r="Q220" s="4">
        <f t="shared" si="157"/>
        <v>0</v>
      </c>
      <c r="R220" s="4">
        <f t="shared" si="157"/>
        <v>0</v>
      </c>
      <c r="S220" s="4">
        <f t="shared" si="157"/>
        <v>0</v>
      </c>
      <c r="T220" s="4">
        <f t="shared" si="157"/>
        <v>0</v>
      </c>
      <c r="U220" s="4">
        <f t="shared" si="157"/>
        <v>0</v>
      </c>
      <c r="V220" s="4">
        <f t="shared" si="157"/>
        <v>0</v>
      </c>
      <c r="W220" s="4">
        <f t="shared" si="157"/>
        <v>0</v>
      </c>
      <c r="X220" s="4">
        <f t="shared" si="157"/>
        <v>0</v>
      </c>
      <c r="Y220" s="4">
        <f t="shared" si="157"/>
        <v>0</v>
      </c>
    </row>
    <row r="221" spans="4:25">
      <c r="D221" s="66"/>
      <c r="H221" s="4"/>
      <c r="I221" s="4"/>
      <c r="J221" s="4"/>
      <c r="K221" s="4"/>
      <c r="L221" s="4"/>
      <c r="M221" s="4"/>
      <c r="N221" s="4"/>
      <c r="O221" s="4"/>
      <c r="P221" s="4"/>
      <c r="Q221" s="4"/>
      <c r="R221" s="4"/>
      <c r="S221" s="4"/>
      <c r="T221" s="4"/>
      <c r="U221" s="4"/>
      <c r="V221" s="4"/>
      <c r="W221" s="4"/>
      <c r="X221" s="4"/>
      <c r="Y221" s="4"/>
    </row>
    <row r="222" spans="4:25">
      <c r="D222" s="66"/>
      <c r="H222" s="4"/>
      <c r="I222" s="4"/>
      <c r="J222" s="4"/>
      <c r="K222" s="4"/>
      <c r="L222" s="4"/>
      <c r="M222" s="4"/>
      <c r="N222" s="4"/>
      <c r="O222" s="4"/>
      <c r="P222" s="4"/>
      <c r="Q222" s="4"/>
      <c r="R222" s="4"/>
      <c r="S222" s="4"/>
      <c r="T222" s="4"/>
      <c r="U222" s="4"/>
      <c r="V222" s="4"/>
      <c r="W222" s="4"/>
      <c r="X222" s="4"/>
      <c r="Y222" s="4"/>
    </row>
    <row r="223" spans="4:25">
      <c r="D223" s="66"/>
      <c r="H223" s="4"/>
      <c r="I223" s="4"/>
      <c r="J223" s="4"/>
      <c r="K223" s="4"/>
      <c r="L223" s="4"/>
      <c r="M223" s="4"/>
      <c r="N223" s="4"/>
      <c r="O223" s="4"/>
      <c r="P223" s="4"/>
      <c r="Q223" s="4"/>
      <c r="R223" s="4"/>
      <c r="S223" s="4"/>
      <c r="T223" s="4"/>
      <c r="U223" s="4"/>
      <c r="V223" s="4"/>
      <c r="W223" s="4"/>
      <c r="X223" s="4"/>
      <c r="Y223" s="4"/>
    </row>
    <row r="224" spans="4:25">
      <c r="D224" s="66"/>
      <c r="H224" s="4"/>
      <c r="I224" s="4"/>
      <c r="J224" s="4"/>
      <c r="K224" s="4"/>
      <c r="L224" s="4"/>
      <c r="M224" s="4"/>
      <c r="N224" s="4"/>
      <c r="O224" s="4"/>
      <c r="P224" s="4"/>
      <c r="Q224" s="4"/>
      <c r="R224" s="4"/>
      <c r="S224" s="4"/>
      <c r="T224" s="4"/>
      <c r="U224" s="4"/>
      <c r="V224" s="4"/>
      <c r="W224" s="4"/>
      <c r="X224" s="4"/>
      <c r="Y224" s="4"/>
    </row>
    <row r="225" spans="4:15">
      <c r="D225" s="66"/>
    </row>
    <row r="226" spans="4:15">
      <c r="D226" s="86" t="s">
        <v>295</v>
      </c>
      <c r="E226" s="4"/>
      <c r="F226" s="4"/>
      <c r="G226" s="4"/>
    </row>
    <row r="227" spans="4:15" s="4" customFormat="1">
      <c r="D227" s="86" t="s">
        <v>155</v>
      </c>
      <c r="E227" s="5">
        <f>'2a. Income Statement'!E90</f>
        <v>107491</v>
      </c>
      <c r="F227" s="5">
        <f>'2a. Income Statement'!F90</f>
        <v>129791</v>
      </c>
      <c r="G227" s="5">
        <f>'2a. Income Statement'!G90</f>
        <v>168805</v>
      </c>
      <c r="H227" s="5">
        <f>'2a. Income Statement'!H90</f>
        <v>246073</v>
      </c>
      <c r="I227" s="5">
        <f>'2a. Income Statement'!I90</f>
        <v>292199</v>
      </c>
      <c r="J227" s="5">
        <f>'2a. Income Statement'!J90</f>
        <v>294424</v>
      </c>
      <c r="K227" s="5">
        <f>'2a. Income Statement'!K90</f>
        <v>333170</v>
      </c>
      <c r="L227" s="5">
        <f>'2a. Income Statement'!L90</f>
        <v>443790</v>
      </c>
      <c r="M227" s="5">
        <f>'2a. Income Statement'!M90</f>
        <v>491016</v>
      </c>
      <c r="N227" s="5">
        <f>'2a. Income Statement'!N90</f>
        <v>573931</v>
      </c>
      <c r="O227" s="5">
        <f>'2a. Income Statement'!O90</f>
        <v>611224</v>
      </c>
    </row>
    <row r="228" spans="4:15">
      <c r="D228" s="66" t="s">
        <v>156</v>
      </c>
    </row>
    <row r="229" spans="4:15">
      <c r="D229" s="66" t="s">
        <v>296</v>
      </c>
      <c r="H229">
        <v>-1590</v>
      </c>
      <c r="I229">
        <v>-9482</v>
      </c>
      <c r="N229">
        <v>-8186</v>
      </c>
      <c r="O229">
        <v>-1543</v>
      </c>
    </row>
    <row r="230" spans="4:15">
      <c r="D230" s="66" t="s">
        <v>297</v>
      </c>
      <c r="N230">
        <v>-218</v>
      </c>
    </row>
    <row r="231" spans="4:15">
      <c r="D231" s="66" t="s">
        <v>298</v>
      </c>
      <c r="J231">
        <v>19279</v>
      </c>
    </row>
    <row r="232" spans="4:15">
      <c r="D232" s="66" t="s">
        <v>299</v>
      </c>
    </row>
    <row r="233" spans="4:15">
      <c r="D233" s="66" t="s">
        <v>300</v>
      </c>
      <c r="N233">
        <v>1850</v>
      </c>
      <c r="O233">
        <v>67</v>
      </c>
    </row>
    <row r="234" spans="4:15">
      <c r="D234" s="66" t="s">
        <v>307</v>
      </c>
      <c r="E234">
        <v>-7103</v>
      </c>
      <c r="F234">
        <v>-283</v>
      </c>
      <c r="G234">
        <v>-7852</v>
      </c>
      <c r="H234">
        <v>-615</v>
      </c>
    </row>
    <row r="235" spans="4:15">
      <c r="D235" s="66" t="s">
        <v>308</v>
      </c>
      <c r="E235">
        <v>14201</v>
      </c>
      <c r="G235">
        <v>-5547</v>
      </c>
      <c r="H235">
        <v>-5395</v>
      </c>
      <c r="I235">
        <v>-5086</v>
      </c>
    </row>
    <row r="236" spans="4:15">
      <c r="D236" s="66" t="s">
        <v>309</v>
      </c>
      <c r="E236">
        <v>5580</v>
      </c>
    </row>
    <row r="237" spans="4:15">
      <c r="D237" s="66" t="s">
        <v>395</v>
      </c>
      <c r="H237">
        <v>-243</v>
      </c>
    </row>
    <row r="238" spans="4:15">
      <c r="D238" s="66" t="s">
        <v>311</v>
      </c>
      <c r="E238">
        <v>1900</v>
      </c>
      <c r="G238">
        <v>6223</v>
      </c>
      <c r="H238">
        <v>1476</v>
      </c>
    </row>
    <row r="239" spans="4:15">
      <c r="D239" s="66" t="s">
        <v>310</v>
      </c>
      <c r="E239">
        <v>879</v>
      </c>
    </row>
    <row r="240" spans="4:15">
      <c r="D240" s="66" t="s">
        <v>389</v>
      </c>
      <c r="G240">
        <v>-1172</v>
      </c>
      <c r="H240">
        <v>-4565</v>
      </c>
    </row>
    <row r="241" spans="4:25">
      <c r="D241" s="66" t="s">
        <v>390</v>
      </c>
      <c r="G241">
        <v>1180</v>
      </c>
      <c r="H241">
        <v>-505</v>
      </c>
    </row>
    <row r="242" spans="4:25">
      <c r="D242" s="66" t="s">
        <v>388</v>
      </c>
      <c r="F242">
        <v>-1104</v>
      </c>
    </row>
    <row r="243" spans="4:25">
      <c r="D243" s="66" t="s">
        <v>301</v>
      </c>
      <c r="F243">
        <v>-227</v>
      </c>
      <c r="M243">
        <v>-1741</v>
      </c>
    </row>
    <row r="244" spans="4:25">
      <c r="D244" s="66" t="s">
        <v>302</v>
      </c>
      <c r="L244">
        <v>13205</v>
      </c>
    </row>
    <row r="245" spans="4:25">
      <c r="D245" s="66" t="s">
        <v>303</v>
      </c>
      <c r="I245">
        <v>-1413</v>
      </c>
      <c r="O245">
        <v>-407</v>
      </c>
    </row>
    <row r="246" spans="4:25">
      <c r="D246" s="66" t="s">
        <v>304</v>
      </c>
      <c r="O246">
        <v>3455</v>
      </c>
    </row>
    <row r="247" spans="4:25">
      <c r="D247" s="66" t="s">
        <v>305</v>
      </c>
      <c r="G247">
        <v>2548</v>
      </c>
      <c r="I247">
        <v>546</v>
      </c>
      <c r="J247">
        <v>564</v>
      </c>
      <c r="O247">
        <v>110</v>
      </c>
    </row>
    <row r="248" spans="4:25">
      <c r="D248" s="66" t="s">
        <v>306</v>
      </c>
      <c r="E248">
        <v>-4540</v>
      </c>
      <c r="F248">
        <v>-596</v>
      </c>
      <c r="G248">
        <v>-349</v>
      </c>
      <c r="J248">
        <v>-359</v>
      </c>
      <c r="K248">
        <v>40</v>
      </c>
      <c r="L248">
        <v>-837</v>
      </c>
      <c r="M248">
        <v>50</v>
      </c>
      <c r="N248">
        <v>-139</v>
      </c>
      <c r="O248">
        <v>-1128</v>
      </c>
    </row>
    <row r="249" spans="4:25">
      <c r="D249" s="86" t="s">
        <v>160</v>
      </c>
      <c r="E249" s="5">
        <f t="shared" ref="E249:Y249" si="158">SUM(E227:E248)</f>
        <v>118408</v>
      </c>
      <c r="F249" s="5">
        <f t="shared" si="158"/>
        <v>127581</v>
      </c>
      <c r="G249" s="5">
        <f t="shared" si="158"/>
        <v>163836</v>
      </c>
      <c r="H249" s="5">
        <f t="shared" si="158"/>
        <v>234636</v>
      </c>
      <c r="I249" s="5">
        <f t="shared" si="158"/>
        <v>276764</v>
      </c>
      <c r="J249" s="5">
        <f t="shared" si="158"/>
        <v>313908</v>
      </c>
      <c r="K249" s="5">
        <f t="shared" si="158"/>
        <v>333210</v>
      </c>
      <c r="L249" s="5">
        <f t="shared" si="158"/>
        <v>456158</v>
      </c>
      <c r="M249" s="5">
        <f t="shared" si="158"/>
        <v>489325</v>
      </c>
      <c r="N249" s="5">
        <f t="shared" si="158"/>
        <v>567238</v>
      </c>
      <c r="O249" s="5">
        <f t="shared" si="158"/>
        <v>611778</v>
      </c>
      <c r="P249" s="5">
        <f t="shared" si="158"/>
        <v>0</v>
      </c>
      <c r="Q249" s="5">
        <f t="shared" si="158"/>
        <v>0</v>
      </c>
      <c r="R249" s="5">
        <f t="shared" si="158"/>
        <v>0</v>
      </c>
      <c r="S249" s="5">
        <f t="shared" si="158"/>
        <v>0</v>
      </c>
      <c r="T249" s="5">
        <f t="shared" si="158"/>
        <v>0</v>
      </c>
      <c r="U249" s="5">
        <f t="shared" si="158"/>
        <v>0</v>
      </c>
      <c r="V249" s="5">
        <f t="shared" si="158"/>
        <v>0</v>
      </c>
      <c r="W249" s="5">
        <f t="shared" si="158"/>
        <v>0</v>
      </c>
      <c r="X249" s="5">
        <f t="shared" si="158"/>
        <v>0</v>
      </c>
      <c r="Y249" s="5">
        <f t="shared" si="158"/>
        <v>0</v>
      </c>
    </row>
    <row r="250" spans="4:25" s="4" customFormat="1">
      <c r="D250" s="86" t="s">
        <v>161</v>
      </c>
    </row>
    <row r="251" spans="4:25" s="4" customFormat="1">
      <c r="D251" s="86" t="s">
        <v>158</v>
      </c>
      <c r="E251" s="4">
        <f>E249/E218</f>
        <v>1.0617188745098468E-3</v>
      </c>
      <c r="F251" s="4">
        <f t="shared" ref="F251:O251" si="159">F249/F218</f>
        <v>1.1280431295660554E-3</v>
      </c>
      <c r="G251" s="4">
        <f t="shared" si="159"/>
        <v>1.6242980457434873E-3</v>
      </c>
      <c r="H251" s="4">
        <f t="shared" si="159"/>
        <v>2.3767517865371469E-3</v>
      </c>
      <c r="I251" s="4">
        <f t="shared" si="159"/>
        <v>2.7944370585624911E-3</v>
      </c>
      <c r="J251" s="4">
        <f t="shared" si="159"/>
        <v>3.1523285433554434E-3</v>
      </c>
      <c r="K251" s="4">
        <f t="shared" si="159"/>
        <v>3.3365002098417413E-3</v>
      </c>
      <c r="L251" s="4">
        <f t="shared" si="159"/>
        <v>4.5570362247506629E-3</v>
      </c>
      <c r="M251" s="4">
        <f t="shared" si="159"/>
        <v>4.8785182408975971E-3</v>
      </c>
      <c r="N251" s="4">
        <f t="shared" si="159"/>
        <v>5.4923288286408472E-3</v>
      </c>
      <c r="O251" s="4">
        <f t="shared" si="159"/>
        <v>5.8821869426810844E-3</v>
      </c>
    </row>
    <row r="252" spans="4:25" s="4" customFormat="1">
      <c r="D252" s="86" t="s">
        <v>159</v>
      </c>
      <c r="E252" s="4">
        <f t="shared" ref="E252:O252" si="160">E249/E220</f>
        <v>1.0548980404356616E-3</v>
      </c>
      <c r="F252" s="4">
        <f t="shared" si="160"/>
        <v>1.1247946437131129E-3</v>
      </c>
      <c r="G252" s="4">
        <f t="shared" si="160"/>
        <v>1.6218706519250626E-3</v>
      </c>
      <c r="H252" s="4">
        <f t="shared" si="160"/>
        <v>2.3429813506029898E-3</v>
      </c>
      <c r="I252" s="4">
        <f t="shared" si="160"/>
        <v>2.7146906377827078E-3</v>
      </c>
      <c r="J252" s="4">
        <f t="shared" si="160"/>
        <v>2.9918030497924175E-3</v>
      </c>
      <c r="K252" s="4">
        <f t="shared" si="160"/>
        <v>3.1274291227052133E-3</v>
      </c>
      <c r="L252" s="4">
        <f t="shared" si="160"/>
        <v>4.1980612300811402E-3</v>
      </c>
      <c r="M252" s="4">
        <f t="shared" si="160"/>
        <v>4.4322098072844471E-3</v>
      </c>
      <c r="N252" s="4">
        <f t="shared" si="160"/>
        <v>4.9806984959921627E-3</v>
      </c>
      <c r="O252" s="4">
        <f t="shared" si="160"/>
        <v>5.3216867420412088E-3</v>
      </c>
    </row>
    <row r="253" spans="4:25">
      <c r="D253" s="66"/>
    </row>
    <row r="254" spans="4:25">
      <c r="D254" s="66"/>
    </row>
    <row r="255" spans="4:25">
      <c r="D255" s="85" t="s">
        <v>312</v>
      </c>
      <c r="E255" s="1" t="s">
        <v>216</v>
      </c>
      <c r="F255" s="1" t="s">
        <v>217</v>
      </c>
      <c r="G255" s="1" t="s">
        <v>218</v>
      </c>
      <c r="H255" s="1" t="s">
        <v>28</v>
      </c>
      <c r="I255" s="1" t="s">
        <v>17</v>
      </c>
      <c r="J255" s="1" t="s">
        <v>18</v>
      </c>
      <c r="K255" s="1" t="s">
        <v>19</v>
      </c>
      <c r="L255" s="1" t="s">
        <v>20</v>
      </c>
      <c r="M255" s="1" t="s">
        <v>21</v>
      </c>
      <c r="N255" s="1" t="s">
        <v>22</v>
      </c>
      <c r="O255" s="1" t="s">
        <v>23</v>
      </c>
      <c r="P255" s="1" t="s">
        <v>24</v>
      </c>
      <c r="Q255" s="1" t="s">
        <v>25</v>
      </c>
      <c r="R255" s="1" t="s">
        <v>26</v>
      </c>
      <c r="S255" s="1" t="s">
        <v>27</v>
      </c>
      <c r="T255" s="1"/>
      <c r="U255" s="1"/>
      <c r="V255" s="1"/>
      <c r="W255" s="1"/>
      <c r="X255" s="1"/>
      <c r="Y255" s="1"/>
    </row>
    <row r="256" spans="4:25">
      <c r="D256" s="66" t="s">
        <v>162</v>
      </c>
      <c r="E256">
        <v>65896</v>
      </c>
      <c r="F256">
        <v>66762</v>
      </c>
      <c r="G256">
        <v>60418</v>
      </c>
      <c r="H256">
        <v>85442</v>
      </c>
      <c r="I256">
        <v>128490</v>
      </c>
      <c r="J256">
        <v>152123</v>
      </c>
      <c r="K256">
        <v>174677</v>
      </c>
      <c r="L256">
        <v>183119</v>
      </c>
      <c r="M256">
        <v>256643</v>
      </c>
      <c r="N256">
        <v>222951</v>
      </c>
      <c r="O256">
        <v>272389</v>
      </c>
    </row>
    <row r="257" spans="4:15">
      <c r="D257" s="66" t="s">
        <v>163</v>
      </c>
      <c r="E257">
        <v>16778</v>
      </c>
      <c r="F257">
        <v>16976</v>
      </c>
      <c r="G257">
        <v>19048</v>
      </c>
      <c r="H257">
        <v>25547</v>
      </c>
      <c r="I257">
        <v>31055</v>
      </c>
      <c r="J257">
        <v>32898</v>
      </c>
      <c r="K257">
        <v>36975</v>
      </c>
      <c r="L257">
        <v>45069</v>
      </c>
      <c r="M257">
        <v>100327</v>
      </c>
      <c r="N257">
        <v>106530</v>
      </c>
      <c r="O257">
        <v>106543</v>
      </c>
    </row>
    <row r="258" spans="4:15">
      <c r="D258" s="66" t="s">
        <v>164</v>
      </c>
      <c r="E258" s="4">
        <f t="shared" ref="E258" si="161">SUM(E256:E257)</f>
        <v>82674</v>
      </c>
      <c r="F258" s="4">
        <f t="shared" ref="F258" si="162">SUM(F256:F257)</f>
        <v>83738</v>
      </c>
      <c r="G258" s="4">
        <f t="shared" ref="G258" si="163">SUM(G256:G257)</f>
        <v>79466</v>
      </c>
      <c r="H258" s="4">
        <f t="shared" ref="H258" si="164">SUM(H256:H257)</f>
        <v>110989</v>
      </c>
      <c r="I258" s="4">
        <f t="shared" ref="I258" si="165">SUM(I256:I257)</f>
        <v>159545</v>
      </c>
      <c r="J258" s="4">
        <f t="shared" ref="J258" si="166">SUM(J256:J257)</f>
        <v>185021</v>
      </c>
      <c r="K258" s="4">
        <f t="shared" ref="K258:M258" si="167">SUM(K256:K257)</f>
        <v>211652</v>
      </c>
      <c r="L258" s="4">
        <f t="shared" si="167"/>
        <v>228188</v>
      </c>
      <c r="M258" s="4">
        <f t="shared" si="167"/>
        <v>356970</v>
      </c>
      <c r="N258" s="4">
        <f>SUM(N256:N257)</f>
        <v>329481</v>
      </c>
      <c r="O258" s="4">
        <f>SUM(O256:O257)</f>
        <v>378932</v>
      </c>
    </row>
    <row r="259" spans="4:15">
      <c r="D259" s="66" t="s">
        <v>165</v>
      </c>
    </row>
    <row r="260" spans="4:15">
      <c r="D260" s="66" t="s">
        <v>166</v>
      </c>
      <c r="E260">
        <v>66141</v>
      </c>
      <c r="F260">
        <v>59881</v>
      </c>
      <c r="G260">
        <v>87242</v>
      </c>
      <c r="H260">
        <v>127883</v>
      </c>
      <c r="I260">
        <v>151881</v>
      </c>
      <c r="J260">
        <v>174574</v>
      </c>
      <c r="K260">
        <v>182906</v>
      </c>
      <c r="L260">
        <v>256560</v>
      </c>
      <c r="M260" s="4">
        <v>222951</v>
      </c>
      <c r="N260" s="4">
        <v>272389</v>
      </c>
      <c r="O260" s="4">
        <v>301964</v>
      </c>
    </row>
    <row r="261" spans="4:15">
      <c r="M261" s="4"/>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D4:Y139"/>
  <sheetViews>
    <sheetView showGridLines="0" topLeftCell="B1" zoomScale="75" zoomScaleNormal="75" zoomScalePageLayoutView="75" workbookViewId="0">
      <pane xSplit="3" topLeftCell="H1" activePane="topRight" state="frozen"/>
      <selection activeCell="B7" sqref="B7"/>
      <selection pane="topRight" activeCell="D1" sqref="D1:D1048576"/>
    </sheetView>
  </sheetViews>
  <sheetFormatPr baseColWidth="10" defaultRowHeight="15" x14ac:dyDescent="0"/>
  <cols>
    <col min="4" max="4" width="54.6640625" bestFit="1" customWidth="1"/>
  </cols>
  <sheetData>
    <row r="4" spans="4:25">
      <c r="D4" s="1" t="s">
        <v>313</v>
      </c>
      <c r="E4" s="1" t="s">
        <v>216</v>
      </c>
      <c r="F4" s="1" t="s">
        <v>217</v>
      </c>
      <c r="G4" s="1" t="s">
        <v>218</v>
      </c>
      <c r="H4" s="1" t="s">
        <v>28</v>
      </c>
      <c r="I4" s="1" t="s">
        <v>17</v>
      </c>
      <c r="J4" s="1" t="s">
        <v>18</v>
      </c>
      <c r="K4" s="1" t="s">
        <v>19</v>
      </c>
      <c r="L4" s="1" t="s">
        <v>20</v>
      </c>
      <c r="M4" s="1" t="s">
        <v>21</v>
      </c>
      <c r="N4" s="1" t="s">
        <v>22</v>
      </c>
      <c r="O4" s="1" t="s">
        <v>23</v>
      </c>
      <c r="P4" s="1" t="s">
        <v>24</v>
      </c>
      <c r="Q4" s="1" t="s">
        <v>25</v>
      </c>
      <c r="R4" s="1" t="s">
        <v>26</v>
      </c>
      <c r="S4" s="1" t="s">
        <v>27</v>
      </c>
      <c r="T4" s="1"/>
      <c r="U4" s="1"/>
      <c r="V4" s="1"/>
      <c r="W4" s="1"/>
      <c r="X4" s="1"/>
      <c r="Y4" s="1"/>
    </row>
    <row r="5" spans="4:25" s="4" customFormat="1">
      <c r="D5" s="4" t="s">
        <v>318</v>
      </c>
    </row>
    <row r="6" spans="4:25">
      <c r="D6" t="s">
        <v>314</v>
      </c>
      <c r="E6">
        <v>29784</v>
      </c>
      <c r="F6">
        <v>42037</v>
      </c>
      <c r="G6">
        <v>41379</v>
      </c>
      <c r="H6">
        <v>39895</v>
      </c>
      <c r="I6">
        <v>41999</v>
      </c>
      <c r="J6">
        <v>43731</v>
      </c>
      <c r="K6">
        <v>62170</v>
      </c>
      <c r="L6">
        <v>66635</v>
      </c>
      <c r="M6">
        <v>61124</v>
      </c>
      <c r="N6">
        <v>64305</v>
      </c>
      <c r="O6">
        <v>663447</v>
      </c>
    </row>
    <row r="7" spans="4:25">
      <c r="D7" t="s">
        <v>315</v>
      </c>
      <c r="E7">
        <v>80572</v>
      </c>
      <c r="F7">
        <v>94476</v>
      </c>
      <c r="G7">
        <v>91487</v>
      </c>
      <c r="H7">
        <v>95427</v>
      </c>
      <c r="I7">
        <v>97281</v>
      </c>
      <c r="J7">
        <v>98857</v>
      </c>
      <c r="K7">
        <v>99042</v>
      </c>
      <c r="L7">
        <v>103041</v>
      </c>
      <c r="M7">
        <v>109685</v>
      </c>
      <c r="N7">
        <v>119031</v>
      </c>
      <c r="O7">
        <v>93356</v>
      </c>
    </row>
    <row r="8" spans="4:25" s="4" customFormat="1">
      <c r="D8" s="4" t="s">
        <v>103</v>
      </c>
      <c r="E8" s="4">
        <f t="shared" ref="E8:Y8" si="0">SUM(E6:E7)</f>
        <v>110356</v>
      </c>
      <c r="F8" s="4">
        <f t="shared" si="0"/>
        <v>136513</v>
      </c>
      <c r="G8" s="4">
        <f t="shared" si="0"/>
        <v>132866</v>
      </c>
      <c r="H8" s="4">
        <f t="shared" si="0"/>
        <v>135322</v>
      </c>
      <c r="I8" s="4">
        <f t="shared" si="0"/>
        <v>139280</v>
      </c>
      <c r="J8" s="4">
        <f t="shared" si="0"/>
        <v>142588</v>
      </c>
      <c r="K8" s="4">
        <f t="shared" si="0"/>
        <v>161212</v>
      </c>
      <c r="L8" s="4">
        <f t="shared" si="0"/>
        <v>169676</v>
      </c>
      <c r="M8" s="4">
        <f t="shared" si="0"/>
        <v>170809</v>
      </c>
      <c r="N8" s="4">
        <f t="shared" si="0"/>
        <v>183336</v>
      </c>
      <c r="O8" s="4">
        <f t="shared" si="0"/>
        <v>756803</v>
      </c>
      <c r="P8" s="4">
        <f t="shared" si="0"/>
        <v>0</v>
      </c>
      <c r="Q8" s="4">
        <f t="shared" si="0"/>
        <v>0</v>
      </c>
      <c r="R8" s="4">
        <f t="shared" si="0"/>
        <v>0</v>
      </c>
      <c r="S8" s="4">
        <f t="shared" si="0"/>
        <v>0</v>
      </c>
      <c r="T8" s="4">
        <f t="shared" si="0"/>
        <v>0</v>
      </c>
      <c r="U8" s="4">
        <f t="shared" si="0"/>
        <v>0</v>
      </c>
      <c r="V8" s="4">
        <f t="shared" si="0"/>
        <v>0</v>
      </c>
      <c r="W8" s="4">
        <f t="shared" si="0"/>
        <v>0</v>
      </c>
      <c r="X8" s="4">
        <f t="shared" si="0"/>
        <v>0</v>
      </c>
      <c r="Y8" s="4">
        <f t="shared" si="0"/>
        <v>0</v>
      </c>
    </row>
    <row r="9" spans="4:25">
      <c r="D9" t="s">
        <v>316</v>
      </c>
      <c r="E9">
        <v>47452</v>
      </c>
      <c r="F9">
        <v>52881</v>
      </c>
      <c r="G9">
        <v>58122</v>
      </c>
      <c r="H9">
        <v>66234</v>
      </c>
      <c r="I9">
        <f>12701+62693</f>
        <v>75394</v>
      </c>
      <c r="J9">
        <f>13990+70438</f>
        <v>84428</v>
      </c>
      <c r="K9">
        <f>14940+74894</f>
        <v>89834</v>
      </c>
      <c r="L9">
        <f>16792+78536</f>
        <v>95328</v>
      </c>
      <c r="M9">
        <f>16975+81300</f>
        <v>98275</v>
      </c>
      <c r="N9">
        <f>18835+85663</f>
        <v>104498</v>
      </c>
      <c r="O9">
        <f>169375+64635</f>
        <v>234010</v>
      </c>
    </row>
    <row r="10" spans="4:25" s="4" customFormat="1">
      <c r="D10" s="4" t="s">
        <v>317</v>
      </c>
      <c r="E10" s="4">
        <f t="shared" ref="E10:Y10" si="1">E8-E9</f>
        <v>62904</v>
      </c>
      <c r="F10" s="4">
        <f t="shared" si="1"/>
        <v>83632</v>
      </c>
      <c r="G10" s="4">
        <f t="shared" si="1"/>
        <v>74744</v>
      </c>
      <c r="H10" s="4">
        <f t="shared" si="1"/>
        <v>69088</v>
      </c>
      <c r="I10" s="4">
        <f t="shared" si="1"/>
        <v>63886</v>
      </c>
      <c r="J10" s="4">
        <f t="shared" si="1"/>
        <v>58160</v>
      </c>
      <c r="K10" s="4">
        <f t="shared" si="1"/>
        <v>71378</v>
      </c>
      <c r="L10" s="4">
        <f t="shared" si="1"/>
        <v>74348</v>
      </c>
      <c r="M10" s="4">
        <f t="shared" si="1"/>
        <v>72534</v>
      </c>
      <c r="N10" s="4">
        <f t="shared" si="1"/>
        <v>78838</v>
      </c>
      <c r="O10" s="4">
        <f t="shared" si="1"/>
        <v>522793</v>
      </c>
      <c r="P10" s="4">
        <f t="shared" si="1"/>
        <v>0</v>
      </c>
      <c r="Q10" s="4">
        <f t="shared" si="1"/>
        <v>0</v>
      </c>
      <c r="R10" s="4">
        <f t="shared" si="1"/>
        <v>0</v>
      </c>
      <c r="S10" s="4">
        <f t="shared" si="1"/>
        <v>0</v>
      </c>
      <c r="T10" s="4">
        <f t="shared" si="1"/>
        <v>0</v>
      </c>
      <c r="U10" s="4">
        <f t="shared" si="1"/>
        <v>0</v>
      </c>
      <c r="V10" s="4">
        <f t="shared" si="1"/>
        <v>0</v>
      </c>
      <c r="W10" s="4">
        <f t="shared" si="1"/>
        <v>0</v>
      </c>
      <c r="X10" s="4">
        <f t="shared" si="1"/>
        <v>0</v>
      </c>
      <c r="Y10" s="4">
        <f t="shared" si="1"/>
        <v>0</v>
      </c>
    </row>
    <row r="11" spans="4:25" s="4" customFormat="1"/>
    <row r="13" spans="4:25" s="4" customFormat="1">
      <c r="D13" s="4" t="s">
        <v>319</v>
      </c>
      <c r="E13" s="4">
        <v>357793</v>
      </c>
      <c r="F13" s="4">
        <v>391228</v>
      </c>
      <c r="G13" s="4">
        <v>398741</v>
      </c>
      <c r="H13" s="4">
        <v>426364</v>
      </c>
      <c r="I13" s="4">
        <v>469544</v>
      </c>
      <c r="J13" s="4">
        <v>517442</v>
      </c>
      <c r="K13" s="4">
        <v>572070</v>
      </c>
      <c r="L13" s="4">
        <v>613120</v>
      </c>
      <c r="M13" s="4">
        <v>629945</v>
      </c>
      <c r="N13" s="4">
        <v>617637</v>
      </c>
      <c r="O13" s="4">
        <v>1449319</v>
      </c>
    </row>
    <row r="14" spans="4:25" s="9" customFormat="1">
      <c r="D14" s="9" t="s">
        <v>320</v>
      </c>
      <c r="E14" s="9">
        <v>251379</v>
      </c>
      <c r="F14" s="9">
        <v>263256</v>
      </c>
      <c r="G14" s="9">
        <v>280414</v>
      </c>
      <c r="H14" s="9">
        <v>303157</v>
      </c>
      <c r="I14" s="9">
        <v>330340</v>
      </c>
      <c r="J14" s="9">
        <v>355919</v>
      </c>
      <c r="K14" s="9">
        <v>382151</v>
      </c>
      <c r="L14" s="9">
        <v>421227</v>
      </c>
      <c r="M14" s="9">
        <v>435834</v>
      </c>
      <c r="N14" s="9">
        <f>438988</f>
        <v>438988</v>
      </c>
      <c r="O14" s="9">
        <v>736689</v>
      </c>
    </row>
    <row r="15" spans="4:25" s="9" customFormat="1">
      <c r="D15" s="9" t="s">
        <v>321</v>
      </c>
      <c r="E15" s="9">
        <v>2378</v>
      </c>
      <c r="F15" s="9">
        <v>2378</v>
      </c>
      <c r="G15" s="9">
        <v>2542</v>
      </c>
      <c r="H15" s="9">
        <v>2542</v>
      </c>
    </row>
    <row r="16" spans="4:25">
      <c r="D16" s="4" t="s">
        <v>317</v>
      </c>
      <c r="E16" s="4">
        <f>E13-E14-E15</f>
        <v>104036</v>
      </c>
      <c r="F16" s="4">
        <f t="shared" ref="F16:Y16" si="2">F13-F14-F15</f>
        <v>125594</v>
      </c>
      <c r="G16" s="4">
        <f t="shared" si="2"/>
        <v>115785</v>
      </c>
      <c r="H16" s="4">
        <f t="shared" si="2"/>
        <v>120665</v>
      </c>
      <c r="I16" s="4">
        <f>I13-I14-I15</f>
        <v>139204</v>
      </c>
      <c r="J16" s="4">
        <f t="shared" si="2"/>
        <v>161523</v>
      </c>
      <c r="K16" s="4">
        <f t="shared" si="2"/>
        <v>189919</v>
      </c>
      <c r="L16" s="4">
        <f t="shared" si="2"/>
        <v>191893</v>
      </c>
      <c r="M16" s="4">
        <f t="shared" si="2"/>
        <v>194111</v>
      </c>
      <c r="N16" s="4">
        <f t="shared" si="2"/>
        <v>178649</v>
      </c>
      <c r="O16" s="4">
        <f t="shared" si="2"/>
        <v>712630</v>
      </c>
      <c r="P16" s="4">
        <f t="shared" si="2"/>
        <v>0</v>
      </c>
      <c r="Q16" s="4">
        <f t="shared" si="2"/>
        <v>0</v>
      </c>
      <c r="R16" s="4">
        <f t="shared" si="2"/>
        <v>0</v>
      </c>
      <c r="S16" s="4">
        <f t="shared" si="2"/>
        <v>0</v>
      </c>
      <c r="T16" s="4">
        <f t="shared" si="2"/>
        <v>0</v>
      </c>
      <c r="U16" s="4">
        <f t="shared" si="2"/>
        <v>0</v>
      </c>
      <c r="V16" s="4">
        <f t="shared" si="2"/>
        <v>0</v>
      </c>
      <c r="W16" s="4">
        <f t="shared" si="2"/>
        <v>0</v>
      </c>
      <c r="X16" s="4">
        <f t="shared" si="2"/>
        <v>0</v>
      </c>
      <c r="Y16" s="4">
        <f t="shared" si="2"/>
        <v>0</v>
      </c>
    </row>
    <row r="17" spans="4:25" s="4" customFormat="1"/>
    <row r="19" spans="4:25" s="4" customFormat="1">
      <c r="D19" s="4" t="s">
        <v>322</v>
      </c>
      <c r="E19" s="4">
        <v>233407</v>
      </c>
      <c r="F19" s="4">
        <v>237473</v>
      </c>
      <c r="G19" s="4">
        <v>238777</v>
      </c>
      <c r="H19" s="4">
        <v>317328</v>
      </c>
      <c r="I19" s="4">
        <v>335239</v>
      </c>
      <c r="J19" s="4">
        <v>349627</v>
      </c>
      <c r="K19" s="4">
        <v>394279</v>
      </c>
      <c r="L19" s="4">
        <v>433141</v>
      </c>
      <c r="M19" s="4">
        <v>448619</v>
      </c>
      <c r="N19" s="4">
        <v>529702</v>
      </c>
      <c r="O19" s="4">
        <v>619185</v>
      </c>
    </row>
    <row r="20" spans="4:25">
      <c r="D20" t="s">
        <v>320</v>
      </c>
      <c r="E20">
        <v>114057</v>
      </c>
      <c r="F20">
        <v>129004</v>
      </c>
      <c r="G20">
        <v>152980</v>
      </c>
      <c r="H20">
        <v>170021</v>
      </c>
      <c r="I20">
        <v>186159</v>
      </c>
      <c r="J20">
        <v>204772</v>
      </c>
      <c r="K20">
        <v>239953</v>
      </c>
      <c r="L20">
        <v>263532</v>
      </c>
      <c r="M20">
        <v>257244</v>
      </c>
      <c r="N20">
        <v>274847</v>
      </c>
      <c r="O20">
        <v>317115</v>
      </c>
    </row>
    <row r="21" spans="4:25" s="4" customFormat="1">
      <c r="D21" t="s">
        <v>321</v>
      </c>
      <c r="E21">
        <v>1238</v>
      </c>
      <c r="F21" s="4">
        <v>1238</v>
      </c>
      <c r="G21" s="4">
        <v>2913</v>
      </c>
      <c r="H21" s="4">
        <v>2913</v>
      </c>
    </row>
    <row r="22" spans="4:25">
      <c r="D22" s="4" t="s">
        <v>317</v>
      </c>
      <c r="E22" s="4">
        <f>E19-E20-E21</f>
        <v>118112</v>
      </c>
      <c r="F22" s="4">
        <f t="shared" ref="F22:Y22" si="3">F19-F20-F21</f>
        <v>107231</v>
      </c>
      <c r="G22" s="4">
        <f t="shared" si="3"/>
        <v>82884</v>
      </c>
      <c r="H22" s="4">
        <f t="shared" si="3"/>
        <v>144394</v>
      </c>
      <c r="I22" s="4">
        <f t="shared" si="3"/>
        <v>149080</v>
      </c>
      <c r="J22" s="4">
        <f t="shared" si="3"/>
        <v>144855</v>
      </c>
      <c r="K22" s="4">
        <f t="shared" si="3"/>
        <v>154326</v>
      </c>
      <c r="L22" s="4">
        <f t="shared" si="3"/>
        <v>169609</v>
      </c>
      <c r="M22" s="4">
        <f t="shared" si="3"/>
        <v>191375</v>
      </c>
      <c r="N22" s="4">
        <f t="shared" si="3"/>
        <v>254855</v>
      </c>
      <c r="O22" s="4">
        <f t="shared" si="3"/>
        <v>302070</v>
      </c>
      <c r="P22" s="4">
        <f t="shared" si="3"/>
        <v>0</v>
      </c>
      <c r="Q22" s="4">
        <f t="shared" si="3"/>
        <v>0</v>
      </c>
      <c r="R22" s="4">
        <f t="shared" si="3"/>
        <v>0</v>
      </c>
      <c r="S22" s="4">
        <f t="shared" si="3"/>
        <v>0</v>
      </c>
      <c r="T22" s="4">
        <f t="shared" si="3"/>
        <v>0</v>
      </c>
      <c r="U22" s="4">
        <f t="shared" si="3"/>
        <v>0</v>
      </c>
      <c r="V22" s="4">
        <f t="shared" si="3"/>
        <v>0</v>
      </c>
      <c r="W22" s="4">
        <f t="shared" si="3"/>
        <v>0</v>
      </c>
      <c r="X22" s="4">
        <f t="shared" si="3"/>
        <v>0</v>
      </c>
      <c r="Y22" s="4">
        <f t="shared" si="3"/>
        <v>0</v>
      </c>
    </row>
    <row r="24" spans="4:25" s="4" customFormat="1"/>
    <row r="25" spans="4:25" s="4" customFormat="1">
      <c r="D25" s="4" t="s">
        <v>323</v>
      </c>
      <c r="E25" s="4">
        <f t="shared" ref="E25:H25" si="4">E19+E13+E8</f>
        <v>701556</v>
      </c>
      <c r="F25" s="4">
        <f t="shared" si="4"/>
        <v>765214</v>
      </c>
      <c r="G25" s="4">
        <f t="shared" si="4"/>
        <v>770384</v>
      </c>
      <c r="H25" s="4">
        <f t="shared" si="4"/>
        <v>879014</v>
      </c>
      <c r="I25" s="4">
        <f>I19+I13+I8</f>
        <v>944063</v>
      </c>
      <c r="J25" s="4">
        <f>J19+J13+J8</f>
        <v>1009657</v>
      </c>
      <c r="K25" s="4">
        <f t="shared" ref="K25:Y25" si="5">K19+K13+K8</f>
        <v>1127561</v>
      </c>
      <c r="L25" s="4">
        <f t="shared" si="5"/>
        <v>1215937</v>
      </c>
      <c r="M25" s="4">
        <f t="shared" si="5"/>
        <v>1249373</v>
      </c>
      <c r="N25" s="4">
        <f t="shared" si="5"/>
        <v>1330675</v>
      </c>
      <c r="O25" s="4">
        <f t="shared" si="5"/>
        <v>2825307</v>
      </c>
      <c r="P25" s="4">
        <f t="shared" si="5"/>
        <v>0</v>
      </c>
      <c r="Q25" s="4">
        <f t="shared" si="5"/>
        <v>0</v>
      </c>
      <c r="R25" s="4">
        <f t="shared" si="5"/>
        <v>0</v>
      </c>
      <c r="S25" s="4">
        <f t="shared" si="5"/>
        <v>0</v>
      </c>
      <c r="T25" s="4">
        <f t="shared" si="5"/>
        <v>0</v>
      </c>
      <c r="U25" s="4">
        <f t="shared" si="5"/>
        <v>0</v>
      </c>
      <c r="V25" s="4">
        <f t="shared" si="5"/>
        <v>0</v>
      </c>
      <c r="W25" s="4">
        <f t="shared" si="5"/>
        <v>0</v>
      </c>
      <c r="X25" s="4">
        <f t="shared" si="5"/>
        <v>0</v>
      </c>
      <c r="Y25" s="4">
        <f t="shared" si="5"/>
        <v>0</v>
      </c>
    </row>
    <row r="26" spans="4:25">
      <c r="D26" s="10" t="s">
        <v>320</v>
      </c>
      <c r="E26">
        <f t="shared" ref="E26:H26" si="6">E20+E14+E9</f>
        <v>412888</v>
      </c>
      <c r="F26">
        <f t="shared" si="6"/>
        <v>445141</v>
      </c>
      <c r="G26">
        <f t="shared" si="6"/>
        <v>491516</v>
      </c>
      <c r="H26">
        <f t="shared" si="6"/>
        <v>539412</v>
      </c>
      <c r="I26">
        <f>I20+I14+I9</f>
        <v>591893</v>
      </c>
      <c r="J26">
        <f t="shared" ref="J26:Y26" si="7">J20+J14+J9</f>
        <v>645119</v>
      </c>
      <c r="K26">
        <f t="shared" si="7"/>
        <v>711938</v>
      </c>
      <c r="L26">
        <f t="shared" si="7"/>
        <v>780087</v>
      </c>
      <c r="M26">
        <f t="shared" si="7"/>
        <v>791353</v>
      </c>
      <c r="N26">
        <f t="shared" si="7"/>
        <v>818333</v>
      </c>
      <c r="O26">
        <f t="shared" si="7"/>
        <v>1287814</v>
      </c>
      <c r="P26">
        <f t="shared" si="7"/>
        <v>0</v>
      </c>
      <c r="Q26">
        <f t="shared" si="7"/>
        <v>0</v>
      </c>
      <c r="R26">
        <f t="shared" si="7"/>
        <v>0</v>
      </c>
      <c r="S26">
        <f t="shared" si="7"/>
        <v>0</v>
      </c>
      <c r="T26">
        <f t="shared" si="7"/>
        <v>0</v>
      </c>
      <c r="U26">
        <f t="shared" si="7"/>
        <v>0</v>
      </c>
      <c r="V26">
        <f t="shared" si="7"/>
        <v>0</v>
      </c>
      <c r="W26">
        <f t="shared" si="7"/>
        <v>0</v>
      </c>
      <c r="X26">
        <f t="shared" si="7"/>
        <v>0</v>
      </c>
      <c r="Y26">
        <f t="shared" si="7"/>
        <v>0</v>
      </c>
    </row>
    <row r="27" spans="4:25">
      <c r="D27" s="10" t="s">
        <v>321</v>
      </c>
      <c r="E27">
        <f>E21+E15</f>
        <v>3616</v>
      </c>
      <c r="F27">
        <f t="shared" ref="F27:H27" si="8">F21+F15</f>
        <v>3616</v>
      </c>
      <c r="G27">
        <f t="shared" si="8"/>
        <v>5455</v>
      </c>
      <c r="H27">
        <f t="shared" si="8"/>
        <v>5455</v>
      </c>
      <c r="I27">
        <f>I21+I15</f>
        <v>0</v>
      </c>
      <c r="J27">
        <f t="shared" ref="J27:Y27" si="9">J21+J15</f>
        <v>0</v>
      </c>
      <c r="K27">
        <f t="shared" si="9"/>
        <v>0</v>
      </c>
      <c r="L27">
        <f t="shared" si="9"/>
        <v>0</v>
      </c>
      <c r="M27">
        <f t="shared" si="9"/>
        <v>0</v>
      </c>
      <c r="N27">
        <f t="shared" si="9"/>
        <v>0</v>
      </c>
      <c r="O27">
        <f t="shared" si="9"/>
        <v>0</v>
      </c>
      <c r="P27">
        <f t="shared" si="9"/>
        <v>0</v>
      </c>
      <c r="Q27">
        <f t="shared" si="9"/>
        <v>0</v>
      </c>
      <c r="R27">
        <f t="shared" si="9"/>
        <v>0</v>
      </c>
      <c r="S27">
        <f t="shared" si="9"/>
        <v>0</v>
      </c>
      <c r="T27">
        <f t="shared" si="9"/>
        <v>0</v>
      </c>
      <c r="U27">
        <f t="shared" si="9"/>
        <v>0</v>
      </c>
      <c r="V27">
        <f t="shared" si="9"/>
        <v>0</v>
      </c>
      <c r="W27">
        <f t="shared" si="9"/>
        <v>0</v>
      </c>
      <c r="X27">
        <f t="shared" si="9"/>
        <v>0</v>
      </c>
      <c r="Y27">
        <f t="shared" si="9"/>
        <v>0</v>
      </c>
    </row>
    <row r="28" spans="4:25" s="4" customFormat="1">
      <c r="D28" s="30" t="s">
        <v>330</v>
      </c>
      <c r="E28" s="4">
        <f t="shared" ref="E28:H28" si="10">E25-E26-E27</f>
        <v>285052</v>
      </c>
      <c r="F28" s="4">
        <f t="shared" si="10"/>
        <v>316457</v>
      </c>
      <c r="G28" s="4">
        <f t="shared" si="10"/>
        <v>273413</v>
      </c>
      <c r="H28" s="4">
        <f t="shared" si="10"/>
        <v>334147</v>
      </c>
      <c r="I28" s="4">
        <f>I25-I26-I27</f>
        <v>352170</v>
      </c>
      <c r="J28" s="4">
        <f t="shared" ref="J28:Y28" si="11">J25-J26-J27</f>
        <v>364538</v>
      </c>
      <c r="K28" s="4">
        <f t="shared" si="11"/>
        <v>415623</v>
      </c>
      <c r="L28" s="4">
        <f t="shared" si="11"/>
        <v>435850</v>
      </c>
      <c r="M28" s="4">
        <f t="shared" si="11"/>
        <v>458020</v>
      </c>
      <c r="N28" s="4">
        <f t="shared" si="11"/>
        <v>512342</v>
      </c>
      <c r="O28" s="4">
        <f t="shared" si="11"/>
        <v>1537493</v>
      </c>
      <c r="P28" s="4">
        <f t="shared" si="11"/>
        <v>0</v>
      </c>
      <c r="Q28" s="4">
        <f t="shared" si="11"/>
        <v>0</v>
      </c>
      <c r="R28" s="4">
        <f t="shared" si="11"/>
        <v>0</v>
      </c>
      <c r="S28" s="4">
        <f t="shared" si="11"/>
        <v>0</v>
      </c>
      <c r="T28" s="4">
        <f t="shared" si="11"/>
        <v>0</v>
      </c>
      <c r="U28" s="4">
        <f t="shared" si="11"/>
        <v>0</v>
      </c>
      <c r="V28" s="4">
        <f t="shared" si="11"/>
        <v>0</v>
      </c>
      <c r="W28" s="4">
        <f t="shared" si="11"/>
        <v>0</v>
      </c>
      <c r="X28" s="4">
        <f t="shared" si="11"/>
        <v>0</v>
      </c>
      <c r="Y28" s="4">
        <f t="shared" si="11"/>
        <v>0</v>
      </c>
    </row>
    <row r="30" spans="4:25" hidden="1"/>
    <row r="31" spans="4:25" hidden="1">
      <c r="D31" s="4" t="s">
        <v>324</v>
      </c>
    </row>
    <row r="32" spans="4:25" s="4" customFormat="1" hidden="1">
      <c r="D32" s="9" t="s">
        <v>325</v>
      </c>
      <c r="E32" s="4">
        <v>316718</v>
      </c>
      <c r="F32" s="4">
        <f t="shared" ref="F32:Y32" si="12">E44</f>
        <v>285052</v>
      </c>
      <c r="G32" s="4">
        <f t="shared" si="12"/>
        <v>316457</v>
      </c>
      <c r="H32" s="4">
        <f t="shared" si="12"/>
        <v>273413</v>
      </c>
      <c r="I32" s="4">
        <f t="shared" si="12"/>
        <v>334147</v>
      </c>
      <c r="J32" s="4">
        <f t="shared" si="12"/>
        <v>352170</v>
      </c>
      <c r="K32" s="4">
        <f t="shared" si="12"/>
        <v>317242</v>
      </c>
      <c r="L32" s="4">
        <f t="shared" si="12"/>
        <v>317242</v>
      </c>
      <c r="M32" s="4">
        <f t="shared" si="12"/>
        <v>317242</v>
      </c>
      <c r="N32" s="4">
        <f t="shared" si="12"/>
        <v>317242</v>
      </c>
      <c r="O32" s="4">
        <f t="shared" si="12"/>
        <v>317242</v>
      </c>
      <c r="P32" s="4">
        <f t="shared" si="12"/>
        <v>317242</v>
      </c>
      <c r="Q32" s="4">
        <f t="shared" si="12"/>
        <v>317242</v>
      </c>
      <c r="R32" s="4">
        <f t="shared" si="12"/>
        <v>317242</v>
      </c>
      <c r="S32" s="4">
        <f t="shared" si="12"/>
        <v>317242</v>
      </c>
      <c r="T32" s="4">
        <f t="shared" si="12"/>
        <v>317242</v>
      </c>
      <c r="U32" s="4">
        <f t="shared" si="12"/>
        <v>317242</v>
      </c>
      <c r="V32" s="4">
        <f t="shared" si="12"/>
        <v>317242</v>
      </c>
      <c r="W32" s="4">
        <f t="shared" si="12"/>
        <v>317242</v>
      </c>
      <c r="X32" s="4">
        <f t="shared" si="12"/>
        <v>317242</v>
      </c>
      <c r="Y32" s="4">
        <f t="shared" si="12"/>
        <v>317242</v>
      </c>
    </row>
    <row r="33" spans="4:25" hidden="1">
      <c r="D33" s="9" t="s">
        <v>326</v>
      </c>
      <c r="E33">
        <v>46072</v>
      </c>
      <c r="F33">
        <v>94276</v>
      </c>
      <c r="G33">
        <v>28041</v>
      </c>
      <c r="H33">
        <v>127511</v>
      </c>
      <c r="I33">
        <v>91138</v>
      </c>
      <c r="J33">
        <v>91852</v>
      </c>
    </row>
    <row r="34" spans="4:25" hidden="1">
      <c r="D34" s="9" t="s">
        <v>327</v>
      </c>
      <c r="J34">
        <v>-26209</v>
      </c>
    </row>
    <row r="35" spans="4:25" hidden="1">
      <c r="D35" s="9" t="s">
        <v>398</v>
      </c>
    </row>
    <row r="36" spans="4:25" hidden="1">
      <c r="D36" s="9" t="s">
        <v>396</v>
      </c>
      <c r="H36">
        <v>1230</v>
      </c>
      <c r="J36">
        <v>-48</v>
      </c>
    </row>
    <row r="37" spans="4:25" s="4" customFormat="1" hidden="1">
      <c r="E37" s="4">
        <f t="shared" ref="E37:G37" si="13">SUM(E32:E36)</f>
        <v>362790</v>
      </c>
      <c r="F37" s="4">
        <f t="shared" si="13"/>
        <v>379328</v>
      </c>
      <c r="G37" s="4">
        <f t="shared" si="13"/>
        <v>344498</v>
      </c>
      <c r="H37" s="4">
        <f>SUM(H32:H36)</f>
        <v>402154</v>
      </c>
      <c r="I37" s="4">
        <f t="shared" ref="I37" si="14">SUM(I32:I36)</f>
        <v>425285</v>
      </c>
      <c r="J37" s="4">
        <f t="shared" ref="J37" si="15">SUM(J32:J36)</f>
        <v>417765</v>
      </c>
      <c r="K37" s="4">
        <f t="shared" ref="K37:L37" si="16">SUM(K32:K36)</f>
        <v>317242</v>
      </c>
      <c r="L37" s="4">
        <f t="shared" si="16"/>
        <v>317242</v>
      </c>
      <c r="M37" s="4">
        <f t="shared" ref="M37" si="17">SUM(M32:M36)</f>
        <v>317242</v>
      </c>
      <c r="N37" s="4">
        <f t="shared" ref="N37" si="18">SUM(N32:N36)</f>
        <v>317242</v>
      </c>
      <c r="O37" s="4">
        <f t="shared" ref="O37:P37" si="19">SUM(O32:O36)</f>
        <v>317242</v>
      </c>
      <c r="P37" s="4">
        <f t="shared" si="19"/>
        <v>317242</v>
      </c>
      <c r="Q37" s="4">
        <f t="shared" ref="Q37" si="20">SUM(Q32:Q36)</f>
        <v>317242</v>
      </c>
      <c r="R37" s="4">
        <f t="shared" ref="R37" si="21">SUM(R32:R36)</f>
        <v>317242</v>
      </c>
      <c r="S37" s="4">
        <f t="shared" ref="S37:T37" si="22">SUM(S32:S36)</f>
        <v>317242</v>
      </c>
      <c r="T37" s="4">
        <f t="shared" si="22"/>
        <v>317242</v>
      </c>
      <c r="U37" s="4">
        <f t="shared" ref="U37" si="23">SUM(U32:U36)</f>
        <v>317242</v>
      </c>
      <c r="V37" s="4">
        <f t="shared" ref="V37" si="24">SUM(V32:V36)</f>
        <v>317242</v>
      </c>
      <c r="W37" s="4">
        <f t="shared" ref="W37:X37" si="25">SUM(W32:W36)</f>
        <v>317242</v>
      </c>
      <c r="X37" s="4">
        <f t="shared" si="25"/>
        <v>317242</v>
      </c>
      <c r="Y37" s="4">
        <f t="shared" ref="Y37" si="26">SUM(Y32:Y36)</f>
        <v>317242</v>
      </c>
    </row>
    <row r="38" spans="4:25" s="9" customFormat="1" hidden="1">
      <c r="D38" s="9" t="s">
        <v>327</v>
      </c>
      <c r="E38" s="9">
        <v>-4542</v>
      </c>
      <c r="F38" s="9">
        <v>-954</v>
      </c>
      <c r="G38" s="9">
        <v>-1396</v>
      </c>
      <c r="H38" s="9">
        <v>-762</v>
      </c>
      <c r="I38" s="9">
        <v>-320</v>
      </c>
      <c r="J38" s="9">
        <v>-24116</v>
      </c>
    </row>
    <row r="39" spans="4:25" s="9" customFormat="1" hidden="1">
      <c r="D39" s="9" t="s">
        <v>253</v>
      </c>
      <c r="E39" s="9">
        <v>-7496</v>
      </c>
      <c r="F39" s="4">
        <v>-946</v>
      </c>
      <c r="G39" s="4">
        <v>-480</v>
      </c>
    </row>
    <row r="40" spans="4:25" s="9" customFormat="1" hidden="1">
      <c r="D40" s="9" t="s">
        <v>328</v>
      </c>
      <c r="E40" s="9">
        <v>-58858</v>
      </c>
      <c r="F40" s="9">
        <v>-3750</v>
      </c>
      <c r="G40" s="9">
        <v>-67399</v>
      </c>
      <c r="H40" s="9">
        <v>-67255</v>
      </c>
      <c r="I40" s="9">
        <v>-72035</v>
      </c>
      <c r="J40" s="9">
        <v>-76875</v>
      </c>
    </row>
    <row r="41" spans="4:25" s="9" customFormat="1" hidden="1">
      <c r="D41" s="9" t="s">
        <v>321</v>
      </c>
      <c r="E41" s="9">
        <v>-6818</v>
      </c>
      <c r="F41" s="4">
        <v>-57315</v>
      </c>
      <c r="G41" s="4">
        <v>-1839</v>
      </c>
      <c r="I41" s="9">
        <v>-713</v>
      </c>
      <c r="J41" s="9">
        <v>510</v>
      </c>
    </row>
    <row r="42" spans="4:25" s="9" customFormat="1" hidden="1">
      <c r="D42" s="9" t="s">
        <v>329</v>
      </c>
      <c r="E42" s="9">
        <v>-24</v>
      </c>
      <c r="F42" s="9">
        <v>94</v>
      </c>
      <c r="G42" s="9">
        <v>29</v>
      </c>
      <c r="H42" s="9">
        <v>10</v>
      </c>
      <c r="I42" s="9">
        <v>-47</v>
      </c>
      <c r="J42" s="9">
        <v>-42</v>
      </c>
    </row>
    <row r="43" spans="4:25" hidden="1"/>
    <row r="44" spans="4:25" s="4" customFormat="1" hidden="1">
      <c r="D44" s="4" t="s">
        <v>330</v>
      </c>
      <c r="E44" s="4">
        <f>SUM(E37:E42)</f>
        <v>285052</v>
      </c>
      <c r="F44" s="4">
        <f t="shared" ref="F44:Y44" si="27">SUM(F37:F42)</f>
        <v>316457</v>
      </c>
      <c r="G44" s="4">
        <f t="shared" ref="G44" si="28">SUM(G37:G42)</f>
        <v>273413</v>
      </c>
      <c r="H44" s="4">
        <f t="shared" si="27"/>
        <v>334147</v>
      </c>
      <c r="I44" s="4">
        <f t="shared" si="27"/>
        <v>352170</v>
      </c>
      <c r="J44" s="4">
        <f t="shared" si="27"/>
        <v>317242</v>
      </c>
      <c r="K44" s="4">
        <f t="shared" si="27"/>
        <v>317242</v>
      </c>
      <c r="L44" s="4">
        <f t="shared" si="27"/>
        <v>317242</v>
      </c>
      <c r="M44" s="4">
        <f t="shared" si="27"/>
        <v>317242</v>
      </c>
      <c r="N44" s="4">
        <f t="shared" si="27"/>
        <v>317242</v>
      </c>
      <c r="O44" s="4">
        <f>SUM(O37:O42)</f>
        <v>317242</v>
      </c>
      <c r="P44" s="4">
        <f t="shared" si="27"/>
        <v>317242</v>
      </c>
      <c r="Q44" s="4">
        <f t="shared" si="27"/>
        <v>317242</v>
      </c>
      <c r="R44" s="4">
        <f t="shared" si="27"/>
        <v>317242</v>
      </c>
      <c r="S44" s="4">
        <f t="shared" si="27"/>
        <v>317242</v>
      </c>
      <c r="T44" s="4">
        <f t="shared" si="27"/>
        <v>317242</v>
      </c>
      <c r="U44" s="4">
        <f t="shared" si="27"/>
        <v>317242</v>
      </c>
      <c r="V44" s="4">
        <f t="shared" si="27"/>
        <v>317242</v>
      </c>
      <c r="W44" s="4">
        <f t="shared" si="27"/>
        <v>317242</v>
      </c>
      <c r="X44" s="4">
        <f t="shared" si="27"/>
        <v>317242</v>
      </c>
      <c r="Y44" s="4">
        <f t="shared" si="27"/>
        <v>317242</v>
      </c>
    </row>
    <row r="45" spans="4:25" hidden="1"/>
    <row r="46" spans="4:25" s="14" customFormat="1" ht="11" hidden="1">
      <c r="D46" s="14" t="s">
        <v>391</v>
      </c>
      <c r="E46" s="14">
        <f>E28-E44</f>
        <v>0</v>
      </c>
      <c r="F46" s="14">
        <f t="shared" ref="F46:Y46" si="29">F28-F44</f>
        <v>0</v>
      </c>
      <c r="G46" s="14">
        <f t="shared" si="29"/>
        <v>0</v>
      </c>
      <c r="H46" s="14">
        <f t="shared" si="29"/>
        <v>0</v>
      </c>
      <c r="I46" s="14">
        <f t="shared" si="29"/>
        <v>0</v>
      </c>
      <c r="J46" s="14">
        <f t="shared" si="29"/>
        <v>47296</v>
      </c>
      <c r="K46" s="14">
        <f t="shared" si="29"/>
        <v>98381</v>
      </c>
      <c r="L46" s="14">
        <f t="shared" si="29"/>
        <v>118608</v>
      </c>
      <c r="M46" s="14">
        <f t="shared" si="29"/>
        <v>140778</v>
      </c>
      <c r="N46" s="14">
        <f t="shared" si="29"/>
        <v>195100</v>
      </c>
      <c r="O46" s="14">
        <f t="shared" si="29"/>
        <v>1220251</v>
      </c>
      <c r="P46" s="14">
        <f t="shared" si="29"/>
        <v>-317242</v>
      </c>
      <c r="Q46" s="14">
        <f t="shared" si="29"/>
        <v>-317242</v>
      </c>
      <c r="R46" s="14">
        <f t="shared" si="29"/>
        <v>-317242</v>
      </c>
      <c r="S46" s="14">
        <f t="shared" si="29"/>
        <v>-317242</v>
      </c>
      <c r="T46" s="14">
        <f t="shared" si="29"/>
        <v>-317242</v>
      </c>
      <c r="U46" s="14">
        <f t="shared" si="29"/>
        <v>-317242</v>
      </c>
      <c r="V46" s="14">
        <f t="shared" si="29"/>
        <v>-317242</v>
      </c>
      <c r="W46" s="14">
        <f t="shared" si="29"/>
        <v>-317242</v>
      </c>
      <c r="X46" s="14">
        <f t="shared" si="29"/>
        <v>-317242</v>
      </c>
      <c r="Y46" s="14">
        <f t="shared" si="29"/>
        <v>-317242</v>
      </c>
    </row>
    <row r="48" spans="4:25">
      <c r="D48" s="1" t="s">
        <v>331</v>
      </c>
      <c r="E48" s="1" t="s">
        <v>216</v>
      </c>
      <c r="F48" s="1" t="s">
        <v>217</v>
      </c>
      <c r="G48" s="1" t="s">
        <v>218</v>
      </c>
      <c r="H48" s="1" t="s">
        <v>28</v>
      </c>
      <c r="I48" s="1" t="s">
        <v>17</v>
      </c>
      <c r="J48" s="1" t="s">
        <v>18</v>
      </c>
      <c r="K48" s="1" t="s">
        <v>19</v>
      </c>
      <c r="L48" s="1" t="s">
        <v>20</v>
      </c>
      <c r="M48" s="1" t="s">
        <v>21</v>
      </c>
      <c r="N48" s="1" t="s">
        <v>22</v>
      </c>
      <c r="O48" s="1" t="s">
        <v>23</v>
      </c>
      <c r="P48" s="1" t="s">
        <v>24</v>
      </c>
      <c r="Q48" s="1" t="s">
        <v>25</v>
      </c>
      <c r="R48" s="1" t="s">
        <v>26</v>
      </c>
      <c r="S48" s="1" t="s">
        <v>27</v>
      </c>
      <c r="T48" s="1"/>
      <c r="U48" s="1"/>
      <c r="V48" s="1"/>
      <c r="W48" s="1"/>
      <c r="X48" s="1"/>
      <c r="Y48" s="1"/>
    </row>
    <row r="49" spans="4:25" s="4" customFormat="1">
      <c r="D49" s="4" t="s">
        <v>325</v>
      </c>
      <c r="E49" s="4">
        <v>53978</v>
      </c>
      <c r="F49" s="4">
        <f>E58</f>
        <v>52839</v>
      </c>
      <c r="G49" s="4">
        <f t="shared" ref="G49:Y49" si="30">F58</f>
        <v>62020</v>
      </c>
      <c r="H49" s="4">
        <f t="shared" si="30"/>
        <v>55512</v>
      </c>
      <c r="I49" s="4">
        <f t="shared" si="30"/>
        <v>45293</v>
      </c>
      <c r="J49" s="4">
        <f t="shared" si="30"/>
        <v>36117</v>
      </c>
      <c r="K49" s="4">
        <f t="shared" si="30"/>
        <v>16183</v>
      </c>
      <c r="L49" s="4">
        <f t="shared" si="30"/>
        <v>18101</v>
      </c>
      <c r="M49" s="4">
        <f t="shared" si="30"/>
        <v>88638</v>
      </c>
      <c r="N49" s="4">
        <f t="shared" si="30"/>
        <v>102802</v>
      </c>
      <c r="O49" s="4">
        <f t="shared" si="30"/>
        <v>97625</v>
      </c>
      <c r="P49" s="4">
        <f t="shared" si="30"/>
        <v>4469232</v>
      </c>
      <c r="Q49" s="4">
        <f t="shared" si="30"/>
        <v>4469232</v>
      </c>
      <c r="R49" s="4">
        <f t="shared" si="30"/>
        <v>4469232</v>
      </c>
      <c r="S49" s="4">
        <f t="shared" si="30"/>
        <v>4469232</v>
      </c>
      <c r="T49" s="4">
        <f t="shared" si="30"/>
        <v>4469232</v>
      </c>
      <c r="U49" s="4">
        <f t="shared" si="30"/>
        <v>4469232</v>
      </c>
      <c r="V49" s="4">
        <f t="shared" si="30"/>
        <v>4469232</v>
      </c>
      <c r="W49" s="4">
        <f t="shared" si="30"/>
        <v>4469232</v>
      </c>
      <c r="X49" s="4">
        <f t="shared" si="30"/>
        <v>4469232</v>
      </c>
      <c r="Y49" s="4">
        <f t="shared" si="30"/>
        <v>4469232</v>
      </c>
    </row>
    <row r="50" spans="4:25">
      <c r="D50" t="s">
        <v>327</v>
      </c>
      <c r="G50">
        <v>-3366</v>
      </c>
      <c r="H50">
        <v>-12098</v>
      </c>
      <c r="N50">
        <f>-10-(-2)</f>
        <v>-8</v>
      </c>
    </row>
    <row r="51" spans="4:25">
      <c r="D51" t="s">
        <v>326</v>
      </c>
      <c r="L51">
        <v>4402</v>
      </c>
      <c r="M51">
        <v>26695</v>
      </c>
      <c r="N51">
        <v>4436</v>
      </c>
      <c r="O51">
        <v>7517</v>
      </c>
    </row>
    <row r="52" spans="4:25">
      <c r="D52" t="s">
        <v>410</v>
      </c>
      <c r="O52">
        <f>-324-(-310)</f>
        <v>-14</v>
      </c>
    </row>
    <row r="53" spans="4:25">
      <c r="D53" t="s">
        <v>408</v>
      </c>
      <c r="N53">
        <f>45299-32483</f>
        <v>12816</v>
      </c>
    </row>
    <row r="54" spans="4:25">
      <c r="D54" t="s">
        <v>403</v>
      </c>
      <c r="L54">
        <v>78860</v>
      </c>
      <c r="O54">
        <f>3850003-1275</f>
        <v>3848728</v>
      </c>
    </row>
    <row r="55" spans="4:25">
      <c r="D55" t="s">
        <v>321</v>
      </c>
      <c r="E55">
        <v>-1900</v>
      </c>
      <c r="G55">
        <v>-6223</v>
      </c>
      <c r="H55">
        <v>-1476</v>
      </c>
      <c r="J55">
        <v>-17630</v>
      </c>
      <c r="L55">
        <v>-13205</v>
      </c>
    </row>
    <row r="56" spans="4:25">
      <c r="D56" t="s">
        <v>404</v>
      </c>
      <c r="L56">
        <v>-853</v>
      </c>
      <c r="M56">
        <v>-15175</v>
      </c>
      <c r="N56">
        <v>-22421</v>
      </c>
      <c r="O56">
        <v>-40748</v>
      </c>
    </row>
    <row r="57" spans="4:25">
      <c r="D57" t="s">
        <v>332</v>
      </c>
      <c r="E57">
        <v>761</v>
      </c>
      <c r="F57">
        <v>9181</v>
      </c>
      <c r="G57">
        <v>3081</v>
      </c>
      <c r="H57">
        <v>3355</v>
      </c>
      <c r="I57">
        <v>-9176</v>
      </c>
      <c r="J57">
        <v>-2304</v>
      </c>
      <c r="K57">
        <v>1918</v>
      </c>
      <c r="L57">
        <v>1333</v>
      </c>
      <c r="M57">
        <v>2644</v>
      </c>
      <c r="O57">
        <f>556800-676</f>
        <v>556124</v>
      </c>
    </row>
    <row r="58" spans="4:25" s="4" customFormat="1">
      <c r="D58" s="4" t="s">
        <v>330</v>
      </c>
      <c r="E58" s="4">
        <f t="shared" ref="E58:Y58" si="31">SUM(E49:E57)</f>
        <v>52839</v>
      </c>
      <c r="F58" s="4">
        <f t="shared" si="31"/>
        <v>62020</v>
      </c>
      <c r="G58" s="4">
        <f t="shared" si="31"/>
        <v>55512</v>
      </c>
      <c r="H58" s="4">
        <f t="shared" si="31"/>
        <v>45293</v>
      </c>
      <c r="I58" s="4">
        <f t="shared" si="31"/>
        <v>36117</v>
      </c>
      <c r="J58" s="4">
        <f t="shared" si="31"/>
        <v>16183</v>
      </c>
      <c r="K58" s="4">
        <f t="shared" si="31"/>
        <v>18101</v>
      </c>
      <c r="L58" s="4">
        <f t="shared" si="31"/>
        <v>88638</v>
      </c>
      <c r="M58" s="4">
        <f t="shared" si="31"/>
        <v>102802</v>
      </c>
      <c r="N58" s="4">
        <f t="shared" si="31"/>
        <v>97625</v>
      </c>
      <c r="O58" s="4">
        <f t="shared" si="31"/>
        <v>4469232</v>
      </c>
      <c r="P58" s="4">
        <f t="shared" si="31"/>
        <v>4469232</v>
      </c>
      <c r="Q58" s="4">
        <f t="shared" si="31"/>
        <v>4469232</v>
      </c>
      <c r="R58" s="4">
        <f t="shared" si="31"/>
        <v>4469232</v>
      </c>
      <c r="S58" s="4">
        <f t="shared" si="31"/>
        <v>4469232</v>
      </c>
      <c r="T58" s="4">
        <f t="shared" si="31"/>
        <v>4469232</v>
      </c>
      <c r="U58" s="4">
        <f t="shared" si="31"/>
        <v>4469232</v>
      </c>
      <c r="V58" s="4">
        <f t="shared" si="31"/>
        <v>4469232</v>
      </c>
      <c r="W58" s="4">
        <f t="shared" si="31"/>
        <v>4469232</v>
      </c>
      <c r="X58" s="4">
        <f t="shared" si="31"/>
        <v>4469232</v>
      </c>
      <c r="Y58" s="4">
        <f t="shared" si="31"/>
        <v>4469232</v>
      </c>
    </row>
    <row r="61" spans="4:25">
      <c r="D61" s="1" t="s">
        <v>333</v>
      </c>
      <c r="E61" s="1" t="s">
        <v>216</v>
      </c>
      <c r="F61" s="1" t="s">
        <v>217</v>
      </c>
      <c r="G61" s="1" t="s">
        <v>218</v>
      </c>
      <c r="H61" s="1" t="s">
        <v>28</v>
      </c>
      <c r="I61" s="1" t="s">
        <v>17</v>
      </c>
      <c r="J61" s="1" t="s">
        <v>18</v>
      </c>
      <c r="K61" s="1" t="s">
        <v>19</v>
      </c>
      <c r="L61" s="1" t="s">
        <v>20</v>
      </c>
      <c r="M61" s="1" t="s">
        <v>21</v>
      </c>
      <c r="N61" s="1" t="s">
        <v>22</v>
      </c>
      <c r="O61" s="1" t="s">
        <v>23</v>
      </c>
      <c r="P61" s="1" t="s">
        <v>24</v>
      </c>
      <c r="Q61" s="1" t="s">
        <v>25</v>
      </c>
      <c r="R61" s="1" t="s">
        <v>26</v>
      </c>
      <c r="S61" s="1" t="s">
        <v>27</v>
      </c>
      <c r="T61" s="1"/>
      <c r="U61" s="1"/>
      <c r="V61" s="1"/>
      <c r="W61" s="1"/>
      <c r="X61" s="1"/>
      <c r="Y61" s="1"/>
    </row>
    <row r="62" spans="4:25" s="4" customFormat="1">
      <c r="D62" s="4" t="s">
        <v>334</v>
      </c>
      <c r="E62" s="4">
        <v>-4995</v>
      </c>
      <c r="F62" s="4">
        <f>E90</f>
        <v>-10246</v>
      </c>
      <c r="G62" s="4">
        <f t="shared" ref="G62:Y62" si="32">F90</f>
        <v>-17024</v>
      </c>
      <c r="H62" s="4">
        <f t="shared" si="32"/>
        <v>-22147</v>
      </c>
      <c r="I62" s="4">
        <f t="shared" si="32"/>
        <v>-39347</v>
      </c>
      <c r="J62" s="4">
        <f t="shared" si="32"/>
        <v>-43951</v>
      </c>
      <c r="K62" s="4">
        <f t="shared" si="32"/>
        <v>-38372</v>
      </c>
      <c r="L62" s="4">
        <f t="shared" si="32"/>
        <v>-28465</v>
      </c>
      <c r="M62" s="32">
        <f t="shared" si="32"/>
        <v>-18656</v>
      </c>
      <c r="N62" s="4">
        <f t="shared" si="32"/>
        <v>-8184</v>
      </c>
      <c r="O62" s="4">
        <f t="shared" si="32"/>
        <v>-34096</v>
      </c>
      <c r="P62" s="4">
        <f t="shared" si="32"/>
        <v>-304522</v>
      </c>
      <c r="Q62" s="4">
        <f t="shared" si="32"/>
        <v>0</v>
      </c>
      <c r="R62" s="4">
        <f t="shared" si="32"/>
        <v>0</v>
      </c>
      <c r="S62" s="4">
        <f t="shared" si="32"/>
        <v>0</v>
      </c>
      <c r="T62" s="4">
        <f t="shared" si="32"/>
        <v>0</v>
      </c>
      <c r="U62" s="4">
        <f t="shared" si="32"/>
        <v>0</v>
      </c>
      <c r="V62" s="4">
        <f t="shared" si="32"/>
        <v>0</v>
      </c>
      <c r="W62" s="4">
        <f t="shared" si="32"/>
        <v>0</v>
      </c>
      <c r="X62" s="4">
        <f t="shared" si="32"/>
        <v>0</v>
      </c>
      <c r="Y62" s="4">
        <f t="shared" si="32"/>
        <v>0</v>
      </c>
    </row>
    <row r="63" spans="4:25">
      <c r="D63" t="s">
        <v>253</v>
      </c>
      <c r="E63">
        <v>-725</v>
      </c>
      <c r="F63">
        <v>30</v>
      </c>
      <c r="H63">
        <v>-414</v>
      </c>
      <c r="M63" s="33"/>
    </row>
    <row r="64" spans="4:25">
      <c r="D64" t="s">
        <v>335</v>
      </c>
      <c r="E64">
        <v>13</v>
      </c>
      <c r="F64">
        <v>10</v>
      </c>
      <c r="G64">
        <v>-124</v>
      </c>
      <c r="I64">
        <v>-6</v>
      </c>
      <c r="J64">
        <v>1</v>
      </c>
      <c r="M64" s="33"/>
      <c r="O64">
        <v>-32373</v>
      </c>
    </row>
    <row r="65" spans="4:25">
      <c r="D65" t="s">
        <v>411</v>
      </c>
      <c r="M65" s="33"/>
      <c r="O65">
        <v>538</v>
      </c>
    </row>
    <row r="66" spans="4:25">
      <c r="D66" t="s">
        <v>412</v>
      </c>
      <c r="M66" s="33"/>
      <c r="O66">
        <v>8010</v>
      </c>
    </row>
    <row r="67" spans="4:25">
      <c r="D67" t="s">
        <v>399</v>
      </c>
      <c r="K67">
        <v>-2225</v>
      </c>
      <c r="M67" s="33"/>
      <c r="O67">
        <v>-243322</v>
      </c>
    </row>
    <row r="68" spans="4:25">
      <c r="D68" t="s">
        <v>400</v>
      </c>
      <c r="K68">
        <v>12132</v>
      </c>
      <c r="M68" s="33"/>
    </row>
    <row r="69" spans="4:25">
      <c r="D69" t="s">
        <v>172</v>
      </c>
      <c r="E69">
        <v>-57</v>
      </c>
      <c r="H69">
        <v>688</v>
      </c>
      <c r="J69">
        <v>606</v>
      </c>
      <c r="L69">
        <v>-2</v>
      </c>
      <c r="M69" s="33">
        <v>705</v>
      </c>
      <c r="O69">
        <v>-3279</v>
      </c>
    </row>
    <row r="70" spans="4:25">
      <c r="D70" t="s">
        <v>336</v>
      </c>
      <c r="E70">
        <v>-4482</v>
      </c>
      <c r="F70">
        <v>-6818</v>
      </c>
      <c r="G70">
        <v>-4999</v>
      </c>
      <c r="H70">
        <v>-17474</v>
      </c>
      <c r="I70">
        <v>-4598</v>
      </c>
      <c r="J70">
        <v>4972</v>
      </c>
      <c r="L70">
        <v>9811</v>
      </c>
      <c r="M70" s="33">
        <v>9631</v>
      </c>
      <c r="N70">
        <v>-25912</v>
      </c>
    </row>
    <row r="71" spans="4:25" s="4" customFormat="1">
      <c r="D71" s="4" t="s">
        <v>337</v>
      </c>
      <c r="E71" s="4">
        <f>SUM(E62:E70)</f>
        <v>-10246</v>
      </c>
      <c r="F71" s="4">
        <f t="shared" ref="F71:Y71" si="33">SUM(F62:F70)</f>
        <v>-17024</v>
      </c>
      <c r="G71" s="4">
        <f t="shared" si="33"/>
        <v>-22147</v>
      </c>
      <c r="H71" s="4">
        <f t="shared" si="33"/>
        <v>-39347</v>
      </c>
      <c r="I71" s="4">
        <f t="shared" si="33"/>
        <v>-43951</v>
      </c>
      <c r="J71" s="4">
        <f t="shared" si="33"/>
        <v>-38372</v>
      </c>
      <c r="K71" s="4">
        <f t="shared" si="33"/>
        <v>-28465</v>
      </c>
      <c r="L71" s="4">
        <f t="shared" si="33"/>
        <v>-18656</v>
      </c>
      <c r="M71" s="32">
        <f t="shared" si="33"/>
        <v>-8320</v>
      </c>
      <c r="N71" s="4">
        <f t="shared" si="33"/>
        <v>-34096</v>
      </c>
      <c r="O71" s="4">
        <f t="shared" si="33"/>
        <v>-304522</v>
      </c>
      <c r="P71" s="4">
        <f t="shared" si="33"/>
        <v>-304522</v>
      </c>
      <c r="Q71" s="4">
        <f t="shared" si="33"/>
        <v>0</v>
      </c>
      <c r="R71" s="4">
        <f t="shared" si="33"/>
        <v>0</v>
      </c>
      <c r="S71" s="4">
        <f t="shared" si="33"/>
        <v>0</v>
      </c>
      <c r="T71" s="4">
        <f t="shared" si="33"/>
        <v>0</v>
      </c>
      <c r="U71" s="4">
        <f t="shared" si="33"/>
        <v>0</v>
      </c>
      <c r="V71" s="4">
        <f t="shared" si="33"/>
        <v>0</v>
      </c>
      <c r="W71" s="4">
        <f t="shared" si="33"/>
        <v>0</v>
      </c>
      <c r="X71" s="4">
        <f t="shared" si="33"/>
        <v>0</v>
      </c>
      <c r="Y71" s="4">
        <f t="shared" si="33"/>
        <v>0</v>
      </c>
    </row>
    <row r="73" spans="4:25">
      <c r="D73" t="s">
        <v>338</v>
      </c>
    </row>
    <row r="74" spans="4:25">
      <c r="D74" t="s">
        <v>339</v>
      </c>
    </row>
    <row r="75" spans="4:25">
      <c r="D75" t="s">
        <v>340</v>
      </c>
      <c r="E75">
        <v>2819</v>
      </c>
      <c r="F75">
        <v>-2788</v>
      </c>
      <c r="G75">
        <v>-1355</v>
      </c>
      <c r="H75">
        <v>-40000</v>
      </c>
      <c r="I75">
        <v>-47667</v>
      </c>
      <c r="J75">
        <v>-52329</v>
      </c>
      <c r="K75">
        <v>-58885</v>
      </c>
      <c r="L75">
        <v>-44900</v>
      </c>
      <c r="M75">
        <v>-29942</v>
      </c>
      <c r="N75">
        <v>-48492</v>
      </c>
      <c r="O75">
        <v>-95803</v>
      </c>
    </row>
    <row r="76" spans="4:25">
      <c r="D76" t="s">
        <v>413</v>
      </c>
      <c r="O76">
        <v>94733</v>
      </c>
    </row>
    <row r="77" spans="4:25">
      <c r="D77" t="s">
        <v>414</v>
      </c>
      <c r="O77">
        <v>-63669</v>
      </c>
    </row>
    <row r="78" spans="4:25">
      <c r="D78" t="s">
        <v>341</v>
      </c>
      <c r="E78">
        <v>3364</v>
      </c>
      <c r="F78">
        <v>2295</v>
      </c>
      <c r="G78">
        <v>1274</v>
      </c>
      <c r="H78">
        <v>250</v>
      </c>
    </row>
    <row r="79" spans="4:25">
      <c r="D79" t="s">
        <v>342</v>
      </c>
      <c r="E79">
        <v>594</v>
      </c>
      <c r="F79">
        <v>2964</v>
      </c>
      <c r="I79">
        <v>6524</v>
      </c>
      <c r="J79">
        <v>6896</v>
      </c>
      <c r="K79">
        <v>13085</v>
      </c>
      <c r="L79">
        <v>14142</v>
      </c>
      <c r="M79">
        <v>10288</v>
      </c>
      <c r="N79">
        <v>22080</v>
      </c>
      <c r="O79">
        <v>31331</v>
      </c>
    </row>
    <row r="80" spans="4:25">
      <c r="D80" t="s">
        <v>343</v>
      </c>
      <c r="E80">
        <v>8479</v>
      </c>
      <c r="F80">
        <v>10379</v>
      </c>
      <c r="G80">
        <v>10519</v>
      </c>
      <c r="H80">
        <v>4493</v>
      </c>
      <c r="I80">
        <v>10076</v>
      </c>
      <c r="J80">
        <v>22635</v>
      </c>
      <c r="K80">
        <v>33290</v>
      </c>
      <c r="L80">
        <v>26426</v>
      </c>
      <c r="M80">
        <v>27658</v>
      </c>
      <c r="N80">
        <v>21610</v>
      </c>
      <c r="O80">
        <v>24928</v>
      </c>
    </row>
    <row r="81" spans="4:25" s="4" customFormat="1">
      <c r="D81" s="4" t="s">
        <v>346</v>
      </c>
      <c r="E81" s="4">
        <f>SUM(E75:E80)</f>
        <v>15256</v>
      </c>
      <c r="F81" s="4">
        <f t="shared" ref="F81:Y81" si="34">SUM(F75:F80)</f>
        <v>12850</v>
      </c>
      <c r="G81" s="4">
        <f t="shared" si="34"/>
        <v>10438</v>
      </c>
      <c r="H81" s="4">
        <f t="shared" si="34"/>
        <v>-35257</v>
      </c>
      <c r="I81" s="4">
        <f t="shared" si="34"/>
        <v>-31067</v>
      </c>
      <c r="J81" s="4">
        <f t="shared" si="34"/>
        <v>-22798</v>
      </c>
      <c r="K81" s="4">
        <f t="shared" si="34"/>
        <v>-12510</v>
      </c>
      <c r="L81" s="4">
        <f t="shared" si="34"/>
        <v>-4332</v>
      </c>
      <c r="M81" s="4">
        <f t="shared" si="34"/>
        <v>8004</v>
      </c>
      <c r="N81" s="4">
        <f t="shared" si="34"/>
        <v>-4802</v>
      </c>
      <c r="O81" s="4">
        <f t="shared" si="34"/>
        <v>-8480</v>
      </c>
      <c r="P81" s="4">
        <f t="shared" si="34"/>
        <v>0</v>
      </c>
      <c r="Q81" s="4">
        <f t="shared" si="34"/>
        <v>0</v>
      </c>
      <c r="R81" s="4">
        <f t="shared" si="34"/>
        <v>0</v>
      </c>
      <c r="S81" s="4">
        <f t="shared" si="34"/>
        <v>0</v>
      </c>
      <c r="T81" s="4">
        <f t="shared" si="34"/>
        <v>0</v>
      </c>
      <c r="U81" s="4">
        <f t="shared" si="34"/>
        <v>0</v>
      </c>
      <c r="V81" s="4">
        <f t="shared" si="34"/>
        <v>0</v>
      </c>
      <c r="W81" s="4">
        <f t="shared" si="34"/>
        <v>0</v>
      </c>
      <c r="X81" s="4">
        <f t="shared" si="34"/>
        <v>0</v>
      </c>
      <c r="Y81" s="4">
        <f t="shared" si="34"/>
        <v>0</v>
      </c>
    </row>
    <row r="83" spans="4:25">
      <c r="D83" t="s">
        <v>344</v>
      </c>
    </row>
    <row r="84" spans="4:25">
      <c r="D84" t="s">
        <v>340</v>
      </c>
      <c r="E84">
        <v>-29113</v>
      </c>
      <c r="F84">
        <v>-30233</v>
      </c>
      <c r="G84">
        <v>-32946</v>
      </c>
    </row>
    <row r="85" spans="4:25">
      <c r="D85" t="s">
        <v>392</v>
      </c>
      <c r="F85">
        <v>-1514</v>
      </c>
      <c r="G85">
        <v>-2054</v>
      </c>
      <c r="H85">
        <v>-5378</v>
      </c>
      <c r="I85">
        <v>-12884</v>
      </c>
      <c r="J85">
        <v>-15574</v>
      </c>
      <c r="K85">
        <v>-15955</v>
      </c>
      <c r="L85">
        <v>-14324</v>
      </c>
      <c r="M85">
        <v>-16188</v>
      </c>
      <c r="N85">
        <v>-29294</v>
      </c>
      <c r="O85">
        <v>-296042</v>
      </c>
    </row>
    <row r="86" spans="4:25">
      <c r="D86" t="s">
        <v>345</v>
      </c>
      <c r="E86">
        <v>-3142</v>
      </c>
    </row>
    <row r="87" spans="4:25">
      <c r="D87" t="s">
        <v>342</v>
      </c>
      <c r="E87">
        <v>6753</v>
      </c>
      <c r="F87">
        <v>1873</v>
      </c>
      <c r="G87">
        <v>2415</v>
      </c>
      <c r="H87">
        <v>1288</v>
      </c>
    </row>
    <row r="88" spans="4:25" s="4" customFormat="1">
      <c r="D88" s="4" t="s">
        <v>346</v>
      </c>
      <c r="E88" s="4">
        <f>SUM(E84:E87)</f>
        <v>-25502</v>
      </c>
      <c r="F88" s="4">
        <f t="shared" ref="F88:Y88" si="35">SUM(F84:F87)</f>
        <v>-29874</v>
      </c>
      <c r="G88" s="4">
        <f t="shared" si="35"/>
        <v>-32585</v>
      </c>
      <c r="H88" s="4">
        <f t="shared" si="35"/>
        <v>-4090</v>
      </c>
      <c r="I88" s="4">
        <f t="shared" si="35"/>
        <v>-12884</v>
      </c>
      <c r="J88" s="4">
        <f t="shared" si="35"/>
        <v>-15574</v>
      </c>
      <c r="K88" s="4">
        <f t="shared" si="35"/>
        <v>-15955</v>
      </c>
      <c r="L88" s="4">
        <f t="shared" si="35"/>
        <v>-14324</v>
      </c>
      <c r="M88" s="4">
        <f t="shared" si="35"/>
        <v>-16188</v>
      </c>
      <c r="N88" s="4">
        <f t="shared" si="35"/>
        <v>-29294</v>
      </c>
      <c r="O88" s="4">
        <f t="shared" si="35"/>
        <v>-296042</v>
      </c>
      <c r="P88" s="4">
        <f t="shared" si="35"/>
        <v>0</v>
      </c>
      <c r="Q88" s="4">
        <f t="shared" si="35"/>
        <v>0</v>
      </c>
      <c r="R88" s="4">
        <f t="shared" si="35"/>
        <v>0</v>
      </c>
      <c r="S88" s="4">
        <f t="shared" si="35"/>
        <v>0</v>
      </c>
      <c r="T88" s="4">
        <f t="shared" si="35"/>
        <v>0</v>
      </c>
      <c r="U88" s="4">
        <f t="shared" si="35"/>
        <v>0</v>
      </c>
      <c r="V88" s="4">
        <f t="shared" si="35"/>
        <v>0</v>
      </c>
      <c r="W88" s="4">
        <f t="shared" si="35"/>
        <v>0</v>
      </c>
      <c r="X88" s="4">
        <f t="shared" si="35"/>
        <v>0</v>
      </c>
      <c r="Y88" s="4">
        <f t="shared" si="35"/>
        <v>0</v>
      </c>
    </row>
    <row r="90" spans="4:25" s="4" customFormat="1">
      <c r="D90" s="4" t="s">
        <v>103</v>
      </c>
      <c r="E90" s="4">
        <f>E81+E88</f>
        <v>-10246</v>
      </c>
      <c r="F90" s="4">
        <f t="shared" ref="F90:Y90" si="36">F81+F88</f>
        <v>-17024</v>
      </c>
      <c r="G90" s="4">
        <f t="shared" si="36"/>
        <v>-22147</v>
      </c>
      <c r="H90" s="4">
        <f t="shared" si="36"/>
        <v>-39347</v>
      </c>
      <c r="I90" s="4">
        <f t="shared" si="36"/>
        <v>-43951</v>
      </c>
      <c r="J90" s="4">
        <f t="shared" si="36"/>
        <v>-38372</v>
      </c>
      <c r="K90" s="4">
        <f t="shared" si="36"/>
        <v>-28465</v>
      </c>
      <c r="L90" s="4">
        <f t="shared" si="36"/>
        <v>-18656</v>
      </c>
      <c r="M90" s="4">
        <f t="shared" si="36"/>
        <v>-8184</v>
      </c>
      <c r="N90" s="4">
        <f t="shared" si="36"/>
        <v>-34096</v>
      </c>
      <c r="O90" s="4">
        <f t="shared" si="36"/>
        <v>-304522</v>
      </c>
      <c r="P90" s="4">
        <f t="shared" si="36"/>
        <v>0</v>
      </c>
      <c r="Q90" s="4">
        <f t="shared" si="36"/>
        <v>0</v>
      </c>
      <c r="R90" s="4">
        <f t="shared" si="36"/>
        <v>0</v>
      </c>
      <c r="S90" s="4">
        <f t="shared" si="36"/>
        <v>0</v>
      </c>
      <c r="T90" s="4">
        <f t="shared" si="36"/>
        <v>0</v>
      </c>
      <c r="U90" s="4">
        <f t="shared" si="36"/>
        <v>0</v>
      </c>
      <c r="V90" s="4">
        <f t="shared" si="36"/>
        <v>0</v>
      </c>
      <c r="W90" s="4">
        <f t="shared" si="36"/>
        <v>0</v>
      </c>
      <c r="X90" s="4">
        <f t="shared" si="36"/>
        <v>0</v>
      </c>
      <c r="Y90" s="4">
        <f t="shared" si="36"/>
        <v>0</v>
      </c>
    </row>
    <row r="92" spans="4:25" ht="45">
      <c r="D92" s="31" t="s">
        <v>347</v>
      </c>
      <c r="E92">
        <v>19479</v>
      </c>
      <c r="F92">
        <v>10109</v>
      </c>
      <c r="G92">
        <v>18300</v>
      </c>
      <c r="H92">
        <v>10033</v>
      </c>
      <c r="I92">
        <v>5119</v>
      </c>
      <c r="J92">
        <v>9882</v>
      </c>
      <c r="K92">
        <v>7388</v>
      </c>
      <c r="L92">
        <v>5410</v>
      </c>
      <c r="M92">
        <v>14339</v>
      </c>
      <c r="N92">
        <v>10374</v>
      </c>
      <c r="O92">
        <v>6570</v>
      </c>
    </row>
    <row r="95" spans="4:25">
      <c r="D95" s="1" t="s">
        <v>348</v>
      </c>
      <c r="E95" s="1" t="s">
        <v>216</v>
      </c>
      <c r="F95" s="1" t="s">
        <v>217</v>
      </c>
      <c r="G95" s="1" t="s">
        <v>218</v>
      </c>
      <c r="H95" s="1" t="s">
        <v>28</v>
      </c>
      <c r="I95" s="1" t="s">
        <v>17</v>
      </c>
      <c r="J95" s="1" t="s">
        <v>18</v>
      </c>
      <c r="K95" s="1" t="s">
        <v>19</v>
      </c>
      <c r="L95" s="1" t="s">
        <v>20</v>
      </c>
      <c r="M95" s="1" t="s">
        <v>21</v>
      </c>
      <c r="N95" s="1" t="s">
        <v>22</v>
      </c>
      <c r="O95" s="1" t="s">
        <v>23</v>
      </c>
      <c r="P95" s="1" t="s">
        <v>24</v>
      </c>
      <c r="Q95" s="1" t="s">
        <v>25</v>
      </c>
      <c r="R95" s="1" t="s">
        <v>26</v>
      </c>
      <c r="S95" s="1" t="s">
        <v>27</v>
      </c>
      <c r="T95" s="1"/>
      <c r="U95" s="1"/>
      <c r="V95" s="1"/>
      <c r="W95" s="1"/>
      <c r="X95" s="1"/>
      <c r="Y95" s="1"/>
    </row>
    <row r="96" spans="4:25">
      <c r="D96" t="s">
        <v>349</v>
      </c>
      <c r="E96">
        <v>158600</v>
      </c>
      <c r="F96">
        <v>135506</v>
      </c>
      <c r="G96">
        <v>41625</v>
      </c>
      <c r="H96">
        <v>33062</v>
      </c>
      <c r="I96">
        <v>18310</v>
      </c>
      <c r="J96">
        <v>12485</v>
      </c>
      <c r="K96">
        <v>22200</v>
      </c>
      <c r="L96">
        <v>19782</v>
      </c>
      <c r="M96">
        <v>27738</v>
      </c>
      <c r="N96">
        <v>21148</v>
      </c>
      <c r="O96">
        <v>110968</v>
      </c>
    </row>
    <row r="97" spans="4:25">
      <c r="D97" t="s">
        <v>350</v>
      </c>
      <c r="E97">
        <v>115863</v>
      </c>
      <c r="F97">
        <v>103848</v>
      </c>
      <c r="G97">
        <v>19890</v>
      </c>
      <c r="H97">
        <v>16211</v>
      </c>
      <c r="I97">
        <v>7658</v>
      </c>
      <c r="J97">
        <v>3367</v>
      </c>
      <c r="K97">
        <v>211</v>
      </c>
      <c r="L97">
        <v>7511</v>
      </c>
      <c r="M97">
        <v>7696</v>
      </c>
      <c r="N97">
        <v>7279</v>
      </c>
    </row>
    <row r="99" spans="4:25">
      <c r="D99" t="s">
        <v>351</v>
      </c>
      <c r="E99">
        <f>E96-E97</f>
        <v>42737</v>
      </c>
      <c r="F99">
        <f t="shared" ref="F99:Y99" si="37">F96-F97</f>
        <v>31658</v>
      </c>
      <c r="G99">
        <f t="shared" si="37"/>
        <v>21735</v>
      </c>
      <c r="H99">
        <f t="shared" si="37"/>
        <v>16851</v>
      </c>
      <c r="I99">
        <f t="shared" si="37"/>
        <v>10652</v>
      </c>
      <c r="J99">
        <f t="shared" si="37"/>
        <v>9118</v>
      </c>
      <c r="K99">
        <f t="shared" si="37"/>
        <v>21989</v>
      </c>
      <c r="L99">
        <f t="shared" si="37"/>
        <v>12271</v>
      </c>
      <c r="M99">
        <f t="shared" si="37"/>
        <v>20042</v>
      </c>
      <c r="N99">
        <f t="shared" si="37"/>
        <v>13869</v>
      </c>
      <c r="O99">
        <f t="shared" si="37"/>
        <v>110968</v>
      </c>
      <c r="P99">
        <f t="shared" si="37"/>
        <v>0</v>
      </c>
      <c r="Q99">
        <f t="shared" si="37"/>
        <v>0</v>
      </c>
      <c r="R99">
        <f t="shared" si="37"/>
        <v>0</v>
      </c>
      <c r="S99">
        <f t="shared" si="37"/>
        <v>0</v>
      </c>
      <c r="T99">
        <f t="shared" si="37"/>
        <v>0</v>
      </c>
      <c r="U99">
        <f t="shared" si="37"/>
        <v>0</v>
      </c>
      <c r="V99">
        <f t="shared" si="37"/>
        <v>0</v>
      </c>
      <c r="W99">
        <f t="shared" si="37"/>
        <v>0</v>
      </c>
      <c r="X99">
        <f t="shared" si="37"/>
        <v>0</v>
      </c>
      <c r="Y99">
        <f t="shared" si="37"/>
        <v>0</v>
      </c>
    </row>
    <row r="100" spans="4:25">
      <c r="D100" t="s">
        <v>352</v>
      </c>
      <c r="F100">
        <v>88000</v>
      </c>
      <c r="G100">
        <v>99306</v>
      </c>
      <c r="H100">
        <v>114186</v>
      </c>
      <c r="I100">
        <v>129238</v>
      </c>
      <c r="J100">
        <v>142349</v>
      </c>
      <c r="K100">
        <v>131026</v>
      </c>
      <c r="L100">
        <v>130044</v>
      </c>
      <c r="M100">
        <v>99680</v>
      </c>
      <c r="N100">
        <v>99492</v>
      </c>
    </row>
    <row r="101" spans="4:25">
      <c r="D101" t="s">
        <v>108</v>
      </c>
      <c r="E101">
        <v>188</v>
      </c>
      <c r="F101">
        <v>320</v>
      </c>
      <c r="G101">
        <v>320</v>
      </c>
      <c r="H101">
        <v>221</v>
      </c>
      <c r="I101">
        <v>221</v>
      </c>
      <c r="J101">
        <v>430</v>
      </c>
      <c r="K101">
        <v>430</v>
      </c>
      <c r="L101">
        <v>625</v>
      </c>
      <c r="M101">
        <v>603</v>
      </c>
      <c r="N101">
        <v>604</v>
      </c>
      <c r="O101">
        <v>302</v>
      </c>
    </row>
    <row r="102" spans="4:25" s="4" customFormat="1">
      <c r="D102" s="4" t="s">
        <v>103</v>
      </c>
      <c r="E102" s="4">
        <f>SUM(E99:E101)</f>
        <v>42925</v>
      </c>
      <c r="F102" s="4">
        <f t="shared" ref="F102:Y102" si="38">SUM(F99:F101)</f>
        <v>119978</v>
      </c>
      <c r="G102" s="4">
        <f t="shared" si="38"/>
        <v>121361</v>
      </c>
      <c r="H102" s="4">
        <f t="shared" si="38"/>
        <v>131258</v>
      </c>
      <c r="I102" s="4">
        <f t="shared" si="38"/>
        <v>140111</v>
      </c>
      <c r="J102" s="4">
        <f t="shared" si="38"/>
        <v>151897</v>
      </c>
      <c r="K102" s="4">
        <f t="shared" si="38"/>
        <v>153445</v>
      </c>
      <c r="L102" s="4">
        <f t="shared" si="38"/>
        <v>142940</v>
      </c>
      <c r="M102" s="4">
        <f t="shared" si="38"/>
        <v>120325</v>
      </c>
      <c r="N102" s="4">
        <f t="shared" si="38"/>
        <v>113965</v>
      </c>
      <c r="O102" s="4">
        <f t="shared" si="38"/>
        <v>111270</v>
      </c>
      <c r="P102" s="4">
        <f t="shared" si="38"/>
        <v>0</v>
      </c>
      <c r="Q102" s="4">
        <f t="shared" si="38"/>
        <v>0</v>
      </c>
      <c r="R102" s="4">
        <f t="shared" si="38"/>
        <v>0</v>
      </c>
      <c r="S102" s="4">
        <f t="shared" si="38"/>
        <v>0</v>
      </c>
      <c r="T102" s="4">
        <f t="shared" si="38"/>
        <v>0</v>
      </c>
      <c r="U102" s="4">
        <f t="shared" si="38"/>
        <v>0</v>
      </c>
      <c r="V102" s="4">
        <f t="shared" si="38"/>
        <v>0</v>
      </c>
      <c r="W102" s="4">
        <f t="shared" si="38"/>
        <v>0</v>
      </c>
      <c r="X102" s="4">
        <f t="shared" si="38"/>
        <v>0</v>
      </c>
      <c r="Y102" s="4">
        <f t="shared" si="38"/>
        <v>0</v>
      </c>
    </row>
    <row r="105" spans="4:25">
      <c r="D105" s="1" t="s">
        <v>353</v>
      </c>
      <c r="E105" s="1" t="s">
        <v>216</v>
      </c>
      <c r="F105" s="1" t="s">
        <v>217</v>
      </c>
      <c r="G105" s="1" t="s">
        <v>218</v>
      </c>
      <c r="H105" s="1" t="s">
        <v>28</v>
      </c>
      <c r="I105" s="1" t="s">
        <v>17</v>
      </c>
      <c r="J105" s="1" t="s">
        <v>18</v>
      </c>
      <c r="K105" s="1" t="s">
        <v>19</v>
      </c>
      <c r="L105" s="1" t="s">
        <v>20</v>
      </c>
      <c r="M105" s="1" t="s">
        <v>21</v>
      </c>
      <c r="N105" s="1" t="s">
        <v>22</v>
      </c>
      <c r="O105" s="1" t="s">
        <v>23</v>
      </c>
      <c r="P105" s="1" t="s">
        <v>24</v>
      </c>
      <c r="Q105" s="1" t="s">
        <v>25</v>
      </c>
      <c r="R105" s="1" t="s">
        <v>26</v>
      </c>
      <c r="S105" s="1" t="s">
        <v>27</v>
      </c>
      <c r="T105" s="1"/>
      <c r="U105" s="1"/>
      <c r="V105" s="1"/>
      <c r="W105" s="1"/>
      <c r="X105" s="1"/>
      <c r="Y105" s="1"/>
    </row>
    <row r="106" spans="4:25">
      <c r="D106" t="s">
        <v>354</v>
      </c>
      <c r="E106">
        <v>12845</v>
      </c>
      <c r="F106">
        <v>16470</v>
      </c>
      <c r="G106">
        <v>19396</v>
      </c>
      <c r="H106">
        <v>23442</v>
      </c>
      <c r="I106">
        <v>88754</v>
      </c>
      <c r="J106">
        <v>25080</v>
      </c>
      <c r="K106">
        <v>20842</v>
      </c>
      <c r="L106">
        <v>43250</v>
      </c>
      <c r="M106">
        <v>38662</v>
      </c>
      <c r="N106">
        <v>41178</v>
      </c>
      <c r="O106">
        <v>148086</v>
      </c>
    </row>
    <row r="107" spans="4:25">
      <c r="D107" t="s">
        <v>355</v>
      </c>
      <c r="E107">
        <v>7180</v>
      </c>
      <c r="F107">
        <v>11883</v>
      </c>
      <c r="G107">
        <v>7849</v>
      </c>
      <c r="H107">
        <v>4216</v>
      </c>
    </row>
    <row r="108" spans="4:25">
      <c r="D108" t="s">
        <v>356</v>
      </c>
      <c r="E108">
        <v>202896</v>
      </c>
      <c r="F108">
        <v>167047</v>
      </c>
      <c r="G108">
        <v>258413</v>
      </c>
      <c r="H108">
        <v>278478</v>
      </c>
      <c r="I108">
        <v>460093</v>
      </c>
      <c r="J108">
        <v>515410</v>
      </c>
      <c r="K108">
        <v>422956</v>
      </c>
      <c r="L108">
        <v>689267</v>
      </c>
      <c r="M108">
        <v>1116842</v>
      </c>
      <c r="N108">
        <v>735260</v>
      </c>
      <c r="O108">
        <v>1069634</v>
      </c>
    </row>
    <row r="109" spans="4:25">
      <c r="D109" t="s">
        <v>357</v>
      </c>
      <c r="E109">
        <v>19492</v>
      </c>
      <c r="F109">
        <v>23824</v>
      </c>
      <c r="G109">
        <v>26812</v>
      </c>
      <c r="H109">
        <v>38322</v>
      </c>
      <c r="I109">
        <v>40967</v>
      </c>
      <c r="J109">
        <v>34348</v>
      </c>
      <c r="K109">
        <v>46052</v>
      </c>
      <c r="L109">
        <v>45462</v>
      </c>
      <c r="M109">
        <v>57665</v>
      </c>
      <c r="N109">
        <v>62177</v>
      </c>
      <c r="O109">
        <v>98546</v>
      </c>
    </row>
    <row r="110" spans="4:25" s="4" customFormat="1">
      <c r="D110" s="4" t="s">
        <v>103</v>
      </c>
      <c r="E110" s="4">
        <f>SUM(E106:E109)</f>
        <v>242413</v>
      </c>
      <c r="F110" s="4">
        <f t="shared" ref="F110:Y110" si="39">SUM(F106:F109)</f>
        <v>219224</v>
      </c>
      <c r="G110" s="4">
        <f t="shared" si="39"/>
        <v>312470</v>
      </c>
      <c r="H110" s="4">
        <f t="shared" si="39"/>
        <v>344458</v>
      </c>
      <c r="I110" s="4">
        <f t="shared" si="39"/>
        <v>589814</v>
      </c>
      <c r="J110" s="4">
        <f t="shared" si="39"/>
        <v>574838</v>
      </c>
      <c r="K110" s="4">
        <f t="shared" si="39"/>
        <v>489850</v>
      </c>
      <c r="L110" s="4">
        <f t="shared" si="39"/>
        <v>777979</v>
      </c>
      <c r="M110" s="4">
        <f t="shared" si="39"/>
        <v>1213169</v>
      </c>
      <c r="N110" s="4">
        <f t="shared" si="39"/>
        <v>838615</v>
      </c>
      <c r="O110" s="4">
        <f t="shared" si="39"/>
        <v>1316266</v>
      </c>
      <c r="P110" s="4">
        <f t="shared" si="39"/>
        <v>0</v>
      </c>
      <c r="Q110" s="4">
        <f t="shared" si="39"/>
        <v>0</v>
      </c>
      <c r="R110" s="4">
        <f t="shared" si="39"/>
        <v>0</v>
      </c>
      <c r="S110" s="4">
        <f t="shared" si="39"/>
        <v>0</v>
      </c>
      <c r="T110" s="4">
        <f t="shared" si="39"/>
        <v>0</v>
      </c>
      <c r="U110" s="4">
        <f t="shared" si="39"/>
        <v>0</v>
      </c>
      <c r="V110" s="4">
        <f t="shared" si="39"/>
        <v>0</v>
      </c>
      <c r="W110" s="4">
        <f t="shared" si="39"/>
        <v>0</v>
      </c>
      <c r="X110" s="4">
        <f t="shared" si="39"/>
        <v>0</v>
      </c>
      <c r="Y110" s="4">
        <f t="shared" si="39"/>
        <v>0</v>
      </c>
    </row>
    <row r="112" spans="4:25">
      <c r="D112" s="11" t="s">
        <v>358</v>
      </c>
      <c r="E112" s="11" t="s">
        <v>216</v>
      </c>
      <c r="F112" s="11" t="s">
        <v>217</v>
      </c>
      <c r="G112" s="11" t="s">
        <v>218</v>
      </c>
      <c r="H112" s="11" t="s">
        <v>28</v>
      </c>
      <c r="I112" s="11" t="s">
        <v>17</v>
      </c>
      <c r="J112" s="11" t="s">
        <v>18</v>
      </c>
      <c r="K112" s="11" t="s">
        <v>19</v>
      </c>
      <c r="L112" s="11" t="s">
        <v>20</v>
      </c>
      <c r="M112" s="11" t="s">
        <v>21</v>
      </c>
      <c r="N112" s="11" t="s">
        <v>22</v>
      </c>
      <c r="O112" s="11" t="s">
        <v>23</v>
      </c>
      <c r="P112" s="11" t="s">
        <v>24</v>
      </c>
      <c r="Q112" s="11" t="s">
        <v>25</v>
      </c>
      <c r="R112" s="11" t="s">
        <v>26</v>
      </c>
      <c r="S112" s="11" t="s">
        <v>27</v>
      </c>
      <c r="T112" s="11"/>
      <c r="U112" s="11"/>
      <c r="V112" s="11"/>
      <c r="W112" s="11"/>
      <c r="X112" s="11"/>
      <c r="Y112" s="11"/>
    </row>
    <row r="113" spans="4:25">
      <c r="D113" t="s">
        <v>359</v>
      </c>
      <c r="E113">
        <v>412521</v>
      </c>
      <c r="F113">
        <v>374017</v>
      </c>
      <c r="G113">
        <v>381979</v>
      </c>
      <c r="H113">
        <v>344026</v>
      </c>
      <c r="I113">
        <v>329153</v>
      </c>
      <c r="J113">
        <v>428437</v>
      </c>
      <c r="K113">
        <v>420804</v>
      </c>
      <c r="L113">
        <v>584103</v>
      </c>
      <c r="M113">
        <v>516030</v>
      </c>
      <c r="N113">
        <v>693438</v>
      </c>
      <c r="O113">
        <v>1086326</v>
      </c>
    </row>
    <row r="114" spans="4:25">
      <c r="D114" t="s">
        <v>360</v>
      </c>
      <c r="E114">
        <v>8763</v>
      </c>
      <c r="F114">
        <v>15836</v>
      </c>
      <c r="G114">
        <v>9459</v>
      </c>
      <c r="H114">
        <v>9817</v>
      </c>
      <c r="I114">
        <v>1508</v>
      </c>
      <c r="J114">
        <v>3666</v>
      </c>
      <c r="K114">
        <v>5066</v>
      </c>
      <c r="L114">
        <v>4149</v>
      </c>
      <c r="M114">
        <v>5014</v>
      </c>
      <c r="N114">
        <v>10932</v>
      </c>
      <c r="O114">
        <v>23174</v>
      </c>
    </row>
    <row r="115" spans="4:25">
      <c r="D115" t="s">
        <v>361</v>
      </c>
      <c r="E115">
        <v>16171</v>
      </c>
      <c r="F115">
        <v>26019</v>
      </c>
      <c r="G115">
        <v>26846</v>
      </c>
      <c r="H115">
        <v>26380</v>
      </c>
      <c r="I115">
        <v>26209</v>
      </c>
      <c r="J115">
        <v>30016</v>
      </c>
      <c r="K115">
        <v>30820</v>
      </c>
      <c r="L115">
        <v>45143</v>
      </c>
      <c r="M115">
        <v>35695</v>
      </c>
      <c r="N115">
        <v>26744</v>
      </c>
      <c r="O115">
        <v>54988</v>
      </c>
    </row>
    <row r="116" spans="4:25">
      <c r="D116" t="s">
        <v>405</v>
      </c>
      <c r="K116">
        <v>5012</v>
      </c>
      <c r="L116">
        <v>130195</v>
      </c>
      <c r="M116">
        <v>55437</v>
      </c>
      <c r="N116">
        <v>26132</v>
      </c>
      <c r="O116">
        <v>75063</v>
      </c>
    </row>
    <row r="117" spans="4:25">
      <c r="D117" t="s">
        <v>362</v>
      </c>
      <c r="E117">
        <v>39469</v>
      </c>
      <c r="F117">
        <v>26032</v>
      </c>
      <c r="G117">
        <v>28323</v>
      </c>
      <c r="H117">
        <v>27381</v>
      </c>
      <c r="I117">
        <v>43194</v>
      </c>
      <c r="J117">
        <v>58335</v>
      </c>
      <c r="K117">
        <v>21543</v>
      </c>
      <c r="L117">
        <v>33014</v>
      </c>
      <c r="M117">
        <v>28471</v>
      </c>
      <c r="N117">
        <v>58209</v>
      </c>
      <c r="O117">
        <v>42295</v>
      </c>
    </row>
    <row r="118" spans="4:25">
      <c r="D118" t="s">
        <v>363</v>
      </c>
      <c r="E118">
        <v>12288</v>
      </c>
      <c r="F118">
        <v>13339</v>
      </c>
      <c r="G118">
        <v>14580</v>
      </c>
      <c r="H118">
        <v>16801</v>
      </c>
      <c r="I118">
        <v>8729</v>
      </c>
      <c r="J118">
        <v>25061</v>
      </c>
      <c r="K118">
        <v>53668</v>
      </c>
      <c r="L118">
        <v>27352</v>
      </c>
      <c r="M118">
        <v>41225</v>
      </c>
      <c r="N118">
        <v>85363</v>
      </c>
      <c r="O118">
        <v>163375</v>
      </c>
    </row>
    <row r="119" spans="4:25" s="4" customFormat="1">
      <c r="E119" s="4">
        <f>SUM(E113:E118)</f>
        <v>489212</v>
      </c>
      <c r="F119" s="4">
        <f t="shared" ref="F119:Y119" si="40">SUM(F113:F118)</f>
        <v>455243</v>
      </c>
      <c r="G119" s="4">
        <f t="shared" si="40"/>
        <v>461187</v>
      </c>
      <c r="H119" s="4">
        <f t="shared" si="40"/>
        <v>424405</v>
      </c>
      <c r="I119" s="4">
        <f t="shared" si="40"/>
        <v>408793</v>
      </c>
      <c r="J119" s="4">
        <f t="shared" si="40"/>
        <v>545515</v>
      </c>
      <c r="K119" s="4">
        <f t="shared" si="40"/>
        <v>536913</v>
      </c>
      <c r="L119" s="4">
        <f t="shared" si="40"/>
        <v>823956</v>
      </c>
      <c r="M119" s="4">
        <f t="shared" si="40"/>
        <v>681872</v>
      </c>
      <c r="N119" s="4">
        <f t="shared" si="40"/>
        <v>900818</v>
      </c>
      <c r="O119" s="4">
        <f t="shared" si="40"/>
        <v>1445221</v>
      </c>
      <c r="P119" s="4">
        <f t="shared" si="40"/>
        <v>0</v>
      </c>
      <c r="Q119" s="4">
        <f t="shared" si="40"/>
        <v>0</v>
      </c>
      <c r="R119" s="4">
        <f t="shared" si="40"/>
        <v>0</v>
      </c>
      <c r="S119" s="4">
        <f t="shared" si="40"/>
        <v>0</v>
      </c>
      <c r="T119" s="4">
        <f t="shared" si="40"/>
        <v>0</v>
      </c>
      <c r="U119" s="4">
        <f t="shared" si="40"/>
        <v>0</v>
      </c>
      <c r="V119" s="4">
        <f t="shared" si="40"/>
        <v>0</v>
      </c>
      <c r="W119" s="4">
        <f t="shared" si="40"/>
        <v>0</v>
      </c>
      <c r="X119" s="4">
        <f t="shared" si="40"/>
        <v>0</v>
      </c>
      <c r="Y119" s="4">
        <f t="shared" si="40"/>
        <v>0</v>
      </c>
    </row>
    <row r="120" spans="4:25">
      <c r="D120" t="s">
        <v>364</v>
      </c>
      <c r="E120">
        <v>31216</v>
      </c>
      <c r="F120">
        <v>51757</v>
      </c>
      <c r="G120">
        <v>49114</v>
      </c>
    </row>
    <row r="121" spans="4:25" s="4" customFormat="1">
      <c r="D121" s="4" t="s">
        <v>103</v>
      </c>
      <c r="E121" s="4">
        <f>E119-E120</f>
        <v>457996</v>
      </c>
      <c r="F121" s="4">
        <f t="shared" ref="F121:Y121" si="41">F119-F120</f>
        <v>403486</v>
      </c>
      <c r="G121" s="4">
        <f t="shared" si="41"/>
        <v>412073</v>
      </c>
      <c r="H121" s="4">
        <f t="shared" si="41"/>
        <v>424405</v>
      </c>
      <c r="I121" s="4">
        <f t="shared" si="41"/>
        <v>408793</v>
      </c>
      <c r="J121" s="4">
        <f t="shared" si="41"/>
        <v>545515</v>
      </c>
      <c r="K121" s="4">
        <f t="shared" si="41"/>
        <v>536913</v>
      </c>
      <c r="L121" s="4">
        <f t="shared" si="41"/>
        <v>823956</v>
      </c>
      <c r="M121" s="4">
        <f t="shared" si="41"/>
        <v>681872</v>
      </c>
      <c r="N121" s="4">
        <f t="shared" si="41"/>
        <v>900818</v>
      </c>
      <c r="O121" s="4">
        <f t="shared" si="41"/>
        <v>1445221</v>
      </c>
      <c r="P121" s="4">
        <f t="shared" si="41"/>
        <v>0</v>
      </c>
      <c r="Q121" s="4">
        <f t="shared" si="41"/>
        <v>0</v>
      </c>
      <c r="R121" s="4">
        <f t="shared" si="41"/>
        <v>0</v>
      </c>
      <c r="S121" s="4">
        <f t="shared" si="41"/>
        <v>0</v>
      </c>
      <c r="T121" s="4">
        <f t="shared" si="41"/>
        <v>0</v>
      </c>
      <c r="U121" s="4">
        <f t="shared" si="41"/>
        <v>0</v>
      </c>
      <c r="V121" s="4">
        <f t="shared" si="41"/>
        <v>0</v>
      </c>
      <c r="W121" s="4">
        <f t="shared" si="41"/>
        <v>0</v>
      </c>
      <c r="X121" s="4">
        <f t="shared" si="41"/>
        <v>0</v>
      </c>
      <c r="Y121" s="4">
        <f t="shared" si="41"/>
        <v>0</v>
      </c>
    </row>
    <row r="123" spans="4:25">
      <c r="D123" s="11" t="s">
        <v>365</v>
      </c>
      <c r="E123" s="11" t="s">
        <v>216</v>
      </c>
      <c r="F123" s="11" t="s">
        <v>217</v>
      </c>
      <c r="G123" s="11" t="s">
        <v>218</v>
      </c>
      <c r="H123" s="11" t="s">
        <v>28</v>
      </c>
      <c r="I123" s="11" t="s">
        <v>17</v>
      </c>
      <c r="J123" s="11" t="s">
        <v>18</v>
      </c>
      <c r="K123" s="11" t="s">
        <v>19</v>
      </c>
      <c r="L123" s="11" t="s">
        <v>20</v>
      </c>
      <c r="M123" s="11" t="s">
        <v>21</v>
      </c>
      <c r="N123" s="11" t="s">
        <v>22</v>
      </c>
      <c r="O123" s="11" t="s">
        <v>23</v>
      </c>
      <c r="P123" s="11" t="s">
        <v>24</v>
      </c>
      <c r="Q123" s="11" t="s">
        <v>25</v>
      </c>
      <c r="R123" s="11" t="s">
        <v>26</v>
      </c>
      <c r="S123" s="11" t="s">
        <v>27</v>
      </c>
      <c r="T123" s="11"/>
      <c r="U123" s="11"/>
      <c r="V123" s="11"/>
      <c r="W123" s="11"/>
      <c r="X123" s="11"/>
      <c r="Y123" s="11"/>
    </row>
    <row r="124" spans="4:25">
      <c r="D124" t="s">
        <v>393</v>
      </c>
      <c r="G124">
        <v>602</v>
      </c>
    </row>
    <row r="125" spans="4:25">
      <c r="D125" t="s">
        <v>415</v>
      </c>
      <c r="O125">
        <v>26315</v>
      </c>
    </row>
    <row r="126" spans="4:25">
      <c r="D126" t="s">
        <v>416</v>
      </c>
      <c r="O126">
        <v>13163</v>
      </c>
    </row>
    <row r="127" spans="4:25">
      <c r="D127" t="s">
        <v>366</v>
      </c>
      <c r="F127">
        <v>3750</v>
      </c>
    </row>
    <row r="128" spans="4:25">
      <c r="D128" t="s">
        <v>367</v>
      </c>
      <c r="F128">
        <v>1200</v>
      </c>
    </row>
    <row r="129" spans="4:25" s="4" customFormat="1">
      <c r="D129" s="4" t="s">
        <v>317</v>
      </c>
      <c r="E129" s="4">
        <f>SUM(E124:E128)</f>
        <v>0</v>
      </c>
      <c r="F129" s="4">
        <f t="shared" ref="F129:Y129" si="42">SUM(F124:F128)</f>
        <v>4950</v>
      </c>
      <c r="G129" s="4">
        <f t="shared" si="42"/>
        <v>602</v>
      </c>
      <c r="H129" s="4">
        <f t="shared" si="42"/>
        <v>0</v>
      </c>
      <c r="I129" s="4">
        <f t="shared" si="42"/>
        <v>0</v>
      </c>
      <c r="J129" s="4">
        <f t="shared" si="42"/>
        <v>0</v>
      </c>
      <c r="K129" s="4">
        <f t="shared" si="42"/>
        <v>0</v>
      </c>
      <c r="L129" s="4">
        <f t="shared" si="42"/>
        <v>0</v>
      </c>
      <c r="M129" s="4">
        <f t="shared" si="42"/>
        <v>0</v>
      </c>
      <c r="N129" s="4">
        <f t="shared" si="42"/>
        <v>0</v>
      </c>
      <c r="O129" s="4">
        <f t="shared" si="42"/>
        <v>39478</v>
      </c>
      <c r="P129" s="4">
        <f t="shared" si="42"/>
        <v>0</v>
      </c>
      <c r="Q129" s="4">
        <f t="shared" si="42"/>
        <v>0</v>
      </c>
      <c r="R129" s="4">
        <f t="shared" si="42"/>
        <v>0</v>
      </c>
      <c r="S129" s="4">
        <f t="shared" si="42"/>
        <v>0</v>
      </c>
      <c r="T129" s="4">
        <f t="shared" si="42"/>
        <v>0</v>
      </c>
      <c r="U129" s="4">
        <f t="shared" si="42"/>
        <v>0</v>
      </c>
      <c r="V129" s="4">
        <f t="shared" si="42"/>
        <v>0</v>
      </c>
      <c r="W129" s="4">
        <f t="shared" si="42"/>
        <v>0</v>
      </c>
      <c r="X129" s="4">
        <f t="shared" si="42"/>
        <v>0</v>
      </c>
      <c r="Y129" s="4">
        <f t="shared" si="42"/>
        <v>0</v>
      </c>
    </row>
    <row r="131" spans="4:25">
      <c r="D131" s="11" t="s">
        <v>368</v>
      </c>
      <c r="E131" s="11" t="s">
        <v>216</v>
      </c>
      <c r="F131" s="11" t="s">
        <v>217</v>
      </c>
      <c r="G131" s="11" t="s">
        <v>218</v>
      </c>
      <c r="H131" s="11" t="s">
        <v>28</v>
      </c>
      <c r="I131" s="11" t="s">
        <v>17</v>
      </c>
      <c r="J131" s="11" t="s">
        <v>18</v>
      </c>
      <c r="K131" s="11" t="s">
        <v>19</v>
      </c>
      <c r="L131" s="11" t="s">
        <v>20</v>
      </c>
      <c r="M131" s="11" t="s">
        <v>21</v>
      </c>
      <c r="N131" s="11" t="s">
        <v>22</v>
      </c>
      <c r="O131" s="11" t="s">
        <v>23</v>
      </c>
      <c r="P131" s="11" t="s">
        <v>24</v>
      </c>
      <c r="Q131" s="11" t="s">
        <v>25</v>
      </c>
      <c r="R131" s="11" t="s">
        <v>26</v>
      </c>
      <c r="S131" s="11" t="s">
        <v>27</v>
      </c>
      <c r="T131" s="11"/>
      <c r="U131" s="11"/>
      <c r="V131" s="11"/>
      <c r="W131" s="11"/>
      <c r="X131" s="11"/>
      <c r="Y131" s="11"/>
    </row>
    <row r="132" spans="4:25">
      <c r="D132" t="s">
        <v>369</v>
      </c>
      <c r="E132">
        <v>196805</v>
      </c>
      <c r="F132">
        <v>168648</v>
      </c>
      <c r="G132">
        <v>175151</v>
      </c>
      <c r="H132">
        <v>168620</v>
      </c>
      <c r="I132">
        <v>204136</v>
      </c>
      <c r="J132">
        <v>153440</v>
      </c>
      <c r="K132">
        <v>190524</v>
      </c>
      <c r="L132">
        <v>309767</v>
      </c>
      <c r="M132">
        <v>299548</v>
      </c>
      <c r="N132">
        <v>361039</v>
      </c>
      <c r="O132">
        <v>586122</v>
      </c>
    </row>
    <row r="133" spans="4:25">
      <c r="D133" t="s">
        <v>370</v>
      </c>
      <c r="E133">
        <v>33013</v>
      </c>
      <c r="F133">
        <v>35877</v>
      </c>
      <c r="G133">
        <v>46331</v>
      </c>
      <c r="H133">
        <v>45575</v>
      </c>
      <c r="I133">
        <v>35802</v>
      </c>
      <c r="J133">
        <v>39939</v>
      </c>
      <c r="K133">
        <v>33485</v>
      </c>
      <c r="L133">
        <v>83639</v>
      </c>
      <c r="M133">
        <v>49336</v>
      </c>
      <c r="N133">
        <v>74781</v>
      </c>
      <c r="O133">
        <v>108563</v>
      </c>
    </row>
    <row r="134" spans="4:25">
      <c r="D134" t="s">
        <v>371</v>
      </c>
      <c r="E134">
        <v>20517</v>
      </c>
      <c r="F134">
        <v>13804</v>
      </c>
      <c r="G134">
        <v>1236</v>
      </c>
      <c r="H134">
        <v>1138</v>
      </c>
      <c r="I134">
        <v>2336</v>
      </c>
      <c r="J134">
        <v>2491</v>
      </c>
      <c r="K134">
        <v>4281</v>
      </c>
      <c r="L134">
        <v>7998</v>
      </c>
      <c r="M134">
        <v>16299</v>
      </c>
      <c r="N134">
        <v>25484</v>
      </c>
      <c r="O134">
        <v>301910</v>
      </c>
    </row>
    <row r="135" spans="4:25">
      <c r="D135" t="s">
        <v>406</v>
      </c>
      <c r="L135">
        <v>10450</v>
      </c>
    </row>
    <row r="136" spans="4:25">
      <c r="D136" t="s">
        <v>372</v>
      </c>
      <c r="E136">
        <v>5620</v>
      </c>
      <c r="F136">
        <v>6208</v>
      </c>
      <c r="G136">
        <v>3722</v>
      </c>
      <c r="H136">
        <v>3754</v>
      </c>
      <c r="I136">
        <v>4717</v>
      </c>
      <c r="J136">
        <v>3398</v>
      </c>
      <c r="K136">
        <v>4816</v>
      </c>
      <c r="L136">
        <v>6651</v>
      </c>
      <c r="M136">
        <v>3057</v>
      </c>
      <c r="N136">
        <v>2693</v>
      </c>
      <c r="O136">
        <v>4278</v>
      </c>
    </row>
    <row r="137" spans="4:25">
      <c r="D137" t="s">
        <v>401</v>
      </c>
      <c r="J137">
        <v>15092</v>
      </c>
      <c r="K137">
        <v>16152</v>
      </c>
      <c r="L137">
        <v>17889</v>
      </c>
      <c r="M137">
        <v>20036</v>
      </c>
      <c r="N137">
        <v>21302</v>
      </c>
      <c r="O137">
        <v>28147</v>
      </c>
    </row>
    <row r="138" spans="4:25">
      <c r="D138" t="s">
        <v>373</v>
      </c>
      <c r="E138">
        <v>138434</v>
      </c>
      <c r="F138">
        <v>137072</v>
      </c>
      <c r="G138">
        <v>172066</v>
      </c>
      <c r="H138">
        <v>147730</v>
      </c>
      <c r="I138">
        <v>179103</v>
      </c>
      <c r="J138">
        <v>188681</v>
      </c>
      <c r="K138">
        <v>164686</v>
      </c>
      <c r="L138">
        <v>212281</v>
      </c>
      <c r="M138">
        <v>187855</v>
      </c>
      <c r="N138">
        <v>277305</v>
      </c>
      <c r="O138">
        <v>389434</v>
      </c>
    </row>
    <row r="139" spans="4:25" s="4" customFormat="1">
      <c r="D139" s="4" t="s">
        <v>103</v>
      </c>
      <c r="E139" s="4">
        <f>SUM(E132:E138)</f>
        <v>394389</v>
      </c>
      <c r="F139" s="4">
        <f t="shared" ref="F139:Y139" si="43">SUM(F132:F138)</f>
        <v>361609</v>
      </c>
      <c r="G139" s="4">
        <f t="shared" si="43"/>
        <v>398506</v>
      </c>
      <c r="H139" s="4">
        <f t="shared" si="43"/>
        <v>366817</v>
      </c>
      <c r="I139" s="4">
        <f t="shared" si="43"/>
        <v>426094</v>
      </c>
      <c r="J139" s="4">
        <f t="shared" si="43"/>
        <v>403041</v>
      </c>
      <c r="K139" s="4">
        <f t="shared" si="43"/>
        <v>413944</v>
      </c>
      <c r="L139" s="4">
        <f t="shared" si="43"/>
        <v>648675</v>
      </c>
      <c r="M139" s="4">
        <f t="shared" si="43"/>
        <v>576131</v>
      </c>
      <c r="N139" s="4">
        <f t="shared" si="43"/>
        <v>762604</v>
      </c>
      <c r="O139" s="4">
        <f t="shared" si="43"/>
        <v>1418454</v>
      </c>
      <c r="P139" s="4">
        <f t="shared" si="43"/>
        <v>0</v>
      </c>
      <c r="Q139" s="4">
        <f t="shared" si="43"/>
        <v>0</v>
      </c>
      <c r="R139" s="4">
        <f t="shared" si="43"/>
        <v>0</v>
      </c>
      <c r="S139" s="4">
        <f t="shared" si="43"/>
        <v>0</v>
      </c>
      <c r="T139" s="4">
        <f t="shared" si="43"/>
        <v>0</v>
      </c>
      <c r="U139" s="4">
        <f t="shared" si="43"/>
        <v>0</v>
      </c>
      <c r="V139" s="4">
        <f t="shared" si="43"/>
        <v>0</v>
      </c>
      <c r="W139" s="4">
        <f t="shared" si="43"/>
        <v>0</v>
      </c>
      <c r="X139" s="4">
        <f t="shared" si="43"/>
        <v>0</v>
      </c>
      <c r="Y139" s="4">
        <f t="shared" si="43"/>
        <v>0</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4:X119"/>
  <sheetViews>
    <sheetView showGridLines="0" topLeftCell="A20" zoomScale="75" zoomScaleNormal="75" zoomScalePageLayoutView="75" workbookViewId="0">
      <pane xSplit="4" topLeftCell="L1" activePane="topRight" state="frozen"/>
      <selection pane="topRight" activeCell="O28" sqref="O28"/>
    </sheetView>
  </sheetViews>
  <sheetFormatPr baseColWidth="10" defaultRowHeight="15" x14ac:dyDescent="0"/>
  <cols>
    <col min="4" max="4" width="48" bestFit="1" customWidth="1"/>
    <col min="5" max="13" width="11.1640625" bestFit="1" customWidth="1"/>
    <col min="14" max="14" width="11.33203125" bestFit="1" customWidth="1"/>
    <col min="15" max="15" width="13.5" bestFit="1" customWidth="1"/>
    <col min="16" max="16" width="11.33203125" bestFit="1" customWidth="1"/>
    <col min="17" max="24" width="11.1640625" bestFit="1" customWidth="1"/>
  </cols>
  <sheetData>
    <row r="4" spans="3:24">
      <c r="D4" s="23" t="s">
        <v>181</v>
      </c>
      <c r="E4" s="1" t="s">
        <v>216</v>
      </c>
      <c r="F4" s="1" t="s">
        <v>217</v>
      </c>
      <c r="G4" s="1" t="s">
        <v>218</v>
      </c>
      <c r="H4" s="1" t="s">
        <v>28</v>
      </c>
      <c r="I4" s="1" t="s">
        <v>17</v>
      </c>
      <c r="J4" s="1" t="s">
        <v>18</v>
      </c>
      <c r="K4" s="1" t="s">
        <v>19</v>
      </c>
      <c r="L4" s="1" t="s">
        <v>20</v>
      </c>
      <c r="M4" s="1" t="s">
        <v>21</v>
      </c>
      <c r="N4" s="1" t="s">
        <v>22</v>
      </c>
      <c r="O4" s="1" t="s">
        <v>23</v>
      </c>
      <c r="P4" s="1" t="s">
        <v>24</v>
      </c>
      <c r="Q4" s="1" t="s">
        <v>25</v>
      </c>
      <c r="R4" s="1" t="s">
        <v>26</v>
      </c>
      <c r="S4" s="1" t="s">
        <v>27</v>
      </c>
      <c r="T4" s="1"/>
      <c r="U4" s="1"/>
      <c r="V4" s="1"/>
      <c r="W4" s="1"/>
      <c r="X4" s="1"/>
    </row>
    <row r="5" spans="3:24">
      <c r="C5" s="4"/>
      <c r="E5" s="6"/>
      <c r="F5" s="6"/>
      <c r="G5" s="6"/>
      <c r="H5" s="22"/>
      <c r="I5" s="22"/>
      <c r="J5" s="22"/>
      <c r="K5" s="22"/>
      <c r="L5" s="22"/>
      <c r="M5" s="22"/>
      <c r="N5" s="22"/>
      <c r="O5" s="22"/>
      <c r="P5" s="22"/>
      <c r="Q5" s="22"/>
      <c r="R5" s="22"/>
      <c r="S5" s="22"/>
      <c r="T5" s="22"/>
      <c r="U5" s="22"/>
      <c r="V5" s="22"/>
      <c r="W5" s="22"/>
      <c r="X5" s="22"/>
    </row>
    <row r="6" spans="3:24">
      <c r="C6" s="17"/>
      <c r="D6" t="s">
        <v>0</v>
      </c>
      <c r="E6" s="64">
        <f>'2a. Income Statement'!E6</f>
        <v>2576513</v>
      </c>
      <c r="F6" s="64">
        <f>'2a. Income Statement'!F6</f>
        <v>2544558</v>
      </c>
      <c r="G6" s="64">
        <f>'2a. Income Statement'!G6</f>
        <v>2608894</v>
      </c>
      <c r="H6" s="64">
        <f>'2a. Income Statement'!H6</f>
        <v>3002476</v>
      </c>
      <c r="I6" s="64">
        <f>'2a. Income Statement'!I6</f>
        <v>3301288</v>
      </c>
      <c r="J6" s="64">
        <f>'2a. Income Statement'!J6</f>
        <v>3423219</v>
      </c>
      <c r="K6" s="64">
        <f>'2a. Income Statement'!K6</f>
        <v>3657196</v>
      </c>
      <c r="L6" s="64">
        <f>'2a. Income Statement'!L6</f>
        <v>4647951</v>
      </c>
      <c r="M6" s="64">
        <f>'2a. Income Statement'!M6</f>
        <v>4701224</v>
      </c>
      <c r="N6" s="64">
        <f>'2a. Income Statement'!N6</f>
        <v>5039134</v>
      </c>
      <c r="O6" s="64">
        <f>'2a. Income Statement'!O6</f>
        <v>6168777</v>
      </c>
      <c r="P6" s="64">
        <f>'2a. Income Statement'!P6</f>
        <v>8453950.3387853839</v>
      </c>
      <c r="Q6" s="64">
        <f>'2a. Income Statement'!Q6</f>
        <v>9241127.2927219532</v>
      </c>
      <c r="R6" s="64">
        <f>'2a. Income Statement'!R6</f>
        <v>10047111.711007658</v>
      </c>
      <c r="S6" s="64">
        <f>'2a. Income Statement'!S6</f>
        <v>10910346.048071465</v>
      </c>
      <c r="T6" s="64">
        <f>'2a. Income Statement'!T6</f>
        <v>11785818.337516539</v>
      </c>
      <c r="U6" s="64">
        <f>'2a. Income Statement'!U6</f>
        <v>12688630.401384242</v>
      </c>
      <c r="V6" s="64">
        <f>'2a. Income Statement'!V6</f>
        <v>13668485.033154622</v>
      </c>
      <c r="W6" s="64">
        <f>'2a. Income Statement'!W6</f>
        <v>14753013.179027023</v>
      </c>
      <c r="X6" s="64">
        <f>'2a. Income Statement'!X6</f>
        <v>15987894.886791775</v>
      </c>
    </row>
    <row r="7" spans="3:24" s="4" customFormat="1">
      <c r="C7" s="19" t="s">
        <v>246</v>
      </c>
      <c r="D7" s="4" t="s">
        <v>50</v>
      </c>
      <c r="E7" s="65"/>
      <c r="F7" s="65">
        <f>-('2b. Balance Sheet'!F19-'2b. Balance Sheet'!E19)</f>
        <v>23189</v>
      </c>
      <c r="G7" s="65">
        <f>-('2b. Balance Sheet'!G19-'2b. Balance Sheet'!F19)</f>
        <v>-93246</v>
      </c>
      <c r="H7" s="65">
        <f>-('2b. Balance Sheet'!H19-'2b. Balance Sheet'!G19)</f>
        <v>-31988</v>
      </c>
      <c r="I7" s="65">
        <f>-('2b. Balance Sheet'!I19-'2b. Balance Sheet'!H19)</f>
        <v>-245356</v>
      </c>
      <c r="J7" s="65">
        <f>-('2b. Balance Sheet'!J19-'2b. Balance Sheet'!I19)</f>
        <v>14976</v>
      </c>
      <c r="K7" s="65">
        <f>-('2b. Balance Sheet'!K19-'2b. Balance Sheet'!J19)</f>
        <v>84988</v>
      </c>
      <c r="L7" s="65">
        <f>-('2b. Balance Sheet'!L19-'2b. Balance Sheet'!K19)</f>
        <v>-288129</v>
      </c>
      <c r="M7" s="65">
        <f>-('2b. Balance Sheet'!M19-'2b. Balance Sheet'!L19)</f>
        <v>-435190</v>
      </c>
      <c r="N7" s="65">
        <f>-('2b. Balance Sheet'!N19-'2b. Balance Sheet'!M19)</f>
        <v>374554</v>
      </c>
      <c r="O7" s="65">
        <f>-('2b. Balance Sheet'!O19-'2b. Balance Sheet'!N19)</f>
        <v>-477651</v>
      </c>
      <c r="P7" s="65">
        <f>-('2b. Balance Sheet'!P19-'2b. Balance Sheet'!O19)</f>
        <v>-487600.04940196127</v>
      </c>
      <c r="Q7" s="65">
        <f>-('2b. Balance Sheet'!Q19-'2b. Balance Sheet'!P19)</f>
        <v>-167964.29186048894</v>
      </c>
      <c r="R7" s="65">
        <f>-('2b. Balance Sheet'!R19-'2b. Balance Sheet'!Q19)</f>
        <v>-171977.34434544365</v>
      </c>
      <c r="S7" s="65">
        <f>-('2b. Balance Sheet'!S19-'2b. Balance Sheet'!R19)</f>
        <v>-184193.07553338818</v>
      </c>
      <c r="T7" s="65">
        <f>-('2b. Balance Sheet'!T19-'2b. Balance Sheet'!S19)</f>
        <v>-186804.35498620057</v>
      </c>
      <c r="U7" s="65">
        <f>-('2b. Balance Sheet'!U19-'2b. Balance Sheet'!T19)</f>
        <v>-192637.99356969586</v>
      </c>
      <c r="V7" s="65">
        <f>-('2b. Balance Sheet'!V19-'2b. Balance Sheet'!U19)</f>
        <v>-209076.99155632826</v>
      </c>
      <c r="W7" s="65">
        <f>-('2b. Balance Sheet'!W19-'2b. Balance Sheet'!V19)</f>
        <v>-231411.75705571519</v>
      </c>
      <c r="X7" s="65">
        <f>-('2b. Balance Sheet'!X19-'2b. Balance Sheet'!W19)</f>
        <v>-263493.52650495898</v>
      </c>
    </row>
    <row r="8" spans="3:24" s="4" customFormat="1">
      <c r="C8" s="19" t="s">
        <v>246</v>
      </c>
      <c r="D8" s="4" t="s">
        <v>213</v>
      </c>
      <c r="E8" s="65"/>
      <c r="F8" s="65">
        <f>-('2b. Balance Sheet'!F20-'2b. Balance Sheet'!E20)</f>
        <v>54510</v>
      </c>
      <c r="G8" s="65">
        <f>-('2b. Balance Sheet'!G20-'2b. Balance Sheet'!F20)</f>
        <v>-8587</v>
      </c>
      <c r="H8" s="65">
        <f>-('2b. Balance Sheet'!H20-'2b. Balance Sheet'!G20)</f>
        <v>-12332</v>
      </c>
      <c r="I8" s="65">
        <f>-('2b. Balance Sheet'!I20-'2b. Balance Sheet'!H20)</f>
        <v>15612</v>
      </c>
      <c r="J8" s="65">
        <f>-('2b. Balance Sheet'!J20-'2b. Balance Sheet'!I20)</f>
        <v>-136722</v>
      </c>
      <c r="K8" s="65">
        <f>-('2b. Balance Sheet'!K20-'2b. Balance Sheet'!J20)</f>
        <v>8602</v>
      </c>
      <c r="L8" s="65">
        <f>-('2b. Balance Sheet'!L20-'2b. Balance Sheet'!K20)</f>
        <v>-282251</v>
      </c>
      <c r="M8" s="65">
        <f>-('2b. Balance Sheet'!M20-'2b. Balance Sheet'!L20)</f>
        <v>137292</v>
      </c>
      <c r="N8" s="65">
        <f>-('2b. Balance Sheet'!N20-'2b. Balance Sheet'!M20)</f>
        <v>-218946</v>
      </c>
      <c r="O8" s="65">
        <f>-('2b. Balance Sheet'!O20-'2b. Balance Sheet'!N20)</f>
        <v>-544403</v>
      </c>
      <c r="P8" s="65">
        <f>-('2b. Balance Sheet'!P20-'2b. Balance Sheet'!O20)</f>
        <v>-573660.52790016797</v>
      </c>
      <c r="Q8" s="65">
        <f>-('2b. Balance Sheet'!Q20-'2b. Balance Sheet'!P20)</f>
        <v>-187985.13686556532</v>
      </c>
      <c r="R8" s="65">
        <f>-('2b. Balance Sheet'!R20-'2b. Balance Sheet'!Q20)</f>
        <v>-192476.53329439322</v>
      </c>
      <c r="S8" s="65">
        <f>-('2b. Balance Sheet'!S20-'2b. Balance Sheet'!R20)</f>
        <v>-206148.34337880136</v>
      </c>
      <c r="T8" s="65">
        <f>-('2b. Balance Sheet'!T20-'2b. Balance Sheet'!S20)</f>
        <v>-209070.8795910757</v>
      </c>
      <c r="U8" s="65">
        <f>-('2b. Balance Sheet'!U20-'2b. Balance Sheet'!T20)</f>
        <v>-215599.87057716772</v>
      </c>
      <c r="V8" s="65">
        <f>-('2b. Balance Sheet'!V20-'2b. Balance Sheet'!U20)</f>
        <v>-233998.3483263352</v>
      </c>
      <c r="W8" s="65">
        <f>-('2b. Balance Sheet'!W20-'2b. Balance Sheet'!V20)</f>
        <v>-258995.35157479858</v>
      </c>
      <c r="X8" s="65">
        <f>-('2b. Balance Sheet'!X20-'2b. Balance Sheet'!W20)</f>
        <v>-294901.17271096539</v>
      </c>
    </row>
    <row r="9" spans="3:24">
      <c r="C9" s="17" t="s">
        <v>246</v>
      </c>
      <c r="D9" t="s">
        <v>15</v>
      </c>
      <c r="E9" s="64"/>
      <c r="F9" s="64">
        <f>-('2b. Balance Sheet'!F21-'2b. Balance Sheet'!E21)</f>
        <v>0</v>
      </c>
      <c r="G9" s="64">
        <f>-('2b. Balance Sheet'!G21-'2b. Balance Sheet'!F21)</f>
        <v>0</v>
      </c>
      <c r="H9" s="64">
        <f>-('2b. Balance Sheet'!H21-'2b. Balance Sheet'!G21)</f>
        <v>0</v>
      </c>
      <c r="I9" s="64">
        <f>-('2b. Balance Sheet'!I21-'2b. Balance Sheet'!H21)</f>
        <v>0</v>
      </c>
      <c r="J9" s="64">
        <f>-('2b. Balance Sheet'!J21-'2b. Balance Sheet'!I21)</f>
        <v>0</v>
      </c>
      <c r="K9" s="64">
        <f>-('2b. Balance Sheet'!K21-'2b. Balance Sheet'!J21)</f>
        <v>0</v>
      </c>
      <c r="L9" s="64">
        <f>-('2b. Balance Sheet'!L21-'2b. Balance Sheet'!K21)</f>
        <v>-4792</v>
      </c>
      <c r="M9" s="64">
        <f>-('2b. Balance Sheet'!M21-'2b. Balance Sheet'!L21)</f>
        <v>-8256</v>
      </c>
      <c r="N9" s="64">
        <f>-('2b. Balance Sheet'!N21-'2b. Balance Sheet'!M21)</f>
        <v>-19173</v>
      </c>
      <c r="O9" s="64">
        <f>-('2b. Balance Sheet'!O21-'2b. Balance Sheet'!N21)</f>
        <v>4281</v>
      </c>
      <c r="P9" s="64">
        <f>-('2b. Balance Sheet'!P21-'2b. Balance Sheet'!O21)</f>
        <v>27940</v>
      </c>
      <c r="Q9" s="64">
        <f>-('2b. Balance Sheet'!Q21-'2b. Balance Sheet'!P21)</f>
        <v>0</v>
      </c>
      <c r="R9" s="64">
        <f>-('2b. Balance Sheet'!R21-'2b. Balance Sheet'!Q21)</f>
        <v>0</v>
      </c>
      <c r="S9" s="64">
        <f>-('2b. Balance Sheet'!S21-'2b. Balance Sheet'!R21)</f>
        <v>0</v>
      </c>
      <c r="T9" s="64">
        <f>-('2b. Balance Sheet'!T21-'2b. Balance Sheet'!S21)</f>
        <v>0</v>
      </c>
      <c r="U9" s="64">
        <f>-('2b. Balance Sheet'!U21-'2b. Balance Sheet'!T21)</f>
        <v>0</v>
      </c>
      <c r="V9" s="64">
        <f>-('2b. Balance Sheet'!V21-'2b. Balance Sheet'!U21)</f>
        <v>0</v>
      </c>
      <c r="W9" s="64">
        <f>-('2b. Balance Sheet'!W21-'2b. Balance Sheet'!V21)</f>
        <v>0</v>
      </c>
      <c r="X9" s="64">
        <f>-('2b. Balance Sheet'!X21-'2b. Balance Sheet'!W21)</f>
        <v>0</v>
      </c>
    </row>
    <row r="10" spans="3:24">
      <c r="C10" s="17"/>
      <c r="D10" t="s">
        <v>53</v>
      </c>
      <c r="E10" s="64"/>
      <c r="F10" s="64">
        <f>-('2b. Balance Sheet'!F23-'2b. Balance Sheet'!E23)</f>
        <v>181914</v>
      </c>
      <c r="G10" s="64">
        <f>-('2b. Balance Sheet'!G23-'2b. Balance Sheet'!F23)</f>
        <v>-117843</v>
      </c>
      <c r="H10" s="64">
        <f>-('2b. Balance Sheet'!H23-'2b. Balance Sheet'!G23)</f>
        <v>45975</v>
      </c>
      <c r="I10" s="64">
        <f>-('2b. Balance Sheet'!I23-'2b. Balance Sheet'!H23)</f>
        <v>81132</v>
      </c>
      <c r="J10" s="64">
        <f>-('2b. Balance Sheet'!J23-'2b. Balance Sheet'!I23)</f>
        <v>7673</v>
      </c>
      <c r="K10" s="64">
        <f>-('2b. Balance Sheet'!K23-'2b. Balance Sheet'!J23)</f>
        <v>-214130</v>
      </c>
      <c r="L10" s="64">
        <f>-('2b. Balance Sheet'!L23-'2b. Balance Sheet'!K23)</f>
        <v>119682</v>
      </c>
      <c r="M10" s="64">
        <f>-('2b. Balance Sheet'!M23-'2b. Balance Sheet'!L23)</f>
        <v>164975</v>
      </c>
      <c r="N10" s="64">
        <f>-('2b. Balance Sheet'!N23-'2b. Balance Sheet'!M23)</f>
        <v>-232800</v>
      </c>
      <c r="O10" s="64">
        <f>-('2b. Balance Sheet'!O23-'2b. Balance Sheet'!N23)</f>
        <v>-837270</v>
      </c>
      <c r="P10" s="64">
        <f>-('2b. Balance Sheet'!P23-'2b. Balance Sheet'!O23)</f>
        <v>1148985.5393480572</v>
      </c>
      <c r="Q10" s="64">
        <f>-('2b. Balance Sheet'!Q23-'2b. Balance Sheet'!P23)</f>
        <v>-84966.854519004264</v>
      </c>
      <c r="R10" s="64">
        <f>-('2b. Balance Sheet'!R23-'2b. Balance Sheet'!Q23)</f>
        <v>-35343.176009513292</v>
      </c>
      <c r="S10" s="64">
        <f>-('2b. Balance Sheet'!S23-'2b. Balance Sheet'!R23)</f>
        <v>-32418.516624483978</v>
      </c>
      <c r="T10" s="64">
        <f>-('2b. Balance Sheet'!T23-'2b. Balance Sheet'!S23)</f>
        <v>-37823.827942886273</v>
      </c>
      <c r="U10" s="64">
        <f>-('2b. Balance Sheet'!U23-'2b. Balance Sheet'!T23)</f>
        <v>-39460.559364364075</v>
      </c>
      <c r="V10" s="64">
        <f>-('2b. Balance Sheet'!V23-'2b. Balance Sheet'!U23)</f>
        <v>-32688.755952326697</v>
      </c>
      <c r="W10" s="64">
        <f>-('2b. Balance Sheet'!W23-'2b. Balance Sheet'!V23)</f>
        <v>-21259.165683239815</v>
      </c>
      <c r="X10" s="64">
        <f>-('2b. Balance Sheet'!X23-'2b. Balance Sheet'!W23)</f>
        <v>-1956.2496116904658</v>
      </c>
    </row>
    <row r="11" spans="3:24" s="4" customFormat="1">
      <c r="C11" s="19" t="s">
        <v>246</v>
      </c>
      <c r="D11" s="4" t="s">
        <v>72</v>
      </c>
      <c r="E11" s="65"/>
      <c r="F11" s="65">
        <f>'2b. Balance Sheet'!F49-'2b. Balance Sheet'!E49</f>
        <v>-32780</v>
      </c>
      <c r="G11" s="65">
        <f>'2b. Balance Sheet'!G49-'2b. Balance Sheet'!F49</f>
        <v>36897</v>
      </c>
      <c r="H11" s="65">
        <f>'2b. Balance Sheet'!H49-'2b. Balance Sheet'!G49</f>
        <v>-31689</v>
      </c>
      <c r="I11" s="65">
        <f>'2b. Balance Sheet'!I49-'2b. Balance Sheet'!H49</f>
        <v>59277</v>
      </c>
      <c r="J11" s="65">
        <f>'2b. Balance Sheet'!J49-'2b. Balance Sheet'!I49</f>
        <v>-38145</v>
      </c>
      <c r="K11" s="65">
        <f>'2b. Balance Sheet'!K49-'2b. Balance Sheet'!J49</f>
        <v>129017</v>
      </c>
      <c r="L11" s="65">
        <f>'2b. Balance Sheet'!L49-'2b. Balance Sheet'!K49</f>
        <v>234676</v>
      </c>
      <c r="M11" s="65">
        <f>'2b. Balance Sheet'!M49-'2b. Balance Sheet'!L49</f>
        <v>-175511</v>
      </c>
      <c r="N11" s="65">
        <f>'2b. Balance Sheet'!N49-'2b. Balance Sheet'!M49</f>
        <v>186473</v>
      </c>
      <c r="O11" s="65">
        <f>'2b. Balance Sheet'!O49-'2b. Balance Sheet'!N49</f>
        <v>655850</v>
      </c>
      <c r="P11" s="65">
        <f>'2b. Balance Sheet'!P49-'2b. Balance Sheet'!O49</f>
        <v>809300.68589976802</v>
      </c>
      <c r="Q11" s="65">
        <f>'2b. Balance Sheet'!Q49-'2b. Balance Sheet'!P49</f>
        <v>207434.04887524433</v>
      </c>
      <c r="R11" s="65">
        <f>'2b. Balance Sheet'!R49-'2b. Balance Sheet'!Q49</f>
        <v>212390.12445584731</v>
      </c>
      <c r="S11" s="65">
        <f>'2b. Balance Sheet'!S49-'2b. Balance Sheet'!R49</f>
        <v>227476.41781153064</v>
      </c>
      <c r="T11" s="65">
        <f>'2b. Balance Sheet'!T49-'2b. Balance Sheet'!S49</f>
        <v>230701.31915003341</v>
      </c>
      <c r="U11" s="65">
        <f>'2b. Balance Sheet'!U49-'2b. Balance Sheet'!T49</f>
        <v>237905.79849290708</v>
      </c>
      <c r="V11" s="65">
        <f>'2b. Balance Sheet'!V49-'2b. Balance Sheet'!U49</f>
        <v>258207.7797893337</v>
      </c>
      <c r="W11" s="65">
        <f>'2b. Balance Sheet'!W49-'2b. Balance Sheet'!V49</f>
        <v>285790.96897138329</v>
      </c>
      <c r="X11" s="65">
        <f>'2b. Balance Sheet'!X49-'2b. Balance Sheet'!W49</f>
        <v>325411.60058435891</v>
      </c>
    </row>
    <row r="12" spans="3:24" s="4" customFormat="1">
      <c r="C12" s="19" t="s">
        <v>246</v>
      </c>
      <c r="D12" s="4" t="s">
        <v>73</v>
      </c>
      <c r="E12" s="65"/>
      <c r="F12" s="65">
        <f>'2b. Balance Sheet'!F51-'2b. Balance Sheet'!E51</f>
        <v>7280</v>
      </c>
      <c r="G12" s="65">
        <f>'2b. Balance Sheet'!G51-'2b. Balance Sheet'!F51</f>
        <v>1353</v>
      </c>
      <c r="H12" s="65">
        <f>'2b. Balance Sheet'!H51-'2b. Balance Sheet'!G51</f>
        <v>11039</v>
      </c>
      <c r="I12" s="65">
        <f>'2b. Balance Sheet'!I51-'2b. Balance Sheet'!H51</f>
        <v>-13269</v>
      </c>
      <c r="J12" s="65">
        <f>'2b. Balance Sheet'!J51-'2b. Balance Sheet'!I51</f>
        <v>753</v>
      </c>
      <c r="K12" s="65">
        <f>'2b. Balance Sheet'!K51-'2b. Balance Sheet'!J51</f>
        <v>-24698</v>
      </c>
      <c r="L12" s="65">
        <f>'2b. Balance Sheet'!L51-'2b. Balance Sheet'!K51</f>
        <v>0</v>
      </c>
      <c r="M12" s="65">
        <f>'2b. Balance Sheet'!M51-'2b. Balance Sheet'!L51</f>
        <v>9265</v>
      </c>
      <c r="N12" s="65">
        <f>'2b. Balance Sheet'!N51-'2b. Balance Sheet'!M51</f>
        <v>-97</v>
      </c>
      <c r="O12" s="65">
        <f>'2b. Balance Sheet'!O51-'2b. Balance Sheet'!N51</f>
        <v>197952</v>
      </c>
      <c r="P12" s="65">
        <f>'2b. Balance Sheet'!P51-'2b. Balance Sheet'!O51</f>
        <v>-207120</v>
      </c>
      <c r="Q12" s="65">
        <f>'2b. Balance Sheet'!Q51-'2b. Balance Sheet'!P51</f>
        <v>0</v>
      </c>
      <c r="R12" s="65">
        <f>'2b. Balance Sheet'!R51-'2b. Balance Sheet'!Q51</f>
        <v>0</v>
      </c>
      <c r="S12" s="65">
        <f>'2b. Balance Sheet'!S51-'2b. Balance Sheet'!R51</f>
        <v>0</v>
      </c>
      <c r="T12" s="65">
        <f>'2b. Balance Sheet'!T51-'2b. Balance Sheet'!S51</f>
        <v>0</v>
      </c>
      <c r="U12" s="65">
        <f>'2b. Balance Sheet'!U51-'2b. Balance Sheet'!T51</f>
        <v>0</v>
      </c>
      <c r="V12" s="65">
        <f>'2b. Balance Sheet'!V51-'2b. Balance Sheet'!U51</f>
        <v>0</v>
      </c>
      <c r="W12" s="65">
        <f>'2b. Balance Sheet'!W51-'2b. Balance Sheet'!V51</f>
        <v>0</v>
      </c>
      <c r="X12" s="65">
        <f>'2b. Balance Sheet'!X51-'2b. Balance Sheet'!W51</f>
        <v>0</v>
      </c>
    </row>
    <row r="13" spans="3:24">
      <c r="C13" s="17" t="s">
        <v>247</v>
      </c>
      <c r="D13" t="s">
        <v>15</v>
      </c>
      <c r="E13" s="64"/>
      <c r="F13" s="64">
        <f>'2b. Balance Sheet'!F52-'2b. Balance Sheet'!E52</f>
        <v>3565</v>
      </c>
      <c r="G13" s="64">
        <f>'2b. Balance Sheet'!G52-'2b. Balance Sheet'!F52</f>
        <v>4987</v>
      </c>
      <c r="H13" s="64">
        <f>'2b. Balance Sheet'!H52-'2b. Balance Sheet'!G52</f>
        <v>5350</v>
      </c>
      <c r="I13" s="64">
        <f>'2b. Balance Sheet'!I52-'2b. Balance Sheet'!H52</f>
        <v>10026</v>
      </c>
      <c r="J13" s="64">
        <f>'2b. Balance Sheet'!J52-'2b. Balance Sheet'!I52</f>
        <v>7830</v>
      </c>
      <c r="K13" s="64">
        <f>'2b. Balance Sheet'!K52-'2b. Balance Sheet'!J52</f>
        <v>-57657</v>
      </c>
      <c r="L13" s="64">
        <f>'2b. Balance Sheet'!L52-'2b. Balance Sheet'!K52</f>
        <v>0</v>
      </c>
      <c r="M13" s="64">
        <f>'2b. Balance Sheet'!M52-'2b. Balance Sheet'!L52</f>
        <v>21225</v>
      </c>
      <c r="N13" s="64">
        <f>'2b. Balance Sheet'!N52-'2b. Balance Sheet'!M52</f>
        <v>-4009</v>
      </c>
      <c r="O13" s="64">
        <f>'2b. Balance Sheet'!O52-'2b. Balance Sheet'!N52</f>
        <v>305290</v>
      </c>
      <c r="P13" s="64">
        <f>'2b. Balance Sheet'!P52-'2b. Balance Sheet'!O52</f>
        <v>0</v>
      </c>
      <c r="Q13" s="64">
        <f>'2b. Balance Sheet'!Q52-'2b. Balance Sheet'!P52</f>
        <v>0</v>
      </c>
      <c r="R13" s="64">
        <f>'2b. Balance Sheet'!R52-'2b. Balance Sheet'!Q52</f>
        <v>0</v>
      </c>
      <c r="S13" s="64">
        <f>'2b. Balance Sheet'!S52-'2b. Balance Sheet'!R52</f>
        <v>0</v>
      </c>
      <c r="T13" s="64">
        <f>'2b. Balance Sheet'!T52-'2b. Balance Sheet'!S52</f>
        <v>0</v>
      </c>
      <c r="U13" s="64">
        <f>'2b. Balance Sheet'!U52-'2b. Balance Sheet'!T52</f>
        <v>0</v>
      </c>
      <c r="V13" s="64">
        <f>'2b. Balance Sheet'!V52-'2b. Balance Sheet'!U52</f>
        <v>0</v>
      </c>
      <c r="W13" s="64">
        <f>'2b. Balance Sheet'!W52-'2b. Balance Sheet'!V52</f>
        <v>0</v>
      </c>
      <c r="X13" s="64">
        <f>'2b. Balance Sheet'!X52-'2b. Balance Sheet'!W52</f>
        <v>0</v>
      </c>
    </row>
    <row r="14" spans="3:24">
      <c r="C14" s="17"/>
      <c r="D14" t="s">
        <v>168</v>
      </c>
      <c r="E14" s="64"/>
      <c r="F14" s="64">
        <f>'2b. Balance Sheet'!F53-'2b. Balance Sheet'!E53</f>
        <v>-25440</v>
      </c>
      <c r="G14" s="64">
        <f>'2b. Balance Sheet'!G53-'2b. Balance Sheet'!F53</f>
        <v>26195</v>
      </c>
      <c r="H14" s="64">
        <f>'2b. Balance Sheet'!H53-'2b. Balance Sheet'!G53</f>
        <v>-45739</v>
      </c>
      <c r="I14" s="64">
        <f>'2b. Balance Sheet'!I53-'2b. Balance Sheet'!H53</f>
        <v>-31969</v>
      </c>
      <c r="J14" s="64">
        <f>'2b. Balance Sheet'!J53-'2b. Balance Sheet'!I53</f>
        <v>16181</v>
      </c>
      <c r="K14" s="64">
        <f>'2b. Balance Sheet'!K53-'2b. Balance Sheet'!J53</f>
        <v>-25298</v>
      </c>
      <c r="L14" s="64">
        <f>'2b. Balance Sheet'!L53-'2b. Balance Sheet'!K53</f>
        <v>33258</v>
      </c>
      <c r="M14" s="64">
        <f>'2b. Balance Sheet'!M53-'2b. Balance Sheet'!L53</f>
        <v>212426</v>
      </c>
      <c r="N14" s="64">
        <f>'2b. Balance Sheet'!N53-'2b. Balance Sheet'!M53</f>
        <v>-257000</v>
      </c>
      <c r="O14" s="64">
        <f>'2b. Balance Sheet'!O53-'2b. Balance Sheet'!N53</f>
        <v>0</v>
      </c>
      <c r="P14" s="64">
        <f>'2b. Balance Sheet'!P53-'2b. Balance Sheet'!O53</f>
        <v>0</v>
      </c>
      <c r="Q14" s="64">
        <f>'2b. Balance Sheet'!Q53-'2b. Balance Sheet'!P53</f>
        <v>0</v>
      </c>
      <c r="R14" s="64">
        <f>'2b. Balance Sheet'!R53-'2b. Balance Sheet'!Q53</f>
        <v>0</v>
      </c>
      <c r="S14" s="64">
        <f>'2b. Balance Sheet'!S53-'2b. Balance Sheet'!R53</f>
        <v>0</v>
      </c>
      <c r="T14" s="64">
        <f>'2b. Balance Sheet'!T53-'2b. Balance Sheet'!S53</f>
        <v>0</v>
      </c>
      <c r="U14" s="64">
        <f>'2b. Balance Sheet'!U53-'2b. Balance Sheet'!T53</f>
        <v>0</v>
      </c>
      <c r="V14" s="64">
        <f>'2b. Balance Sheet'!V53-'2b. Balance Sheet'!U53</f>
        <v>0</v>
      </c>
      <c r="W14" s="64">
        <f>'2b. Balance Sheet'!W53-'2b. Balance Sheet'!V53</f>
        <v>0</v>
      </c>
      <c r="X14" s="64">
        <f>'2b. Balance Sheet'!X53-'2b. Balance Sheet'!W53</f>
        <v>0</v>
      </c>
    </row>
    <row r="15" spans="3:24">
      <c r="E15" s="64"/>
      <c r="F15" s="64"/>
      <c r="G15" s="64"/>
      <c r="H15" s="64"/>
      <c r="I15" s="64"/>
      <c r="J15" s="64"/>
      <c r="K15" s="64"/>
      <c r="L15" s="64"/>
      <c r="M15" s="64"/>
      <c r="N15" s="64"/>
      <c r="O15" s="64"/>
      <c r="P15" s="64"/>
      <c r="Q15" s="64"/>
      <c r="R15" s="64"/>
      <c r="S15" s="64"/>
      <c r="T15" s="64"/>
      <c r="U15" s="64"/>
      <c r="V15" s="64"/>
      <c r="W15" s="64"/>
      <c r="X15" s="64"/>
    </row>
    <row r="16" spans="3:24">
      <c r="C16" s="4"/>
      <c r="D16" s="4" t="s">
        <v>244</v>
      </c>
      <c r="E16" s="65"/>
      <c r="F16" s="65">
        <f>SUM(F7:F14)</f>
        <v>212238</v>
      </c>
      <c r="G16" s="65">
        <f t="shared" ref="G16:X16" si="0">SUM(G7:G14)</f>
        <v>-150244</v>
      </c>
      <c r="H16" s="65">
        <f t="shared" si="0"/>
        <v>-59384</v>
      </c>
      <c r="I16" s="65">
        <f t="shared" si="0"/>
        <v>-124547</v>
      </c>
      <c r="J16" s="65">
        <f t="shared" si="0"/>
        <v>-127454</v>
      </c>
      <c r="K16" s="65">
        <f t="shared" si="0"/>
        <v>-99176</v>
      </c>
      <c r="L16" s="65">
        <f t="shared" si="0"/>
        <v>-187556</v>
      </c>
      <c r="M16" s="65">
        <f t="shared" si="0"/>
        <v>-73774</v>
      </c>
      <c r="N16" s="65">
        <f t="shared" si="0"/>
        <v>-170998</v>
      </c>
      <c r="O16" s="65">
        <f t="shared" si="0"/>
        <v>-695951</v>
      </c>
      <c r="P16" s="65">
        <f t="shared" si="0"/>
        <v>717845.64794569602</v>
      </c>
      <c r="Q16" s="65">
        <f t="shared" si="0"/>
        <v>-233482.23436981416</v>
      </c>
      <c r="R16" s="65">
        <f t="shared" si="0"/>
        <v>-187406.92919350287</v>
      </c>
      <c r="S16" s="65">
        <f t="shared" si="0"/>
        <v>-195283.51772514288</v>
      </c>
      <c r="T16" s="65">
        <f t="shared" si="0"/>
        <v>-202997.74337012914</v>
      </c>
      <c r="U16" s="65">
        <f t="shared" si="0"/>
        <v>-209792.62501832057</v>
      </c>
      <c r="V16" s="65">
        <f t="shared" si="0"/>
        <v>-217556.31604565645</v>
      </c>
      <c r="W16" s="65">
        <f t="shared" si="0"/>
        <v>-225875.30534237029</v>
      </c>
      <c r="X16" s="65">
        <f t="shared" si="0"/>
        <v>-234939.34824325587</v>
      </c>
    </row>
    <row r="17" spans="3:24">
      <c r="C17" s="4"/>
      <c r="D17" s="4"/>
      <c r="E17" s="65"/>
      <c r="F17" s="65"/>
      <c r="G17" s="65"/>
      <c r="H17" s="65"/>
      <c r="I17" s="65"/>
      <c r="J17" s="65"/>
      <c r="K17" s="65"/>
      <c r="L17" s="65"/>
      <c r="M17" s="65"/>
      <c r="N17" s="65"/>
      <c r="O17" s="65"/>
      <c r="P17" s="65"/>
      <c r="Q17" s="65"/>
      <c r="R17" s="65"/>
      <c r="S17" s="65"/>
      <c r="T17" s="65"/>
      <c r="U17" s="65"/>
      <c r="V17" s="65"/>
      <c r="W17" s="65"/>
      <c r="X17" s="65"/>
    </row>
    <row r="18" spans="3:24">
      <c r="C18" s="4"/>
      <c r="D18" s="4" t="s">
        <v>245</v>
      </c>
      <c r="E18" s="65"/>
      <c r="F18" s="65">
        <f>F7+F8+F11+F12</f>
        <v>52199</v>
      </c>
      <c r="G18" s="65">
        <f t="shared" ref="G18:X18" si="1">G7+G8+G11+G12</f>
        <v>-63583</v>
      </c>
      <c r="H18" s="65">
        <f t="shared" si="1"/>
        <v>-64970</v>
      </c>
      <c r="I18" s="65">
        <f t="shared" si="1"/>
        <v>-183736</v>
      </c>
      <c r="J18" s="65">
        <f t="shared" si="1"/>
        <v>-159138</v>
      </c>
      <c r="K18" s="65">
        <f t="shared" si="1"/>
        <v>197909</v>
      </c>
      <c r="L18" s="65">
        <f t="shared" si="1"/>
        <v>-335704</v>
      </c>
      <c r="M18" s="65">
        <f t="shared" si="1"/>
        <v>-464144</v>
      </c>
      <c r="N18" s="65">
        <f t="shared" si="1"/>
        <v>341984</v>
      </c>
      <c r="O18" s="65">
        <f t="shared" si="1"/>
        <v>-168252</v>
      </c>
      <c r="P18" s="65">
        <f t="shared" si="1"/>
        <v>-459079.89140236122</v>
      </c>
      <c r="Q18" s="65">
        <f t="shared" si="1"/>
        <v>-148515.37985080993</v>
      </c>
      <c r="R18" s="65">
        <f t="shared" si="1"/>
        <v>-152063.75318398955</v>
      </c>
      <c r="S18" s="65">
        <f t="shared" si="1"/>
        <v>-162865.0011006589</v>
      </c>
      <c r="T18" s="65">
        <f t="shared" si="1"/>
        <v>-165173.91542724287</v>
      </c>
      <c r="U18" s="65">
        <f t="shared" si="1"/>
        <v>-170332.0656539565</v>
      </c>
      <c r="V18" s="65">
        <f t="shared" si="1"/>
        <v>-184867.56009332975</v>
      </c>
      <c r="W18" s="65">
        <f t="shared" si="1"/>
        <v>-204616.13965913048</v>
      </c>
      <c r="X18" s="65">
        <f t="shared" si="1"/>
        <v>-232983.09863156546</v>
      </c>
    </row>
    <row r="19" spans="3:24">
      <c r="E19" s="66"/>
      <c r="F19" s="66"/>
      <c r="G19" s="66"/>
      <c r="H19" s="66"/>
      <c r="I19" s="66"/>
      <c r="J19" s="66"/>
      <c r="K19" s="66"/>
      <c r="L19" s="66"/>
      <c r="M19" s="66"/>
      <c r="N19" s="66"/>
      <c r="O19" s="66"/>
      <c r="P19" s="66"/>
      <c r="Q19" s="66"/>
      <c r="R19" s="66"/>
      <c r="S19" s="66"/>
      <c r="T19" s="66"/>
      <c r="U19" s="66"/>
      <c r="V19" s="66"/>
      <c r="W19" s="66"/>
      <c r="X19" s="66"/>
    </row>
    <row r="20" spans="3:24">
      <c r="E20" s="66"/>
      <c r="F20" s="66"/>
      <c r="G20" s="66"/>
      <c r="H20" s="66"/>
      <c r="I20" s="66"/>
      <c r="J20" s="66"/>
      <c r="K20" s="66"/>
      <c r="L20" s="66"/>
      <c r="M20" s="66"/>
      <c r="N20" s="66"/>
      <c r="O20" s="66"/>
      <c r="P20" s="66"/>
      <c r="Q20" s="66"/>
      <c r="R20" s="66"/>
      <c r="S20" s="66"/>
      <c r="T20" s="66"/>
      <c r="U20" s="66"/>
      <c r="V20" s="66"/>
      <c r="W20" s="66"/>
      <c r="X20" s="66"/>
    </row>
    <row r="21" spans="3:24">
      <c r="D21" s="23" t="s">
        <v>184</v>
      </c>
      <c r="E21" s="67" t="s">
        <v>216</v>
      </c>
      <c r="F21" s="67" t="s">
        <v>217</v>
      </c>
      <c r="G21" s="67" t="s">
        <v>218</v>
      </c>
      <c r="H21" s="67" t="s">
        <v>28</v>
      </c>
      <c r="I21" s="67" t="s">
        <v>17</v>
      </c>
      <c r="J21" s="67" t="s">
        <v>18</v>
      </c>
      <c r="K21" s="67" t="s">
        <v>19</v>
      </c>
      <c r="L21" s="67" t="s">
        <v>20</v>
      </c>
      <c r="M21" s="67" t="s">
        <v>21</v>
      </c>
      <c r="N21" s="67" t="s">
        <v>22</v>
      </c>
      <c r="O21" s="67" t="s">
        <v>23</v>
      </c>
      <c r="P21" s="67" t="s">
        <v>24</v>
      </c>
      <c r="Q21" s="67" t="s">
        <v>25</v>
      </c>
      <c r="R21" s="67" t="s">
        <v>26</v>
      </c>
      <c r="S21" s="67" t="s">
        <v>27</v>
      </c>
      <c r="T21" s="67"/>
      <c r="U21" s="67"/>
      <c r="V21" s="67"/>
      <c r="W21" s="67"/>
      <c r="X21" s="67"/>
    </row>
    <row r="22" spans="3:24">
      <c r="D22" t="s">
        <v>419</v>
      </c>
      <c r="E22">
        <v>-12179</v>
      </c>
      <c r="F22">
        <f t="shared" ref="F22:N22" si="2">-E27</f>
        <v>-8813</v>
      </c>
      <c r="G22">
        <f t="shared" si="2"/>
        <v>-25286</v>
      </c>
      <c r="H22">
        <f t="shared" si="2"/>
        <v>-31863</v>
      </c>
      <c r="I22">
        <f t="shared" si="2"/>
        <v>-34494</v>
      </c>
      <c r="J22">
        <f t="shared" si="2"/>
        <v>-39351</v>
      </c>
      <c r="K22">
        <f t="shared" si="2"/>
        <v>-54271</v>
      </c>
      <c r="L22">
        <f t="shared" si="2"/>
        <v>-87872</v>
      </c>
      <c r="M22">
        <f t="shared" si="2"/>
        <v>-87408</v>
      </c>
      <c r="N22">
        <f t="shared" si="2"/>
        <v>-8177</v>
      </c>
      <c r="O22">
        <f>-N27</f>
        <v>15005</v>
      </c>
      <c r="P22">
        <f t="shared" ref="P22:X22" si="3">-O27</f>
        <v>-294566</v>
      </c>
      <c r="Q22">
        <f t="shared" si="3"/>
        <v>0</v>
      </c>
      <c r="R22">
        <f t="shared" si="3"/>
        <v>0</v>
      </c>
      <c r="S22">
        <f t="shared" si="3"/>
        <v>0</v>
      </c>
      <c r="T22">
        <f t="shared" si="3"/>
        <v>0</v>
      </c>
      <c r="U22">
        <f t="shared" si="3"/>
        <v>0</v>
      </c>
      <c r="V22">
        <f t="shared" si="3"/>
        <v>0</v>
      </c>
      <c r="W22">
        <f t="shared" si="3"/>
        <v>0</v>
      </c>
      <c r="X22">
        <f t="shared" si="3"/>
        <v>0</v>
      </c>
    </row>
    <row r="23" spans="3:24">
      <c r="D23" t="s">
        <v>248</v>
      </c>
      <c r="E23">
        <f>-'Notes to the Income Statement'!E167</f>
        <v>-60003</v>
      </c>
      <c r="F23">
        <f>-'Notes to the Income Statement'!F167</f>
        <v>-63270</v>
      </c>
      <c r="G23">
        <f>-'Notes to the Income Statement'!G167</f>
        <v>-80870</v>
      </c>
      <c r="H23">
        <f>-'Notes to the Income Statement'!H167</f>
        <v>-87367</v>
      </c>
      <c r="I23">
        <f>-'Notes to the Income Statement'!I167</f>
        <v>-143625</v>
      </c>
      <c r="J23">
        <f>-'Notes to the Income Statement'!J167</f>
        <v>-181094</v>
      </c>
      <c r="K23">
        <f>-'Notes to the Income Statement'!K167</f>
        <v>-201558</v>
      </c>
      <c r="L23">
        <f>-'Notes to the Income Statement'!L167</f>
        <v>-242124</v>
      </c>
      <c r="M23">
        <f>-'Notes to the Income Statement'!M167</f>
        <v>-238471</v>
      </c>
      <c r="N23">
        <f>-'Notes to the Income Statement'!N167</f>
        <v>-240906</v>
      </c>
      <c r="O23">
        <f>-'Notes to the Income Statement'!O167</f>
        <v>-283236</v>
      </c>
      <c r="P23">
        <f>-'Notes to the Income Statement'!P167</f>
        <v>0</v>
      </c>
      <c r="Q23">
        <f>-'Notes to the Income Statement'!Q167</f>
        <v>0</v>
      </c>
      <c r="R23">
        <f>-'Notes to the Income Statement'!R167</f>
        <v>0</v>
      </c>
      <c r="S23">
        <f>-'Notes to the Income Statement'!S167</f>
        <v>0</v>
      </c>
      <c r="T23">
        <f>-'Notes to the Income Statement'!T167</f>
        <v>0</v>
      </c>
      <c r="U23">
        <f>-'Notes to the Income Statement'!U167</f>
        <v>0</v>
      </c>
      <c r="V23">
        <f>-'Notes to the Income Statement'!V167</f>
        <v>0</v>
      </c>
      <c r="W23">
        <f>-'Notes to the Income Statement'!W167</f>
        <v>0</v>
      </c>
      <c r="X23">
        <f>-'Notes to the Income Statement'!X167</f>
        <v>0</v>
      </c>
    </row>
    <row r="24" spans="3:24">
      <c r="D24" t="s">
        <v>403</v>
      </c>
      <c r="O24">
        <f>O82+O54</f>
        <v>-212344</v>
      </c>
    </row>
    <row r="25" spans="3:24">
      <c r="D25" t="s">
        <v>249</v>
      </c>
      <c r="E25">
        <v>907</v>
      </c>
      <c r="H25">
        <v>-81</v>
      </c>
      <c r="J25">
        <v>-60</v>
      </c>
      <c r="K25">
        <v>-1200</v>
      </c>
    </row>
    <row r="26" spans="3:24">
      <c r="D26" t="s">
        <v>250</v>
      </c>
      <c r="E26">
        <v>96</v>
      </c>
      <c r="F26">
        <v>-163</v>
      </c>
      <c r="G26">
        <v>-85</v>
      </c>
      <c r="H26">
        <v>194</v>
      </c>
      <c r="I26">
        <v>-54</v>
      </c>
      <c r="K26">
        <v>25</v>
      </c>
      <c r="M26">
        <v>-171</v>
      </c>
      <c r="N26">
        <v>-2</v>
      </c>
      <c r="O26">
        <v>-35977</v>
      </c>
    </row>
    <row r="27" spans="3:24">
      <c r="D27" t="s">
        <v>420</v>
      </c>
      <c r="E27">
        <v>8813</v>
      </c>
      <c r="F27">
        <v>25286</v>
      </c>
      <c r="G27">
        <v>31863</v>
      </c>
      <c r="H27">
        <v>34494</v>
      </c>
      <c r="I27">
        <v>39351</v>
      </c>
      <c r="J27">
        <v>54271</v>
      </c>
      <c r="K27">
        <v>87872</v>
      </c>
      <c r="L27">
        <v>87408</v>
      </c>
      <c r="M27">
        <v>8177</v>
      </c>
      <c r="N27">
        <v>-15005</v>
      </c>
      <c r="O27">
        <v>294566</v>
      </c>
    </row>
    <row r="28" spans="3:24" s="4" customFormat="1">
      <c r="D28" s="4" t="s">
        <v>259</v>
      </c>
      <c r="E28" s="4">
        <f>SUM(E22:E27)</f>
        <v>-62366</v>
      </c>
      <c r="F28" s="4">
        <f>SUM(F22:F27)</f>
        <v>-46960</v>
      </c>
      <c r="G28" s="4">
        <f t="shared" ref="G28:X28" si="4">SUM(G22:G27)</f>
        <v>-74378</v>
      </c>
      <c r="H28" s="4">
        <f t="shared" si="4"/>
        <v>-84623</v>
      </c>
      <c r="I28" s="4">
        <f t="shared" si="4"/>
        <v>-138822</v>
      </c>
      <c r="J28" s="4">
        <f t="shared" si="4"/>
        <v>-166234</v>
      </c>
      <c r="K28" s="4">
        <f t="shared" si="4"/>
        <v>-169132</v>
      </c>
      <c r="L28" s="4">
        <f t="shared" si="4"/>
        <v>-242588</v>
      </c>
      <c r="M28" s="4">
        <f t="shared" si="4"/>
        <v>-317873</v>
      </c>
      <c r="N28" s="4">
        <f t="shared" si="4"/>
        <v>-264090</v>
      </c>
      <c r="O28" s="4">
        <f>SUM(O22:O27)</f>
        <v>-221986</v>
      </c>
      <c r="P28" s="4">
        <f t="shared" si="4"/>
        <v>-294566</v>
      </c>
      <c r="Q28" s="4">
        <f t="shared" si="4"/>
        <v>0</v>
      </c>
      <c r="R28" s="4">
        <f t="shared" si="4"/>
        <v>0</v>
      </c>
      <c r="S28" s="4">
        <f t="shared" si="4"/>
        <v>0</v>
      </c>
      <c r="T28" s="4">
        <f t="shared" si="4"/>
        <v>0</v>
      </c>
      <c r="U28" s="4">
        <f t="shared" si="4"/>
        <v>0</v>
      </c>
      <c r="V28" s="4">
        <f t="shared" si="4"/>
        <v>0</v>
      </c>
      <c r="W28" s="4">
        <f t="shared" si="4"/>
        <v>0</v>
      </c>
      <c r="X28" s="4">
        <f t="shared" si="4"/>
        <v>0</v>
      </c>
    </row>
    <row r="31" spans="3:24">
      <c r="D31" s="23" t="s">
        <v>186</v>
      </c>
      <c r="E31" s="1" t="s">
        <v>216</v>
      </c>
      <c r="F31" s="1" t="s">
        <v>217</v>
      </c>
      <c r="G31" s="1" t="s">
        <v>218</v>
      </c>
      <c r="H31" s="1" t="s">
        <v>28</v>
      </c>
      <c r="I31" s="1" t="s">
        <v>17</v>
      </c>
      <c r="J31" s="1" t="s">
        <v>18</v>
      </c>
      <c r="K31" s="1" t="s">
        <v>19</v>
      </c>
      <c r="L31" s="1" t="s">
        <v>20</v>
      </c>
      <c r="M31" s="1" t="s">
        <v>21</v>
      </c>
      <c r="N31" s="1" t="s">
        <v>22</v>
      </c>
      <c r="O31" s="1" t="s">
        <v>23</v>
      </c>
      <c r="P31" s="1" t="s">
        <v>24</v>
      </c>
      <c r="Q31" s="1" t="s">
        <v>25</v>
      </c>
      <c r="R31" s="1" t="s">
        <v>26</v>
      </c>
      <c r="S31" s="1" t="s">
        <v>27</v>
      </c>
      <c r="T31" s="1"/>
      <c r="U31" s="1"/>
      <c r="V31" s="1"/>
      <c r="W31" s="1"/>
      <c r="X31" s="1"/>
    </row>
    <row r="32" spans="3:24">
      <c r="D32" t="s">
        <v>251</v>
      </c>
      <c r="E32">
        <f>-'Notes to the Income Statement'!E258</f>
        <v>-82674</v>
      </c>
      <c r="F32">
        <f>-'Notes to the Income Statement'!F258</f>
        <v>-83738</v>
      </c>
      <c r="G32">
        <f>-'Notes to the Income Statement'!G258</f>
        <v>-79466</v>
      </c>
      <c r="H32">
        <f>-'Notes to the Income Statement'!H258</f>
        <v>-110989</v>
      </c>
      <c r="I32">
        <f>-'Notes to the Income Statement'!I258</f>
        <v>-159545</v>
      </c>
      <c r="J32">
        <f>-'Notes to the Income Statement'!J258</f>
        <v>-185021</v>
      </c>
      <c r="K32">
        <f>-'Notes to the Income Statement'!K258</f>
        <v>-211652</v>
      </c>
      <c r="L32">
        <f>-'Notes to the Income Statement'!L258</f>
        <v>-228188</v>
      </c>
      <c r="M32">
        <f>-'Notes to the Income Statement'!M258</f>
        <v>-356970</v>
      </c>
      <c r="N32">
        <f>-'Notes to the Income Statement'!N258</f>
        <v>-329481</v>
      </c>
      <c r="O32">
        <f>-'Notes to the Income Statement'!O258</f>
        <v>-378932</v>
      </c>
      <c r="P32">
        <f>-'Notes to the Income Statement'!P258</f>
        <v>0</v>
      </c>
      <c r="Q32">
        <f>-'Notes to the Income Statement'!Q258</f>
        <v>0</v>
      </c>
      <c r="R32">
        <f>-'Notes to the Income Statement'!R258</f>
        <v>0</v>
      </c>
      <c r="S32">
        <f>-'Notes to the Income Statement'!S258</f>
        <v>0</v>
      </c>
      <c r="T32">
        <f>-'Notes to the Income Statement'!T258</f>
        <v>0</v>
      </c>
      <c r="U32">
        <f>-'Notes to the Income Statement'!U258</f>
        <v>0</v>
      </c>
      <c r="V32">
        <f>-'Notes to the Income Statement'!V258</f>
        <v>0</v>
      </c>
      <c r="W32">
        <f>-'Notes to the Income Statement'!W258</f>
        <v>0</v>
      </c>
      <c r="X32">
        <f>-'Notes to the Income Statement'!X258</f>
        <v>0</v>
      </c>
    </row>
    <row r="33" spans="4:24">
      <c r="D33" t="s">
        <v>422</v>
      </c>
      <c r="K33">
        <v>-1238</v>
      </c>
      <c r="L33">
        <v>-1608</v>
      </c>
    </row>
    <row r="35" spans="4:24">
      <c r="D35" t="s">
        <v>421</v>
      </c>
      <c r="M35">
        <v>-2711</v>
      </c>
      <c r="N35">
        <v>-10176</v>
      </c>
      <c r="O35">
        <v>-25506</v>
      </c>
    </row>
    <row r="36" spans="4:24">
      <c r="D36" t="s">
        <v>252</v>
      </c>
      <c r="E36">
        <v>-913</v>
      </c>
      <c r="F36">
        <v>-2296</v>
      </c>
      <c r="G36">
        <v>-3662</v>
      </c>
      <c r="H36">
        <v>-12651</v>
      </c>
      <c r="I36">
        <v>-11439</v>
      </c>
      <c r="J36">
        <v>-8819</v>
      </c>
      <c r="K36">
        <v>-7103</v>
      </c>
      <c r="L36">
        <v>-12426</v>
      </c>
      <c r="M36">
        <v>-21251</v>
      </c>
      <c r="N36">
        <v>-26223</v>
      </c>
      <c r="O36">
        <v>-22957</v>
      </c>
    </row>
    <row r="37" spans="4:24" s="4" customFormat="1">
      <c r="D37" s="4" t="s">
        <v>259</v>
      </c>
      <c r="E37" s="4">
        <f t="shared" ref="E37:X37" si="5">SUM(E32:E36)</f>
        <v>-83587</v>
      </c>
      <c r="F37" s="4">
        <f t="shared" si="5"/>
        <v>-86034</v>
      </c>
      <c r="G37" s="4">
        <f t="shared" si="5"/>
        <v>-83128</v>
      </c>
      <c r="H37" s="4">
        <f t="shared" si="5"/>
        <v>-123640</v>
      </c>
      <c r="I37" s="4">
        <f t="shared" si="5"/>
        <v>-170984</v>
      </c>
      <c r="J37" s="4">
        <f t="shared" si="5"/>
        <v>-193840</v>
      </c>
      <c r="K37" s="4">
        <f t="shared" si="5"/>
        <v>-219993</v>
      </c>
      <c r="L37" s="4">
        <f t="shared" si="5"/>
        <v>-242222</v>
      </c>
      <c r="M37" s="4">
        <f t="shared" si="5"/>
        <v>-380932</v>
      </c>
      <c r="N37" s="4">
        <f t="shared" si="5"/>
        <v>-365880</v>
      </c>
      <c r="O37" s="4">
        <f t="shared" si="5"/>
        <v>-427395</v>
      </c>
      <c r="P37" s="4">
        <f t="shared" si="5"/>
        <v>0</v>
      </c>
      <c r="Q37" s="4">
        <f t="shared" si="5"/>
        <v>0</v>
      </c>
      <c r="R37" s="4">
        <f t="shared" si="5"/>
        <v>0</v>
      </c>
      <c r="S37" s="4">
        <f t="shared" si="5"/>
        <v>0</v>
      </c>
      <c r="T37" s="4">
        <f t="shared" si="5"/>
        <v>0</v>
      </c>
      <c r="U37" s="4">
        <f t="shared" si="5"/>
        <v>0</v>
      </c>
      <c r="V37" s="4">
        <f t="shared" si="5"/>
        <v>0</v>
      </c>
      <c r="W37" s="4">
        <f t="shared" si="5"/>
        <v>0</v>
      </c>
      <c r="X37" s="4">
        <f t="shared" si="5"/>
        <v>0</v>
      </c>
    </row>
    <row r="39" spans="4:24">
      <c r="D39" s="24" t="s">
        <v>253</v>
      </c>
      <c r="E39" s="11" t="s">
        <v>216</v>
      </c>
      <c r="F39" s="11" t="s">
        <v>217</v>
      </c>
      <c r="G39" s="11" t="s">
        <v>218</v>
      </c>
      <c r="H39" s="11" t="s">
        <v>28</v>
      </c>
      <c r="I39" s="11" t="s">
        <v>17</v>
      </c>
      <c r="J39" s="11" t="s">
        <v>18</v>
      </c>
      <c r="K39" s="11" t="s">
        <v>19</v>
      </c>
      <c r="L39" s="11" t="s">
        <v>20</v>
      </c>
      <c r="M39" s="11" t="s">
        <v>21</v>
      </c>
      <c r="N39" s="11" t="s">
        <v>22</v>
      </c>
      <c r="O39" s="11" t="s">
        <v>23</v>
      </c>
      <c r="P39" s="11" t="s">
        <v>24</v>
      </c>
      <c r="Q39" s="11" t="s">
        <v>25</v>
      </c>
      <c r="R39" s="11" t="s">
        <v>26</v>
      </c>
      <c r="S39" s="11" t="s">
        <v>27</v>
      </c>
      <c r="T39" s="11"/>
      <c r="U39" s="11"/>
      <c r="V39" s="11"/>
      <c r="W39" s="11"/>
      <c r="X39" s="11"/>
    </row>
    <row r="40" spans="4:24" s="18" customFormat="1">
      <c r="D40" s="100" t="s">
        <v>438</v>
      </c>
      <c r="E40" s="99"/>
      <c r="F40" s="99"/>
      <c r="G40" s="99"/>
      <c r="H40" s="99"/>
      <c r="I40" s="99"/>
      <c r="J40" s="99"/>
      <c r="K40" s="99"/>
      <c r="L40" s="99"/>
      <c r="M40" s="99"/>
      <c r="N40" s="99"/>
      <c r="O40" s="99"/>
      <c r="P40" s="99"/>
      <c r="Q40" s="99"/>
      <c r="R40" s="99"/>
      <c r="S40" s="99"/>
      <c r="T40" s="99"/>
      <c r="U40" s="99"/>
      <c r="V40" s="99"/>
      <c r="W40" s="99"/>
      <c r="X40" s="99"/>
    </row>
    <row r="41" spans="4:24">
      <c r="D41" t="s">
        <v>254</v>
      </c>
      <c r="E41">
        <v>3783</v>
      </c>
      <c r="G41">
        <v>480</v>
      </c>
      <c r="H41">
        <v>-1229</v>
      </c>
      <c r="K41">
        <v>-2817</v>
      </c>
      <c r="L41">
        <v>-37400</v>
      </c>
      <c r="O41">
        <v>148037</v>
      </c>
    </row>
    <row r="42" spans="4:24">
      <c r="D42" t="s">
        <v>215</v>
      </c>
      <c r="L42">
        <v>-10000</v>
      </c>
      <c r="O42">
        <v>62835</v>
      </c>
    </row>
    <row r="43" spans="4:24">
      <c r="D43" t="s">
        <v>433</v>
      </c>
      <c r="O43">
        <v>90890</v>
      </c>
    </row>
    <row r="44" spans="4:24">
      <c r="D44" t="s">
        <v>92</v>
      </c>
      <c r="L44">
        <v>-68860</v>
      </c>
    </row>
    <row r="45" spans="4:24">
      <c r="D45" t="s">
        <v>45</v>
      </c>
      <c r="H45">
        <v>1809</v>
      </c>
    </row>
    <row r="46" spans="4:24">
      <c r="D46" t="s">
        <v>50</v>
      </c>
      <c r="E46">
        <v>298</v>
      </c>
      <c r="G46">
        <v>233</v>
      </c>
      <c r="H46">
        <v>18276</v>
      </c>
      <c r="K46">
        <v>-2187</v>
      </c>
      <c r="O46">
        <v>39815</v>
      </c>
    </row>
    <row r="47" spans="4:24">
      <c r="D47" t="s">
        <v>213</v>
      </c>
      <c r="E47">
        <v>78971</v>
      </c>
      <c r="G47">
        <v>7</v>
      </c>
      <c r="H47">
        <v>2006</v>
      </c>
      <c r="K47">
        <v>-2232</v>
      </c>
      <c r="O47">
        <v>26745</v>
      </c>
    </row>
    <row r="48" spans="4:24">
      <c r="D48" t="s">
        <v>255</v>
      </c>
      <c r="E48">
        <v>11804</v>
      </c>
      <c r="G48">
        <v>2</v>
      </c>
      <c r="O48">
        <v>52899</v>
      </c>
    </row>
    <row r="49" spans="4:24">
      <c r="D49" t="s">
        <v>256</v>
      </c>
      <c r="E49">
        <v>-72085</v>
      </c>
      <c r="G49">
        <v>-810</v>
      </c>
      <c r="H49">
        <v>-739</v>
      </c>
      <c r="K49">
        <v>3001</v>
      </c>
      <c r="L49">
        <v>514</v>
      </c>
      <c r="O49">
        <v>-34011</v>
      </c>
    </row>
    <row r="50" spans="4:24">
      <c r="D50" t="s">
        <v>264</v>
      </c>
      <c r="L50">
        <v>10450</v>
      </c>
      <c r="M50">
        <v>-10450</v>
      </c>
    </row>
    <row r="51" spans="4:24">
      <c r="D51" t="s">
        <v>434</v>
      </c>
      <c r="O51">
        <v>-170</v>
      </c>
    </row>
    <row r="52" spans="4:24">
      <c r="D52" t="s">
        <v>73</v>
      </c>
      <c r="O52">
        <v>-2114</v>
      </c>
    </row>
    <row r="53" spans="4:24">
      <c r="D53" t="s">
        <v>257</v>
      </c>
      <c r="E53">
        <v>725</v>
      </c>
      <c r="H53">
        <v>414</v>
      </c>
      <c r="K53">
        <v>2225</v>
      </c>
      <c r="O53">
        <v>-26840</v>
      </c>
    </row>
    <row r="54" spans="4:24">
      <c r="D54" t="s">
        <v>15</v>
      </c>
      <c r="E54">
        <v>-907</v>
      </c>
      <c r="H54">
        <v>81</v>
      </c>
      <c r="K54">
        <v>1200</v>
      </c>
      <c r="O54">
        <v>97</v>
      </c>
    </row>
    <row r="55" spans="4:24">
      <c r="D55" t="s">
        <v>258</v>
      </c>
      <c r="E55">
        <v>5960</v>
      </c>
      <c r="G55">
        <v>7920</v>
      </c>
      <c r="H55">
        <v>694</v>
      </c>
      <c r="K55">
        <v>552</v>
      </c>
    </row>
    <row r="56" spans="4:24">
      <c r="D56" t="s">
        <v>265</v>
      </c>
      <c r="O56">
        <v>-2807</v>
      </c>
    </row>
    <row r="57" spans="4:24" s="4" customFormat="1">
      <c r="D57" s="4" t="s">
        <v>260</v>
      </c>
      <c r="E57" s="4">
        <f>SUM(E41:E55)</f>
        <v>28549</v>
      </c>
      <c r="F57" s="4">
        <f t="shared" ref="F57:X57" si="6">SUM(F41:F55)</f>
        <v>0</v>
      </c>
      <c r="G57" s="4">
        <f t="shared" si="6"/>
        <v>7832</v>
      </c>
      <c r="H57" s="4">
        <f t="shared" si="6"/>
        <v>21312</v>
      </c>
      <c r="I57" s="4">
        <f t="shared" si="6"/>
        <v>0</v>
      </c>
      <c r="J57" s="4">
        <f t="shared" si="6"/>
        <v>0</v>
      </c>
      <c r="K57" s="4">
        <f t="shared" si="6"/>
        <v>-258</v>
      </c>
      <c r="L57" s="4">
        <f t="shared" si="6"/>
        <v>-105296</v>
      </c>
      <c r="M57" s="4">
        <f t="shared" si="6"/>
        <v>-10450</v>
      </c>
      <c r="N57" s="4">
        <f t="shared" si="6"/>
        <v>0</v>
      </c>
      <c r="O57" s="4">
        <f>SUM(O41:O56)</f>
        <v>355376</v>
      </c>
      <c r="P57" s="4">
        <f t="shared" si="6"/>
        <v>0</v>
      </c>
      <c r="Q57" s="4">
        <f t="shared" si="6"/>
        <v>0</v>
      </c>
      <c r="R57" s="4">
        <f t="shared" si="6"/>
        <v>0</v>
      </c>
      <c r="S57" s="4">
        <f t="shared" si="6"/>
        <v>0</v>
      </c>
      <c r="T57" s="4">
        <f t="shared" si="6"/>
        <v>0</v>
      </c>
      <c r="U57" s="4">
        <f t="shared" si="6"/>
        <v>0</v>
      </c>
      <c r="V57" s="4">
        <f t="shared" si="6"/>
        <v>0</v>
      </c>
      <c r="W57" s="4">
        <f t="shared" si="6"/>
        <v>0</v>
      </c>
      <c r="X57" s="4">
        <f t="shared" si="6"/>
        <v>0</v>
      </c>
    </row>
    <row r="58" spans="4:24">
      <c r="D58" t="s">
        <v>261</v>
      </c>
      <c r="E58">
        <f>-E48</f>
        <v>-11804</v>
      </c>
      <c r="F58">
        <f t="shared" ref="F58:X58" si="7">-F48</f>
        <v>0</v>
      </c>
      <c r="G58">
        <f t="shared" si="7"/>
        <v>-2</v>
      </c>
      <c r="H58">
        <f t="shared" si="7"/>
        <v>0</v>
      </c>
      <c r="I58">
        <f t="shared" si="7"/>
        <v>0</v>
      </c>
      <c r="J58">
        <f t="shared" si="7"/>
        <v>0</v>
      </c>
      <c r="K58">
        <f t="shared" si="7"/>
        <v>0</v>
      </c>
      <c r="L58">
        <f t="shared" si="7"/>
        <v>0</v>
      </c>
      <c r="M58">
        <f t="shared" si="7"/>
        <v>0</v>
      </c>
      <c r="N58">
        <f t="shared" si="7"/>
        <v>0</v>
      </c>
      <c r="O58">
        <f t="shared" si="7"/>
        <v>-52899</v>
      </c>
      <c r="P58">
        <f t="shared" si="7"/>
        <v>0</v>
      </c>
      <c r="Q58">
        <f t="shared" si="7"/>
        <v>0</v>
      </c>
      <c r="R58">
        <f t="shared" si="7"/>
        <v>0</v>
      </c>
      <c r="S58">
        <f t="shared" si="7"/>
        <v>0</v>
      </c>
      <c r="T58">
        <f t="shared" si="7"/>
        <v>0</v>
      </c>
      <c r="U58">
        <f t="shared" si="7"/>
        <v>0</v>
      </c>
      <c r="V58">
        <f t="shared" si="7"/>
        <v>0</v>
      </c>
      <c r="W58">
        <f t="shared" si="7"/>
        <v>0</v>
      </c>
      <c r="X58">
        <f t="shared" si="7"/>
        <v>0</v>
      </c>
    </row>
    <row r="59" spans="4:24" s="4" customFormat="1">
      <c r="D59" s="4" t="s">
        <v>262</v>
      </c>
      <c r="E59" s="4">
        <f>E57+E58</f>
        <v>16745</v>
      </c>
      <c r="F59" s="4">
        <f t="shared" ref="F59:X59" si="8">F57+F58</f>
        <v>0</v>
      </c>
      <c r="G59" s="4">
        <f t="shared" si="8"/>
        <v>7830</v>
      </c>
      <c r="H59" s="4">
        <f t="shared" si="8"/>
        <v>21312</v>
      </c>
      <c r="I59" s="4">
        <f t="shared" si="8"/>
        <v>0</v>
      </c>
      <c r="J59" s="4">
        <f t="shared" si="8"/>
        <v>0</v>
      </c>
      <c r="K59" s="4">
        <f t="shared" si="8"/>
        <v>-258</v>
      </c>
      <c r="L59" s="4">
        <f t="shared" si="8"/>
        <v>-105296</v>
      </c>
      <c r="M59" s="4">
        <f t="shared" si="8"/>
        <v>-10450</v>
      </c>
      <c r="N59" s="4">
        <f t="shared" si="8"/>
        <v>0</v>
      </c>
      <c r="O59" s="4">
        <f t="shared" si="8"/>
        <v>302477</v>
      </c>
      <c r="P59" s="4">
        <f t="shared" si="8"/>
        <v>0</v>
      </c>
      <c r="Q59" s="4">
        <f t="shared" si="8"/>
        <v>0</v>
      </c>
      <c r="R59" s="4">
        <f t="shared" si="8"/>
        <v>0</v>
      </c>
      <c r="S59" s="4">
        <f t="shared" si="8"/>
        <v>0</v>
      </c>
      <c r="T59" s="4">
        <f t="shared" si="8"/>
        <v>0</v>
      </c>
      <c r="U59" s="4">
        <f t="shared" si="8"/>
        <v>0</v>
      </c>
      <c r="V59" s="4">
        <f t="shared" si="8"/>
        <v>0</v>
      </c>
      <c r="W59" s="4">
        <f t="shared" si="8"/>
        <v>0</v>
      </c>
      <c r="X59" s="4">
        <f t="shared" si="8"/>
        <v>0</v>
      </c>
    </row>
    <row r="60" spans="4:24" s="4" customFormat="1"/>
    <row r="61" spans="4:24" s="4" customFormat="1">
      <c r="D61" s="4" t="s">
        <v>435</v>
      </c>
    </row>
    <row r="62" spans="4:24" s="9" customFormat="1">
      <c r="D62" s="9" t="s">
        <v>436</v>
      </c>
      <c r="O62" s="9">
        <f>O57</f>
        <v>355376</v>
      </c>
    </row>
    <row r="63" spans="4:24" s="9" customFormat="1">
      <c r="D63" s="9" t="s">
        <v>437</v>
      </c>
      <c r="O63" s="9">
        <v>292541</v>
      </c>
    </row>
    <row r="64" spans="4:24" s="4" customFormat="1">
      <c r="D64" s="4" t="s">
        <v>103</v>
      </c>
      <c r="O64" s="4">
        <f>O62-O63</f>
        <v>62835</v>
      </c>
    </row>
    <row r="65" spans="4:24" s="4" customFormat="1"/>
    <row r="66" spans="4:24" s="4" customFormat="1">
      <c r="D66" s="100" t="s">
        <v>439</v>
      </c>
      <c r="E66" s="99"/>
      <c r="F66" s="99"/>
      <c r="G66" s="99"/>
      <c r="H66" s="99"/>
      <c r="I66" s="99"/>
      <c r="J66" s="99"/>
      <c r="K66" s="99"/>
      <c r="L66" s="99"/>
      <c r="M66" s="99"/>
      <c r="N66" s="99"/>
      <c r="O66" s="99"/>
      <c r="P66" s="99"/>
      <c r="Q66" s="99"/>
      <c r="R66" s="99"/>
      <c r="S66" s="99"/>
      <c r="T66" s="99"/>
      <c r="U66" s="99"/>
      <c r="V66" s="99"/>
      <c r="W66" s="99"/>
      <c r="X66" s="99"/>
    </row>
    <row r="67" spans="4:24" s="4" customFormat="1">
      <c r="D67" t="s">
        <v>254</v>
      </c>
      <c r="E67"/>
      <c r="F67"/>
      <c r="G67"/>
      <c r="H67"/>
      <c r="I67"/>
      <c r="J67"/>
      <c r="K67"/>
      <c r="L67"/>
      <c r="M67"/>
      <c r="N67"/>
      <c r="O67">
        <v>784444</v>
      </c>
      <c r="P67"/>
      <c r="Q67"/>
      <c r="R67"/>
      <c r="S67"/>
      <c r="T67"/>
      <c r="U67"/>
      <c r="V67"/>
      <c r="W67"/>
      <c r="X67"/>
    </row>
    <row r="68" spans="4:24" s="4" customFormat="1">
      <c r="D68" t="s">
        <v>215</v>
      </c>
      <c r="E68"/>
      <c r="F68"/>
      <c r="G68"/>
      <c r="H68"/>
      <c r="I68"/>
      <c r="J68"/>
      <c r="K68"/>
      <c r="L68"/>
      <c r="M68"/>
      <c r="N68"/>
      <c r="O68">
        <v>3191027</v>
      </c>
      <c r="P68"/>
      <c r="Q68"/>
      <c r="R68"/>
      <c r="S68"/>
      <c r="T68"/>
      <c r="U68"/>
      <c r="V68"/>
      <c r="W68"/>
      <c r="X68"/>
    </row>
    <row r="69" spans="4:24" s="4" customFormat="1">
      <c r="D69" t="s">
        <v>433</v>
      </c>
      <c r="E69"/>
      <c r="F69"/>
      <c r="G69"/>
      <c r="H69"/>
      <c r="I69"/>
      <c r="J69"/>
      <c r="K69"/>
      <c r="L69"/>
      <c r="M69"/>
      <c r="N69"/>
      <c r="O69">
        <v>503976</v>
      </c>
      <c r="P69"/>
      <c r="Q69"/>
      <c r="R69"/>
      <c r="S69"/>
      <c r="T69"/>
      <c r="U69"/>
      <c r="V69"/>
      <c r="W69"/>
      <c r="X69"/>
    </row>
    <row r="70" spans="4:24" s="4" customFormat="1">
      <c r="D70" t="s">
        <v>440</v>
      </c>
      <c r="E70"/>
      <c r="F70"/>
      <c r="G70"/>
      <c r="H70"/>
      <c r="I70"/>
      <c r="J70"/>
      <c r="K70"/>
      <c r="L70"/>
      <c r="M70"/>
      <c r="N70"/>
      <c r="O70">
        <v>127733</v>
      </c>
      <c r="P70"/>
      <c r="Q70"/>
      <c r="R70"/>
      <c r="S70"/>
      <c r="T70"/>
      <c r="U70"/>
      <c r="V70"/>
      <c r="W70"/>
      <c r="X70"/>
    </row>
    <row r="71" spans="4:24" s="4" customFormat="1">
      <c r="D71" t="s">
        <v>92</v>
      </c>
      <c r="E71"/>
      <c r="F71"/>
      <c r="G71"/>
      <c r="H71"/>
      <c r="I71"/>
      <c r="J71"/>
      <c r="K71"/>
      <c r="L71"/>
      <c r="M71"/>
      <c r="N71"/>
      <c r="O71"/>
      <c r="P71"/>
      <c r="Q71"/>
      <c r="R71"/>
      <c r="S71"/>
      <c r="T71"/>
      <c r="U71"/>
      <c r="V71"/>
      <c r="W71"/>
      <c r="X71"/>
    </row>
    <row r="72" spans="4:24" s="4" customFormat="1">
      <c r="D72" t="s">
        <v>45</v>
      </c>
      <c r="E72"/>
      <c r="F72"/>
      <c r="G72"/>
      <c r="H72"/>
      <c r="I72"/>
      <c r="J72"/>
      <c r="K72"/>
      <c r="L72"/>
      <c r="M72"/>
      <c r="N72"/>
      <c r="O72"/>
      <c r="P72"/>
      <c r="Q72"/>
      <c r="R72"/>
      <c r="S72"/>
      <c r="T72"/>
      <c r="U72"/>
      <c r="V72"/>
      <c r="W72"/>
      <c r="X72"/>
    </row>
    <row r="73" spans="4:24" s="4" customFormat="1">
      <c r="D73" t="s">
        <v>50</v>
      </c>
      <c r="E73"/>
      <c r="F73"/>
      <c r="G73"/>
      <c r="H73"/>
      <c r="I73"/>
      <c r="J73"/>
      <c r="K73"/>
      <c r="L73"/>
      <c r="M73"/>
      <c r="N73"/>
      <c r="O73">
        <v>322678</v>
      </c>
      <c r="P73"/>
      <c r="Q73"/>
      <c r="R73"/>
      <c r="S73"/>
      <c r="T73"/>
      <c r="U73"/>
      <c r="V73"/>
      <c r="W73"/>
      <c r="X73"/>
    </row>
    <row r="74" spans="4:24" s="4" customFormat="1">
      <c r="D74" t="s">
        <v>213</v>
      </c>
      <c r="E74"/>
      <c r="F74"/>
      <c r="G74"/>
      <c r="H74"/>
      <c r="I74"/>
      <c r="J74"/>
      <c r="K74"/>
      <c r="L74"/>
      <c r="M74"/>
      <c r="N74"/>
      <c r="O74">
        <v>250522</v>
      </c>
      <c r="P74"/>
      <c r="Q74"/>
      <c r="R74"/>
      <c r="S74"/>
      <c r="T74"/>
      <c r="U74"/>
      <c r="V74"/>
      <c r="W74"/>
      <c r="X74"/>
    </row>
    <row r="75" spans="4:24" s="4" customFormat="1">
      <c r="D75" t="s">
        <v>255</v>
      </c>
      <c r="E75"/>
      <c r="F75"/>
      <c r="G75"/>
      <c r="H75"/>
      <c r="I75"/>
      <c r="J75"/>
      <c r="K75"/>
      <c r="L75"/>
      <c r="M75"/>
      <c r="N75"/>
      <c r="O75">
        <v>399304</v>
      </c>
      <c r="P75"/>
      <c r="Q75"/>
      <c r="R75"/>
      <c r="S75"/>
      <c r="T75"/>
      <c r="U75"/>
      <c r="V75"/>
      <c r="W75"/>
      <c r="X75"/>
    </row>
    <row r="76" spans="4:24" s="4" customFormat="1">
      <c r="D76" t="s">
        <v>256</v>
      </c>
      <c r="E76"/>
      <c r="F76"/>
      <c r="G76"/>
      <c r="H76"/>
      <c r="I76"/>
      <c r="J76"/>
      <c r="K76"/>
      <c r="L76"/>
      <c r="M76"/>
      <c r="N76"/>
      <c r="O76">
        <v>-166689</v>
      </c>
      <c r="P76"/>
      <c r="Q76"/>
      <c r="R76"/>
      <c r="S76"/>
      <c r="T76"/>
      <c r="U76"/>
      <c r="V76"/>
      <c r="W76"/>
      <c r="X76"/>
    </row>
    <row r="77" spans="4:24" s="4" customFormat="1">
      <c r="D77" t="s">
        <v>264</v>
      </c>
      <c r="E77"/>
      <c r="F77"/>
      <c r="G77"/>
      <c r="H77"/>
      <c r="I77"/>
      <c r="J77"/>
      <c r="K77"/>
      <c r="L77"/>
      <c r="M77"/>
      <c r="N77"/>
      <c r="O77"/>
      <c r="P77"/>
      <c r="Q77"/>
      <c r="R77"/>
      <c r="S77"/>
      <c r="T77"/>
      <c r="U77"/>
      <c r="V77"/>
      <c r="W77"/>
      <c r="X77"/>
    </row>
    <row r="78" spans="4:24" s="4" customFormat="1">
      <c r="D78" t="s">
        <v>434</v>
      </c>
      <c r="E78"/>
      <c r="F78"/>
      <c r="G78"/>
      <c r="H78"/>
      <c r="I78"/>
      <c r="J78"/>
      <c r="K78"/>
      <c r="L78"/>
      <c r="M78"/>
      <c r="N78"/>
      <c r="O78"/>
      <c r="P78"/>
      <c r="Q78"/>
      <c r="R78"/>
      <c r="S78"/>
      <c r="T78"/>
      <c r="U78"/>
      <c r="V78"/>
      <c r="W78"/>
      <c r="X78"/>
    </row>
    <row r="79" spans="4:24" s="4" customFormat="1">
      <c r="D79" t="s">
        <v>73</v>
      </c>
      <c r="E79"/>
      <c r="F79"/>
      <c r="G79"/>
      <c r="H79"/>
      <c r="I79"/>
      <c r="J79"/>
      <c r="K79"/>
      <c r="L79"/>
      <c r="M79"/>
      <c r="N79"/>
      <c r="O79">
        <v>-160344</v>
      </c>
      <c r="P79"/>
      <c r="Q79"/>
      <c r="R79"/>
      <c r="S79"/>
      <c r="T79"/>
      <c r="U79"/>
      <c r="V79"/>
      <c r="W79"/>
      <c r="X79"/>
    </row>
    <row r="80" spans="4:24" s="4" customFormat="1">
      <c r="D80" t="s">
        <v>257</v>
      </c>
      <c r="E80"/>
      <c r="F80"/>
      <c r="G80"/>
      <c r="H80"/>
      <c r="I80"/>
      <c r="J80"/>
      <c r="K80"/>
      <c r="L80"/>
      <c r="M80"/>
      <c r="N80"/>
      <c r="O80">
        <v>-216482</v>
      </c>
      <c r="P80"/>
      <c r="Q80"/>
      <c r="R80"/>
      <c r="S80"/>
      <c r="T80"/>
      <c r="U80"/>
      <c r="V80"/>
      <c r="W80"/>
      <c r="X80"/>
    </row>
    <row r="81" spans="4:24" s="4" customFormat="1">
      <c r="D81" t="s">
        <v>69</v>
      </c>
      <c r="E81"/>
      <c r="F81"/>
      <c r="G81"/>
      <c r="H81"/>
      <c r="I81"/>
      <c r="J81"/>
      <c r="K81"/>
      <c r="L81"/>
      <c r="M81"/>
      <c r="N81"/>
      <c r="O81">
        <v>-182475</v>
      </c>
      <c r="P81"/>
      <c r="Q81"/>
      <c r="R81"/>
      <c r="S81"/>
      <c r="T81"/>
      <c r="U81"/>
      <c r="V81"/>
      <c r="W81"/>
      <c r="X81"/>
    </row>
    <row r="82" spans="4:24" s="4" customFormat="1">
      <c r="D82" t="s">
        <v>15</v>
      </c>
      <c r="E82"/>
      <c r="F82"/>
      <c r="G82"/>
      <c r="H82"/>
      <c r="I82"/>
      <c r="J82"/>
      <c r="K82"/>
      <c r="L82"/>
      <c r="M82"/>
      <c r="N82"/>
      <c r="O82">
        <v>-212441</v>
      </c>
      <c r="P82"/>
      <c r="Q82"/>
      <c r="R82"/>
      <c r="S82"/>
      <c r="T82"/>
      <c r="U82"/>
      <c r="V82"/>
      <c r="W82"/>
      <c r="X82"/>
    </row>
    <row r="83" spans="4:24" s="4" customFormat="1">
      <c r="D83" t="s">
        <v>258</v>
      </c>
      <c r="E83"/>
      <c r="F83"/>
      <c r="G83"/>
      <c r="H83"/>
      <c r="I83"/>
      <c r="J83"/>
      <c r="K83"/>
      <c r="L83"/>
      <c r="M83"/>
      <c r="N83"/>
      <c r="O83"/>
      <c r="P83"/>
      <c r="Q83"/>
      <c r="R83"/>
      <c r="S83"/>
      <c r="T83"/>
      <c r="U83"/>
      <c r="V83"/>
      <c r="W83"/>
      <c r="X83"/>
    </row>
    <row r="84" spans="4:24" s="4" customFormat="1">
      <c r="D84" t="s">
        <v>265</v>
      </c>
      <c r="E84"/>
      <c r="F84"/>
      <c r="G84"/>
      <c r="H84"/>
      <c r="I84"/>
      <c r="J84"/>
      <c r="K84"/>
      <c r="L84"/>
      <c r="M84"/>
      <c r="N84"/>
      <c r="O84"/>
      <c r="P84"/>
      <c r="Q84"/>
      <c r="R84"/>
      <c r="S84"/>
      <c r="T84"/>
      <c r="U84"/>
      <c r="V84"/>
      <c r="W84"/>
      <c r="X84"/>
    </row>
    <row r="85" spans="4:24" s="4" customFormat="1">
      <c r="D85" s="4" t="s">
        <v>260</v>
      </c>
      <c r="O85" s="4">
        <f>SUM(O67:O84)</f>
        <v>4641253</v>
      </c>
    </row>
    <row r="86" spans="4:24" s="4" customFormat="1">
      <c r="D86" t="s">
        <v>261</v>
      </c>
      <c r="E86"/>
      <c r="F86"/>
      <c r="G86"/>
      <c r="H86"/>
      <c r="I86"/>
      <c r="J86"/>
      <c r="K86"/>
      <c r="L86"/>
      <c r="M86"/>
      <c r="N86"/>
      <c r="O86">
        <f>O75</f>
        <v>399304</v>
      </c>
      <c r="P86"/>
      <c r="Q86"/>
      <c r="R86"/>
      <c r="S86"/>
      <c r="T86"/>
      <c r="U86"/>
      <c r="V86"/>
      <c r="W86"/>
      <c r="X86"/>
    </row>
    <row r="87" spans="4:24" s="4" customFormat="1">
      <c r="D87" s="4" t="s">
        <v>262</v>
      </c>
      <c r="O87" s="101">
        <f>O85-O86</f>
        <v>4241949</v>
      </c>
    </row>
    <row r="88" spans="4:24" s="4" customFormat="1"/>
    <row r="89" spans="4:24" s="4" customFormat="1">
      <c r="D89" s="4" t="s">
        <v>435</v>
      </c>
    </row>
    <row r="90" spans="4:24" s="4" customFormat="1">
      <c r="D90" s="9" t="s">
        <v>436</v>
      </c>
      <c r="E90" s="9"/>
      <c r="F90" s="9"/>
      <c r="G90" s="9"/>
      <c r="H90" s="9"/>
      <c r="I90" s="9"/>
      <c r="J90" s="9"/>
      <c r="K90" s="9"/>
      <c r="L90" s="9"/>
      <c r="M90" s="9"/>
      <c r="N90" s="9"/>
      <c r="O90" s="9">
        <f>O85</f>
        <v>4641253</v>
      </c>
      <c r="P90" s="9"/>
      <c r="Q90" s="9"/>
      <c r="R90" s="9"/>
      <c r="S90" s="9"/>
      <c r="T90" s="9"/>
      <c r="U90" s="9"/>
      <c r="V90" s="9"/>
      <c r="W90" s="9"/>
      <c r="X90" s="9"/>
    </row>
    <row r="91" spans="4:24" s="4" customFormat="1">
      <c r="D91" s="9" t="s">
        <v>437</v>
      </c>
      <c r="E91" s="9"/>
      <c r="F91" s="9"/>
      <c r="G91" s="9"/>
      <c r="H91" s="9"/>
      <c r="I91" s="9"/>
      <c r="J91" s="9"/>
      <c r="K91" s="9"/>
      <c r="L91" s="9"/>
      <c r="M91" s="9"/>
      <c r="N91" s="9"/>
      <c r="O91" s="9">
        <v>1450226</v>
      </c>
      <c r="P91" s="9"/>
      <c r="Q91" s="9"/>
      <c r="R91" s="9"/>
      <c r="S91" s="9"/>
      <c r="T91" s="9"/>
      <c r="U91" s="9"/>
      <c r="V91" s="9"/>
      <c r="W91" s="9"/>
      <c r="X91" s="9"/>
    </row>
    <row r="92" spans="4:24" s="4" customFormat="1">
      <c r="D92" s="4" t="s">
        <v>103</v>
      </c>
      <c r="O92" s="4">
        <f>O90-O91</f>
        <v>3191027</v>
      </c>
    </row>
    <row r="93" spans="4:24" s="4" customFormat="1"/>
    <row r="94" spans="4:24" s="4" customFormat="1"/>
    <row r="97" spans="4:24">
      <c r="D97" s="24" t="s">
        <v>423</v>
      </c>
      <c r="E97" s="34" t="s">
        <v>216</v>
      </c>
      <c r="F97" s="34" t="s">
        <v>217</v>
      </c>
      <c r="G97" s="34" t="s">
        <v>218</v>
      </c>
      <c r="H97" s="34" t="s">
        <v>28</v>
      </c>
      <c r="I97" s="34" t="s">
        <v>17</v>
      </c>
      <c r="J97" s="34" t="s">
        <v>18</v>
      </c>
      <c r="K97" s="34" t="s">
        <v>19</v>
      </c>
      <c r="L97" s="34" t="s">
        <v>20</v>
      </c>
      <c r="M97" s="34" t="s">
        <v>21</v>
      </c>
      <c r="N97" s="34" t="s">
        <v>22</v>
      </c>
      <c r="O97" s="34" t="s">
        <v>23</v>
      </c>
      <c r="P97" s="34" t="s">
        <v>24</v>
      </c>
      <c r="Q97" s="34" t="s">
        <v>25</v>
      </c>
      <c r="R97" s="34" t="s">
        <v>26</v>
      </c>
      <c r="S97" s="34" t="s">
        <v>27</v>
      </c>
      <c r="T97" s="34"/>
      <c r="U97" s="34"/>
      <c r="V97" s="34"/>
      <c r="W97" s="34"/>
      <c r="X97" s="34"/>
    </row>
    <row r="98" spans="4:24">
      <c r="D98" t="s">
        <v>424</v>
      </c>
      <c r="M98">
        <v>7158</v>
      </c>
      <c r="O98">
        <v>1276</v>
      </c>
    </row>
    <row r="99" spans="4:24">
      <c r="D99" t="s">
        <v>425</v>
      </c>
      <c r="M99">
        <v>-82</v>
      </c>
    </row>
    <row r="100" spans="4:24">
      <c r="D100" t="s">
        <v>426</v>
      </c>
      <c r="M100">
        <f>SUM(M98:M99)</f>
        <v>7076</v>
      </c>
    </row>
    <row r="102" spans="4:24">
      <c r="D102" s="24" t="s">
        <v>427</v>
      </c>
      <c r="E102" s="34" t="s">
        <v>216</v>
      </c>
      <c r="F102" s="34" t="s">
        <v>217</v>
      </c>
      <c r="G102" s="34" t="s">
        <v>218</v>
      </c>
      <c r="H102" s="34" t="s">
        <v>28</v>
      </c>
      <c r="I102" s="34" t="s">
        <v>17</v>
      </c>
      <c r="J102" s="34" t="s">
        <v>18</v>
      </c>
      <c r="K102" s="34" t="s">
        <v>19</v>
      </c>
      <c r="L102" s="34" t="s">
        <v>20</v>
      </c>
      <c r="M102" s="34" t="s">
        <v>21</v>
      </c>
      <c r="N102" s="34" t="s">
        <v>22</v>
      </c>
      <c r="O102" s="34" t="s">
        <v>23</v>
      </c>
      <c r="P102" s="34" t="s">
        <v>24</v>
      </c>
      <c r="Q102" s="34" t="s">
        <v>25</v>
      </c>
      <c r="R102" s="34" t="s">
        <v>26</v>
      </c>
      <c r="S102" s="34" t="s">
        <v>27</v>
      </c>
      <c r="T102" s="34"/>
      <c r="U102" s="34"/>
      <c r="V102" s="34"/>
      <c r="W102" s="34"/>
      <c r="X102" s="34"/>
    </row>
    <row r="103" spans="4:24">
      <c r="D103" t="s">
        <v>428</v>
      </c>
      <c r="M103">
        <v>12</v>
      </c>
    </row>
    <row r="104" spans="4:24">
      <c r="D104" t="s">
        <v>50</v>
      </c>
      <c r="M104">
        <v>802</v>
      </c>
    </row>
    <row r="105" spans="4:24">
      <c r="D105" t="s">
        <v>213</v>
      </c>
      <c r="M105">
        <v>22850</v>
      </c>
    </row>
    <row r="106" spans="4:24">
      <c r="D106" t="s">
        <v>214</v>
      </c>
      <c r="M106">
        <v>-20174</v>
      </c>
    </row>
    <row r="107" spans="4:24">
      <c r="D107" t="s">
        <v>168</v>
      </c>
      <c r="M107">
        <v>-3490</v>
      </c>
    </row>
    <row r="108" spans="4:24">
      <c r="D108" t="s">
        <v>429</v>
      </c>
    </row>
    <row r="109" spans="4:24">
      <c r="D109" t="s">
        <v>430</v>
      </c>
      <c r="M109">
        <v>3490</v>
      </c>
    </row>
    <row r="110" spans="4:24">
      <c r="D110" t="s">
        <v>431</v>
      </c>
      <c r="M110">
        <f>SUM(M103:M109)</f>
        <v>3490</v>
      </c>
    </row>
    <row r="112" spans="4:24">
      <c r="D112" s="24" t="s">
        <v>198</v>
      </c>
      <c r="E112" s="34" t="s">
        <v>216</v>
      </c>
      <c r="F112" s="34" t="s">
        <v>217</v>
      </c>
      <c r="G112" s="34" t="s">
        <v>218</v>
      </c>
      <c r="H112" s="34" t="s">
        <v>28</v>
      </c>
      <c r="I112" s="34" t="s">
        <v>17</v>
      </c>
      <c r="J112" s="34" t="s">
        <v>18</v>
      </c>
      <c r="K112" s="34" t="s">
        <v>19</v>
      </c>
      <c r="L112" s="34" t="s">
        <v>20</v>
      </c>
      <c r="M112" s="34" t="s">
        <v>21</v>
      </c>
      <c r="N112" s="34" t="s">
        <v>22</v>
      </c>
      <c r="O112" s="34" t="s">
        <v>23</v>
      </c>
      <c r="P112" s="34" t="s">
        <v>24</v>
      </c>
      <c r="Q112" s="34" t="s">
        <v>25</v>
      </c>
      <c r="R112" s="34" t="s">
        <v>26</v>
      </c>
      <c r="S112" s="34" t="s">
        <v>27</v>
      </c>
      <c r="T112" s="34"/>
      <c r="U112" s="34"/>
      <c r="V112" s="34"/>
      <c r="W112" s="34"/>
      <c r="X112" s="34"/>
    </row>
    <row r="113" spans="4:24">
      <c r="D113" t="s">
        <v>441</v>
      </c>
      <c r="O113">
        <v>56321</v>
      </c>
    </row>
    <row r="116" spans="4:24">
      <c r="D116" s="24" t="s">
        <v>263</v>
      </c>
      <c r="E116" s="11" t="s">
        <v>216</v>
      </c>
      <c r="F116" s="11" t="s">
        <v>217</v>
      </c>
      <c r="G116" s="11" t="s">
        <v>218</v>
      </c>
      <c r="H116" s="11" t="s">
        <v>28</v>
      </c>
      <c r="I116" s="11" t="s">
        <v>17</v>
      </c>
      <c r="J116" s="11" t="s">
        <v>18</v>
      </c>
      <c r="K116" s="11" t="s">
        <v>19</v>
      </c>
      <c r="L116" s="11" t="s">
        <v>20</v>
      </c>
      <c r="M116" s="11" t="s">
        <v>21</v>
      </c>
      <c r="N116" s="11" t="s">
        <v>22</v>
      </c>
      <c r="O116" s="11" t="s">
        <v>23</v>
      </c>
      <c r="P116" s="11" t="s">
        <v>24</v>
      </c>
      <c r="Q116" s="11" t="s">
        <v>25</v>
      </c>
      <c r="R116" s="11" t="s">
        <v>26</v>
      </c>
      <c r="S116" s="11" t="s">
        <v>27</v>
      </c>
      <c r="T116" s="11"/>
      <c r="U116" s="11"/>
      <c r="V116" s="11"/>
      <c r="W116" s="11"/>
      <c r="X116" s="11"/>
    </row>
    <row r="117" spans="4:24">
      <c r="D117" t="s">
        <v>255</v>
      </c>
      <c r="E117">
        <f>'2b. Balance Sheet'!E23</f>
        <v>380581</v>
      </c>
      <c r="F117">
        <f>'2b. Balance Sheet'!F23</f>
        <v>198667</v>
      </c>
      <c r="G117">
        <f>'2b. Balance Sheet'!G23</f>
        <v>316510</v>
      </c>
      <c r="H117">
        <f>'2b. Balance Sheet'!H23</f>
        <v>270535</v>
      </c>
      <c r="I117">
        <f>'2b. Balance Sheet'!I23</f>
        <v>189403</v>
      </c>
      <c r="J117">
        <f>'2b. Balance Sheet'!J23</f>
        <v>181730</v>
      </c>
      <c r="K117">
        <f>'2b. Balance Sheet'!K23</f>
        <v>395860</v>
      </c>
      <c r="L117">
        <f>'2b. Balance Sheet'!L23</f>
        <v>276178</v>
      </c>
      <c r="M117">
        <f>'2b. Balance Sheet'!M23</f>
        <v>111203</v>
      </c>
      <c r="N117">
        <f>'2b. Balance Sheet'!N23</f>
        <v>344003</v>
      </c>
      <c r="O117">
        <f>'2b. Balance Sheet'!O23</f>
        <v>1181273</v>
      </c>
      <c r="P117">
        <f>'2b. Balance Sheet'!P23</f>
        <v>32287.460651942762</v>
      </c>
      <c r="Q117">
        <f>'2b. Balance Sheet'!Q23</f>
        <v>117254.31517094703</v>
      </c>
      <c r="R117">
        <f>'2b. Balance Sheet'!R23</f>
        <v>152597.49118046032</v>
      </c>
      <c r="S117">
        <f>'2b. Balance Sheet'!S23</f>
        <v>185016.0078049443</v>
      </c>
      <c r="T117">
        <f>'2b. Balance Sheet'!T23</f>
        <v>222839.83574783057</v>
      </c>
      <c r="U117">
        <f>'2b. Balance Sheet'!U23</f>
        <v>262300.39511219464</v>
      </c>
      <c r="V117">
        <f>'2b. Balance Sheet'!V23</f>
        <v>294989.15106452134</v>
      </c>
      <c r="W117">
        <f>'2b. Balance Sheet'!W23</f>
        <v>316248.31674776116</v>
      </c>
      <c r="X117">
        <f>'2b. Balance Sheet'!X23</f>
        <v>318204.56635945162</v>
      </c>
    </row>
    <row r="118" spans="4:24">
      <c r="D118" t="s">
        <v>168</v>
      </c>
      <c r="E118">
        <f>'2b. Balance Sheet'!E53</f>
        <v>97386</v>
      </c>
      <c r="F118">
        <f>'2b. Balance Sheet'!F53</f>
        <v>71946</v>
      </c>
      <c r="G118">
        <f>'2b. Balance Sheet'!G53</f>
        <v>98141</v>
      </c>
      <c r="H118">
        <f>'2b. Balance Sheet'!H53</f>
        <v>52402</v>
      </c>
      <c r="I118">
        <f>'2b. Balance Sheet'!I53</f>
        <v>20433</v>
      </c>
      <c r="J118">
        <f>'2b. Balance Sheet'!J53</f>
        <v>36614</v>
      </c>
      <c r="K118">
        <f>'2b. Balance Sheet'!K53</f>
        <v>11316</v>
      </c>
      <c r="L118">
        <f>'2b. Balance Sheet'!L53</f>
        <v>44574</v>
      </c>
      <c r="M118">
        <f>'2b. Balance Sheet'!M53</f>
        <v>257000</v>
      </c>
      <c r="N118">
        <f>'2b. Balance Sheet'!N53</f>
        <v>0</v>
      </c>
      <c r="O118">
        <f>'2b. Balance Sheet'!O53</f>
        <v>0</v>
      </c>
      <c r="P118">
        <f>'2b. Balance Sheet'!P53</f>
        <v>0</v>
      </c>
      <c r="Q118">
        <f>'2b. Balance Sheet'!Q53</f>
        <v>0</v>
      </c>
      <c r="R118">
        <f>'2b. Balance Sheet'!R53</f>
        <v>0</v>
      </c>
      <c r="S118">
        <f>'2b. Balance Sheet'!S53</f>
        <v>0</v>
      </c>
      <c r="T118">
        <f>'2b. Balance Sheet'!T53</f>
        <v>0</v>
      </c>
      <c r="U118">
        <f>'2b. Balance Sheet'!U53</f>
        <v>0</v>
      </c>
      <c r="V118">
        <f>'2b. Balance Sheet'!V53</f>
        <v>0</v>
      </c>
      <c r="W118">
        <f>'2b. Balance Sheet'!W53</f>
        <v>0</v>
      </c>
      <c r="X118">
        <f>'2b. Balance Sheet'!X53</f>
        <v>0</v>
      </c>
    </row>
    <row r="119" spans="4:24" s="4" customFormat="1">
      <c r="D119" s="4" t="s">
        <v>103</v>
      </c>
      <c r="E119" s="4">
        <f>E117-E118</f>
        <v>283195</v>
      </c>
      <c r="F119" s="4">
        <f t="shared" ref="F119:X119" si="9">F117-F118</f>
        <v>126721</v>
      </c>
      <c r="G119" s="4">
        <f t="shared" si="9"/>
        <v>218369</v>
      </c>
      <c r="H119" s="4">
        <f t="shared" si="9"/>
        <v>218133</v>
      </c>
      <c r="I119" s="4">
        <f t="shared" si="9"/>
        <v>168970</v>
      </c>
      <c r="J119" s="4">
        <f t="shared" si="9"/>
        <v>145116</v>
      </c>
      <c r="K119" s="4">
        <f t="shared" si="9"/>
        <v>384544</v>
      </c>
      <c r="L119" s="4">
        <f t="shared" si="9"/>
        <v>231604</v>
      </c>
      <c r="M119" s="4">
        <f t="shared" si="9"/>
        <v>-145797</v>
      </c>
      <c r="N119" s="4">
        <f t="shared" si="9"/>
        <v>344003</v>
      </c>
      <c r="O119" s="4">
        <f t="shared" si="9"/>
        <v>1181273</v>
      </c>
      <c r="P119" s="4">
        <f t="shared" si="9"/>
        <v>32287.460651942762</v>
      </c>
      <c r="Q119" s="4">
        <f t="shared" si="9"/>
        <v>117254.31517094703</v>
      </c>
      <c r="R119" s="4">
        <f t="shared" si="9"/>
        <v>152597.49118046032</v>
      </c>
      <c r="S119" s="4">
        <f t="shared" si="9"/>
        <v>185016.0078049443</v>
      </c>
      <c r="T119" s="4">
        <f t="shared" si="9"/>
        <v>222839.83574783057</v>
      </c>
      <c r="U119" s="4">
        <f t="shared" si="9"/>
        <v>262300.39511219464</v>
      </c>
      <c r="V119" s="4">
        <f t="shared" si="9"/>
        <v>294989.15106452134</v>
      </c>
      <c r="W119" s="4">
        <f t="shared" si="9"/>
        <v>316248.31674776116</v>
      </c>
      <c r="X119" s="4">
        <f t="shared" si="9"/>
        <v>318204.56635945162</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D1:W147"/>
  <sheetViews>
    <sheetView showGridLines="0" topLeftCell="A118" zoomScale="75" zoomScaleNormal="75" zoomScalePageLayoutView="75" workbookViewId="0">
      <selection activeCell="M29" sqref="M29"/>
    </sheetView>
  </sheetViews>
  <sheetFormatPr baseColWidth="10" defaultRowHeight="14" x14ac:dyDescent="0"/>
  <cols>
    <col min="1" max="3" width="10.83203125" style="7"/>
    <col min="4" max="4" width="26" style="7" bestFit="1" customWidth="1"/>
    <col min="5" max="5" width="11.5" style="7" bestFit="1" customWidth="1"/>
    <col min="6" max="6" width="17.6640625" style="7" bestFit="1" customWidth="1"/>
    <col min="7" max="7" width="12.1640625" style="7" bestFit="1" customWidth="1"/>
    <col min="8" max="15" width="11.1640625" style="7" bestFit="1" customWidth="1"/>
    <col min="16" max="18" width="11" style="7" bestFit="1" customWidth="1"/>
    <col min="19" max="19" width="11.1640625" style="7" bestFit="1" customWidth="1"/>
    <col min="20" max="20" width="14.33203125" style="7" bestFit="1" customWidth="1"/>
    <col min="21" max="21" width="13.83203125" style="7" bestFit="1" customWidth="1"/>
    <col min="22" max="22" width="14.33203125" style="7" bestFit="1" customWidth="1"/>
    <col min="23" max="23" width="15" style="7" bestFit="1" customWidth="1"/>
    <col min="24" max="16384" width="10.83203125" style="7"/>
  </cols>
  <sheetData>
    <row r="1" spans="4:22" customFormat="1" ht="15"/>
    <row r="2" spans="4:22" customFormat="1" ht="15"/>
    <row r="3" spans="4:22" customFormat="1" ht="16" thickBot="1"/>
    <row r="4" spans="4:22" customFormat="1" ht="15">
      <c r="D4" s="1953" t="s">
        <v>1387</v>
      </c>
      <c r="E4" s="1939" t="s">
        <v>1362</v>
      </c>
      <c r="F4" s="1939" t="s">
        <v>1363</v>
      </c>
      <c r="G4" s="559"/>
      <c r="H4" s="1939" t="s">
        <v>1364</v>
      </c>
      <c r="I4" s="1939"/>
      <c r="J4" s="1939"/>
      <c r="K4" s="559"/>
      <c r="L4" s="1939" t="s">
        <v>1365</v>
      </c>
      <c r="M4" s="1939"/>
      <c r="N4" s="1939"/>
      <c r="O4" s="559"/>
      <c r="P4" s="1939" t="s">
        <v>1316</v>
      </c>
      <c r="Q4" s="1939"/>
      <c r="R4" s="1939"/>
      <c r="S4" s="559"/>
      <c r="T4" s="1939" t="s">
        <v>1366</v>
      </c>
      <c r="U4" s="1939"/>
      <c r="V4" s="1945"/>
    </row>
    <row r="5" spans="4:22" customFormat="1" ht="16" thickBot="1">
      <c r="D5" s="1956"/>
      <c r="E5" s="1940"/>
      <c r="F5" s="1940"/>
      <c r="G5" s="560"/>
      <c r="H5" s="560" t="s">
        <v>24</v>
      </c>
      <c r="I5" s="560" t="s">
        <v>25</v>
      </c>
      <c r="J5" s="560" t="s">
        <v>26</v>
      </c>
      <c r="K5" s="560"/>
      <c r="L5" s="560" t="s">
        <v>24</v>
      </c>
      <c r="M5" s="560" t="s">
        <v>25</v>
      </c>
      <c r="N5" s="560" t="s">
        <v>26</v>
      </c>
      <c r="O5" s="560"/>
      <c r="P5" s="560" t="s">
        <v>24</v>
      </c>
      <c r="Q5" s="560" t="s">
        <v>25</v>
      </c>
      <c r="R5" s="560" t="s">
        <v>26</v>
      </c>
      <c r="S5" s="560"/>
      <c r="T5" s="560" t="s">
        <v>24</v>
      </c>
      <c r="U5" s="560" t="s">
        <v>25</v>
      </c>
      <c r="V5" s="560" t="s">
        <v>26</v>
      </c>
    </row>
    <row r="6" spans="4:22">
      <c r="D6" s="622"/>
      <c r="E6" s="327"/>
      <c r="F6" s="327"/>
      <c r="G6" s="629"/>
      <c r="H6" s="629"/>
      <c r="I6" s="629"/>
      <c r="J6" s="629"/>
      <c r="K6" s="629"/>
      <c r="L6" s="629"/>
      <c r="M6" s="629"/>
      <c r="N6" s="629"/>
      <c r="O6" s="629"/>
      <c r="P6" s="629"/>
      <c r="Q6" s="629"/>
      <c r="R6" s="629"/>
      <c r="S6" s="629"/>
      <c r="T6" s="629"/>
      <c r="U6" s="629"/>
      <c r="V6" s="630"/>
    </row>
    <row r="7" spans="4:22">
      <c r="D7" s="635" t="s">
        <v>510</v>
      </c>
      <c r="E7" s="636" t="s">
        <v>791</v>
      </c>
      <c r="F7" s="637">
        <v>949.52142537667135</v>
      </c>
      <c r="G7" s="633"/>
      <c r="H7" s="633">
        <v>17.217188478922758</v>
      </c>
      <c r="I7" s="633">
        <v>15.029114247230089</v>
      </c>
      <c r="J7" s="633">
        <v>14.330564208905411</v>
      </c>
      <c r="K7" s="633"/>
      <c r="L7" s="633">
        <v>9.8751582190604239</v>
      </c>
      <c r="M7" s="633">
        <v>8.8355923010732038</v>
      </c>
      <c r="N7" s="633">
        <v>8.284218727330213</v>
      </c>
      <c r="O7" s="633"/>
      <c r="P7" s="633">
        <v>3.8347525774596853</v>
      </c>
      <c r="Q7" s="633">
        <v>4.3930505025155835</v>
      </c>
      <c r="R7" s="633">
        <v>4.6071917988497146</v>
      </c>
      <c r="S7" s="633"/>
      <c r="T7" s="633">
        <v>3.928312035303569</v>
      </c>
      <c r="U7" s="633">
        <v>3.536664954487132</v>
      </c>
      <c r="V7" s="634">
        <v>3.2404126044306754</v>
      </c>
    </row>
    <row r="8" spans="4:22">
      <c r="D8" s="624"/>
      <c r="E8" s="160"/>
      <c r="F8" s="464"/>
      <c r="G8" s="328"/>
      <c r="H8" s="328"/>
      <c r="I8" s="328"/>
      <c r="J8" s="328"/>
      <c r="K8" s="328"/>
      <c r="L8" s="328"/>
      <c r="M8" s="328"/>
      <c r="N8" s="328"/>
      <c r="O8" s="328"/>
      <c r="P8" s="328"/>
      <c r="Q8" s="328"/>
      <c r="R8" s="328"/>
      <c r="S8" s="328"/>
      <c r="T8" s="328"/>
      <c r="U8" s="328"/>
      <c r="V8" s="329"/>
    </row>
    <row r="9" spans="4:22">
      <c r="D9" s="624" t="s">
        <v>1368</v>
      </c>
      <c r="E9" s="160"/>
      <c r="F9" s="464"/>
      <c r="G9" s="328"/>
      <c r="H9" s="328"/>
      <c r="I9" s="328"/>
      <c r="J9" s="328"/>
      <c r="K9" s="328"/>
      <c r="L9" s="328"/>
      <c r="M9" s="328"/>
      <c r="N9" s="328"/>
      <c r="O9" s="328"/>
      <c r="P9" s="328"/>
      <c r="Q9" s="328"/>
      <c r="R9" s="328"/>
      <c r="S9" s="328"/>
      <c r="T9" s="328"/>
      <c r="U9" s="328"/>
      <c r="V9" s="329"/>
    </row>
    <row r="10" spans="4:22">
      <c r="D10" s="624" t="s">
        <v>1369</v>
      </c>
      <c r="E10" s="160" t="s">
        <v>841</v>
      </c>
      <c r="F10" s="464">
        <v>1592.209466711224</v>
      </c>
      <c r="G10" s="328"/>
      <c r="H10" s="328">
        <v>8.4107867521926956</v>
      </c>
      <c r="I10" s="328">
        <v>7.3706550418722037</v>
      </c>
      <c r="J10" s="328">
        <v>6.703881469115192</v>
      </c>
      <c r="K10" s="328"/>
      <c r="L10" s="328">
        <v>5.5825661280786507</v>
      </c>
      <c r="M10" s="328">
        <v>4.7287867017022736</v>
      </c>
      <c r="N10" s="328">
        <v>4.371646665787507</v>
      </c>
      <c r="O10" s="328"/>
      <c r="P10" s="328">
        <v>5.1408560311284051</v>
      </c>
      <c r="Q10" s="328">
        <v>5.6342412451361872</v>
      </c>
      <c r="R10" s="328">
        <v>6.2319066147859932</v>
      </c>
      <c r="S10" s="328"/>
      <c r="T10" s="328">
        <v>1.1196891011118471</v>
      </c>
      <c r="U10" s="328">
        <v>1.0071006473658635</v>
      </c>
      <c r="V10" s="329">
        <v>0.98758031295152005</v>
      </c>
    </row>
    <row r="11" spans="4:22">
      <c r="D11" s="624" t="s">
        <v>1370</v>
      </c>
      <c r="E11" s="160" t="s">
        <v>842</v>
      </c>
      <c r="F11" s="464">
        <v>1529.5058503784364</v>
      </c>
      <c r="G11" s="328"/>
      <c r="H11" s="328">
        <v>14.266480855988851</v>
      </c>
      <c r="I11" s="328">
        <v>13.419240168851367</v>
      </c>
      <c r="J11" s="328">
        <v>11.515729265967588</v>
      </c>
      <c r="K11" s="328"/>
      <c r="L11" s="328">
        <v>12.054101320224719</v>
      </c>
      <c r="M11" s="328">
        <v>11.161295518134715</v>
      </c>
      <c r="N11" s="328">
        <v>10.328282752740559</v>
      </c>
      <c r="O11" s="328"/>
      <c r="P11" s="328">
        <v>0.66225165562913912</v>
      </c>
      <c r="Q11" s="328">
        <v>0.82781456953642385</v>
      </c>
      <c r="R11" s="328">
        <v>1.076158940397351</v>
      </c>
      <c r="S11" s="328"/>
      <c r="T11" s="328">
        <v>1.798957557706627</v>
      </c>
      <c r="U11" s="328">
        <v>1.6007632778543412</v>
      </c>
      <c r="V11" s="329">
        <v>1.4262775101539624</v>
      </c>
    </row>
    <row r="12" spans="4:22" ht="15" thickBot="1">
      <c r="D12" s="624" t="s">
        <v>840</v>
      </c>
      <c r="E12" s="160" t="s">
        <v>841</v>
      </c>
      <c r="F12" s="464">
        <v>342.51206935848819</v>
      </c>
      <c r="G12" s="328"/>
      <c r="H12" s="328">
        <v>11.979732175171916</v>
      </c>
      <c r="I12" s="328">
        <v>10.953011250827267</v>
      </c>
      <c r="J12" s="328">
        <v>11.285373337879303</v>
      </c>
      <c r="K12" s="328"/>
      <c r="L12" s="328">
        <v>7.0948189629641893</v>
      </c>
      <c r="M12" s="328">
        <v>6.4985968688845404</v>
      </c>
      <c r="N12" s="328">
        <v>6.4422506047411705</v>
      </c>
      <c r="O12" s="328"/>
      <c r="P12" s="328">
        <v>5.8308157099697882</v>
      </c>
      <c r="Q12" s="328">
        <v>6.6918429003021158</v>
      </c>
      <c r="R12" s="328">
        <v>7.401812688821753</v>
      </c>
      <c r="S12" s="328"/>
      <c r="T12" s="328">
        <v>2.5684798634282608</v>
      </c>
      <c r="U12" s="328">
        <v>2.3354265152049671</v>
      </c>
      <c r="V12" s="329">
        <v>2.1179933452777067</v>
      </c>
    </row>
    <row r="13" spans="4:22" ht="15" thickBot="1">
      <c r="D13" s="624"/>
      <c r="E13" s="160"/>
      <c r="F13" s="464"/>
      <c r="G13" s="631" t="s">
        <v>1076</v>
      </c>
      <c r="H13" s="631">
        <f>AVERAGE(H7:H12)</f>
        <v>12.968547065569055</v>
      </c>
      <c r="I13" s="631">
        <f t="shared" ref="I13:J13" si="0">AVERAGE(I7:I12)</f>
        <v>11.69300517719523</v>
      </c>
      <c r="J13" s="631">
        <f t="shared" si="0"/>
        <v>10.958887070466872</v>
      </c>
      <c r="K13" s="631"/>
      <c r="L13" s="631">
        <f t="shared" ref="L13" si="1">AVERAGE(L7:L12)</f>
        <v>8.6516611575819962</v>
      </c>
      <c r="M13" s="631">
        <f t="shared" ref="M13:N13" si="2">AVERAGE(M7:M12)</f>
        <v>7.8060678474486833</v>
      </c>
      <c r="N13" s="631">
        <f t="shared" si="2"/>
        <v>7.3565996876498616</v>
      </c>
      <c r="O13" s="631"/>
      <c r="P13" s="631">
        <f t="shared" ref="P13" si="3">AVERAGE(P7:P12)</f>
        <v>3.8671689935467546</v>
      </c>
      <c r="Q13" s="631">
        <f t="shared" ref="Q13" si="4">AVERAGE(Q7:Q12)</f>
        <v>4.386737304372577</v>
      </c>
      <c r="R13" s="631">
        <f t="shared" ref="R13" si="5">AVERAGE(R7:R12)</f>
        <v>4.8292675107137022</v>
      </c>
      <c r="S13" s="631"/>
      <c r="T13" s="631">
        <f t="shared" ref="T13" si="6">AVERAGE(T7:T12)</f>
        <v>2.3538596393875761</v>
      </c>
      <c r="U13" s="631">
        <f t="shared" ref="U13:V13" si="7">AVERAGE(U7:U12)</f>
        <v>2.119988848728076</v>
      </c>
      <c r="V13" s="632">
        <f t="shared" si="7"/>
        <v>1.9430659432034663</v>
      </c>
    </row>
    <row r="14" spans="4:22">
      <c r="D14" s="624"/>
      <c r="E14" s="160"/>
      <c r="F14" s="464"/>
      <c r="G14" s="328"/>
      <c r="H14" s="328"/>
      <c r="I14" s="328"/>
      <c r="J14" s="328"/>
      <c r="K14" s="328"/>
      <c r="L14" s="328"/>
      <c r="M14" s="328"/>
      <c r="N14" s="328"/>
      <c r="O14" s="328"/>
      <c r="P14" s="328"/>
      <c r="Q14" s="328"/>
      <c r="R14" s="328"/>
      <c r="S14" s="328"/>
      <c r="T14" s="328"/>
      <c r="U14" s="328"/>
      <c r="V14" s="329"/>
    </row>
    <row r="15" spans="4:22">
      <c r="D15" s="624" t="s">
        <v>1371</v>
      </c>
      <c r="E15" s="160"/>
      <c r="F15" s="464"/>
      <c r="G15" s="328"/>
      <c r="H15" s="328"/>
      <c r="I15" s="328"/>
      <c r="J15" s="328"/>
      <c r="K15" s="328"/>
      <c r="L15" s="328"/>
      <c r="M15" s="328"/>
      <c r="N15" s="328"/>
      <c r="O15" s="328"/>
      <c r="P15" s="328"/>
      <c r="Q15" s="328"/>
      <c r="R15" s="328"/>
      <c r="S15" s="328"/>
      <c r="T15" s="328"/>
      <c r="U15" s="328"/>
      <c r="V15" s="329"/>
    </row>
    <row r="16" spans="4:22">
      <c r="D16" s="624" t="s">
        <v>1372</v>
      </c>
      <c r="E16" s="160" t="s">
        <v>841</v>
      </c>
      <c r="F16" s="464">
        <v>6866.7481255129214</v>
      </c>
      <c r="G16" s="328"/>
      <c r="H16" s="328">
        <v>12.956810631229237</v>
      </c>
      <c r="I16" s="328">
        <v>10.976253298153033</v>
      </c>
      <c r="J16" s="328">
        <v>10.763260025873221</v>
      </c>
      <c r="K16" s="328"/>
      <c r="L16" s="328">
        <v>9.2034791651927836</v>
      </c>
      <c r="M16" s="328">
        <v>7.8224003661938823</v>
      </c>
      <c r="N16" s="328">
        <v>7.4485040397350604</v>
      </c>
      <c r="O16" s="328"/>
      <c r="P16" s="328">
        <v>5.3477564102564115</v>
      </c>
      <c r="Q16" s="328">
        <v>6.3493589743589745</v>
      </c>
      <c r="R16" s="328">
        <v>7.1578525641025639</v>
      </c>
      <c r="S16" s="328"/>
      <c r="T16" s="328">
        <v>2.8465205391966788</v>
      </c>
      <c r="U16" s="328">
        <v>2.6005417795374033</v>
      </c>
      <c r="V16" s="329">
        <v>2.4401212239710626</v>
      </c>
    </row>
    <row r="17" spans="4:23">
      <c r="D17" s="624" t="s">
        <v>1373</v>
      </c>
      <c r="E17" s="160" t="s">
        <v>841</v>
      </c>
      <c r="F17" s="464">
        <v>2603.9288839649926</v>
      </c>
      <c r="G17" s="328"/>
      <c r="H17" s="328">
        <v>12.9565816678153</v>
      </c>
      <c r="I17" s="328">
        <v>10.909301920733476</v>
      </c>
      <c r="J17" s="328">
        <v>10.226840015231465</v>
      </c>
      <c r="K17" s="328"/>
      <c r="L17" s="328">
        <v>9.3924517609106708</v>
      </c>
      <c r="M17" s="328">
        <v>8.2165221742881798</v>
      </c>
      <c r="N17" s="328">
        <v>7.3371080488568747</v>
      </c>
      <c r="O17" s="328"/>
      <c r="P17" s="328">
        <v>5.5436170212765958</v>
      </c>
      <c r="Q17" s="328">
        <v>6.1680851063829785</v>
      </c>
      <c r="R17" s="328">
        <v>6.551595744680851</v>
      </c>
      <c r="S17" s="328"/>
      <c r="T17" s="328">
        <v>3.7380947646789813</v>
      </c>
      <c r="U17" s="328">
        <v>3.2796036564091828</v>
      </c>
      <c r="V17" s="329">
        <v>2.9612828025076392</v>
      </c>
    </row>
    <row r="18" spans="4:23" ht="15" thickBot="1">
      <c r="D18" s="624" t="s">
        <v>1374</v>
      </c>
      <c r="E18" s="160" t="s">
        <v>841</v>
      </c>
      <c r="F18" s="464">
        <v>2555.3637262549664</v>
      </c>
      <c r="G18" s="328"/>
      <c r="H18" s="328">
        <v>11.159673659673659</v>
      </c>
      <c r="I18" s="328">
        <v>9.5829058973653272</v>
      </c>
      <c r="J18" s="328">
        <v>8.6346830192082233</v>
      </c>
      <c r="K18" s="328"/>
      <c r="L18" s="328">
        <v>7.5128933097960839</v>
      </c>
      <c r="M18" s="328">
        <v>6.4453273758377732</v>
      </c>
      <c r="N18" s="328">
        <v>5.661291419838971</v>
      </c>
      <c r="O18" s="328"/>
      <c r="P18" s="328">
        <v>4.6485639686684079</v>
      </c>
      <c r="Q18" s="328">
        <v>5.3161879895561359</v>
      </c>
      <c r="R18" s="328">
        <v>6.6454308093994792</v>
      </c>
      <c r="S18" s="328"/>
      <c r="T18" s="328">
        <v>2.224610112392182</v>
      </c>
      <c r="U18" s="328">
        <v>1.9320990768299449</v>
      </c>
      <c r="V18" s="329">
        <v>1.7295647186860725</v>
      </c>
    </row>
    <row r="19" spans="4:23" ht="15" thickBot="1">
      <c r="D19" s="624"/>
      <c r="E19" s="160"/>
      <c r="F19" s="464"/>
      <c r="G19" s="631" t="s">
        <v>1076</v>
      </c>
      <c r="H19" s="631">
        <f>AVERAGE(H16:H18)</f>
        <v>12.357688652906065</v>
      </c>
      <c r="I19" s="631">
        <f t="shared" ref="I19:J19" si="8">AVERAGE(I16:I18)</f>
        <v>10.489487038750612</v>
      </c>
      <c r="J19" s="631">
        <f t="shared" si="8"/>
        <v>9.8749276867709685</v>
      </c>
      <c r="K19" s="631"/>
      <c r="L19" s="631">
        <f t="shared" ref="L19" si="9">AVERAGE(L16:L18)</f>
        <v>8.7029414119665134</v>
      </c>
      <c r="M19" s="631">
        <f t="shared" ref="M19:N19" si="10">AVERAGE(M16:M18)</f>
        <v>7.4947499721066118</v>
      </c>
      <c r="N19" s="631">
        <f t="shared" si="10"/>
        <v>6.815634502810302</v>
      </c>
      <c r="O19" s="631"/>
      <c r="P19" s="631">
        <f t="shared" ref="P19:Q19" si="11">AVERAGE(P16:P18)</f>
        <v>5.1799791334004723</v>
      </c>
      <c r="Q19" s="631">
        <f t="shared" si="11"/>
        <v>5.9445440234326954</v>
      </c>
      <c r="R19" s="631">
        <f t="shared" ref="R19" si="12">AVERAGE(R16:R18)</f>
        <v>6.7849597060609641</v>
      </c>
      <c r="S19" s="631"/>
      <c r="T19" s="631">
        <f t="shared" ref="T19" si="13">AVERAGE(T16:T18)</f>
        <v>2.9364084720892811</v>
      </c>
      <c r="U19" s="631">
        <f t="shared" ref="U19" si="14">AVERAGE(U16:U18)</f>
        <v>2.6040815042588439</v>
      </c>
      <c r="V19" s="632">
        <f t="shared" ref="V19" si="15">AVERAGE(V16:V18)</f>
        <v>2.3769895817215914</v>
      </c>
    </row>
    <row r="20" spans="4:23">
      <c r="D20" s="624"/>
      <c r="E20" s="160"/>
      <c r="F20" s="464"/>
      <c r="G20" s="328"/>
      <c r="H20" s="328"/>
      <c r="I20" s="328"/>
      <c r="J20" s="328"/>
      <c r="K20" s="328"/>
      <c r="L20" s="328"/>
      <c r="M20" s="328"/>
      <c r="N20" s="328"/>
      <c r="O20" s="328"/>
      <c r="P20" s="328"/>
      <c r="Q20" s="328"/>
      <c r="R20" s="328"/>
      <c r="S20" s="328"/>
      <c r="T20" s="328"/>
      <c r="U20" s="328"/>
      <c r="V20" s="329"/>
    </row>
    <row r="21" spans="4:23">
      <c r="D21" s="624" t="s">
        <v>1375</v>
      </c>
      <c r="E21" s="160"/>
      <c r="F21" s="464"/>
      <c r="G21" s="328"/>
      <c r="H21" s="328"/>
      <c r="I21" s="328"/>
      <c r="J21" s="328"/>
      <c r="K21" s="328"/>
      <c r="L21" s="328"/>
      <c r="M21" s="328"/>
      <c r="N21" s="328"/>
      <c r="O21" s="328"/>
      <c r="P21" s="328"/>
      <c r="Q21" s="328"/>
      <c r="R21" s="328"/>
      <c r="S21" s="328"/>
      <c r="T21" s="328"/>
      <c r="U21" s="328"/>
      <c r="V21" s="329"/>
    </row>
    <row r="22" spans="4:23">
      <c r="D22" s="624" t="s">
        <v>1376</v>
      </c>
      <c r="E22" s="160" t="s">
        <v>791</v>
      </c>
      <c r="F22" s="464">
        <v>4711.9440247540188</v>
      </c>
      <c r="G22" s="328"/>
      <c r="H22" s="328">
        <v>17.072256305385139</v>
      </c>
      <c r="I22" s="328">
        <v>15.346200980392158</v>
      </c>
      <c r="J22" s="328">
        <v>14.051053939248217</v>
      </c>
      <c r="K22" s="328"/>
      <c r="L22" s="328">
        <v>13.889233126088039</v>
      </c>
      <c r="M22" s="328">
        <v>12.545310797014317</v>
      </c>
      <c r="N22" s="328">
        <v>11.445094334752609</v>
      </c>
      <c r="O22" s="328"/>
      <c r="P22" s="328">
        <v>3.0804551806747851</v>
      </c>
      <c r="Q22" s="328">
        <v>3.5071157630550727</v>
      </c>
      <c r="R22" s="328">
        <v>3.856772095941591</v>
      </c>
      <c r="S22" s="328"/>
      <c r="T22" s="328">
        <v>3.6594860876281126</v>
      </c>
      <c r="U22" s="328">
        <v>3.2831446576214689</v>
      </c>
      <c r="V22" s="329">
        <v>3.0032033712484583</v>
      </c>
    </row>
    <row r="23" spans="4:23">
      <c r="D23" s="624" t="s">
        <v>1377</v>
      </c>
      <c r="E23" s="160" t="s">
        <v>791</v>
      </c>
      <c r="F23" s="464">
        <v>2734.8411646017798</v>
      </c>
      <c r="G23" s="328"/>
      <c r="H23" s="328">
        <v>20.767616932000493</v>
      </c>
      <c r="I23" s="328">
        <v>22.531246760323967</v>
      </c>
      <c r="J23" s="328">
        <v>15.492542809795617</v>
      </c>
      <c r="K23" s="328"/>
      <c r="L23" s="328">
        <v>14.479089403665458</v>
      </c>
      <c r="M23" s="328">
        <v>12.665956135640826</v>
      </c>
      <c r="N23" s="328">
        <v>11.031997236247738</v>
      </c>
      <c r="O23" s="328"/>
      <c r="P23" s="328">
        <v>2.3805562158307585</v>
      </c>
      <c r="Q23" s="328">
        <v>2.7876158782980744</v>
      </c>
      <c r="R23" s="328">
        <v>3.2808414547183267</v>
      </c>
      <c r="S23" s="328"/>
      <c r="T23" s="328">
        <v>4.0372342977784177</v>
      </c>
      <c r="U23" s="328">
        <v>3.5473670896749439</v>
      </c>
      <c r="V23" s="329">
        <v>3.136041744316064</v>
      </c>
    </row>
    <row r="24" spans="4:23">
      <c r="D24" s="624" t="s">
        <v>838</v>
      </c>
      <c r="E24" s="160" t="s">
        <v>791</v>
      </c>
      <c r="F24" s="464">
        <v>382.7039852361716</v>
      </c>
      <c r="G24" s="328"/>
      <c r="H24" s="328">
        <v>12.202290076335878</v>
      </c>
      <c r="I24" s="328">
        <v>10.092336832136374</v>
      </c>
      <c r="J24" s="328">
        <v>6.9477344344235581</v>
      </c>
      <c r="K24" s="328"/>
      <c r="L24" s="328">
        <v>7.4669585062240671</v>
      </c>
      <c r="M24" s="328">
        <v>4.9367014787430685</v>
      </c>
      <c r="N24" s="328">
        <v>3.7137177419354841</v>
      </c>
      <c r="O24" s="328"/>
      <c r="P24" s="328">
        <v>4.4103847356897097</v>
      </c>
      <c r="Q24" s="328">
        <v>5.7475758523615896</v>
      </c>
      <c r="R24" s="328">
        <v>8.8106036909602761</v>
      </c>
      <c r="S24" s="328"/>
      <c r="T24" s="328" t="s">
        <v>1382</v>
      </c>
      <c r="U24" s="328" t="s">
        <v>1382</v>
      </c>
      <c r="V24" s="329" t="s">
        <v>1382</v>
      </c>
    </row>
    <row r="25" spans="4:23">
      <c r="D25" s="624" t="s">
        <v>1378</v>
      </c>
      <c r="E25" s="160" t="s">
        <v>791</v>
      </c>
      <c r="F25" s="464">
        <v>341.72469172147282</v>
      </c>
      <c r="G25" s="328"/>
      <c r="H25" s="328">
        <v>17.065637065637066</v>
      </c>
      <c r="I25" s="328">
        <v>13.508557457212714</v>
      </c>
      <c r="J25" s="328">
        <v>12.156215621562156</v>
      </c>
      <c r="K25" s="328"/>
      <c r="L25" s="328">
        <v>9.9955923344947735</v>
      </c>
      <c r="M25" s="328">
        <v>8.0537589670014356</v>
      </c>
      <c r="N25" s="328" t="s">
        <v>1382</v>
      </c>
      <c r="O25" s="328"/>
      <c r="P25" s="328">
        <v>1.9547511312217194</v>
      </c>
      <c r="Q25" s="328">
        <v>2.4751131221719458</v>
      </c>
      <c r="R25" s="328">
        <v>2.7285067873303164</v>
      </c>
      <c r="S25" s="328"/>
      <c r="T25" s="328">
        <v>4.1991259737792141</v>
      </c>
      <c r="U25" s="328">
        <v>3.5507712082262213</v>
      </c>
      <c r="V25" s="329">
        <v>3.1043685910942549</v>
      </c>
    </row>
    <row r="26" spans="4:23">
      <c r="D26" s="624" t="s">
        <v>1379</v>
      </c>
      <c r="E26" s="160" t="s">
        <v>791</v>
      </c>
      <c r="F26" s="464">
        <v>0</v>
      </c>
      <c r="G26" s="328"/>
      <c r="H26" s="328">
        <v>0</v>
      </c>
      <c r="I26" s="328">
        <v>0</v>
      </c>
      <c r="J26" s="328">
        <v>0</v>
      </c>
      <c r="K26" s="328"/>
      <c r="L26" s="328">
        <v>0</v>
      </c>
      <c r="M26" s="328">
        <v>0</v>
      </c>
      <c r="N26" s="328">
        <v>0</v>
      </c>
      <c r="O26" s="328"/>
      <c r="P26" s="328">
        <v>0</v>
      </c>
      <c r="Q26" s="328">
        <v>0</v>
      </c>
      <c r="R26" s="328">
        <v>0</v>
      </c>
      <c r="S26" s="328"/>
      <c r="T26" s="328">
        <v>0</v>
      </c>
      <c r="U26" s="328">
        <v>0</v>
      </c>
      <c r="V26" s="329">
        <v>0</v>
      </c>
    </row>
    <row r="27" spans="4:23">
      <c r="D27" s="624" t="s">
        <v>1380</v>
      </c>
      <c r="E27" s="160" t="s">
        <v>791</v>
      </c>
      <c r="F27" s="464">
        <v>1106.0460876898876</v>
      </c>
      <c r="G27" s="328"/>
      <c r="H27" s="328">
        <v>14.754098360655737</v>
      </c>
      <c r="I27" s="328">
        <v>11.219792865362484</v>
      </c>
      <c r="J27" s="328">
        <v>7.464114832535885</v>
      </c>
      <c r="K27" s="328"/>
      <c r="L27" s="328">
        <v>9.0558755684167007</v>
      </c>
      <c r="M27" s="328">
        <v>7.322477813396322</v>
      </c>
      <c r="N27" s="328">
        <v>5.6673857162143921</v>
      </c>
      <c r="O27" s="328"/>
      <c r="P27" s="328">
        <v>3.4000000000000004</v>
      </c>
      <c r="Q27" s="328">
        <v>4.4230769230769234</v>
      </c>
      <c r="R27" s="328">
        <v>6.1025641025641022</v>
      </c>
      <c r="S27" s="328"/>
      <c r="T27" s="328"/>
      <c r="U27" s="328"/>
      <c r="V27" s="329"/>
    </row>
    <row r="28" spans="4:23" ht="15" thickBot="1">
      <c r="D28" s="624" t="s">
        <v>1381</v>
      </c>
      <c r="E28" s="160" t="s">
        <v>791</v>
      </c>
      <c r="F28" s="464">
        <v>899.59552561708244</v>
      </c>
      <c r="G28" s="328"/>
      <c r="H28" s="328">
        <v>13.129770992366412</v>
      </c>
      <c r="I28" s="328">
        <v>11.159772911597727</v>
      </c>
      <c r="J28" s="328">
        <v>8.8318356867779197</v>
      </c>
      <c r="K28" s="328"/>
      <c r="L28" s="328">
        <v>8.3282765843179369</v>
      </c>
      <c r="M28" s="328">
        <v>6.8123892348754449</v>
      </c>
      <c r="N28" s="328">
        <v>5.64451395173454</v>
      </c>
      <c r="O28" s="328"/>
      <c r="P28" s="328">
        <v>2.5799418604651163</v>
      </c>
      <c r="Q28" s="328">
        <v>3.4084302325581399</v>
      </c>
      <c r="R28" s="328">
        <v>4.6366279069767442</v>
      </c>
      <c r="S28" s="328"/>
      <c r="T28" s="328"/>
      <c r="U28" s="328"/>
      <c r="V28" s="329"/>
    </row>
    <row r="29" spans="4:23" ht="15" thickBot="1">
      <c r="D29" s="625"/>
      <c r="E29" s="465"/>
      <c r="F29" s="466"/>
      <c r="G29" s="631" t="s">
        <v>1076</v>
      </c>
      <c r="H29" s="631">
        <f>AVERAGE(H22:H24)</f>
        <v>16.680721104573838</v>
      </c>
      <c r="I29" s="631">
        <f t="shared" ref="I29:V29" si="16">AVERAGE(I22:I24)</f>
        <v>15.989928190950833</v>
      </c>
      <c r="J29" s="631">
        <f t="shared" si="16"/>
        <v>12.163777061155798</v>
      </c>
      <c r="K29" s="631"/>
      <c r="L29" s="631">
        <f t="shared" si="16"/>
        <v>11.945093678659189</v>
      </c>
      <c r="M29" s="631">
        <f t="shared" si="16"/>
        <v>10.049322803799404</v>
      </c>
      <c r="N29" s="631">
        <f t="shared" si="16"/>
        <v>8.7302697709786106</v>
      </c>
      <c r="O29" s="631"/>
      <c r="P29" s="631">
        <f t="shared" si="16"/>
        <v>3.290465377398418</v>
      </c>
      <c r="Q29" s="631">
        <f t="shared" si="16"/>
        <v>4.0141024979049122</v>
      </c>
      <c r="R29" s="631">
        <f t="shared" si="16"/>
        <v>5.3160724138733979</v>
      </c>
      <c r="S29" s="631"/>
      <c r="T29" s="631">
        <f t="shared" si="16"/>
        <v>3.8483601927032653</v>
      </c>
      <c r="U29" s="631">
        <f t="shared" si="16"/>
        <v>3.4152558736482064</v>
      </c>
      <c r="V29" s="632">
        <f t="shared" si="16"/>
        <v>3.0696225577822611</v>
      </c>
    </row>
    <row r="30" spans="4:23" customFormat="1" ht="15"/>
    <row r="31" spans="4:23" customFormat="1" ht="16" thickBot="1"/>
    <row r="32" spans="4:23" customFormat="1" ht="15">
      <c r="D32" s="1953" t="s">
        <v>1387</v>
      </c>
      <c r="E32" s="1939" t="s">
        <v>1362</v>
      </c>
      <c r="F32" s="1939" t="s">
        <v>1363</v>
      </c>
      <c r="G32" s="559"/>
      <c r="H32" s="1939" t="s">
        <v>478</v>
      </c>
      <c r="I32" s="1939"/>
      <c r="J32" s="1939"/>
      <c r="K32" s="559"/>
      <c r="L32" s="1939" t="s">
        <v>1383</v>
      </c>
      <c r="M32" s="1939"/>
      <c r="N32" s="1939"/>
      <c r="O32" s="559"/>
      <c r="P32" s="1939" t="s">
        <v>1384</v>
      </c>
      <c r="Q32" s="1939"/>
      <c r="R32" s="1939"/>
      <c r="S32" s="559"/>
      <c r="T32" s="1939" t="s">
        <v>976</v>
      </c>
      <c r="U32" s="1939" t="s">
        <v>1385</v>
      </c>
      <c r="V32" s="1939" t="s">
        <v>1196</v>
      </c>
      <c r="W32" s="1945" t="s">
        <v>1386</v>
      </c>
    </row>
    <row r="33" spans="4:23" customFormat="1" ht="16" thickBot="1">
      <c r="D33" s="1956"/>
      <c r="E33" s="1940"/>
      <c r="F33" s="1940"/>
      <c r="G33" s="560"/>
      <c r="H33" s="560" t="s">
        <v>24</v>
      </c>
      <c r="I33" s="560" t="s">
        <v>25</v>
      </c>
      <c r="J33" s="560" t="s">
        <v>26</v>
      </c>
      <c r="K33" s="560"/>
      <c r="L33" s="560" t="s">
        <v>24</v>
      </c>
      <c r="M33" s="560" t="s">
        <v>25</v>
      </c>
      <c r="N33" s="560" t="s">
        <v>26</v>
      </c>
      <c r="O33" s="560"/>
      <c r="P33" s="560" t="s">
        <v>24</v>
      </c>
      <c r="Q33" s="560" t="s">
        <v>25</v>
      </c>
      <c r="R33" s="560" t="s">
        <v>26</v>
      </c>
      <c r="S33" s="560"/>
      <c r="T33" s="1940"/>
      <c r="U33" s="1940"/>
      <c r="V33" s="1940"/>
      <c r="W33" s="1957"/>
    </row>
    <row r="34" spans="4:23">
      <c r="D34" s="175"/>
      <c r="E34" s="160"/>
      <c r="F34" s="160"/>
      <c r="G34" s="160"/>
      <c r="H34" s="160"/>
      <c r="I34" s="160"/>
      <c r="J34" s="160"/>
      <c r="K34" s="160"/>
      <c r="L34" s="160"/>
      <c r="M34" s="160"/>
      <c r="N34" s="160"/>
      <c r="O34" s="160"/>
      <c r="P34" s="160"/>
      <c r="Q34" s="160"/>
      <c r="R34" s="160"/>
      <c r="S34" s="160"/>
      <c r="T34" s="160"/>
      <c r="U34" s="160"/>
      <c r="V34" s="160"/>
      <c r="W34" s="623"/>
    </row>
    <row r="35" spans="4:23">
      <c r="D35" s="638" t="s">
        <v>510</v>
      </c>
      <c r="E35" s="636" t="s">
        <v>791</v>
      </c>
      <c r="F35" s="636">
        <v>949.52142537667135</v>
      </c>
      <c r="G35" s="636"/>
      <c r="H35" s="639">
        <v>0.24282490083664549</v>
      </c>
      <c r="I35" s="639">
        <v>0.24766693689728844</v>
      </c>
      <c r="J35" s="639">
        <v>0.23600352089617846</v>
      </c>
      <c r="K35" s="639"/>
      <c r="L35" s="639">
        <v>0.35048630829880012</v>
      </c>
      <c r="M35" s="639">
        <v>0.114220879870363</v>
      </c>
      <c r="N35" s="639">
        <v>9.139818534691968E-2</v>
      </c>
      <c r="O35" s="639"/>
      <c r="P35" s="639">
        <v>0.33152182824894916</v>
      </c>
      <c r="Q35" s="639">
        <v>0.14558903443667259</v>
      </c>
      <c r="R35" s="639">
        <v>4.8745466552571726E-2</v>
      </c>
      <c r="S35" s="639"/>
      <c r="T35" s="639">
        <v>0.21289328848496109</v>
      </c>
      <c r="U35" s="639">
        <v>0.13688020053915317</v>
      </c>
      <c r="V35" s="639">
        <v>5.8970218875837851E-2</v>
      </c>
      <c r="W35" s="640">
        <v>0.89260772638542685</v>
      </c>
    </row>
    <row r="36" spans="4:23">
      <c r="D36" s="175"/>
      <c r="E36" s="160"/>
      <c r="F36" s="160"/>
      <c r="G36" s="160"/>
      <c r="H36" s="455"/>
      <c r="I36" s="455"/>
      <c r="J36" s="455"/>
      <c r="K36" s="455"/>
      <c r="L36" s="455"/>
      <c r="M36" s="455"/>
      <c r="N36" s="455"/>
      <c r="O36" s="455"/>
      <c r="P36" s="455"/>
      <c r="Q36" s="455"/>
      <c r="R36" s="455"/>
      <c r="S36" s="455"/>
      <c r="T36" s="455"/>
      <c r="U36" s="455"/>
      <c r="V36" s="455"/>
      <c r="W36" s="641"/>
    </row>
    <row r="37" spans="4:23">
      <c r="D37" s="175" t="s">
        <v>1368</v>
      </c>
      <c r="E37" s="160"/>
      <c r="F37" s="160"/>
      <c r="G37" s="160"/>
      <c r="H37" s="455"/>
      <c r="I37" s="455"/>
      <c r="J37" s="455"/>
      <c r="K37" s="455"/>
      <c r="L37" s="455"/>
      <c r="M37" s="455"/>
      <c r="N37" s="455"/>
      <c r="O37" s="455"/>
      <c r="P37" s="455"/>
      <c r="Q37" s="455"/>
      <c r="R37" s="455"/>
      <c r="S37" s="455"/>
      <c r="T37" s="455"/>
      <c r="U37" s="455"/>
      <c r="V37" s="455"/>
      <c r="W37" s="641"/>
    </row>
    <row r="38" spans="4:23">
      <c r="D38" s="175" t="s">
        <v>1369</v>
      </c>
      <c r="E38" s="160" t="s">
        <v>841</v>
      </c>
      <c r="F38" s="160">
        <v>1592.209466711224</v>
      </c>
      <c r="G38" s="160"/>
      <c r="H38" s="455">
        <v>0.12561999999999998</v>
      </c>
      <c r="I38" s="455">
        <v>0.13183</v>
      </c>
      <c r="J38" s="455">
        <v>0.14978</v>
      </c>
      <c r="K38" s="455"/>
      <c r="L38" s="455">
        <v>0.11981580638981489</v>
      </c>
      <c r="M38" s="455"/>
      <c r="N38" s="455"/>
      <c r="O38" s="455"/>
      <c r="P38" s="455">
        <v>0.91982910278964569</v>
      </c>
      <c r="Q38" s="455">
        <v>0.14111794737531094</v>
      </c>
      <c r="R38" s="455">
        <v>9.9460823677870722E-2</v>
      </c>
      <c r="S38" s="455"/>
      <c r="T38" s="455">
        <v>0.14692617157541032</v>
      </c>
      <c r="U38" s="455">
        <v>6.7198949943612724E-2</v>
      </c>
      <c r="V38" s="455">
        <v>2.9077166964759007E-3</v>
      </c>
      <c r="W38" s="641">
        <v>0.35328299392659135</v>
      </c>
    </row>
    <row r="39" spans="4:23">
      <c r="D39" s="175" t="s">
        <v>1370</v>
      </c>
      <c r="E39" s="160" t="s">
        <v>842</v>
      </c>
      <c r="F39" s="160">
        <v>1529.5058503784364</v>
      </c>
      <c r="G39" s="160"/>
      <c r="H39" s="455">
        <v>0.13100000000000001</v>
      </c>
      <c r="I39" s="455">
        <v>0.13100000000000001</v>
      </c>
      <c r="J39" s="455">
        <v>0.13150000000000001</v>
      </c>
      <c r="K39" s="455"/>
      <c r="L39" s="455">
        <v>2.0881792194976809E-2</v>
      </c>
      <c r="M39" s="455">
        <v>1.9229785189367445E-2</v>
      </c>
      <c r="N39" s="455">
        <v>3.7859400873099504E-2</v>
      </c>
      <c r="O39" s="455"/>
      <c r="P39" s="455">
        <v>0.13809139784946237</v>
      </c>
      <c r="Q39" s="455">
        <v>6.3136263788175703E-2</v>
      </c>
      <c r="R39" s="455">
        <v>0.1652966007553878</v>
      </c>
      <c r="S39" s="455"/>
      <c r="T39" s="455">
        <v>5.4881111342504688E-2</v>
      </c>
      <c r="U39" s="455">
        <v>5.0092365620944553E-2</v>
      </c>
      <c r="V39" s="455"/>
      <c r="W39" s="641">
        <v>2.3594818901415207</v>
      </c>
    </row>
    <row r="40" spans="4:23" ht="15" thickBot="1">
      <c r="D40" s="175" t="s">
        <v>840</v>
      </c>
      <c r="E40" s="160" t="s">
        <v>841</v>
      </c>
      <c r="F40" s="160">
        <v>342.51206935848819</v>
      </c>
      <c r="G40" s="160"/>
      <c r="H40" s="455">
        <v>0.24279000000000001</v>
      </c>
      <c r="I40" s="455">
        <v>0.22434999999999999</v>
      </c>
      <c r="J40" s="455">
        <v>0.20103000000000001</v>
      </c>
      <c r="K40" s="455"/>
      <c r="L40" s="455">
        <v>0.16395137046861191</v>
      </c>
      <c r="M40" s="455">
        <v>4.5631781129099942E-2</v>
      </c>
      <c r="N40" s="455">
        <v>-5.4122775154377044E-2</v>
      </c>
      <c r="O40" s="455"/>
      <c r="P40" s="455">
        <v>0.35441176470588226</v>
      </c>
      <c r="Q40" s="455">
        <v>9.3738689829895167E-2</v>
      </c>
      <c r="R40" s="455">
        <v>-2.945069490403705E-2</v>
      </c>
      <c r="S40" s="455"/>
      <c r="T40" s="455">
        <v>0.35600706713780916</v>
      </c>
      <c r="U40" s="455">
        <v>0.12156862745098039</v>
      </c>
      <c r="V40" s="455">
        <v>8.2922051958350493E-2</v>
      </c>
      <c r="W40" s="641">
        <v>0.99594320486815424</v>
      </c>
    </row>
    <row r="41" spans="4:23" ht="15" thickBot="1">
      <c r="D41" s="175"/>
      <c r="E41" s="160"/>
      <c r="F41" s="160"/>
      <c r="G41" s="642" t="s">
        <v>1076</v>
      </c>
      <c r="H41" s="643">
        <f>AVERAGE(H35:H40)</f>
        <v>0.18555872520916139</v>
      </c>
      <c r="I41" s="643">
        <f t="shared" ref="I41:J41" si="17">AVERAGE(I35:I40)</f>
        <v>0.18371173422432213</v>
      </c>
      <c r="J41" s="643">
        <f t="shared" si="17"/>
        <v>0.17957838022404463</v>
      </c>
      <c r="K41" s="643"/>
      <c r="L41" s="643">
        <f t="shared" ref="L41" si="18">AVERAGE(L35:L40)</f>
        <v>0.16378381933805092</v>
      </c>
      <c r="M41" s="643">
        <f t="shared" ref="M41:N41" si="19">AVERAGE(M35:M40)</f>
        <v>5.9694148729610125E-2</v>
      </c>
      <c r="N41" s="643">
        <f t="shared" si="19"/>
        <v>2.5044937021880709E-2</v>
      </c>
      <c r="O41" s="643"/>
      <c r="P41" s="643">
        <f t="shared" ref="P41:Q41" si="20">AVERAGE(P35:P40)</f>
        <v>0.43596352339848488</v>
      </c>
      <c r="Q41" s="643">
        <f t="shared" si="20"/>
        <v>0.1108954838575136</v>
      </c>
      <c r="R41" s="643">
        <f t="shared" ref="R41" si="21">AVERAGE(R35:R40)</f>
        <v>7.1013049020448304E-2</v>
      </c>
      <c r="S41" s="643"/>
      <c r="T41" s="643">
        <f t="shared" ref="T41" si="22">AVERAGE(T35:T40)</f>
        <v>0.19267690963517131</v>
      </c>
      <c r="U41" s="643">
        <f t="shared" ref="U41" si="23">AVERAGE(U35:U40)</f>
        <v>9.3935035888672719E-2</v>
      </c>
      <c r="V41" s="643">
        <f t="shared" ref="V41:W41" si="24">AVERAGE(V35:V40)</f>
        <v>4.8266662510221416E-2</v>
      </c>
      <c r="W41" s="644">
        <f t="shared" si="24"/>
        <v>1.1503289538304233</v>
      </c>
    </row>
    <row r="42" spans="4:23">
      <c r="D42" s="175"/>
      <c r="E42" s="160"/>
      <c r="F42" s="160"/>
      <c r="G42" s="160"/>
      <c r="H42" s="455"/>
      <c r="I42" s="455"/>
      <c r="J42" s="455"/>
      <c r="K42" s="455"/>
      <c r="L42" s="455"/>
      <c r="M42" s="455"/>
      <c r="N42" s="455"/>
      <c r="O42" s="455"/>
      <c r="P42" s="455"/>
      <c r="Q42" s="455"/>
      <c r="R42" s="455"/>
      <c r="S42" s="455"/>
      <c r="T42" s="455"/>
      <c r="U42" s="455"/>
      <c r="V42" s="455"/>
      <c r="W42" s="641"/>
    </row>
    <row r="43" spans="4:23">
      <c r="D43" s="175" t="s">
        <v>1371</v>
      </c>
      <c r="E43" s="160"/>
      <c r="F43" s="160"/>
      <c r="G43" s="160"/>
      <c r="H43" s="455"/>
      <c r="I43" s="455"/>
      <c r="J43" s="455"/>
      <c r="K43" s="455"/>
      <c r="L43" s="455"/>
      <c r="M43" s="455"/>
      <c r="N43" s="455"/>
      <c r="O43" s="455"/>
      <c r="P43" s="455"/>
      <c r="Q43" s="455"/>
      <c r="R43" s="455"/>
      <c r="S43" s="455"/>
      <c r="T43" s="455"/>
      <c r="U43" s="455"/>
      <c r="V43" s="455"/>
      <c r="W43" s="641"/>
    </row>
    <row r="44" spans="4:23">
      <c r="D44" s="175" t="s">
        <v>1372</v>
      </c>
      <c r="E44" s="160" t="s">
        <v>841</v>
      </c>
      <c r="F44" s="160">
        <v>6866.7481255129214</v>
      </c>
      <c r="G44" s="160"/>
      <c r="H44" s="455">
        <v>0.22971</v>
      </c>
      <c r="I44" s="455">
        <v>0.25201000000000001</v>
      </c>
      <c r="J44" s="455">
        <v>0.23367000000000002</v>
      </c>
      <c r="K44" s="455"/>
      <c r="L44" s="455">
        <v>0.10425337240456659</v>
      </c>
      <c r="M44" s="455">
        <v>1.3966772139615622E-2</v>
      </c>
      <c r="N44" s="455">
        <v>3.0180101409610045E-2</v>
      </c>
      <c r="O44" s="455"/>
      <c r="P44" s="455">
        <v>0.96812423375561896</v>
      </c>
      <c r="Q44" s="455">
        <v>0.18044019933554833</v>
      </c>
      <c r="R44" s="455">
        <v>1.9788918205804716E-2</v>
      </c>
      <c r="S44" s="455"/>
      <c r="T44" s="455">
        <v>0.15415299539170504</v>
      </c>
      <c r="U44" s="455">
        <v>9.6739597443104439E-2</v>
      </c>
      <c r="V44" s="455">
        <v>6.7038465101564764E-4</v>
      </c>
      <c r="W44" s="641">
        <v>0.51928829066596272</v>
      </c>
    </row>
    <row r="45" spans="4:23">
      <c r="D45" s="175" t="s">
        <v>1373</v>
      </c>
      <c r="E45" s="160" t="s">
        <v>841</v>
      </c>
      <c r="F45" s="160">
        <v>2603.9288839649926</v>
      </c>
      <c r="G45" s="160"/>
      <c r="H45" s="455">
        <v>0.29289000000000004</v>
      </c>
      <c r="I45" s="455">
        <v>0.31315999999999999</v>
      </c>
      <c r="J45" s="455">
        <v>0.29905000000000004</v>
      </c>
      <c r="K45" s="455"/>
      <c r="L45" s="455">
        <v>8.2044306734732911E-2</v>
      </c>
      <c r="M45" s="455">
        <v>6.357797946406045E-2</v>
      </c>
      <c r="N45" s="455">
        <v>1.1197597326048977E-3</v>
      </c>
      <c r="O45" s="455"/>
      <c r="P45" s="455">
        <v>0.51619644723092994</v>
      </c>
      <c r="Q45" s="455">
        <v>0.18766368022053762</v>
      </c>
      <c r="R45" s="455">
        <v>6.6732431961933417E-2</v>
      </c>
      <c r="S45" s="455"/>
      <c r="T45" s="455">
        <v>0.23545952143705381</v>
      </c>
      <c r="U45" s="455">
        <v>0.1691318676684119</v>
      </c>
      <c r="V45" s="455"/>
      <c r="W45" s="641">
        <v>0.50279318920987193</v>
      </c>
    </row>
    <row r="46" spans="4:23" ht="15" thickBot="1">
      <c r="D46" s="175" t="s">
        <v>1374</v>
      </c>
      <c r="E46" s="160" t="s">
        <v>841</v>
      </c>
      <c r="F46" s="160">
        <v>2555.3637262549664</v>
      </c>
      <c r="G46" s="160"/>
      <c r="H46" s="455">
        <v>0.21254999999999999</v>
      </c>
      <c r="I46" s="455">
        <v>0.22347999999999998</v>
      </c>
      <c r="J46" s="455">
        <v>0.20408000000000001</v>
      </c>
      <c r="K46" s="455"/>
      <c r="L46" s="455">
        <v>0.10588157887400115</v>
      </c>
      <c r="M46" s="455">
        <v>4.2713807526486479E-2</v>
      </c>
      <c r="N46" s="455">
        <v>1.415577920517579E-2</v>
      </c>
      <c r="O46" s="455"/>
      <c r="P46" s="455">
        <v>0.81184668989547037</v>
      </c>
      <c r="Q46" s="455">
        <v>0.16453962703962699</v>
      </c>
      <c r="R46" s="455">
        <v>0.10981559786824137</v>
      </c>
      <c r="S46" s="455"/>
      <c r="T46" s="455">
        <v>0.13485287967748949</v>
      </c>
      <c r="U46" s="455">
        <v>0.10860928528354385</v>
      </c>
      <c r="V46" s="455">
        <v>1.1997991332721629E-2</v>
      </c>
      <c r="W46" s="641">
        <v>0.2960563218931152</v>
      </c>
    </row>
    <row r="47" spans="4:23" ht="15" thickBot="1">
      <c r="D47" s="175"/>
      <c r="E47" s="160"/>
      <c r="F47" s="160"/>
      <c r="G47" s="450" t="s">
        <v>1076</v>
      </c>
      <c r="H47" s="643">
        <f>AVERAGE(H44:H46)</f>
        <v>0.24505000000000002</v>
      </c>
      <c r="I47" s="643">
        <f t="shared" ref="I47:W47" si="25">AVERAGE(I44:I46)</f>
        <v>0.2628833333333333</v>
      </c>
      <c r="J47" s="643">
        <f t="shared" si="25"/>
        <v>0.24560000000000004</v>
      </c>
      <c r="K47" s="643"/>
      <c r="L47" s="643">
        <f t="shared" si="25"/>
        <v>9.7393086004433568E-2</v>
      </c>
      <c r="M47" s="643">
        <f t="shared" si="25"/>
        <v>4.0086186376720852E-2</v>
      </c>
      <c r="N47" s="643">
        <f t="shared" si="25"/>
        <v>1.5151880115796912E-2</v>
      </c>
      <c r="O47" s="643"/>
      <c r="P47" s="643">
        <f t="shared" si="25"/>
        <v>0.76538912362733968</v>
      </c>
      <c r="Q47" s="643">
        <f t="shared" si="25"/>
        <v>0.17754783553190431</v>
      </c>
      <c r="R47" s="643">
        <f t="shared" si="25"/>
        <v>6.5445649345326498E-2</v>
      </c>
      <c r="S47" s="643"/>
      <c r="T47" s="643">
        <f t="shared" si="25"/>
        <v>0.17482179883541613</v>
      </c>
      <c r="U47" s="643">
        <f t="shared" si="25"/>
        <v>0.12482691679835339</v>
      </c>
      <c r="V47" s="643">
        <f t="shared" si="25"/>
        <v>6.3341879918686382E-3</v>
      </c>
      <c r="W47" s="644">
        <f t="shared" si="25"/>
        <v>0.4393792672563166</v>
      </c>
    </row>
    <row r="48" spans="4:23">
      <c r="D48" s="175"/>
      <c r="E48" s="160"/>
      <c r="F48" s="160"/>
      <c r="G48" s="160"/>
      <c r="H48" s="455"/>
      <c r="I48" s="455"/>
      <c r="J48" s="455"/>
      <c r="K48" s="455"/>
      <c r="L48" s="455"/>
      <c r="M48" s="455"/>
      <c r="N48" s="455"/>
      <c r="O48" s="455"/>
      <c r="P48" s="455"/>
      <c r="Q48" s="455"/>
      <c r="R48" s="455"/>
      <c r="S48" s="455"/>
      <c r="T48" s="455"/>
      <c r="U48" s="455"/>
      <c r="V48" s="455"/>
      <c r="W48" s="641"/>
    </row>
    <row r="49" spans="4:23">
      <c r="D49" s="175" t="s">
        <v>1375</v>
      </c>
      <c r="E49" s="160"/>
      <c r="F49" s="160"/>
      <c r="G49" s="160"/>
      <c r="H49" s="455"/>
      <c r="I49" s="455"/>
      <c r="J49" s="455"/>
      <c r="K49" s="455"/>
      <c r="L49" s="455"/>
      <c r="M49" s="455"/>
      <c r="N49" s="455"/>
      <c r="O49" s="455"/>
      <c r="P49" s="455"/>
      <c r="Q49" s="455"/>
      <c r="R49" s="455"/>
      <c r="S49" s="455"/>
      <c r="T49" s="455"/>
      <c r="U49" s="455"/>
      <c r="V49" s="455"/>
      <c r="W49" s="641"/>
    </row>
    <row r="50" spans="4:23">
      <c r="D50" s="175" t="s">
        <v>1376</v>
      </c>
      <c r="E50" s="160" t="s">
        <v>791</v>
      </c>
      <c r="F50" s="160">
        <v>4711.9440247540188</v>
      </c>
      <c r="G50" s="160"/>
      <c r="H50" s="455">
        <v>0.22270000000000001</v>
      </c>
      <c r="I50" s="455">
        <v>0.22522999999999999</v>
      </c>
      <c r="J50" s="455">
        <v>0.22260000000000002</v>
      </c>
      <c r="K50" s="455"/>
      <c r="L50" s="455">
        <v>2.7660214971987947E-3</v>
      </c>
      <c r="M50" s="455">
        <v>6.0013198339864647E-2</v>
      </c>
      <c r="N50" s="455">
        <v>5.9073783687097647E-2</v>
      </c>
      <c r="O50" s="455"/>
      <c r="P50" s="455">
        <v>0.15026603192383084</v>
      </c>
      <c r="Q50" s="455">
        <v>0.11247443762781179</v>
      </c>
      <c r="R50" s="455">
        <v>9.2174369747899221E-2</v>
      </c>
      <c r="S50" s="455"/>
      <c r="T50" s="455">
        <v>0.13485182650138158</v>
      </c>
      <c r="U50" s="455">
        <v>0.19121975782151859</v>
      </c>
      <c r="V50" s="455">
        <v>2.629917272008666E-2</v>
      </c>
      <c r="W50" s="641">
        <v>0.27495354778771341</v>
      </c>
    </row>
    <row r="51" spans="4:23">
      <c r="D51" s="175" t="s">
        <v>1377</v>
      </c>
      <c r="E51" s="160" t="s">
        <v>791</v>
      </c>
      <c r="F51" s="160">
        <v>2734.8411646017798</v>
      </c>
      <c r="G51" s="160"/>
      <c r="H51" s="455">
        <v>0.22536</v>
      </c>
      <c r="I51" s="455">
        <v>0.22853000000000001</v>
      </c>
      <c r="J51" s="455">
        <v>0.23373000000000002</v>
      </c>
      <c r="K51" s="455"/>
      <c r="L51" s="455">
        <v>8.9260142306994833E-2</v>
      </c>
      <c r="M51" s="455">
        <v>8.3603997656018905E-2</v>
      </c>
      <c r="N51" s="455">
        <v>7.5709476252880839E-2</v>
      </c>
      <c r="O51" s="455"/>
      <c r="P51" s="455">
        <v>-2.6081730769230833E-2</v>
      </c>
      <c r="Q51" s="455">
        <v>0.16203875107984703</v>
      </c>
      <c r="R51" s="455">
        <v>0.1535683942225998</v>
      </c>
      <c r="S51" s="455"/>
      <c r="T51" s="455"/>
      <c r="U51" s="455">
        <v>0.21338265561713651</v>
      </c>
      <c r="V51" s="455">
        <v>2.6754423677900308E-2</v>
      </c>
      <c r="W51" s="641">
        <v>6.1092497585724687E-2</v>
      </c>
    </row>
    <row r="52" spans="4:23">
      <c r="D52" s="175" t="s">
        <v>838</v>
      </c>
      <c r="E52" s="160" t="s">
        <v>791</v>
      </c>
      <c r="F52" s="160">
        <v>382.7039852361716</v>
      </c>
      <c r="G52" s="160"/>
      <c r="H52" s="455">
        <v>0.16800000000000001</v>
      </c>
      <c r="I52" s="455">
        <v>0.24400000000000002</v>
      </c>
      <c r="J52" s="455">
        <v>0.27800000000000002</v>
      </c>
      <c r="K52" s="455"/>
      <c r="L52" s="455">
        <v>0.15595987275653872</v>
      </c>
      <c r="M52" s="455">
        <v>-2.265223066881671E-3</v>
      </c>
      <c r="N52" s="455">
        <v>4.8678185246469392E-2</v>
      </c>
      <c r="O52" s="455"/>
      <c r="P52" s="455">
        <v>-0.47938400397416786</v>
      </c>
      <c r="Q52" s="455">
        <v>0.20906488549618327</v>
      </c>
      <c r="R52" s="455">
        <v>0.45260831820692898</v>
      </c>
      <c r="S52" s="455"/>
      <c r="T52" s="455">
        <v>0.11241117269878952</v>
      </c>
      <c r="U52" s="455">
        <v>0.38014696554680805</v>
      </c>
      <c r="V52" s="455">
        <v>8.8778959230560298E-2</v>
      </c>
      <c r="W52" s="641">
        <v>2.3964614307761072E-2</v>
      </c>
    </row>
    <row r="53" spans="4:23">
      <c r="D53" s="175" t="s">
        <v>1378</v>
      </c>
      <c r="E53" s="160" t="s">
        <v>791</v>
      </c>
      <c r="F53" s="160">
        <v>341.72469172147282</v>
      </c>
      <c r="G53" s="160"/>
      <c r="H53" s="455">
        <v>0.26219999999999999</v>
      </c>
      <c r="I53" s="455">
        <v>0.27889999999999998</v>
      </c>
      <c r="J53" s="455">
        <v>0.26830000000000004</v>
      </c>
      <c r="K53" s="455"/>
      <c r="L53" s="455">
        <v>0.41616301705416925</v>
      </c>
      <c r="M53" s="455">
        <v>0.13561499824786824</v>
      </c>
      <c r="N53" s="455">
        <v>9.1030652129191522E-2</v>
      </c>
      <c r="O53" s="455"/>
      <c r="P53" s="455">
        <v>0.67312661498707993</v>
      </c>
      <c r="Q53" s="455">
        <v>0.26332046332046349</v>
      </c>
      <c r="R53" s="455">
        <v>0.11124694376528113</v>
      </c>
      <c r="S53" s="455"/>
      <c r="T53" s="455">
        <v>0.11863313884319612</v>
      </c>
      <c r="U53" s="455">
        <v>0.1987464775688941</v>
      </c>
      <c r="V53" s="455">
        <v>-2.5591396359286093E-2</v>
      </c>
      <c r="W53" s="641">
        <v>0.78118502352780572</v>
      </c>
    </row>
    <row r="54" spans="4:23">
      <c r="D54" s="175" t="s">
        <v>1379</v>
      </c>
      <c r="E54" s="160" t="s">
        <v>791</v>
      </c>
      <c r="F54" s="160">
        <v>0</v>
      </c>
      <c r="G54" s="160"/>
      <c r="H54" s="455">
        <v>0</v>
      </c>
      <c r="I54" s="455">
        <v>0</v>
      </c>
      <c r="J54" s="455">
        <v>0</v>
      </c>
      <c r="K54" s="455"/>
      <c r="L54" s="455">
        <v>0</v>
      </c>
      <c r="M54" s="455">
        <v>0</v>
      </c>
      <c r="N54" s="455">
        <v>0</v>
      </c>
      <c r="O54" s="455"/>
      <c r="P54" s="455">
        <v>0</v>
      </c>
      <c r="Q54" s="455">
        <v>0</v>
      </c>
      <c r="R54" s="455">
        <v>0</v>
      </c>
      <c r="S54" s="455">
        <v>0</v>
      </c>
      <c r="T54" s="455">
        <v>0</v>
      </c>
      <c r="U54" s="455">
        <v>0</v>
      </c>
      <c r="V54" s="455">
        <v>0</v>
      </c>
      <c r="W54" s="641">
        <v>0</v>
      </c>
    </row>
    <row r="55" spans="4:23">
      <c r="D55" s="175" t="s">
        <v>1380</v>
      </c>
      <c r="E55" s="160" t="s">
        <v>791</v>
      </c>
      <c r="F55" s="160">
        <v>1106.0460876898876</v>
      </c>
      <c r="G55" s="160"/>
      <c r="H55" s="455">
        <v>6.4899999999999999E-2</v>
      </c>
      <c r="I55" s="455">
        <v>8.9849999999999999E-2</v>
      </c>
      <c r="J55" s="455">
        <v>0.12155000000000001</v>
      </c>
      <c r="K55" s="455"/>
      <c r="L55" s="455">
        <v>-9.4913649025069966E-3</v>
      </c>
      <c r="M55" s="455">
        <v>0.16200393371515609</v>
      </c>
      <c r="N55" s="455">
        <v>9.4223943207486283E-2</v>
      </c>
      <c r="O55" s="455"/>
      <c r="P55" s="455">
        <v>-4.006778840334084E-2</v>
      </c>
      <c r="Q55" s="455">
        <v>0.31500630517023959</v>
      </c>
      <c r="R55" s="455">
        <v>0.50316455696202522</v>
      </c>
      <c r="S55" s="455"/>
      <c r="T55" s="455">
        <v>0.15658657829328915</v>
      </c>
      <c r="U55" s="455">
        <v>7.7072234809054355E-2</v>
      </c>
      <c r="V55" s="455"/>
      <c r="W55" s="641">
        <v>0.33725319396051101</v>
      </c>
    </row>
    <row r="56" spans="4:23" ht="15" thickBot="1">
      <c r="D56" s="175" t="s">
        <v>1381</v>
      </c>
      <c r="E56" s="160" t="s">
        <v>791</v>
      </c>
      <c r="F56" s="160">
        <v>899.59552561708244</v>
      </c>
      <c r="G56" s="160"/>
      <c r="H56" s="455">
        <v>8.7000000000000008E-2</v>
      </c>
      <c r="I56" s="455">
        <v>8.8000000000000009E-2</v>
      </c>
      <c r="J56" s="455">
        <v>0.109</v>
      </c>
      <c r="K56" s="455"/>
      <c r="L56" s="455">
        <v>6.1135453563964812E-2</v>
      </c>
      <c r="M56" s="455">
        <v>5.9833873011403631E-2</v>
      </c>
      <c r="N56" s="455">
        <v>0</v>
      </c>
      <c r="O56" s="455"/>
      <c r="P56" s="455">
        <v>2.3437500000000021E-2</v>
      </c>
      <c r="Q56" s="455">
        <v>0.17652671755725194</v>
      </c>
      <c r="R56" s="455">
        <v>0.26358475263584746</v>
      </c>
      <c r="S56" s="455"/>
      <c r="T56" s="455">
        <v>9.7469932497093431E-2</v>
      </c>
      <c r="U56" s="455">
        <v>9.5839989027941788E-2</v>
      </c>
      <c r="V56" s="455" t="e">
        <v>#VALUE!</v>
      </c>
      <c r="W56" s="641">
        <v>0.27412115233313417</v>
      </c>
    </row>
    <row r="57" spans="4:23" ht="15" thickBot="1">
      <c r="D57" s="175"/>
      <c r="E57" s="160"/>
      <c r="F57" s="160"/>
      <c r="G57" s="642" t="s">
        <v>1076</v>
      </c>
      <c r="H57" s="643">
        <f>AVERAGE(H50:H52)</f>
        <v>0.20535333333333336</v>
      </c>
      <c r="I57" s="643">
        <f t="shared" ref="I57:W57" si="26">AVERAGE(I50:I52)</f>
        <v>0.23258666666666669</v>
      </c>
      <c r="J57" s="643">
        <f t="shared" si="26"/>
        <v>0.24477666666666667</v>
      </c>
      <c r="K57" s="643" t="e">
        <f t="shared" si="26"/>
        <v>#DIV/0!</v>
      </c>
      <c r="L57" s="643">
        <f t="shared" si="26"/>
        <v>8.2662012186910785E-2</v>
      </c>
      <c r="M57" s="643">
        <f t="shared" si="26"/>
        <v>4.7117324309667287E-2</v>
      </c>
      <c r="N57" s="643">
        <f t="shared" si="26"/>
        <v>6.1153815062149286E-2</v>
      </c>
      <c r="O57" s="643" t="e">
        <f t="shared" si="26"/>
        <v>#DIV/0!</v>
      </c>
      <c r="P57" s="643">
        <f t="shared" si="26"/>
        <v>-0.11839990093985596</v>
      </c>
      <c r="Q57" s="643">
        <f t="shared" si="26"/>
        <v>0.1611926914012807</v>
      </c>
      <c r="R57" s="643">
        <f t="shared" si="26"/>
        <v>0.23278369405914268</v>
      </c>
      <c r="S57" s="643" t="e">
        <f t="shared" si="26"/>
        <v>#DIV/0!</v>
      </c>
      <c r="T57" s="643">
        <f t="shared" si="26"/>
        <v>0.12363149960008554</v>
      </c>
      <c r="U57" s="643">
        <f t="shared" si="26"/>
        <v>0.26158312632848774</v>
      </c>
      <c r="V57" s="643">
        <f t="shared" si="26"/>
        <v>4.727751854284909E-2</v>
      </c>
      <c r="W57" s="644">
        <f t="shared" si="26"/>
        <v>0.12000355322706639</v>
      </c>
    </row>
    <row r="58" spans="4:23">
      <c r="D58" s="175"/>
      <c r="E58" s="160"/>
      <c r="F58" s="160"/>
      <c r="G58" s="160"/>
      <c r="H58" s="160"/>
      <c r="I58" s="160"/>
      <c r="J58" s="160"/>
      <c r="K58" s="160"/>
      <c r="L58" s="160"/>
      <c r="M58" s="160"/>
      <c r="N58" s="160"/>
      <c r="O58" s="160"/>
      <c r="P58" s="160"/>
      <c r="Q58" s="160"/>
      <c r="R58" s="160"/>
      <c r="S58" s="160"/>
      <c r="T58" s="160"/>
      <c r="U58" s="160"/>
      <c r="V58" s="160"/>
      <c r="W58" s="641"/>
    </row>
    <row r="59" spans="4:23">
      <c r="D59" s="175"/>
      <c r="E59" s="160"/>
      <c r="F59" s="160"/>
      <c r="G59" s="160"/>
      <c r="H59" s="160"/>
      <c r="I59" s="160"/>
      <c r="J59" s="160"/>
      <c r="K59" s="160"/>
      <c r="L59" s="160"/>
      <c r="M59" s="160"/>
      <c r="N59" s="160"/>
      <c r="O59" s="160"/>
      <c r="P59" s="160"/>
      <c r="Q59" s="160"/>
      <c r="R59" s="160"/>
      <c r="S59" s="160"/>
      <c r="T59" s="160"/>
      <c r="U59" s="160"/>
      <c r="V59" s="160"/>
      <c r="W59" s="623"/>
    </row>
    <row r="60" spans="4:23" ht="15" thickBot="1">
      <c r="D60" s="645" t="s">
        <v>510</v>
      </c>
      <c r="E60" s="646" t="s">
        <v>791</v>
      </c>
      <c r="F60" s="646">
        <v>0</v>
      </c>
      <c r="G60" s="646"/>
      <c r="H60" s="646">
        <v>0</v>
      </c>
      <c r="I60" s="646">
        <v>0</v>
      </c>
      <c r="J60" s="646">
        <v>0</v>
      </c>
      <c r="K60" s="646"/>
      <c r="L60" s="646">
        <v>0</v>
      </c>
      <c r="M60" s="646">
        <v>0</v>
      </c>
      <c r="N60" s="646">
        <v>0</v>
      </c>
      <c r="O60" s="646"/>
      <c r="P60" s="646">
        <v>0</v>
      </c>
      <c r="Q60" s="646">
        <v>0</v>
      </c>
      <c r="R60" s="646">
        <v>0</v>
      </c>
      <c r="S60" s="646"/>
      <c r="T60" s="646">
        <v>0</v>
      </c>
      <c r="U60" s="646">
        <v>0</v>
      </c>
      <c r="V60" s="646">
        <v>0</v>
      </c>
      <c r="W60" s="647"/>
    </row>
    <row r="61" spans="4:23" customFormat="1" ht="15"/>
    <row r="62" spans="4:23" customFormat="1" ht="15"/>
    <row r="63" spans="4:23" customFormat="1" ht="16" thickBot="1"/>
    <row r="64" spans="4:23" customFormat="1" ht="15">
      <c r="D64" s="1953" t="s">
        <v>1387</v>
      </c>
      <c r="E64" s="1939" t="s">
        <v>1362</v>
      </c>
      <c r="F64" s="1939" t="s">
        <v>1388</v>
      </c>
      <c r="G64" s="1939" t="s">
        <v>1389</v>
      </c>
      <c r="H64" s="1939"/>
      <c r="I64" s="1939"/>
      <c r="J64" s="1939" t="s">
        <v>1365</v>
      </c>
      <c r="K64" s="1939"/>
      <c r="L64" s="1939"/>
      <c r="M64" s="1939" t="s">
        <v>1390</v>
      </c>
      <c r="N64" s="1939"/>
      <c r="O64" s="1939"/>
      <c r="P64" s="1939" t="s">
        <v>1391</v>
      </c>
      <c r="Q64" s="1939"/>
      <c r="R64" s="1939"/>
      <c r="S64" s="1939" t="s">
        <v>1366</v>
      </c>
      <c r="T64" s="1939"/>
      <c r="U64" s="1945"/>
    </row>
    <row r="65" spans="4:21" customFormat="1" ht="15">
      <c r="D65" s="1954"/>
      <c r="E65" s="1952"/>
      <c r="F65" s="1952"/>
      <c r="G65" s="561" t="s">
        <v>1392</v>
      </c>
      <c r="H65" s="561" t="s">
        <v>1393</v>
      </c>
      <c r="I65" s="561" t="s">
        <v>1367</v>
      </c>
      <c r="J65" s="561" t="s">
        <v>1392</v>
      </c>
      <c r="K65" s="561" t="s">
        <v>1393</v>
      </c>
      <c r="L65" s="561" t="s">
        <v>1367</v>
      </c>
      <c r="M65" s="561" t="s">
        <v>1392</v>
      </c>
      <c r="N65" s="561" t="s">
        <v>1393</v>
      </c>
      <c r="O65" s="561" t="s">
        <v>1367</v>
      </c>
      <c r="P65" s="561" t="s">
        <v>1392</v>
      </c>
      <c r="Q65" s="561" t="s">
        <v>1393</v>
      </c>
      <c r="R65" s="561" t="s">
        <v>1367</v>
      </c>
      <c r="S65" s="561" t="s">
        <v>1392</v>
      </c>
      <c r="T65" s="561" t="s">
        <v>1393</v>
      </c>
      <c r="U65" s="472" t="s">
        <v>1367</v>
      </c>
    </row>
    <row r="66" spans="4:21" s="131" customFormat="1" ht="15">
      <c r="D66" s="651" t="s">
        <v>1435</v>
      </c>
      <c r="E66" s="649"/>
      <c r="F66" s="649"/>
      <c r="G66" s="649"/>
      <c r="H66" s="649"/>
      <c r="I66" s="649"/>
      <c r="J66" s="649"/>
      <c r="K66" s="649"/>
      <c r="L66" s="649"/>
      <c r="M66" s="649"/>
      <c r="N66" s="649"/>
      <c r="O66" s="649"/>
      <c r="P66" s="649"/>
      <c r="Q66" s="649"/>
      <c r="R66" s="649"/>
      <c r="S66" s="649"/>
      <c r="T66" s="649"/>
      <c r="U66" s="650"/>
    </row>
    <row r="67" spans="4:21">
      <c r="D67" s="175" t="s">
        <v>1376</v>
      </c>
      <c r="E67" s="160" t="s">
        <v>1394</v>
      </c>
      <c r="F67" s="464">
        <v>5396.1529666400011</v>
      </c>
      <c r="G67" s="464">
        <v>20.10971406961017</v>
      </c>
      <c r="H67" s="464">
        <v>15.946132823007538</v>
      </c>
      <c r="I67" s="464">
        <v>13.523867448393267</v>
      </c>
      <c r="J67" s="464">
        <v>15.305560991947166</v>
      </c>
      <c r="K67" s="464">
        <v>12.338615194564277</v>
      </c>
      <c r="L67" s="464">
        <v>10.621539118098291</v>
      </c>
      <c r="M67" s="464">
        <v>18.392498096397251</v>
      </c>
      <c r="N67" s="464">
        <v>14.290829784256472</v>
      </c>
      <c r="O67" s="464">
        <v>12.092771837513915</v>
      </c>
      <c r="P67" s="464">
        <v>2.1749043372834738</v>
      </c>
      <c r="Q67" s="464">
        <v>1.9599998866747022</v>
      </c>
      <c r="R67" s="464">
        <v>1.7373407780594001</v>
      </c>
      <c r="S67" s="464">
        <v>4.6937519968962018</v>
      </c>
      <c r="T67" s="464">
        <v>4.0797096063953582</v>
      </c>
      <c r="U67" s="626">
        <v>3.5636865767367287</v>
      </c>
    </row>
    <row r="68" spans="4:21">
      <c r="D68" s="175" t="s">
        <v>1377</v>
      </c>
      <c r="E68" s="160" t="s">
        <v>1394</v>
      </c>
      <c r="F68" s="464">
        <v>2417.0122793939013</v>
      </c>
      <c r="G68" s="464">
        <v>16.2869260017549</v>
      </c>
      <c r="H68" s="464">
        <v>14.250799744081894</v>
      </c>
      <c r="I68" s="464">
        <v>14.250799744081894</v>
      </c>
      <c r="J68" s="464">
        <v>12.368926265941759</v>
      </c>
      <c r="K68" s="464">
        <v>11.148740236330864</v>
      </c>
      <c r="L68" s="464">
        <v>11.148740236330864</v>
      </c>
      <c r="M68" s="464">
        <v>15.32982485128883</v>
      </c>
      <c r="N68" s="464">
        <v>13.797412318750775</v>
      </c>
      <c r="O68" s="464">
        <v>13.797412318750775</v>
      </c>
      <c r="P68" s="464">
        <v>1.3735563640986408</v>
      </c>
      <c r="Q68" s="464">
        <v>1.2711303940765775</v>
      </c>
      <c r="R68" s="464">
        <v>1.2711303940765775</v>
      </c>
      <c r="S68" s="464">
        <v>0.13045871989504262</v>
      </c>
      <c r="T68" s="464">
        <v>0.11615718611120092</v>
      </c>
      <c r="U68" s="626">
        <v>0.11615718611120092</v>
      </c>
    </row>
    <row r="69" spans="4:21">
      <c r="D69" s="175" t="s">
        <v>838</v>
      </c>
      <c r="E69" s="160" t="s">
        <v>1394</v>
      </c>
      <c r="F69" s="464">
        <v>2014.385045355069</v>
      </c>
      <c r="G69" s="464">
        <v>15.614035087719296</v>
      </c>
      <c r="H69" s="464">
        <v>14.438006952491307</v>
      </c>
      <c r="I69" s="464">
        <v>14.438006952491307</v>
      </c>
      <c r="J69" s="464">
        <v>10.23943081948682</v>
      </c>
      <c r="K69" s="464">
        <v>9.5412536408424025</v>
      </c>
      <c r="L69" s="464">
        <v>9.5412536408424025</v>
      </c>
      <c r="M69" s="464">
        <v>11.941436470078058</v>
      </c>
      <c r="N69" s="464">
        <v>11.003777222777224</v>
      </c>
      <c r="O69" s="464">
        <v>11.003777222777224</v>
      </c>
      <c r="P69" s="464">
        <v>1.9990125425785434</v>
      </c>
      <c r="Q69" s="464">
        <v>1.8735010417995495</v>
      </c>
      <c r="R69" s="464">
        <v>1.8735010417995495</v>
      </c>
      <c r="S69" s="464">
        <v>4.5520970334648547</v>
      </c>
      <c r="T69" s="464">
        <v>4.2257342467611743</v>
      </c>
      <c r="U69" s="626">
        <v>4.2257342467611743</v>
      </c>
    </row>
    <row r="70" spans="4:21">
      <c r="D70" s="175" t="s">
        <v>510</v>
      </c>
      <c r="E70" s="160" t="s">
        <v>1394</v>
      </c>
      <c r="F70" s="464">
        <v>952.34606021310685</v>
      </c>
      <c r="G70" s="464">
        <v>15.181282371852117</v>
      </c>
      <c r="H70" s="464">
        <v>13.950434925324142</v>
      </c>
      <c r="I70" s="464">
        <v>13.950434925324142</v>
      </c>
      <c r="J70" s="464">
        <v>9.7086874999999999</v>
      </c>
      <c r="K70" s="464">
        <v>8.8784360251136611</v>
      </c>
      <c r="L70" s="464">
        <v>8.8784360251136611</v>
      </c>
      <c r="M70" s="464">
        <v>10.732660560062811</v>
      </c>
      <c r="N70" s="464">
        <v>9.8770462427745667</v>
      </c>
      <c r="O70" s="464">
        <v>9.8770462427745667</v>
      </c>
      <c r="P70" s="464">
        <v>1.8268012544100354</v>
      </c>
      <c r="Q70" s="464">
        <v>1.6211209234296557</v>
      </c>
      <c r="R70" s="464">
        <v>1.6211209234296557</v>
      </c>
      <c r="S70" s="464">
        <v>4.1878110065526926</v>
      </c>
      <c r="T70" s="464">
        <v>3.7845057880676758</v>
      </c>
      <c r="U70" s="626">
        <v>3.7845057880676758</v>
      </c>
    </row>
    <row r="71" spans="4:21">
      <c r="D71" s="175" t="s">
        <v>1395</v>
      </c>
      <c r="E71" s="160" t="s">
        <v>1394</v>
      </c>
      <c r="F71" s="464">
        <v>288.04935610936775</v>
      </c>
      <c r="G71" s="464">
        <v>10.485678704856786</v>
      </c>
      <c r="H71" s="464">
        <v>12.529761904761903</v>
      </c>
      <c r="I71" s="464">
        <v>12.529761904761903</v>
      </c>
      <c r="J71" s="464">
        <v>5.7524580645161292</v>
      </c>
      <c r="K71" s="464">
        <v>6.191881944444444</v>
      </c>
      <c r="L71" s="464">
        <v>6.191881944444444</v>
      </c>
      <c r="M71" s="464">
        <v>7.5</v>
      </c>
      <c r="N71" s="464">
        <v>7.3</v>
      </c>
      <c r="O71" s="464">
        <v>6.5</v>
      </c>
      <c r="P71" s="464">
        <v>0.39860564403464654</v>
      </c>
      <c r="Q71" s="464">
        <v>0.38978404371584696</v>
      </c>
      <c r="R71" s="464">
        <v>0.38978404371584696</v>
      </c>
      <c r="S71" s="464">
        <v>1.2474074074074073</v>
      </c>
      <c r="T71" s="464">
        <v>1.2</v>
      </c>
      <c r="U71" s="626">
        <v>1.1000000000000001</v>
      </c>
    </row>
    <row r="72" spans="4:21">
      <c r="D72" s="175" t="s">
        <v>1378</v>
      </c>
      <c r="E72" s="160" t="s">
        <v>1394</v>
      </c>
      <c r="F72" s="464">
        <v>492.01949387160352</v>
      </c>
      <c r="G72" s="464">
        <v>9.3297848414423861</v>
      </c>
      <c r="H72" s="464">
        <v>8.1361140167364017</v>
      </c>
      <c r="I72" s="464">
        <v>8.1361140167364017</v>
      </c>
      <c r="J72" s="464">
        <v>6.084483906770255</v>
      </c>
      <c r="K72" s="464">
        <v>5.4912739536807855</v>
      </c>
      <c r="L72" s="464">
        <v>5.4912739536807855</v>
      </c>
      <c r="M72" s="464">
        <v>7.4586666666666668</v>
      </c>
      <c r="N72" s="464">
        <v>6.5263333333333335</v>
      </c>
      <c r="O72" s="464">
        <v>6.5263333333333335</v>
      </c>
      <c r="P72" s="464">
        <v>0.57657972233908283</v>
      </c>
      <c r="Q72" s="464">
        <v>0.55207653575025173</v>
      </c>
      <c r="R72" s="464">
        <v>0.55207653575025173</v>
      </c>
      <c r="S72" s="464">
        <v>2.2096946022727275</v>
      </c>
      <c r="T72" s="464">
        <v>1.9390775942661262</v>
      </c>
      <c r="U72" s="626">
        <v>1.9390775942661262</v>
      </c>
    </row>
    <row r="73" spans="4:21">
      <c r="D73" s="175" t="s">
        <v>1396</v>
      </c>
      <c r="E73" s="160" t="s">
        <v>1394</v>
      </c>
      <c r="F73" s="464">
        <v>1408.9788179934696</v>
      </c>
      <c r="G73" s="464">
        <v>19.090909090909093</v>
      </c>
      <c r="H73" s="464">
        <v>12.438461538461539</v>
      </c>
      <c r="I73" s="464">
        <v>12.438461538461539</v>
      </c>
      <c r="J73" s="464">
        <v>9.8491470431539696</v>
      </c>
      <c r="K73" s="464">
        <v>7.1089594308786781</v>
      </c>
      <c r="L73" s="464">
        <v>7.1089594308786781</v>
      </c>
      <c r="M73" s="464">
        <v>15.259470903838219</v>
      </c>
      <c r="N73" s="464">
        <v>9.673913657770802</v>
      </c>
      <c r="O73" s="464">
        <v>9.673913657770802</v>
      </c>
      <c r="P73" s="464">
        <v>0.89556494807575016</v>
      </c>
      <c r="Q73" s="464">
        <v>0.79566373281112146</v>
      </c>
      <c r="R73" s="464">
        <v>0.79566373281112146</v>
      </c>
      <c r="S73" s="464">
        <v>1.8715277777777779</v>
      </c>
      <c r="T73" s="464">
        <v>1.7074973600844774</v>
      </c>
      <c r="U73" s="626">
        <v>1.7074973600844774</v>
      </c>
    </row>
    <row r="74" spans="4:21">
      <c r="D74" s="175" t="s">
        <v>1378</v>
      </c>
      <c r="E74" s="160" t="s">
        <v>1394</v>
      </c>
      <c r="F74" s="464">
        <v>1558.5731648093497</v>
      </c>
      <c r="G74" s="464">
        <v>10.650137352961892</v>
      </c>
      <c r="H74" s="464">
        <v>8.8415882112157185</v>
      </c>
      <c r="I74" s="464">
        <v>8.8415882112157185</v>
      </c>
      <c r="J74" s="464">
        <v>6.7346621251773326</v>
      </c>
      <c r="K74" s="464">
        <v>6.1207026728401548</v>
      </c>
      <c r="L74" s="464">
        <v>6.1207026728401548</v>
      </c>
      <c r="M74" s="464">
        <v>8.1864936664320904</v>
      </c>
      <c r="N74" s="464">
        <v>7.2142682170542631</v>
      </c>
      <c r="O74" s="464">
        <v>7.2142682170542631</v>
      </c>
      <c r="P74" s="464">
        <v>1.2882859357262788</v>
      </c>
      <c r="Q74" s="464">
        <v>1.1847446277625013</v>
      </c>
      <c r="R74" s="464">
        <v>1.1847446277625013</v>
      </c>
      <c r="S74" s="464">
        <v>1.3094650419600404</v>
      </c>
      <c r="T74" s="464">
        <v>1.190879376206041</v>
      </c>
      <c r="U74" s="626">
        <v>1.190879376206041</v>
      </c>
    </row>
    <row r="75" spans="4:21" ht="15" thickBot="1">
      <c r="D75" s="175" t="s">
        <v>1379</v>
      </c>
      <c r="E75" s="160" t="s">
        <v>1394</v>
      </c>
      <c r="F75" s="464">
        <v>1260.6485230461194</v>
      </c>
      <c r="G75" s="464">
        <v>10.871508379888269</v>
      </c>
      <c r="H75" s="464">
        <v>9.2637258013329102</v>
      </c>
      <c r="I75" s="464">
        <v>9.2637258013329102</v>
      </c>
      <c r="J75" s="464">
        <v>5.9513996013333648</v>
      </c>
      <c r="K75" s="464">
        <v>5.3435361136863824</v>
      </c>
      <c r="L75" s="464">
        <v>5.3435361136863824</v>
      </c>
      <c r="M75" s="464">
        <v>6.712966320199822</v>
      </c>
      <c r="N75" s="464">
        <v>5.897336754556715</v>
      </c>
      <c r="O75" s="464">
        <v>5.897336754556715</v>
      </c>
      <c r="P75" s="464">
        <v>1.1716164632295487</v>
      </c>
      <c r="Q75" s="464">
        <v>1.0329753270101047</v>
      </c>
      <c r="R75" s="464">
        <v>1.0329753270101047</v>
      </c>
      <c r="S75" s="464">
        <v>1.6507379969462197</v>
      </c>
      <c r="T75" s="464">
        <v>1.4758076748066131</v>
      </c>
      <c r="U75" s="626">
        <v>1.4758076748066131</v>
      </c>
    </row>
    <row r="76" spans="4:21" ht="15" thickBot="1">
      <c r="D76" s="648" t="s">
        <v>1397</v>
      </c>
      <c r="E76" s="642"/>
      <c r="F76" s="627"/>
      <c r="G76" s="627">
        <f>AVERAGE(G67:G75)</f>
        <v>14.179997322332767</v>
      </c>
      <c r="H76" s="627">
        <f t="shared" ref="H76:U76" si="27">AVERAGE(H67:H75)</f>
        <v>12.19944732415704</v>
      </c>
      <c r="I76" s="627">
        <f t="shared" si="27"/>
        <v>11.930306726977676</v>
      </c>
      <c r="J76" s="627">
        <f t="shared" si="27"/>
        <v>9.1105284798140893</v>
      </c>
      <c r="K76" s="627">
        <f t="shared" si="27"/>
        <v>8.0181554680424068</v>
      </c>
      <c r="L76" s="627">
        <f t="shared" si="27"/>
        <v>7.8273692373239641</v>
      </c>
      <c r="M76" s="627">
        <f t="shared" si="27"/>
        <v>11.27933528166264</v>
      </c>
      <c r="N76" s="627">
        <f t="shared" si="27"/>
        <v>9.5089908368082394</v>
      </c>
      <c r="O76" s="627">
        <f t="shared" si="27"/>
        <v>9.1758732871701785</v>
      </c>
      <c r="P76" s="627">
        <f t="shared" si="27"/>
        <v>1.3005474679751112</v>
      </c>
      <c r="Q76" s="627">
        <f t="shared" si="27"/>
        <v>1.1867773903367014</v>
      </c>
      <c r="R76" s="627">
        <f t="shared" si="27"/>
        <v>1.1620374893794456</v>
      </c>
      <c r="S76" s="627">
        <f t="shared" si="27"/>
        <v>2.4281057314636629</v>
      </c>
      <c r="T76" s="627">
        <f t="shared" si="27"/>
        <v>2.1910409814109628</v>
      </c>
      <c r="U76" s="628">
        <f t="shared" si="27"/>
        <v>2.1225939781155598</v>
      </c>
    </row>
    <row r="77" spans="4:21">
      <c r="D77" s="175"/>
      <c r="E77" s="160"/>
      <c r="F77" s="464"/>
      <c r="G77" s="464"/>
      <c r="H77" s="464"/>
      <c r="I77" s="464"/>
      <c r="J77" s="464"/>
      <c r="K77" s="464"/>
      <c r="L77" s="464"/>
      <c r="M77" s="464"/>
      <c r="N77" s="464"/>
      <c r="O77" s="464"/>
      <c r="P77" s="464"/>
      <c r="Q77" s="464"/>
      <c r="R77" s="464"/>
      <c r="S77" s="464"/>
      <c r="T77" s="464"/>
      <c r="U77" s="626"/>
    </row>
    <row r="78" spans="4:21" ht="15">
      <c r="D78" s="652" t="s">
        <v>1398</v>
      </c>
      <c r="E78" s="160"/>
      <c r="F78" s="464"/>
      <c r="G78" s="464"/>
      <c r="H78" s="464"/>
      <c r="I78" s="464"/>
      <c r="J78" s="464"/>
      <c r="K78" s="464"/>
      <c r="L78" s="464"/>
      <c r="M78" s="464"/>
      <c r="N78" s="464"/>
      <c r="O78" s="464"/>
      <c r="P78" s="464"/>
      <c r="Q78" s="464"/>
      <c r="R78" s="464"/>
      <c r="S78" s="464"/>
      <c r="T78" s="464"/>
      <c r="U78" s="626"/>
    </row>
    <row r="79" spans="4:21">
      <c r="D79" s="175" t="s">
        <v>1399</v>
      </c>
      <c r="E79" s="160" t="s">
        <v>1400</v>
      </c>
      <c r="F79" s="464">
        <v>138.53530742162158</v>
      </c>
      <c r="G79" s="464">
        <v>29.914529914529911</v>
      </c>
      <c r="H79" s="464">
        <v>16.90821256038647</v>
      </c>
      <c r="I79" s="464">
        <v>16.90821256038647</v>
      </c>
      <c r="J79" s="464">
        <v>9.5606813660583505</v>
      </c>
      <c r="K79" s="464">
        <v>7.9785729156101706</v>
      </c>
      <c r="L79" s="464">
        <v>7.9785729156101706</v>
      </c>
      <c r="M79" s="464">
        <v>14.90922693266833</v>
      </c>
      <c r="N79" s="464">
        <v>13.345089285714286</v>
      </c>
      <c r="O79" s="464">
        <v>13.345089285714286</v>
      </c>
      <c r="P79" s="464">
        <v>0.75382675576850344</v>
      </c>
      <c r="Q79" s="464">
        <v>0.72008178575850568</v>
      </c>
      <c r="R79" s="464">
        <v>0.72008178575850568</v>
      </c>
      <c r="S79" s="464">
        <v>0.71</v>
      </c>
      <c r="T79" s="464">
        <v>0.68</v>
      </c>
      <c r="U79" s="626">
        <v>0.66</v>
      </c>
    </row>
    <row r="80" spans="4:21">
      <c r="D80" s="175" t="s">
        <v>1401</v>
      </c>
      <c r="E80" s="160" t="s">
        <v>1402</v>
      </c>
      <c r="F80" s="464">
        <v>417.02694880000001</v>
      </c>
      <c r="G80" s="464">
        <v>11.666666666666666</v>
      </c>
      <c r="H80" s="464">
        <v>11.492537313432836</v>
      </c>
      <c r="I80" s="464">
        <v>11.492537313432836</v>
      </c>
      <c r="J80" s="464">
        <v>5.8044363591259591</v>
      </c>
      <c r="K80" s="464">
        <v>5.2837907771055432</v>
      </c>
      <c r="L80" s="464">
        <v>5.2837907771055432</v>
      </c>
      <c r="M80" s="464">
        <v>7.6515649057786375</v>
      </c>
      <c r="N80" s="464">
        <v>7.1354909211044619</v>
      </c>
      <c r="O80" s="464">
        <v>7.1354909211044619</v>
      </c>
      <c r="P80" s="464">
        <v>0.51033611574341242</v>
      </c>
      <c r="Q80" s="464">
        <v>0.48564065310640658</v>
      </c>
      <c r="R80" s="464">
        <v>0.48564065310640658</v>
      </c>
      <c r="S80" s="464">
        <v>1.71</v>
      </c>
      <c r="T80" s="464">
        <v>1.46</v>
      </c>
      <c r="U80" s="626">
        <v>1.26</v>
      </c>
    </row>
    <row r="81" spans="4:21">
      <c r="D81" s="175" t="s">
        <v>1403</v>
      </c>
      <c r="E81" s="160" t="s">
        <v>1404</v>
      </c>
      <c r="F81" s="464">
        <v>923.06280382593457</v>
      </c>
      <c r="G81" s="464">
        <v>26.981450252951099</v>
      </c>
      <c r="H81" s="464">
        <v>26.016260162601625</v>
      </c>
      <c r="I81" s="464">
        <v>26.016260162601625</v>
      </c>
      <c r="J81" s="464">
        <v>19.340932225098197</v>
      </c>
      <c r="K81" s="464">
        <v>19.449593098871933</v>
      </c>
      <c r="L81" s="464">
        <v>19.449593098871933</v>
      </c>
      <c r="M81" s="464">
        <v>21.422699020611024</v>
      </c>
      <c r="N81" s="464">
        <v>19.479755050055608</v>
      </c>
      <c r="O81" s="464">
        <v>19.479755050055608</v>
      </c>
      <c r="P81" s="464">
        <v>3.5796567739922804</v>
      </c>
      <c r="Q81" s="464">
        <v>3.2947069607980892</v>
      </c>
      <c r="R81" s="464">
        <v>3.2947069607980892</v>
      </c>
      <c r="S81" s="464">
        <v>8.4745762711864412</v>
      </c>
      <c r="T81" s="464">
        <v>7.285974499089253</v>
      </c>
      <c r="U81" s="626">
        <v>7.285974499089253</v>
      </c>
    </row>
    <row r="82" spans="4:21">
      <c r="D82" s="175" t="s">
        <v>1405</v>
      </c>
      <c r="E82" s="160" t="s">
        <v>1404</v>
      </c>
      <c r="F82" s="464">
        <v>5599.9182739638645</v>
      </c>
      <c r="G82" s="464">
        <v>29.51139396427838</v>
      </c>
      <c r="H82" s="464">
        <v>27.34059245875137</v>
      </c>
      <c r="I82" s="464">
        <v>27.34059245875137</v>
      </c>
      <c r="J82" s="464">
        <v>20.556384163116793</v>
      </c>
      <c r="K82" s="464">
        <v>17.561313652646945</v>
      </c>
      <c r="L82" s="464">
        <v>17.561313652646945</v>
      </c>
      <c r="M82" s="464">
        <v>23.628145876344764</v>
      </c>
      <c r="N82" s="464">
        <v>19.637145556423945</v>
      </c>
      <c r="O82" s="464">
        <v>19.637145556423945</v>
      </c>
      <c r="P82" s="464">
        <v>5.152998343729978</v>
      </c>
      <c r="Q82" s="464">
        <v>4.4230811703598336</v>
      </c>
      <c r="R82" s="464">
        <v>4.4230811703598336</v>
      </c>
      <c r="S82" s="464">
        <v>18.386173597454714</v>
      </c>
      <c r="T82" s="464">
        <v>16.471397060929846</v>
      </c>
      <c r="U82" s="626">
        <v>16.471397060929846</v>
      </c>
    </row>
    <row r="83" spans="4:21">
      <c r="D83" s="175" t="s">
        <v>1406</v>
      </c>
      <c r="E83" s="160" t="s">
        <v>1404</v>
      </c>
      <c r="F83" s="464">
        <v>1255.0558977273047</v>
      </c>
      <c r="G83" s="464">
        <v>30.508474576271187</v>
      </c>
      <c r="H83" s="464">
        <v>27.452974072191154</v>
      </c>
      <c r="I83" s="464">
        <v>27.452974072191154</v>
      </c>
      <c r="J83" s="464">
        <v>19.168445854600634</v>
      </c>
      <c r="K83" s="464">
        <v>17.9169686237428</v>
      </c>
      <c r="L83" s="464">
        <v>17.9169686237428</v>
      </c>
      <c r="M83" s="464">
        <v>20.98913324349369</v>
      </c>
      <c r="N83" s="464">
        <v>18.658518421505178</v>
      </c>
      <c r="O83" s="464">
        <v>18.658518421505178</v>
      </c>
      <c r="P83" s="464">
        <v>2.9497067921075972</v>
      </c>
      <c r="Q83" s="464">
        <v>2.7130479089222943</v>
      </c>
      <c r="R83" s="464">
        <v>2.7130479089222943</v>
      </c>
      <c r="S83" s="464">
        <v>20.255063765941486</v>
      </c>
      <c r="T83" s="464">
        <v>19.744058500914079</v>
      </c>
      <c r="U83" s="626">
        <v>19.744058500914079</v>
      </c>
    </row>
    <row r="84" spans="4:21">
      <c r="D84" s="175" t="s">
        <v>1407</v>
      </c>
      <c r="E84" s="160" t="s">
        <v>1408</v>
      </c>
      <c r="F84" s="464">
        <v>235.86610424450524</v>
      </c>
      <c r="G84" s="464">
        <v>32.476190476190482</v>
      </c>
      <c r="H84" s="464">
        <v>24.357142857142854</v>
      </c>
      <c r="I84" s="464">
        <v>24.357142857142854</v>
      </c>
      <c r="J84" s="464">
        <v>19.001299019607842</v>
      </c>
      <c r="K84" s="464">
        <v>13.993736462093864</v>
      </c>
      <c r="L84" s="464">
        <v>13.993736462093864</v>
      </c>
      <c r="M84" s="464">
        <v>25.089093851132684</v>
      </c>
      <c r="N84" s="464">
        <v>18.680795180722892</v>
      </c>
      <c r="O84" s="464">
        <v>18.680795180722892</v>
      </c>
      <c r="P84" s="464">
        <v>4.6985030303030308</v>
      </c>
      <c r="Q84" s="464">
        <v>4.1236861702127658</v>
      </c>
      <c r="R84" s="464">
        <v>4.1236861702127658</v>
      </c>
      <c r="S84" s="464">
        <v>8.4197530864197532</v>
      </c>
      <c r="T84" s="464">
        <v>6.9591836734693882</v>
      </c>
      <c r="U84" s="626">
        <v>6.9591836734693882</v>
      </c>
    </row>
    <row r="85" spans="4:21">
      <c r="D85" s="175" t="s">
        <v>1409</v>
      </c>
      <c r="E85" s="160" t="s">
        <v>1404</v>
      </c>
      <c r="F85" s="464">
        <v>768.20415610916086</v>
      </c>
      <c r="G85" s="464">
        <v>17.313829787234042</v>
      </c>
      <c r="H85" s="464">
        <v>15.698095008439834</v>
      </c>
      <c r="I85" s="464">
        <v>15.698095008439834</v>
      </c>
      <c r="J85" s="464">
        <v>7.3573930436110606</v>
      </c>
      <c r="K85" s="464">
        <v>6.8745944999124182</v>
      </c>
      <c r="L85" s="464">
        <v>6.8745944999124182</v>
      </c>
      <c r="M85" s="464">
        <v>8.316099295518887</v>
      </c>
      <c r="N85" s="464">
        <v>7.7298568802521004</v>
      </c>
      <c r="O85" s="464">
        <v>7.7298568802521004</v>
      </c>
      <c r="P85" s="464">
        <v>1.6780725874800944</v>
      </c>
      <c r="Q85" s="464">
        <v>1.5774964495297301</v>
      </c>
      <c r="R85" s="464">
        <v>1.5774964495297301</v>
      </c>
      <c r="S85" s="464">
        <v>2.657142857142857</v>
      </c>
      <c r="T85" s="464">
        <v>2.4847328244274807</v>
      </c>
      <c r="U85" s="626">
        <v>2.4847328244274807</v>
      </c>
    </row>
    <row r="86" spans="4:21" ht="15" thickBot="1">
      <c r="D86" s="175" t="s">
        <v>1410</v>
      </c>
      <c r="E86" s="160" t="s">
        <v>1404</v>
      </c>
      <c r="F86" s="464">
        <v>1143.1519514402823</v>
      </c>
      <c r="G86" s="464">
        <v>18.156424581005584</v>
      </c>
      <c r="H86" s="464">
        <v>14.862804878048779</v>
      </c>
      <c r="I86" s="464">
        <v>14.862804878048779</v>
      </c>
      <c r="J86" s="464">
        <v>8.0054476069474507</v>
      </c>
      <c r="K86" s="464">
        <v>7.0461692808221903</v>
      </c>
      <c r="L86" s="464">
        <v>7.0461692808221903</v>
      </c>
      <c r="M86" s="464">
        <v>12.3245081881463</v>
      </c>
      <c r="N86" s="464">
        <v>10.800948237638702</v>
      </c>
      <c r="O86" s="464">
        <v>10.800948237638702</v>
      </c>
      <c r="P86" s="464">
        <v>0.73476313501750179</v>
      </c>
      <c r="Q86" s="464">
        <v>0.67597379566029159</v>
      </c>
      <c r="R86" s="464">
        <v>0.67597379566029159</v>
      </c>
      <c r="S86" s="464">
        <v>1.9047619047619047</v>
      </c>
      <c r="T86" s="464">
        <v>1.8225576559104608</v>
      </c>
      <c r="U86" s="626">
        <v>1.8225576559104608</v>
      </c>
    </row>
    <row r="87" spans="4:21" ht="15" thickBot="1">
      <c r="D87" s="648" t="s">
        <v>1411</v>
      </c>
      <c r="E87" s="642"/>
      <c r="F87" s="627"/>
      <c r="G87" s="627">
        <f>AVERAGE(G79:G86)</f>
        <v>24.566120027390916</v>
      </c>
      <c r="H87" s="627">
        <f t="shared" ref="H87:U87" si="28">AVERAGE(H79:H86)</f>
        <v>20.516077413874367</v>
      </c>
      <c r="I87" s="627">
        <f t="shared" si="28"/>
        <v>20.516077413874367</v>
      </c>
      <c r="J87" s="627">
        <f t="shared" si="28"/>
        <v>13.599377454770785</v>
      </c>
      <c r="K87" s="627">
        <f t="shared" si="28"/>
        <v>12.013092413850732</v>
      </c>
      <c r="L87" s="627">
        <f t="shared" si="28"/>
        <v>12.013092413850732</v>
      </c>
      <c r="M87" s="627">
        <f t="shared" si="28"/>
        <v>16.79130891421179</v>
      </c>
      <c r="N87" s="627">
        <f t="shared" si="28"/>
        <v>14.433449941677148</v>
      </c>
      <c r="O87" s="627">
        <f t="shared" si="28"/>
        <v>14.433449941677148</v>
      </c>
      <c r="P87" s="627">
        <f t="shared" si="28"/>
        <v>2.5072329417677999</v>
      </c>
      <c r="Q87" s="627">
        <f t="shared" si="28"/>
        <v>2.2517143617934896</v>
      </c>
      <c r="R87" s="627">
        <f t="shared" si="28"/>
        <v>2.2517143617934896</v>
      </c>
      <c r="S87" s="627">
        <f t="shared" si="28"/>
        <v>7.8146839353633943</v>
      </c>
      <c r="T87" s="627">
        <f t="shared" si="28"/>
        <v>7.1134880268425631</v>
      </c>
      <c r="U87" s="628">
        <f t="shared" si="28"/>
        <v>7.0859880268425632</v>
      </c>
    </row>
    <row r="88" spans="4:21">
      <c r="D88" s="175"/>
      <c r="E88" s="160"/>
      <c r="F88" s="464"/>
      <c r="G88" s="464"/>
      <c r="H88" s="464"/>
      <c r="I88" s="464"/>
      <c r="J88" s="464"/>
      <c r="K88" s="464"/>
      <c r="L88" s="464"/>
      <c r="M88" s="464"/>
      <c r="N88" s="464"/>
      <c r="O88" s="464"/>
      <c r="P88" s="464"/>
      <c r="Q88" s="464"/>
      <c r="R88" s="464"/>
      <c r="S88" s="464"/>
      <c r="T88" s="464"/>
      <c r="U88" s="626"/>
    </row>
    <row r="89" spans="4:21" ht="15">
      <c r="D89" s="652" t="s">
        <v>1412</v>
      </c>
      <c r="E89" s="160"/>
      <c r="F89" s="464"/>
      <c r="G89" s="464"/>
      <c r="H89" s="464"/>
      <c r="I89" s="464"/>
      <c r="J89" s="464"/>
      <c r="K89" s="464"/>
      <c r="L89" s="464"/>
      <c r="M89" s="464"/>
      <c r="N89" s="464"/>
      <c r="O89" s="464"/>
      <c r="P89" s="464"/>
      <c r="Q89" s="464"/>
      <c r="R89" s="464"/>
      <c r="S89" s="464"/>
      <c r="T89" s="464"/>
      <c r="U89" s="626"/>
    </row>
    <row r="90" spans="4:21">
      <c r="D90" s="175" t="s">
        <v>1413</v>
      </c>
      <c r="E90" s="160" t="s">
        <v>1414</v>
      </c>
      <c r="F90" s="464">
        <v>10075.846859843092</v>
      </c>
      <c r="G90" s="464">
        <v>8.849765258215962</v>
      </c>
      <c r="H90" s="464">
        <v>8.3039647577092506</v>
      </c>
      <c r="I90" s="464">
        <v>8.3039647577092506</v>
      </c>
      <c r="J90" s="464">
        <v>5.725159610705596</v>
      </c>
      <c r="K90" s="464">
        <v>5.3290467670705466</v>
      </c>
      <c r="L90" s="464">
        <v>5.3290467670705466</v>
      </c>
      <c r="M90" s="464">
        <v>8.025035085475551</v>
      </c>
      <c r="N90" s="464">
        <v>8.132863043290417</v>
      </c>
      <c r="O90" s="464">
        <v>8.132863043290417</v>
      </c>
      <c r="P90" s="464">
        <v>0.39499250802955721</v>
      </c>
      <c r="Q90" s="464">
        <v>0.36205498432481292</v>
      </c>
      <c r="R90" s="464">
        <v>0.36205498432481292</v>
      </c>
      <c r="S90" s="464">
        <v>0.88570421707976044</v>
      </c>
      <c r="T90" s="464">
        <v>0.84340044742729314</v>
      </c>
      <c r="U90" s="626">
        <v>0.84340044742729314</v>
      </c>
    </row>
    <row r="91" spans="4:21">
      <c r="D91" s="175" t="s">
        <v>1415</v>
      </c>
      <c r="E91" s="160" t="s">
        <v>1414</v>
      </c>
      <c r="F91" s="464">
        <v>20940.466575777045</v>
      </c>
      <c r="G91" s="464">
        <v>17.989111942837699</v>
      </c>
      <c r="H91" s="464">
        <v>15.166379804934021</v>
      </c>
      <c r="I91" s="464">
        <v>15.166379804934021</v>
      </c>
      <c r="J91" s="464">
        <v>10.319933749950559</v>
      </c>
      <c r="K91" s="464">
        <v>8.7504067604995175</v>
      </c>
      <c r="L91" s="464">
        <v>8.7504067604995175</v>
      </c>
      <c r="M91" s="464">
        <v>13.945010449983981</v>
      </c>
      <c r="N91" s="464">
        <v>11.074991664645172</v>
      </c>
      <c r="O91" s="464">
        <v>11.074991664645172</v>
      </c>
      <c r="P91" s="464">
        <v>1.4365301284604886</v>
      </c>
      <c r="Q91" s="464">
        <v>1.3093139124631692</v>
      </c>
      <c r="R91" s="464">
        <v>1.3093139124631692</v>
      </c>
      <c r="S91" s="464">
        <v>2.6200505475989888</v>
      </c>
      <c r="T91" s="464">
        <v>2.4207875457875456</v>
      </c>
      <c r="U91" s="626">
        <v>2.4207875457875456</v>
      </c>
    </row>
    <row r="92" spans="4:21">
      <c r="D92" s="175" t="s">
        <v>1416</v>
      </c>
      <c r="E92" s="160" t="s">
        <v>1414</v>
      </c>
      <c r="F92" s="464">
        <v>742.02422415809008</v>
      </c>
      <c r="G92" s="464">
        <v>8.0661764705882355</v>
      </c>
      <c r="H92" s="464">
        <v>6.3118527042577677</v>
      </c>
      <c r="I92" s="464">
        <v>6.3118527042577677</v>
      </c>
      <c r="J92" s="464">
        <v>4.9693133664661264</v>
      </c>
      <c r="K92" s="464">
        <v>4.4849917430683677</v>
      </c>
      <c r="L92" s="464">
        <v>4.4849917430683677</v>
      </c>
      <c r="M92" s="464">
        <v>5.4098796439865424</v>
      </c>
      <c r="N92" s="464">
        <v>4.7228551895587323</v>
      </c>
      <c r="O92" s="464">
        <v>4.7228551895587323</v>
      </c>
      <c r="P92" s="464">
        <v>0.47971262722140323</v>
      </c>
      <c r="Q92" s="464">
        <v>0.45976972410454986</v>
      </c>
      <c r="R92" s="464">
        <v>0.45976972410454986</v>
      </c>
      <c r="S92" s="464">
        <v>1.539217061877368</v>
      </c>
      <c r="T92" s="464">
        <v>1.4118404118404118</v>
      </c>
      <c r="U92" s="626">
        <v>1.4118404118404118</v>
      </c>
    </row>
    <row r="93" spans="4:21">
      <c r="D93" s="175" t="s">
        <v>1417</v>
      </c>
      <c r="E93" s="160" t="s">
        <v>1414</v>
      </c>
      <c r="F93" s="464">
        <v>5005.0257955503366</v>
      </c>
      <c r="G93" s="464">
        <v>15.16541822721598</v>
      </c>
      <c r="H93" s="464">
        <v>12.327793987060765</v>
      </c>
      <c r="I93" s="464">
        <v>12.327793987060765</v>
      </c>
      <c r="J93" s="464">
        <v>11.814205853337718</v>
      </c>
      <c r="K93" s="464">
        <v>9.6774104991394143</v>
      </c>
      <c r="L93" s="464">
        <v>9.6774104991394143</v>
      </c>
      <c r="M93" s="464">
        <v>13.056779100145137</v>
      </c>
      <c r="N93" s="464">
        <v>11.073511570654849</v>
      </c>
      <c r="O93" s="464">
        <v>11.073511570654849</v>
      </c>
      <c r="P93" s="464">
        <v>2.1350201253085248</v>
      </c>
      <c r="Q93" s="464">
        <v>1.801097301193241</v>
      </c>
      <c r="R93" s="464">
        <v>1.801097301193241</v>
      </c>
      <c r="S93" s="464">
        <v>3.1475303643724697</v>
      </c>
      <c r="T93" s="464">
        <v>2.9809815950920244</v>
      </c>
      <c r="U93" s="626">
        <v>2.9809815950920244</v>
      </c>
    </row>
    <row r="94" spans="4:21">
      <c r="D94" s="175" t="s">
        <v>1418</v>
      </c>
      <c r="E94" s="160" t="s">
        <v>839</v>
      </c>
      <c r="F94" s="464">
        <v>18488.600493409642</v>
      </c>
      <c r="G94" s="464">
        <v>20.911542480486776</v>
      </c>
      <c r="H94" s="464">
        <v>18.195757742761224</v>
      </c>
      <c r="I94" s="464">
        <v>18.195757742761224</v>
      </c>
      <c r="J94" s="464">
        <v>13.793525454644662</v>
      </c>
      <c r="K94" s="464">
        <v>12.133456848618577</v>
      </c>
      <c r="L94" s="464">
        <v>12.133456848618577</v>
      </c>
      <c r="M94" s="464">
        <v>15.541565407406953</v>
      </c>
      <c r="N94" s="464">
        <v>13.77534616830782</v>
      </c>
      <c r="O94" s="464">
        <v>13.77534616830782</v>
      </c>
      <c r="P94" s="464">
        <v>3.5340621293366921</v>
      </c>
      <c r="Q94" s="464">
        <v>3.1374645390070919</v>
      </c>
      <c r="R94" s="464">
        <v>3.1374645390070919</v>
      </c>
      <c r="S94" s="464">
        <v>7.0405695788573572</v>
      </c>
      <c r="T94" s="464">
        <v>6.3111411990658297</v>
      </c>
      <c r="U94" s="626">
        <v>6.3111411990658297</v>
      </c>
    </row>
    <row r="95" spans="4:21">
      <c r="D95" s="175" t="s">
        <v>1419</v>
      </c>
      <c r="E95" s="160" t="s">
        <v>839</v>
      </c>
      <c r="F95" s="464">
        <v>11019.437854419679</v>
      </c>
      <c r="G95" s="464">
        <v>14.604316546762588</v>
      </c>
      <c r="H95" s="464">
        <v>12.566122678671917</v>
      </c>
      <c r="I95" s="464">
        <v>12.566122678671917</v>
      </c>
      <c r="J95" s="464">
        <v>10.084388847958431</v>
      </c>
      <c r="K95" s="464">
        <v>8.5013992350691385</v>
      </c>
      <c r="L95" s="464">
        <v>8.5013992350691385</v>
      </c>
      <c r="M95" s="464">
        <v>12.401235229602785</v>
      </c>
      <c r="N95" s="464">
        <v>10.264694663719609</v>
      </c>
      <c r="O95" s="464">
        <v>10.264694663719609</v>
      </c>
      <c r="P95" s="464">
        <v>1.075701811203662</v>
      </c>
      <c r="Q95" s="464">
        <v>0.96711606909892056</v>
      </c>
      <c r="R95" s="464">
        <v>0.96711606909892056</v>
      </c>
      <c r="S95" s="464">
        <v>3.0001343544269781</v>
      </c>
      <c r="T95" s="464">
        <v>2.4997201388111496</v>
      </c>
      <c r="U95" s="626">
        <v>2.4997201388111496</v>
      </c>
    </row>
    <row r="96" spans="4:21">
      <c r="D96" s="175" t="s">
        <v>1420</v>
      </c>
      <c r="E96" s="160" t="s">
        <v>839</v>
      </c>
      <c r="F96" s="464">
        <v>9587.9962369722343</v>
      </c>
      <c r="G96" s="464">
        <v>22.790697845849657</v>
      </c>
      <c r="H96" s="464">
        <v>19.073269088057366</v>
      </c>
      <c r="I96" s="464">
        <v>19.073269088057366</v>
      </c>
      <c r="J96" s="464">
        <v>13.728277195634551</v>
      </c>
      <c r="K96" s="464">
        <v>11.788422958970912</v>
      </c>
      <c r="L96" s="464">
        <v>11.788422958970912</v>
      </c>
      <c r="M96" s="464">
        <v>20.495116449065787</v>
      </c>
      <c r="N96" s="464">
        <v>17.335067504661687</v>
      </c>
      <c r="O96" s="464">
        <v>17.335067504661687</v>
      </c>
      <c r="P96" s="464">
        <v>1.1210405498184548</v>
      </c>
      <c r="Q96" s="464">
        <v>0.99879921791136328</v>
      </c>
      <c r="R96" s="464">
        <v>0.99879921791136328</v>
      </c>
      <c r="S96" s="464">
        <v>2.5994178288614438</v>
      </c>
      <c r="T96" s="464">
        <v>2.3032417368457154</v>
      </c>
      <c r="U96" s="626">
        <v>2.3032417368457154</v>
      </c>
    </row>
    <row r="97" spans="4:22">
      <c r="D97" s="175" t="s">
        <v>1421</v>
      </c>
      <c r="E97" s="160" t="s">
        <v>839</v>
      </c>
      <c r="F97" s="464">
        <v>853.62303121070784</v>
      </c>
      <c r="G97" s="464">
        <v>113.4375</v>
      </c>
      <c r="H97" s="464">
        <v>20.98265895953757</v>
      </c>
      <c r="I97" s="464">
        <v>20.98265895953757</v>
      </c>
      <c r="J97" s="464">
        <v>7.5837727060681521</v>
      </c>
      <c r="K97" s="464">
        <v>7.4190715658495456</v>
      </c>
      <c r="L97" s="464">
        <v>7.4190715658495456</v>
      </c>
      <c r="M97" s="464">
        <v>14.937061176470589</v>
      </c>
      <c r="N97" s="464">
        <v>10.624687866108786</v>
      </c>
      <c r="O97" s="464">
        <v>10.624687866108786</v>
      </c>
      <c r="P97" s="464">
        <v>0.41394100530609917</v>
      </c>
      <c r="Q97" s="464">
        <v>0.35445617068411051</v>
      </c>
      <c r="R97" s="464">
        <v>0.35445617068411051</v>
      </c>
      <c r="S97" s="464">
        <v>0.40910627747097938</v>
      </c>
      <c r="T97" s="464">
        <v>0.40364728121872567</v>
      </c>
      <c r="U97" s="626">
        <v>0.40364728121872567</v>
      </c>
    </row>
    <row r="98" spans="4:22">
      <c r="D98" s="175" t="s">
        <v>1422</v>
      </c>
      <c r="E98" s="160" t="s">
        <v>1423</v>
      </c>
      <c r="F98" s="464">
        <v>6829.8609554420764</v>
      </c>
      <c r="G98" s="464">
        <v>30.854522493797745</v>
      </c>
      <c r="H98" s="464">
        <v>28.858094821249441</v>
      </c>
      <c r="I98" s="464">
        <v>28.858094821249441</v>
      </c>
      <c r="J98" s="464">
        <v>14.595775406970649</v>
      </c>
      <c r="K98" s="464">
        <v>13.331122438694926</v>
      </c>
      <c r="L98" s="464">
        <v>13.331122438694926</v>
      </c>
      <c r="M98" s="464">
        <v>18.864995038923496</v>
      </c>
      <c r="N98" s="464">
        <v>17.800291382983477</v>
      </c>
      <c r="O98" s="464">
        <v>17.800291382983477</v>
      </c>
      <c r="P98" s="464">
        <v>1.9514620954100206</v>
      </c>
      <c r="Q98" s="464">
        <v>1.8168519487116739</v>
      </c>
      <c r="R98" s="464">
        <v>1.8168519487116739</v>
      </c>
      <c r="S98" s="464">
        <v>1.6062421975444776</v>
      </c>
      <c r="T98" s="464">
        <v>1.5686926290229766</v>
      </c>
      <c r="U98" s="626">
        <v>1.5686926290229766</v>
      </c>
    </row>
    <row r="99" spans="4:22">
      <c r="D99" s="175" t="s">
        <v>1424</v>
      </c>
      <c r="E99" s="160" t="s">
        <v>1425</v>
      </c>
      <c r="F99" s="464">
        <v>1115.1643584870487</v>
      </c>
      <c r="G99" s="464">
        <v>11.296211767739864</v>
      </c>
      <c r="H99" s="464">
        <v>10.126426162632017</v>
      </c>
      <c r="I99" s="464">
        <v>10.126426162632017</v>
      </c>
      <c r="J99" s="464">
        <v>6.9496414176438481</v>
      </c>
      <c r="K99" s="464">
        <v>6.1538311977054629</v>
      </c>
      <c r="L99" s="464">
        <v>6.1538311977054629</v>
      </c>
      <c r="M99" s="464">
        <v>9.1571099946255359</v>
      </c>
      <c r="N99" s="464">
        <v>7.9673459300391984</v>
      </c>
      <c r="O99" s="464">
        <v>7.9673459300391984</v>
      </c>
      <c r="P99" s="464">
        <v>1.675812051351262</v>
      </c>
      <c r="Q99" s="464">
        <v>1.5701906851188197</v>
      </c>
      <c r="R99" s="464">
        <v>1.5701906851188197</v>
      </c>
      <c r="S99" s="464">
        <v>0.8289148412368833</v>
      </c>
      <c r="T99" s="464">
        <v>0.76586729852197122</v>
      </c>
      <c r="U99" s="626">
        <v>0.76586729852197122</v>
      </c>
    </row>
    <row r="100" spans="4:22" ht="15" thickBot="1">
      <c r="D100" s="175" t="s">
        <v>1426</v>
      </c>
      <c r="E100" s="160" t="s">
        <v>1427</v>
      </c>
      <c r="F100" s="464">
        <v>13981.377148560363</v>
      </c>
      <c r="G100" s="464">
        <v>23.885785226567346</v>
      </c>
      <c r="H100" s="464">
        <v>20.231335436382754</v>
      </c>
      <c r="I100" s="464">
        <v>20.231335436382754</v>
      </c>
      <c r="J100" s="464">
        <v>9.6682412067763384</v>
      </c>
      <c r="K100" s="464">
        <v>8.9108060334055637</v>
      </c>
      <c r="L100" s="464">
        <v>8.9108060334055637</v>
      </c>
      <c r="M100" s="464">
        <v>13.681612571833879</v>
      </c>
      <c r="N100" s="464">
        <v>12.375413117086357</v>
      </c>
      <c r="O100" s="464">
        <v>12.375413117086357</v>
      </c>
      <c r="P100" s="464">
        <v>1.0892327230198622</v>
      </c>
      <c r="Q100" s="464">
        <v>1.0610961043895895</v>
      </c>
      <c r="R100" s="464">
        <v>1.0610961043895895</v>
      </c>
      <c r="S100" s="464">
        <v>3.3495821727019499</v>
      </c>
      <c r="T100" s="464">
        <v>2.8419497784342682</v>
      </c>
      <c r="U100" s="626">
        <v>2.8419497784342682</v>
      </c>
    </row>
    <row r="101" spans="4:22" ht="15" thickBot="1">
      <c r="D101" s="648" t="s">
        <v>1428</v>
      </c>
      <c r="E101" s="642"/>
      <c r="F101" s="627"/>
      <c r="G101" s="627">
        <f>AVERAGE(G90:G100)</f>
        <v>26.168277114551078</v>
      </c>
      <c r="H101" s="627">
        <f t="shared" ref="H101:U101" si="29">AVERAGE(H90:H100)</f>
        <v>15.649423285750373</v>
      </c>
      <c r="I101" s="627">
        <f t="shared" si="29"/>
        <v>15.649423285750373</v>
      </c>
      <c r="J101" s="627">
        <f t="shared" si="29"/>
        <v>9.9302031651051479</v>
      </c>
      <c r="K101" s="627">
        <f t="shared" si="29"/>
        <v>8.7709060043719962</v>
      </c>
      <c r="L101" s="627">
        <f t="shared" si="29"/>
        <v>8.7709060043719962</v>
      </c>
      <c r="M101" s="627">
        <f t="shared" si="29"/>
        <v>13.228672740683658</v>
      </c>
      <c r="N101" s="627">
        <f t="shared" si="29"/>
        <v>11.377006191005099</v>
      </c>
      <c r="O101" s="627">
        <f t="shared" si="29"/>
        <v>11.377006191005099</v>
      </c>
      <c r="P101" s="627">
        <f t="shared" si="29"/>
        <v>1.3915916140423661</v>
      </c>
      <c r="Q101" s="627">
        <f t="shared" si="29"/>
        <v>1.2580191506370311</v>
      </c>
      <c r="R101" s="627">
        <f t="shared" si="29"/>
        <v>1.2580191506370311</v>
      </c>
      <c r="S101" s="627">
        <f t="shared" si="29"/>
        <v>2.4569517674571508</v>
      </c>
      <c r="T101" s="627">
        <f t="shared" si="29"/>
        <v>2.2137518238243556</v>
      </c>
      <c r="U101" s="628">
        <f t="shared" si="29"/>
        <v>2.2137518238243556</v>
      </c>
    </row>
    <row r="102" spans="4:22" ht="19" thickBot="1">
      <c r="D102" s="653" t="s">
        <v>1429</v>
      </c>
      <c r="E102" s="654"/>
      <c r="F102" s="655"/>
      <c r="G102" s="655">
        <v>21.638131488091588</v>
      </c>
      <c r="H102" s="655">
        <v>16.121649341260596</v>
      </c>
      <c r="I102" s="655">
        <v>16.031935808867473</v>
      </c>
      <c r="J102" s="655">
        <v>10.88003636656334</v>
      </c>
      <c r="K102" s="655">
        <v>9.60071796208838</v>
      </c>
      <c r="L102" s="655">
        <v>9.5371225518488973</v>
      </c>
      <c r="M102" s="655">
        <v>13.766438978852696</v>
      </c>
      <c r="N102" s="655">
        <v>11.773148989830162</v>
      </c>
      <c r="O102" s="655">
        <v>11.662109806617474</v>
      </c>
      <c r="P102" s="655">
        <v>1.7331240079284258</v>
      </c>
      <c r="Q102" s="655">
        <v>1.5655036342557409</v>
      </c>
      <c r="R102" s="655">
        <v>1.5572570006033224</v>
      </c>
      <c r="S102" s="655">
        <v>4.2332471447614024</v>
      </c>
      <c r="T102" s="655">
        <v>3.8394269440259605</v>
      </c>
      <c r="U102" s="656">
        <v>3.8074446095941599</v>
      </c>
    </row>
    <row r="103" spans="4:22" customFormat="1" ht="15">
      <c r="D103" t="s">
        <v>1430</v>
      </c>
    </row>
    <row r="104" spans="4:22" customFormat="1" ht="15"/>
    <row r="105" spans="4:22" customFormat="1" ht="15"/>
    <row r="106" spans="4:22" customFormat="1" ht="16" thickBot="1"/>
    <row r="107" spans="4:22" customFormat="1" ht="15">
      <c r="D107" s="1953" t="s">
        <v>1387</v>
      </c>
      <c r="E107" s="1939" t="s">
        <v>1362</v>
      </c>
      <c r="F107" s="1939" t="s">
        <v>1388</v>
      </c>
      <c r="G107" s="1939" t="s">
        <v>1431</v>
      </c>
      <c r="H107" s="1939"/>
      <c r="I107" s="1939"/>
      <c r="J107" s="1939" t="s">
        <v>1384</v>
      </c>
      <c r="K107" s="1939"/>
      <c r="L107" s="1939"/>
      <c r="M107" s="1939" t="s">
        <v>478</v>
      </c>
      <c r="N107" s="1939"/>
      <c r="O107" s="1939"/>
      <c r="P107" s="1939" t="s">
        <v>1316</v>
      </c>
      <c r="Q107" s="1939"/>
      <c r="R107" s="1939"/>
      <c r="S107" s="1939" t="s">
        <v>978</v>
      </c>
      <c r="T107" s="1939" t="s">
        <v>1385</v>
      </c>
      <c r="U107" s="1939" t="s">
        <v>1196</v>
      </c>
      <c r="V107" s="1945" t="s">
        <v>1432</v>
      </c>
    </row>
    <row r="108" spans="4:22" customFormat="1" ht="15">
      <c r="D108" s="1954"/>
      <c r="E108" s="1952"/>
      <c r="F108" s="1952"/>
      <c r="G108" s="561" t="s">
        <v>1392</v>
      </c>
      <c r="H108" s="561" t="s">
        <v>1393</v>
      </c>
      <c r="I108" s="561" t="s">
        <v>1367</v>
      </c>
      <c r="J108" s="561" t="s">
        <v>1392</v>
      </c>
      <c r="K108" s="561" t="s">
        <v>1393</v>
      </c>
      <c r="L108" s="561" t="s">
        <v>1367</v>
      </c>
      <c r="M108" s="561" t="s">
        <v>1392</v>
      </c>
      <c r="N108" s="561" t="s">
        <v>1393</v>
      </c>
      <c r="O108" s="561" t="s">
        <v>1367</v>
      </c>
      <c r="P108" s="561" t="s">
        <v>1392</v>
      </c>
      <c r="Q108" s="561" t="s">
        <v>1393</v>
      </c>
      <c r="R108" s="561" t="s">
        <v>1367</v>
      </c>
      <c r="S108" s="1952"/>
      <c r="T108" s="1952"/>
      <c r="U108" s="1952"/>
      <c r="V108" s="1955"/>
    </row>
    <row r="109" spans="4:22" ht="15">
      <c r="D109" s="652" t="s">
        <v>1375</v>
      </c>
      <c r="E109" s="160"/>
      <c r="F109" s="659"/>
      <c r="G109" s="160"/>
      <c r="H109" s="160"/>
      <c r="I109" s="160"/>
      <c r="J109" s="160"/>
      <c r="K109" s="160"/>
      <c r="L109" s="160"/>
      <c r="M109" s="160"/>
      <c r="N109" s="160"/>
      <c r="O109" s="160"/>
      <c r="P109" s="160"/>
      <c r="Q109" s="160"/>
      <c r="R109" s="160"/>
      <c r="S109" s="160"/>
      <c r="T109" s="160"/>
      <c r="U109" s="160"/>
      <c r="V109" s="623"/>
    </row>
    <row r="110" spans="4:22">
      <c r="D110" s="175" t="s">
        <v>1376</v>
      </c>
      <c r="E110" s="160" t="s">
        <v>791</v>
      </c>
      <c r="F110" s="160">
        <v>5396.1529666400011</v>
      </c>
      <c r="G110" s="455">
        <v>0.11363341789027359</v>
      </c>
      <c r="H110" s="455">
        <v>0.12475439612649408</v>
      </c>
      <c r="I110" s="455">
        <v>0.10113239651092809</v>
      </c>
      <c r="J110" s="455">
        <v>0.19254778798805794</v>
      </c>
      <c r="K110" s="455">
        <v>0.26110288261209624</v>
      </c>
      <c r="L110" s="455">
        <v>0.1791104049087715</v>
      </c>
      <c r="M110" s="455">
        <v>0.15330793631520637</v>
      </c>
      <c r="N110" s="455">
        <v>0.25584319732424632</v>
      </c>
      <c r="O110" s="455">
        <v>0.26351090694549223</v>
      </c>
      <c r="P110" s="455">
        <v>2.5858149857328146E-2</v>
      </c>
      <c r="Q110" s="455">
        <v>3.2609787324092088E-2</v>
      </c>
      <c r="R110" s="455">
        <v>3.8450539535699144E-2</v>
      </c>
      <c r="S110" s="455">
        <v>0.11416297887310904</v>
      </c>
      <c r="T110" s="455">
        <v>0.14113736635389687</v>
      </c>
      <c r="U110" s="455">
        <v>8.1105638775502212E-2</v>
      </c>
      <c r="V110" s="641">
        <v>0.32354963627809347</v>
      </c>
    </row>
    <row r="111" spans="4:22">
      <c r="D111" s="175" t="s">
        <v>1377</v>
      </c>
      <c r="E111" s="160" t="s">
        <v>791</v>
      </c>
      <c r="F111" s="160">
        <v>2622.9008137822748</v>
      </c>
      <c r="G111" s="455">
        <v>6.8649114074429127E-2</v>
      </c>
      <c r="H111" s="455">
        <v>8.0115302420356846E-2</v>
      </c>
      <c r="I111" s="455">
        <v>8.0115302420356846E-2</v>
      </c>
      <c r="J111" s="455">
        <v>0.16869118905047065</v>
      </c>
      <c r="K111" s="455">
        <v>0.14126774996340211</v>
      </c>
      <c r="L111" s="455">
        <v>0.14126774996340211</v>
      </c>
      <c r="M111" s="455">
        <v>0.18900000000000003</v>
      </c>
      <c r="N111" s="455">
        <v>0.19428000000000001</v>
      </c>
      <c r="O111" s="455">
        <v>0.19428000000000001</v>
      </c>
      <c r="P111" s="455">
        <v>2.1871635610766046E-2</v>
      </c>
      <c r="Q111" s="455">
        <v>2.722153209109731E-2</v>
      </c>
      <c r="R111" s="455">
        <v>2.722153209109731E-2</v>
      </c>
      <c r="S111" s="455">
        <v>6.1846120000000004E-2</v>
      </c>
      <c r="T111" s="455">
        <v>9.0984170132991787E-2</v>
      </c>
      <c r="U111" s="455">
        <v>-2.1171476954874326E-3</v>
      </c>
      <c r="V111" s="641">
        <v>0.22562351</v>
      </c>
    </row>
    <row r="112" spans="4:22">
      <c r="D112" s="175" t="s">
        <v>838</v>
      </c>
      <c r="E112" s="160" t="s">
        <v>791</v>
      </c>
      <c r="F112" s="160">
        <v>2038.6237786655536</v>
      </c>
      <c r="G112" s="455">
        <v>8.5605457155798578E-2</v>
      </c>
      <c r="H112" s="455">
        <v>6.6993024278458296E-2</v>
      </c>
      <c r="I112" s="455">
        <v>6.6993024278458296E-2</v>
      </c>
      <c r="J112" s="455">
        <v>9.2252942786750669E-2</v>
      </c>
      <c r="K112" s="455">
        <v>8.145363408521307E-2</v>
      </c>
      <c r="L112" s="455">
        <v>8.145363408521307E-2</v>
      </c>
      <c r="M112" s="455">
        <v>0.30063000000000001</v>
      </c>
      <c r="N112" s="455">
        <v>0.30342999999999998</v>
      </c>
      <c r="O112" s="455">
        <v>0.30342999999999998</v>
      </c>
      <c r="P112" s="455">
        <v>4.9222222222222223E-2</v>
      </c>
      <c r="Q112" s="455">
        <v>5.3111111111111116E-2</v>
      </c>
      <c r="R112" s="455">
        <v>5.3111111111111116E-2</v>
      </c>
      <c r="S112" s="455">
        <v>0.16635387000000001</v>
      </c>
      <c r="T112" s="455">
        <v>0.27421332496444728</v>
      </c>
      <c r="U112" s="455">
        <v>6.6913218761372475E-2</v>
      </c>
      <c r="V112" s="641">
        <v>0.18520230999999998</v>
      </c>
    </row>
    <row r="113" spans="4:22">
      <c r="D113" s="175" t="s">
        <v>510</v>
      </c>
      <c r="E113" s="160" t="s">
        <v>791</v>
      </c>
      <c r="F113" s="160">
        <v>969.9158699275464</v>
      </c>
      <c r="G113" s="455">
        <v>0.11189919562547038</v>
      </c>
      <c r="H113" s="455">
        <v>0.1268753786393928</v>
      </c>
      <c r="I113" s="455">
        <v>0.1268753786393928</v>
      </c>
      <c r="J113" s="455">
        <v>0.13662200568412505</v>
      </c>
      <c r="K113" s="455">
        <v>8.8230041078764018E-2</v>
      </c>
      <c r="L113" s="455">
        <v>8.8230041078764018E-2</v>
      </c>
      <c r="M113" s="455">
        <v>0.315</v>
      </c>
      <c r="N113" s="455">
        <v>0.318</v>
      </c>
      <c r="O113" s="455">
        <v>0.318</v>
      </c>
      <c r="P113" s="455">
        <v>4.5687861271676296E-2</v>
      </c>
      <c r="Q113" s="455">
        <v>4.9179190751445084E-2</v>
      </c>
      <c r="R113" s="455">
        <v>4.9179190751445084E-2</v>
      </c>
      <c r="S113" s="455">
        <v>0.14108726000000002</v>
      </c>
      <c r="T113" s="455">
        <v>0.25857647073805901</v>
      </c>
      <c r="U113" s="455">
        <v>5.0454863083546429E-2</v>
      </c>
      <c r="V113" s="641">
        <v>9.4991829999999999E-2</v>
      </c>
    </row>
    <row r="114" spans="4:22">
      <c r="D114" s="175" t="s">
        <v>1395</v>
      </c>
      <c r="E114" s="160" t="s">
        <v>791</v>
      </c>
      <c r="F114" s="160">
        <v>286.90685841922743</v>
      </c>
      <c r="G114" s="455">
        <v>8.4085539468104445E-2</v>
      </c>
      <c r="H114" s="455">
        <v>2.2632020117351215E-2</v>
      </c>
      <c r="I114" s="455">
        <v>2.2632020117351215E-2</v>
      </c>
      <c r="J114" s="455">
        <v>0.2556684910086004</v>
      </c>
      <c r="K114" s="455">
        <v>-0.1631382316313823</v>
      </c>
      <c r="L114" s="455">
        <v>-0.1631382316313823</v>
      </c>
      <c r="M114" s="455">
        <v>0.14585000000000001</v>
      </c>
      <c r="N114" s="455">
        <v>0.13400000000000001</v>
      </c>
      <c r="O114" s="455">
        <v>0.13400000000000001</v>
      </c>
      <c r="P114" s="455">
        <v>3.9737470167064443E-2</v>
      </c>
      <c r="Q114" s="455">
        <v>2.2434367541766108E-2</v>
      </c>
      <c r="R114" s="455">
        <v>2.2434367541766108E-2</v>
      </c>
      <c r="S114" s="455">
        <v>5.3451250000000006E-2</v>
      </c>
      <c r="T114" s="455">
        <v>0.13498642668731239</v>
      </c>
      <c r="U114" s="455">
        <v>-2.6531605931810242E-3</v>
      </c>
      <c r="V114" s="641">
        <v>5.7304800000000003E-2</v>
      </c>
    </row>
    <row r="115" spans="4:22">
      <c r="D115" s="175" t="s">
        <v>1381</v>
      </c>
      <c r="E115" s="160" t="s">
        <v>791</v>
      </c>
      <c r="F115" s="160">
        <v>551.03014263274213</v>
      </c>
      <c r="G115" s="455">
        <v>4.9465020576131689E-2</v>
      </c>
      <c r="H115" s="455">
        <v>5.2780174103991842E-2</v>
      </c>
      <c r="I115" s="455">
        <v>5.2780174103991842E-2</v>
      </c>
      <c r="J115" s="455">
        <v>0.56448970037453183</v>
      </c>
      <c r="K115" s="455">
        <v>0.15141767038228465</v>
      </c>
      <c r="L115" s="455">
        <v>0.15141767038228465</v>
      </c>
      <c r="M115" s="455">
        <v>0.22433</v>
      </c>
      <c r="N115" s="455">
        <v>0.2445</v>
      </c>
      <c r="O115" s="455">
        <v>0.2445</v>
      </c>
      <c r="P115" s="455">
        <v>4.7947288393309674E-2</v>
      </c>
      <c r="Q115" s="455">
        <v>5.5441314893925134E-2</v>
      </c>
      <c r="R115" s="455">
        <v>5.5441314893925134E-2</v>
      </c>
      <c r="S115" s="455">
        <v>3.185814E-2</v>
      </c>
      <c r="T115" s="455">
        <v>8.8613840587509984E-2</v>
      </c>
      <c r="U115" s="455">
        <v>2.2243418071111659E-2</v>
      </c>
      <c r="V115" s="641">
        <v>0.15247268</v>
      </c>
    </row>
    <row r="116" spans="4:22">
      <c r="D116" s="175" t="s">
        <v>1396</v>
      </c>
      <c r="E116" s="160" t="s">
        <v>791</v>
      </c>
      <c r="F116" s="160">
        <v>1369.103216621095</v>
      </c>
      <c r="G116" s="455">
        <v>0.14490665557404334</v>
      </c>
      <c r="H116" s="455">
        <v>0.12555708039082347</v>
      </c>
      <c r="I116" s="455">
        <v>0.12555708039082347</v>
      </c>
      <c r="J116" s="455">
        <v>2.2576923076923077</v>
      </c>
      <c r="K116" s="455">
        <v>0.53482880755608042</v>
      </c>
      <c r="L116" s="455">
        <v>0.53482880755608042</v>
      </c>
      <c r="M116" s="455">
        <v>7.9500000000000001E-2</v>
      </c>
      <c r="N116" s="455">
        <v>0.128</v>
      </c>
      <c r="O116" s="455">
        <v>0.128</v>
      </c>
      <c r="P116" s="455">
        <v>1.8853503184713377E-2</v>
      </c>
      <c r="Q116" s="455">
        <v>2.0573248407643314E-2</v>
      </c>
      <c r="R116" s="455">
        <v>2.0573248407643314E-2</v>
      </c>
      <c r="S116" s="455">
        <v>1.577228E-2</v>
      </c>
      <c r="T116" s="455">
        <v>-2.4254992387521854E-3</v>
      </c>
      <c r="U116" s="455">
        <v>7.0000000000000007E-2</v>
      </c>
      <c r="V116" s="641">
        <v>0.43214806000000006</v>
      </c>
    </row>
    <row r="117" spans="4:22">
      <c r="D117" s="175" t="s">
        <v>1378</v>
      </c>
      <c r="E117" s="160" t="s">
        <v>791</v>
      </c>
      <c r="F117" s="160">
        <v>2104.6989472526375</v>
      </c>
      <c r="G117" s="455">
        <v>7.7145772509984667E-2</v>
      </c>
      <c r="H117" s="455">
        <v>8.6984897820526458E-2</v>
      </c>
      <c r="I117" s="455">
        <v>8.6984897820526458E-2</v>
      </c>
      <c r="J117" s="455">
        <v>0.13879693177230532</v>
      </c>
      <c r="K117" s="455">
        <v>0.20235394214407265</v>
      </c>
      <c r="L117" s="455">
        <v>0.20235394214407265</v>
      </c>
      <c r="M117" s="455">
        <v>0.12717999999999999</v>
      </c>
      <c r="N117" s="455">
        <v>0.13655</v>
      </c>
      <c r="O117" s="455">
        <v>0.13655</v>
      </c>
      <c r="P117" s="455">
        <v>3.0475617098133657E-2</v>
      </c>
      <c r="Q117" s="455">
        <v>3.5803732691149913E-2</v>
      </c>
      <c r="R117" s="455">
        <v>3.5803732691149913E-2</v>
      </c>
      <c r="S117" s="455">
        <v>0.15105625</v>
      </c>
      <c r="T117" s="455">
        <v>8.6133824211800242E-2</v>
      </c>
      <c r="U117" s="455">
        <v>2.1148651082896732E-2</v>
      </c>
      <c r="V117" s="641">
        <v>0.41132075999999995</v>
      </c>
    </row>
    <row r="118" spans="4:22" ht="15" thickBot="1">
      <c r="D118" s="175" t="s">
        <v>1379</v>
      </c>
      <c r="E118" s="160" t="s">
        <v>791</v>
      </c>
      <c r="F118" s="160">
        <v>1249.9720645379375</v>
      </c>
      <c r="G118" s="455">
        <v>6.7936180199760943E-2</v>
      </c>
      <c r="H118" s="455">
        <v>0.10839234382668445</v>
      </c>
      <c r="I118" s="455">
        <v>0.10839234382668445</v>
      </c>
      <c r="J118" s="455">
        <v>0.17810086324397997</v>
      </c>
      <c r="K118" s="455">
        <v>0.17392981102969535</v>
      </c>
      <c r="L118" s="455">
        <v>0.17392981102969535</v>
      </c>
      <c r="M118" s="455">
        <v>0.15713000000000002</v>
      </c>
      <c r="N118" s="455">
        <v>0.17710000000000001</v>
      </c>
      <c r="O118" s="455">
        <v>0.17710000000000001</v>
      </c>
      <c r="P118" s="455">
        <v>4.4329183955739968E-2</v>
      </c>
      <c r="Q118" s="455">
        <v>5.131396957123098E-2</v>
      </c>
      <c r="R118" s="455">
        <v>5.131396957123098E-2</v>
      </c>
      <c r="S118" s="455">
        <v>0.14288747000000002</v>
      </c>
      <c r="T118" s="455">
        <v>0.13509940827714856</v>
      </c>
      <c r="U118" s="455">
        <v>1.5939459651682187E-2</v>
      </c>
      <c r="V118" s="641">
        <v>0.27928927999999997</v>
      </c>
    </row>
    <row r="119" spans="4:22" ht="15" thickBot="1">
      <c r="D119" s="648" t="s">
        <v>1397</v>
      </c>
      <c r="E119" s="642"/>
      <c r="F119" s="642"/>
      <c r="G119" s="643">
        <f>AVERAGE(G110:G118)</f>
        <v>8.9258483674888547E-2</v>
      </c>
      <c r="H119" s="643">
        <f t="shared" ref="H119:V119" si="30">AVERAGE(H110:H118)</f>
        <v>8.8342735302675487E-2</v>
      </c>
      <c r="I119" s="643">
        <f t="shared" si="30"/>
        <v>8.5718068678723711E-2</v>
      </c>
      <c r="J119" s="643">
        <f t="shared" si="30"/>
        <v>0.44276246884456993</v>
      </c>
      <c r="K119" s="643">
        <f t="shared" si="30"/>
        <v>0.1634940341355807</v>
      </c>
      <c r="L119" s="643">
        <f t="shared" si="30"/>
        <v>0.1543837588352113</v>
      </c>
      <c r="M119" s="643">
        <f t="shared" si="30"/>
        <v>0.1879919929239118</v>
      </c>
      <c r="N119" s="643">
        <f t="shared" si="30"/>
        <v>0.21018924414713849</v>
      </c>
      <c r="O119" s="643">
        <f t="shared" si="30"/>
        <v>0.21104121188283248</v>
      </c>
      <c r="P119" s="643">
        <f t="shared" si="30"/>
        <v>3.5998103528994872E-2</v>
      </c>
      <c r="Q119" s="643">
        <f t="shared" si="30"/>
        <v>3.8632028264829005E-2</v>
      </c>
      <c r="R119" s="643">
        <f t="shared" si="30"/>
        <v>3.9281000732785336E-2</v>
      </c>
      <c r="S119" s="643">
        <f t="shared" si="30"/>
        <v>9.7608402097012104E-2</v>
      </c>
      <c r="T119" s="643">
        <f t="shared" si="30"/>
        <v>0.13414659252382377</v>
      </c>
      <c r="U119" s="643">
        <f t="shared" si="30"/>
        <v>3.5892771237493695E-2</v>
      </c>
      <c r="V119" s="644">
        <f t="shared" si="30"/>
        <v>0.24021142958645481</v>
      </c>
    </row>
    <row r="120" spans="4:22">
      <c r="D120" s="175"/>
      <c r="E120" s="160"/>
      <c r="F120" s="160"/>
      <c r="G120" s="455"/>
      <c r="H120" s="455"/>
      <c r="I120" s="455"/>
      <c r="J120" s="455"/>
      <c r="K120" s="455"/>
      <c r="L120" s="455"/>
      <c r="M120" s="455"/>
      <c r="N120" s="455"/>
      <c r="O120" s="455"/>
      <c r="P120" s="455"/>
      <c r="Q120" s="455"/>
      <c r="R120" s="455"/>
      <c r="S120" s="455"/>
      <c r="T120" s="455"/>
      <c r="U120" s="455"/>
      <c r="V120" s="641"/>
    </row>
    <row r="121" spans="4:22" ht="15">
      <c r="D121" s="652" t="s">
        <v>1398</v>
      </c>
      <c r="E121" s="160"/>
      <c r="F121" s="160"/>
      <c r="G121" s="455"/>
      <c r="H121" s="455"/>
      <c r="I121" s="455"/>
      <c r="J121" s="455"/>
      <c r="K121" s="455"/>
      <c r="L121" s="455"/>
      <c r="M121" s="455"/>
      <c r="N121" s="455"/>
      <c r="O121" s="455"/>
      <c r="P121" s="455"/>
      <c r="Q121" s="455"/>
      <c r="R121" s="455"/>
      <c r="S121" s="455"/>
      <c r="T121" s="455"/>
      <c r="U121" s="455"/>
      <c r="V121" s="641"/>
    </row>
    <row r="122" spans="4:22">
      <c r="D122" s="175" t="s">
        <v>1399</v>
      </c>
      <c r="E122" s="160" t="s">
        <v>1400</v>
      </c>
      <c r="F122" s="160">
        <v>121.26072652740379</v>
      </c>
      <c r="G122" s="455">
        <v>0.12045094936708853</v>
      </c>
      <c r="H122" s="455">
        <v>4.6862690707350857E-2</v>
      </c>
      <c r="I122" s="455">
        <v>4.6862690707350857E-2</v>
      </c>
      <c r="J122" s="455">
        <v>0.1</v>
      </c>
      <c r="K122" s="455">
        <v>-2.9898664856071173</v>
      </c>
      <c r="L122" s="455">
        <v>0.36870422434970074</v>
      </c>
      <c r="M122" s="455">
        <v>-1.3163942341871118E-2</v>
      </c>
      <c r="N122" s="455">
        <v>2.5525851092474239E-2</v>
      </c>
      <c r="O122" s="455">
        <v>3.3967372105344791E-2</v>
      </c>
      <c r="P122" s="455">
        <v>0</v>
      </c>
      <c r="Q122" s="455">
        <v>1.1587901627970805E-2</v>
      </c>
      <c r="R122" s="455">
        <v>1.5860409909552415E-2</v>
      </c>
      <c r="S122" s="455">
        <v>4.9600579999999998E-2</v>
      </c>
      <c r="T122" s="455">
        <v>3.3240930992316745E-2</v>
      </c>
      <c r="U122" s="455">
        <v>-0.18406589407953508</v>
      </c>
      <c r="V122" s="641">
        <v>0.44884082999999997</v>
      </c>
    </row>
    <row r="123" spans="4:22">
      <c r="D123" s="175" t="s">
        <v>1401</v>
      </c>
      <c r="E123" s="160" t="s">
        <v>1402</v>
      </c>
      <c r="F123" s="160">
        <v>400.77914559999999</v>
      </c>
      <c r="G123" s="455">
        <v>4.2677807615845706E-2</v>
      </c>
      <c r="H123" s="455">
        <v>5.0851308429475599E-2</v>
      </c>
      <c r="I123" s="455">
        <v>5.0851308429475599E-2</v>
      </c>
      <c r="J123" s="455">
        <v>-0.1304704694917127</v>
      </c>
      <c r="K123" s="455">
        <v>6.0175384377599839E-2</v>
      </c>
      <c r="L123" s="455">
        <v>0.10632719147659864</v>
      </c>
      <c r="M123" s="455">
        <v>0.18527049499523232</v>
      </c>
      <c r="N123" s="455">
        <v>0.17268506407373821</v>
      </c>
      <c r="O123" s="455">
        <v>0.16923126064829533</v>
      </c>
      <c r="P123" s="455">
        <v>2.1469864950821912E-2</v>
      </c>
      <c r="Q123" s="455">
        <v>2.7309407601431215E-2</v>
      </c>
      <c r="R123" s="455">
        <v>3.2728698835037678E-2</v>
      </c>
      <c r="S123" s="455">
        <v>8.007307000000001E-2</v>
      </c>
      <c r="T123" s="455">
        <v>0.18112579306278964</v>
      </c>
      <c r="U123" s="455">
        <v>-2.9959611087507572E-3</v>
      </c>
      <c r="V123" s="641">
        <v>0.14693794000000002</v>
      </c>
    </row>
    <row r="124" spans="4:22">
      <c r="D124" s="175" t="s">
        <v>1403</v>
      </c>
      <c r="E124" s="160" t="s">
        <v>1404</v>
      </c>
      <c r="F124" s="160">
        <v>861.10838566467567</v>
      </c>
      <c r="G124" s="455">
        <v>8.2262108182727806E-2</v>
      </c>
      <c r="H124" s="455">
        <v>8.6487149414091288E-2</v>
      </c>
      <c r="I124" s="455">
        <v>8.6487149414091288E-2</v>
      </c>
      <c r="J124" s="455">
        <v>0.11929029822574551</v>
      </c>
      <c r="K124" s="455">
        <v>3.709949409780787E-2</v>
      </c>
      <c r="L124" s="455">
        <v>3.709949409780787E-2</v>
      </c>
      <c r="M124" s="455">
        <v>0.30719999999999997</v>
      </c>
      <c r="N124" s="455">
        <v>0.25900000000000001</v>
      </c>
      <c r="O124" s="455">
        <v>0.25900000000000001</v>
      </c>
      <c r="P124" s="455">
        <v>1.8518518518518517E-2</v>
      </c>
      <c r="Q124" s="455">
        <v>2.4080808080808081E-2</v>
      </c>
      <c r="R124" s="455">
        <v>2.4080808080808081E-2</v>
      </c>
      <c r="S124" s="455">
        <v>0.1599711</v>
      </c>
      <c r="T124" s="455">
        <v>0.20131804763831038</v>
      </c>
      <c r="U124" s="455">
        <v>0.02</v>
      </c>
      <c r="V124" s="641">
        <v>-0.73970444000000002</v>
      </c>
    </row>
    <row r="125" spans="4:22">
      <c r="D125" s="175" t="s">
        <v>1405</v>
      </c>
      <c r="E125" s="160" t="s">
        <v>1404</v>
      </c>
      <c r="F125" s="160">
        <v>5506.2568712797929</v>
      </c>
      <c r="G125" s="455">
        <v>0.17776423827580948</v>
      </c>
      <c r="H125" s="455">
        <v>0.16021535678541141</v>
      </c>
      <c r="I125" s="455">
        <v>0.16021535678541141</v>
      </c>
      <c r="J125" s="455">
        <v>0.18884617731405226</v>
      </c>
      <c r="K125" s="455">
        <v>7.9398480804762722E-2</v>
      </c>
      <c r="L125" s="455">
        <v>7.9398480804762722E-2</v>
      </c>
      <c r="M125" s="455">
        <v>0.63122</v>
      </c>
      <c r="N125" s="455">
        <v>0.65744000000000002</v>
      </c>
      <c r="O125" s="455">
        <v>0.65744000000000002</v>
      </c>
      <c r="P125" s="455">
        <v>2.9188444444444447E-2</v>
      </c>
      <c r="Q125" s="455">
        <v>3.5023111111111116E-2</v>
      </c>
      <c r="R125" s="455">
        <v>3.5023111111111116E-2</v>
      </c>
      <c r="S125" s="455">
        <v>0.20913831999999999</v>
      </c>
      <c r="T125" s="455">
        <v>0.35087429055652319</v>
      </c>
      <c r="U125" s="455">
        <v>0.11538047720713243</v>
      </c>
      <c r="V125" s="641">
        <v>0.33754519999999999</v>
      </c>
    </row>
    <row r="126" spans="4:22">
      <c r="D126" s="175" t="s">
        <v>1406</v>
      </c>
      <c r="E126" s="160" t="s">
        <v>1404</v>
      </c>
      <c r="F126" s="160">
        <v>1232.7542258386377</v>
      </c>
      <c r="G126" s="455">
        <v>9.5955731125998062E-2</v>
      </c>
      <c r="H126" s="455">
        <v>8.8434995508918521E-2</v>
      </c>
      <c r="I126" s="455">
        <v>8.8434995508918521E-2</v>
      </c>
      <c r="J126" s="455">
        <v>0.17886178861788618</v>
      </c>
      <c r="K126" s="455">
        <v>0.1114942528735632</v>
      </c>
      <c r="L126" s="455">
        <v>0.1114942528735632</v>
      </c>
      <c r="M126" s="455">
        <v>0.57788000000000006</v>
      </c>
      <c r="N126" s="455">
        <v>0.60236000000000001</v>
      </c>
      <c r="O126" s="455">
        <v>0.60236000000000001</v>
      </c>
      <c r="P126" s="455">
        <v>3.1798370286147425E-2</v>
      </c>
      <c r="Q126" s="455">
        <v>3.5948455561872275E-2</v>
      </c>
      <c r="R126" s="455">
        <v>3.5948455561872275E-2</v>
      </c>
      <c r="S126" s="455">
        <v>0.13172637000000001</v>
      </c>
      <c r="T126" s="455">
        <v>0.30095360087040629</v>
      </c>
      <c r="U126" s="455">
        <v>6.8444522603481217E-2</v>
      </c>
      <c r="V126" s="641">
        <v>0.3344722</v>
      </c>
    </row>
    <row r="127" spans="4:22">
      <c r="D127" s="175" t="s">
        <v>1409</v>
      </c>
      <c r="E127" s="160" t="s">
        <v>1404</v>
      </c>
      <c r="F127" s="160">
        <v>736.79591212696937</v>
      </c>
      <c r="G127" s="455">
        <v>0.1700154436620985</v>
      </c>
      <c r="H127" s="455">
        <v>9.9266504005880732E-2</v>
      </c>
      <c r="I127" s="455">
        <v>9.9266504005880732E-2</v>
      </c>
      <c r="J127" s="455">
        <v>0.27905449770190399</v>
      </c>
      <c r="K127" s="455">
        <v>0.14091375770020545</v>
      </c>
      <c r="L127" s="455">
        <v>0.14091375770020545</v>
      </c>
      <c r="M127" s="455">
        <v>0.13350000000000001</v>
      </c>
      <c r="N127" s="455">
        <v>0.15030000000000002</v>
      </c>
      <c r="O127" s="455">
        <v>0.15030000000000002</v>
      </c>
      <c r="P127" s="455">
        <v>3.6349001931745013E-2</v>
      </c>
      <c r="Q127" s="455">
        <v>4.1307147456535735E-2</v>
      </c>
      <c r="R127" s="455">
        <v>4.1307147456535735E-2</v>
      </c>
      <c r="S127" s="455">
        <v>0.19395971000000001</v>
      </c>
      <c r="T127" s="455">
        <v>0.10877235731052048</v>
      </c>
      <c r="U127" s="455">
        <v>0.05</v>
      </c>
      <c r="V127" s="641">
        <v>0.27142569999999999</v>
      </c>
    </row>
    <row r="128" spans="4:22">
      <c r="D128" s="175" t="s">
        <v>1410</v>
      </c>
      <c r="E128" s="160" t="s">
        <v>1404</v>
      </c>
      <c r="F128" s="160">
        <v>1147.0956445727577</v>
      </c>
      <c r="G128" s="455">
        <v>0.15519764282511853</v>
      </c>
      <c r="H128" s="455">
        <v>0.14562644216760265</v>
      </c>
      <c r="I128" s="455">
        <v>0.14562644216760265</v>
      </c>
      <c r="J128" s="455">
        <v>0.35648879065361538</v>
      </c>
      <c r="K128" s="455">
        <v>0.22160148975791433</v>
      </c>
      <c r="L128" s="455">
        <v>0.22160148975791433</v>
      </c>
      <c r="M128" s="455">
        <v>0.10919000000000001</v>
      </c>
      <c r="N128" s="455">
        <v>0.1285</v>
      </c>
      <c r="O128" s="455">
        <v>0.1285</v>
      </c>
      <c r="P128" s="455">
        <v>2.5876460767946575E-2</v>
      </c>
      <c r="Q128" s="455">
        <v>3.2451521767047645E-2</v>
      </c>
      <c r="R128" s="455">
        <v>3.2451521767047645E-2</v>
      </c>
      <c r="S128" s="455">
        <v>6.0097789999999998E-2</v>
      </c>
      <c r="T128" s="455">
        <v>6.0522816494707282E-2</v>
      </c>
      <c r="U128" s="455">
        <v>-8.5375352723487466E-2</v>
      </c>
      <c r="V128" s="641">
        <v>1.2687473300000001</v>
      </c>
    </row>
    <row r="129" spans="4:22" ht="15" thickBot="1">
      <c r="D129" s="175" t="s">
        <v>1407</v>
      </c>
      <c r="E129" s="160" t="s">
        <v>1408</v>
      </c>
      <c r="F129" s="160">
        <v>226.70595763967745</v>
      </c>
      <c r="G129" s="455">
        <v>0.11864406779661017</v>
      </c>
      <c r="H129" s="455">
        <v>0.1393939393939394</v>
      </c>
      <c r="I129" s="455">
        <v>0.1393939393939394</v>
      </c>
      <c r="J129" s="455">
        <v>0.2727272727272726</v>
      </c>
      <c r="K129" s="455">
        <v>0.33333333333333359</v>
      </c>
      <c r="L129" s="455">
        <v>0.33333333333333359</v>
      </c>
      <c r="M129" s="455">
        <v>0.24199999999999999</v>
      </c>
      <c r="N129" s="455">
        <v>0.27800000000000002</v>
      </c>
      <c r="O129" s="455">
        <v>0.27800000000000002</v>
      </c>
      <c r="P129" s="455">
        <v>1.355421686746988E-2</v>
      </c>
      <c r="Q129" s="455">
        <v>1.9578313253012049E-2</v>
      </c>
      <c r="R129" s="455">
        <v>1.9578313253012049E-2</v>
      </c>
      <c r="S129" s="455">
        <v>0.20304179999999999</v>
      </c>
      <c r="T129" s="455">
        <v>0.27707029342685374</v>
      </c>
      <c r="U129" s="455">
        <v>6.5492242961344718E-2</v>
      </c>
      <c r="V129" s="641">
        <v>-0.22713055000000001</v>
      </c>
    </row>
    <row r="130" spans="4:22" ht="15" thickBot="1">
      <c r="D130" s="648" t="s">
        <v>1411</v>
      </c>
      <c r="E130" s="642"/>
      <c r="F130" s="642"/>
      <c r="G130" s="643">
        <f>AVERAGE(G122:G129)</f>
        <v>0.12037099860641209</v>
      </c>
      <c r="H130" s="643">
        <f t="shared" ref="H130:V130" si="31">AVERAGE(H122:H129)</f>
        <v>0.10214229830158382</v>
      </c>
      <c r="I130" s="643">
        <f t="shared" si="31"/>
        <v>0.10214229830158382</v>
      </c>
      <c r="J130" s="643">
        <f t="shared" si="31"/>
        <v>0.17059979446859541</v>
      </c>
      <c r="K130" s="643">
        <f t="shared" si="31"/>
        <v>-0.25073128658274124</v>
      </c>
      <c r="L130" s="643">
        <f t="shared" si="31"/>
        <v>0.17485902804923581</v>
      </c>
      <c r="M130" s="643">
        <f t="shared" si="31"/>
        <v>0.27163706908167018</v>
      </c>
      <c r="N130" s="643">
        <f t="shared" si="31"/>
        <v>0.28422636439577659</v>
      </c>
      <c r="O130" s="643">
        <f t="shared" si="31"/>
        <v>0.28484982909420503</v>
      </c>
      <c r="P130" s="643">
        <f t="shared" si="31"/>
        <v>2.2094359720886723E-2</v>
      </c>
      <c r="Q130" s="643">
        <f t="shared" si="31"/>
        <v>2.8410833307473616E-2</v>
      </c>
      <c r="R130" s="643">
        <f t="shared" si="31"/>
        <v>2.9622308246872123E-2</v>
      </c>
      <c r="S130" s="643">
        <f t="shared" si="31"/>
        <v>0.13595109250000001</v>
      </c>
      <c r="T130" s="643">
        <f t="shared" si="31"/>
        <v>0.1892347662940535</v>
      </c>
      <c r="U130" s="643">
        <f t="shared" si="31"/>
        <v>5.8600043575231329E-3</v>
      </c>
      <c r="V130" s="644">
        <f t="shared" si="31"/>
        <v>0.23014177624999999</v>
      </c>
    </row>
    <row r="131" spans="4:22">
      <c r="D131" s="175"/>
      <c r="E131" s="160"/>
      <c r="F131" s="160"/>
      <c r="G131" s="455"/>
      <c r="H131" s="455"/>
      <c r="I131" s="455"/>
      <c r="J131" s="455"/>
      <c r="K131" s="455"/>
      <c r="L131" s="455"/>
      <c r="M131" s="455"/>
      <c r="N131" s="455"/>
      <c r="O131" s="455"/>
      <c r="P131" s="455"/>
      <c r="Q131" s="455"/>
      <c r="R131" s="455"/>
      <c r="S131" s="455"/>
      <c r="T131" s="455"/>
      <c r="U131" s="455"/>
      <c r="V131" s="641"/>
    </row>
    <row r="132" spans="4:22" ht="15">
      <c r="D132" s="652" t="s">
        <v>1433</v>
      </c>
      <c r="E132" s="160"/>
      <c r="F132" s="160"/>
      <c r="G132" s="455"/>
      <c r="H132" s="455"/>
      <c r="I132" s="455"/>
      <c r="J132" s="455"/>
      <c r="K132" s="455"/>
      <c r="L132" s="455"/>
      <c r="M132" s="455"/>
      <c r="N132" s="455"/>
      <c r="O132" s="455"/>
      <c r="P132" s="455"/>
      <c r="Q132" s="455"/>
      <c r="R132" s="455"/>
      <c r="S132" s="455"/>
      <c r="T132" s="455"/>
      <c r="U132" s="455"/>
      <c r="V132" s="641"/>
    </row>
    <row r="133" spans="4:22">
      <c r="D133" s="175" t="s">
        <v>1413</v>
      </c>
      <c r="E133" s="160" t="s">
        <v>1414</v>
      </c>
      <c r="F133" s="160">
        <v>11425.493039988622</v>
      </c>
      <c r="G133" s="455">
        <v>7.8997132771814402E-2</v>
      </c>
      <c r="H133" s="455">
        <v>9.1107804183941099E-2</v>
      </c>
      <c r="I133" s="455">
        <v>9.1107804183941099E-2</v>
      </c>
      <c r="J133" s="455">
        <v>0.19831223628691988</v>
      </c>
      <c r="K133" s="455">
        <v>6.5727699530516492E-2</v>
      </c>
      <c r="L133" s="455">
        <v>6.5727699530516492E-2</v>
      </c>
      <c r="M133" s="455">
        <v>0.10226</v>
      </c>
      <c r="N133" s="455">
        <v>9.6349999999999991E-2</v>
      </c>
      <c r="O133" s="455">
        <v>9.6349999999999991E-2</v>
      </c>
      <c r="P133" s="455">
        <v>2.1979286536248567E-2</v>
      </c>
      <c r="Q133" s="455">
        <v>2.1658986175115209E-2</v>
      </c>
      <c r="R133" s="455">
        <v>2.1658986175115209E-2</v>
      </c>
      <c r="S133" s="455">
        <v>4.4655319999999998E-2</v>
      </c>
      <c r="T133" s="455">
        <v>5.359739778874708E-2</v>
      </c>
      <c r="U133" s="455">
        <v>-8.2400052925576169E-4</v>
      </c>
      <c r="V133" s="641">
        <v>1.02658249</v>
      </c>
    </row>
    <row r="134" spans="4:22">
      <c r="D134" s="175" t="s">
        <v>1415</v>
      </c>
      <c r="E134" s="160" t="s">
        <v>1414</v>
      </c>
      <c r="F134" s="160">
        <v>22433.131437314463</v>
      </c>
      <c r="G134" s="455">
        <v>0.10808846042198229</v>
      </c>
      <c r="H134" s="455">
        <v>9.4696021992365514E-2</v>
      </c>
      <c r="I134" s="455">
        <v>9.4696021992365514E-2</v>
      </c>
      <c r="J134" s="455">
        <v>0.38418604651162797</v>
      </c>
      <c r="K134" s="455">
        <v>0.19791666666666663</v>
      </c>
      <c r="L134" s="455">
        <v>0.19791666666666663</v>
      </c>
      <c r="M134" s="455">
        <v>0.14926</v>
      </c>
      <c r="N134" s="455">
        <v>0.17366000000000001</v>
      </c>
      <c r="O134" s="455">
        <v>0.17366000000000001</v>
      </c>
      <c r="P134" s="455">
        <v>1.6521739130434782E-2</v>
      </c>
      <c r="Q134" s="455">
        <v>2.1930434782608699E-2</v>
      </c>
      <c r="R134" s="455">
        <v>2.1930434782608699E-2</v>
      </c>
      <c r="S134" s="455">
        <v>6.3769549999999994E-2</v>
      </c>
      <c r="T134" s="455">
        <v>7.1886576196397739E-2</v>
      </c>
      <c r="U134" s="455">
        <v>6.4053601590262086E-3</v>
      </c>
      <c r="V134" s="641">
        <v>0.44487183000000002</v>
      </c>
    </row>
    <row r="135" spans="4:22">
      <c r="D135" s="175" t="s">
        <v>1416</v>
      </c>
      <c r="E135" s="160" t="s">
        <v>1414</v>
      </c>
      <c r="F135" s="160">
        <v>755.56098329424503</v>
      </c>
      <c r="G135" s="455">
        <v>0.13058869383179372</v>
      </c>
      <c r="H135" s="455">
        <v>3.7869914414572187E-2</v>
      </c>
      <c r="I135" s="455">
        <v>3.7869914414572187E-2</v>
      </c>
      <c r="J135" s="455">
        <v>0.17779705117085873</v>
      </c>
      <c r="K135" s="455">
        <v>0.26509572901325468</v>
      </c>
      <c r="L135" s="455">
        <v>0.26509572901325468</v>
      </c>
      <c r="M135" s="455">
        <v>0.23152</v>
      </c>
      <c r="N135" s="455">
        <v>0.22853000000000001</v>
      </c>
      <c r="O135" s="455">
        <v>0.22853000000000001</v>
      </c>
      <c r="P135" s="455">
        <v>1.6490299823633158E-2</v>
      </c>
      <c r="Q135" s="455">
        <v>1.7019400352733687E-2</v>
      </c>
      <c r="R135" s="455">
        <v>1.7019400352733687E-2</v>
      </c>
      <c r="S135" s="455">
        <v>9.0476680000000004E-2</v>
      </c>
      <c r="T135" s="455">
        <v>7.0000000000000007E-2</v>
      </c>
      <c r="U135" s="455">
        <v>3.9525851994991722E-2</v>
      </c>
      <c r="V135" s="641">
        <v>0.42</v>
      </c>
    </row>
    <row r="136" spans="4:22">
      <c r="D136" s="175" t="s">
        <v>1417</v>
      </c>
      <c r="E136" s="160" t="s">
        <v>1414</v>
      </c>
      <c r="F136" s="160">
        <v>5107.1017049861393</v>
      </c>
      <c r="G136" s="455">
        <v>0.10131608952702714</v>
      </c>
      <c r="H136" s="455">
        <v>0.19702835577749508</v>
      </c>
      <c r="I136" s="455">
        <v>0.19702835577749508</v>
      </c>
      <c r="J136" s="455">
        <v>0.19903453397697735</v>
      </c>
      <c r="K136" s="455">
        <v>0.22019200991018889</v>
      </c>
      <c r="L136" s="455">
        <v>0.22019200991018889</v>
      </c>
      <c r="M136" s="455">
        <v>0.21792999999999998</v>
      </c>
      <c r="N136" s="455">
        <v>0.23550000000000001</v>
      </c>
      <c r="O136" s="455">
        <v>0.23550000000000001</v>
      </c>
      <c r="P136" s="455">
        <v>1.9648356014701499E-2</v>
      </c>
      <c r="Q136" s="455">
        <v>2.2548922221118504E-2</v>
      </c>
      <c r="R136" s="455">
        <v>2.2548922221118504E-2</v>
      </c>
      <c r="S136" s="455">
        <v>0.13424179</v>
      </c>
      <c r="T136" s="455">
        <v>0.17170283175249856</v>
      </c>
      <c r="U136" s="455">
        <v>7.6818559886912441E-2</v>
      </c>
      <c r="V136" s="641">
        <v>9.2841549999999995E-2</v>
      </c>
    </row>
    <row r="137" spans="4:22">
      <c r="D137" s="175" t="s">
        <v>1434</v>
      </c>
      <c r="E137" s="160" t="s">
        <v>1414</v>
      </c>
      <c r="F137" s="160">
        <v>1592.7703186366141</v>
      </c>
      <c r="G137" s="455">
        <v>9.811780808294418E-2</v>
      </c>
      <c r="H137" s="455">
        <v>0.11432913399700467</v>
      </c>
      <c r="I137" s="455">
        <v>0.11432913399700467</v>
      </c>
      <c r="J137" s="455">
        <v>0.16900000000000001</v>
      </c>
      <c r="K137" s="455">
        <v>0.3184357541899443</v>
      </c>
      <c r="L137" s="455">
        <v>0.3184357541899443</v>
      </c>
      <c r="M137" s="455">
        <v>8.6820000000000008E-2</v>
      </c>
      <c r="N137" s="455">
        <v>0.10679999999999999</v>
      </c>
      <c r="O137" s="455">
        <v>0.10679999999999999</v>
      </c>
      <c r="P137" s="455">
        <v>5.8479532163742687E-3</v>
      </c>
      <c r="Q137" s="455">
        <v>1.1111111111111112E-2</v>
      </c>
      <c r="R137" s="455">
        <v>1.1111111111111112E-2</v>
      </c>
      <c r="S137" s="455">
        <v>4.6706770000000002E-2</v>
      </c>
      <c r="T137" s="455">
        <v>0.1</v>
      </c>
      <c r="U137" s="455">
        <v>-2.0058590263742442E-2</v>
      </c>
      <c r="V137" s="641">
        <v>0.23</v>
      </c>
    </row>
    <row r="138" spans="4:22">
      <c r="D138" s="175" t="s">
        <v>1418</v>
      </c>
      <c r="E138" s="160" t="s">
        <v>839</v>
      </c>
      <c r="F138" s="160">
        <v>18488.600493409642</v>
      </c>
      <c r="G138" s="455">
        <v>0.14846714953440371</v>
      </c>
      <c r="H138" s="455">
        <v>0.12640703517086138</v>
      </c>
      <c r="I138" s="455">
        <v>0.12640703517086138</v>
      </c>
      <c r="J138" s="455">
        <v>0.15517241379310345</v>
      </c>
      <c r="K138" s="455">
        <v>0.14925373134328349</v>
      </c>
      <c r="L138" s="455">
        <v>0.14925373134328349</v>
      </c>
      <c r="M138" s="455">
        <v>0.36263000000000001</v>
      </c>
      <c r="N138" s="455">
        <v>0.36538999999999999</v>
      </c>
      <c r="O138" s="455">
        <v>0.36538999999999999</v>
      </c>
      <c r="P138" s="455">
        <v>3.1404494361104665E-2</v>
      </c>
      <c r="Q138" s="455">
        <v>3.6400663918553143E-2</v>
      </c>
      <c r="R138" s="455">
        <v>3.6400663918553143E-2</v>
      </c>
      <c r="S138" s="455">
        <v>0.21150213000000001</v>
      </c>
      <c r="T138" s="455">
        <v>0.19943850354811052</v>
      </c>
      <c r="U138" s="455">
        <v>0.13659486024519543</v>
      </c>
      <c r="V138" s="641">
        <v>-0.41083674999999997</v>
      </c>
    </row>
    <row r="139" spans="4:22">
      <c r="D139" s="175" t="s">
        <v>1419</v>
      </c>
      <c r="E139" s="160" t="s">
        <v>839</v>
      </c>
      <c r="F139" s="160">
        <v>11019.437854419679</v>
      </c>
      <c r="G139" s="455">
        <v>0.12217095513130277</v>
      </c>
      <c r="H139" s="455">
        <v>0.11227788015756231</v>
      </c>
      <c r="I139" s="455">
        <v>0.11227788015756231</v>
      </c>
      <c r="J139" s="455">
        <v>0.22712680577849129</v>
      </c>
      <c r="K139" s="455">
        <v>0.16219751471550028</v>
      </c>
      <c r="L139" s="455">
        <v>0.16219751471550028</v>
      </c>
      <c r="M139" s="455">
        <v>0.20613000000000001</v>
      </c>
      <c r="N139" s="455">
        <v>0.19914999999999999</v>
      </c>
      <c r="O139" s="455">
        <v>0.19914999999999999</v>
      </c>
      <c r="P139" s="455">
        <v>2.2122704881325572E-2</v>
      </c>
      <c r="Q139" s="455">
        <v>2.4272279444693238E-2</v>
      </c>
      <c r="R139" s="455">
        <v>2.4272279444693238E-2</v>
      </c>
      <c r="S139" s="455">
        <v>5.2921040000000003E-2</v>
      </c>
      <c r="T139" s="455">
        <v>0.05</v>
      </c>
      <c r="U139" s="455">
        <v>7.9323455143515322E-3</v>
      </c>
      <c r="V139" s="641">
        <v>-0.24044380000000001</v>
      </c>
    </row>
    <row r="140" spans="4:22">
      <c r="D140" s="175" t="s">
        <v>1420</v>
      </c>
      <c r="E140" s="160" t="s">
        <v>839</v>
      </c>
      <c r="F140" s="160">
        <v>9587.9962369722343</v>
      </c>
      <c r="G140" s="455">
        <v>0.12605680257193602</v>
      </c>
      <c r="H140" s="455">
        <v>0.1223882935778786</v>
      </c>
      <c r="I140" s="455">
        <v>0.1223882935778786</v>
      </c>
      <c r="J140" s="455">
        <v>0.24093023255813967</v>
      </c>
      <c r="K140" s="455">
        <v>0.19490254872563717</v>
      </c>
      <c r="L140" s="455">
        <v>0.19490254872563717</v>
      </c>
      <c r="M140" s="455">
        <v>0.12129</v>
      </c>
      <c r="N140" s="455">
        <v>0.12936999999999999</v>
      </c>
      <c r="O140" s="455">
        <v>0.12936999999999999</v>
      </c>
      <c r="P140" s="455">
        <v>1.0262215753667951E-2</v>
      </c>
      <c r="Q140" s="455">
        <v>1.2400177369015443E-2</v>
      </c>
      <c r="R140" s="455">
        <v>1.2400177369015443E-2</v>
      </c>
      <c r="S140" s="455">
        <v>3.9745339999999997E-2</v>
      </c>
      <c r="T140" s="455">
        <v>6.9146602678939711E-2</v>
      </c>
      <c r="U140" s="455">
        <v>1.079883946875815E-2</v>
      </c>
      <c r="V140" s="641">
        <v>0.16572479000000001</v>
      </c>
    </row>
    <row r="141" spans="4:22">
      <c r="D141" s="175" t="s">
        <v>1421</v>
      </c>
      <c r="E141" s="160" t="s">
        <v>839</v>
      </c>
      <c r="F141" s="160">
        <v>853.62303121070784</v>
      </c>
      <c r="G141" s="455">
        <v>0.18163343927573919</v>
      </c>
      <c r="H141" s="455">
        <v>0.16782000016301385</v>
      </c>
      <c r="I141" s="455">
        <v>0.16782000016301385</v>
      </c>
      <c r="J141" s="455">
        <v>0.114</v>
      </c>
      <c r="K141" s="455">
        <v>4.3999999999999997E-2</v>
      </c>
      <c r="L141" s="455">
        <v>4.3999999999999997E-2</v>
      </c>
      <c r="M141" s="455">
        <v>2.9700000000000001E-2</v>
      </c>
      <c r="N141" s="455">
        <v>4.3369999999999999E-2</v>
      </c>
      <c r="O141" s="455">
        <v>4.3369999999999999E-2</v>
      </c>
      <c r="P141" s="455">
        <v>1.046831955922865E-2</v>
      </c>
      <c r="Q141" s="455">
        <v>1.597796143250689E-2</v>
      </c>
      <c r="R141" s="455">
        <v>1.597796143250689E-2</v>
      </c>
      <c r="S141" s="455">
        <v>-2.1145000000000001E-3</v>
      </c>
      <c r="T141" s="455">
        <v>4.3516507726755786E-4</v>
      </c>
      <c r="U141" s="455">
        <v>-0.10469780655447508</v>
      </c>
      <c r="V141" s="641">
        <v>0.37589644999999999</v>
      </c>
    </row>
    <row r="142" spans="4:22">
      <c r="D142" s="175" t="s">
        <v>1422</v>
      </c>
      <c r="E142" s="160" t="s">
        <v>1423</v>
      </c>
      <c r="F142" s="160">
        <v>6610.1648928887907</v>
      </c>
      <c r="G142" s="455">
        <v>8.3617669953882021E-2</v>
      </c>
      <c r="H142" s="455">
        <v>6.489029463944819E-2</v>
      </c>
      <c r="I142" s="455">
        <v>6.489029463944819E-2</v>
      </c>
      <c r="J142" s="455">
        <v>0.1063845473311708</v>
      </c>
      <c r="K142" s="455">
        <v>4.3243153195175472E-2</v>
      </c>
      <c r="L142" s="455">
        <v>4.3243153195175472E-2</v>
      </c>
      <c r="M142" s="455">
        <v>6.3750000000000001E-2</v>
      </c>
      <c r="N142" s="455">
        <v>6.9650000000000004E-2</v>
      </c>
      <c r="O142" s="455">
        <v>6.9650000000000004E-2</v>
      </c>
      <c r="P142" s="455">
        <v>1.6752897473997028E-2</v>
      </c>
      <c r="Q142" s="455">
        <v>1.7397102526002971E-2</v>
      </c>
      <c r="R142" s="455">
        <v>1.7397102526002971E-2</v>
      </c>
      <c r="S142" s="455">
        <v>0.11023663</v>
      </c>
      <c r="T142" s="455">
        <v>5.1981369733790181E-2</v>
      </c>
      <c r="U142" s="455">
        <v>6.5038567721986032E-2</v>
      </c>
      <c r="V142" s="641">
        <v>0.15801714</v>
      </c>
    </row>
    <row r="143" spans="4:22">
      <c r="D143" s="175" t="s">
        <v>1426</v>
      </c>
      <c r="E143" s="160" t="s">
        <v>1427</v>
      </c>
      <c r="F143" s="160">
        <v>14869.554918524347</v>
      </c>
      <c r="G143" s="455">
        <v>6.4823127849405665E-2</v>
      </c>
      <c r="H143" s="455">
        <v>3.474936062653633E-2</v>
      </c>
      <c r="I143" s="455">
        <v>3.474936062653633E-2</v>
      </c>
      <c r="J143" s="455">
        <v>0.30290791599353795</v>
      </c>
      <c r="K143" s="455">
        <v>0.17792932424054567</v>
      </c>
      <c r="L143" s="455">
        <v>0.17792932424054567</v>
      </c>
      <c r="M143" s="455">
        <v>0.15749000000000002</v>
      </c>
      <c r="N143" s="455">
        <v>0.16193000000000002</v>
      </c>
      <c r="O143" s="455">
        <v>0.16193000000000002</v>
      </c>
      <c r="P143" s="455">
        <v>6.9563094947522582E-3</v>
      </c>
      <c r="Q143" s="455">
        <v>1.0861606053209667E-2</v>
      </c>
      <c r="R143" s="455">
        <v>1.0861606053209667E-2</v>
      </c>
      <c r="S143" s="455">
        <v>5.9467909999999999E-2</v>
      </c>
      <c r="T143" s="455">
        <v>7.6458474000321755E-2</v>
      </c>
      <c r="U143" s="455">
        <v>4.9642565904789222E-2</v>
      </c>
      <c r="V143" s="641">
        <v>0.79160743999999994</v>
      </c>
    </row>
    <row r="144" spans="4:22" ht="15" thickBot="1">
      <c r="D144" s="175" t="s">
        <v>1424</v>
      </c>
      <c r="E144" s="160" t="s">
        <v>1425</v>
      </c>
      <c r="F144" s="160">
        <v>1107.4305955356363</v>
      </c>
      <c r="G144" s="455">
        <v>7.19695627697199E-2</v>
      </c>
      <c r="H144" s="455">
        <v>6.8889472533966434E-2</v>
      </c>
      <c r="I144" s="455">
        <v>6.8889472533966434E-2</v>
      </c>
      <c r="J144" s="455">
        <v>0.14270919174146415</v>
      </c>
      <c r="K144" s="455">
        <v>0.12286698566458437</v>
      </c>
      <c r="L144" s="455">
        <v>0.12286698566458437</v>
      </c>
      <c r="M144" s="455">
        <v>7.1220000000000006E-2</v>
      </c>
      <c r="N144" s="455">
        <v>7.9240000000000005E-2</v>
      </c>
      <c r="O144" s="455">
        <v>7.9240000000000005E-2</v>
      </c>
      <c r="P144" s="455">
        <v>1.0694113416410323E-2</v>
      </c>
      <c r="Q144" s="455">
        <v>1.2840977359184467E-2</v>
      </c>
      <c r="R144" s="455">
        <v>1.2840977359184467E-2</v>
      </c>
      <c r="S144" s="455">
        <v>0.12349069</v>
      </c>
      <c r="T144" s="455">
        <v>3.5658254382711578E-2</v>
      </c>
      <c r="U144" s="455">
        <v>6.684070454582515E-2</v>
      </c>
      <c r="V144" s="641">
        <v>0.21862018999999999</v>
      </c>
    </row>
    <row r="145" spans="4:22" ht="15" thickBot="1">
      <c r="D145" s="648" t="s">
        <v>1428</v>
      </c>
      <c r="E145" s="642"/>
      <c r="F145" s="642"/>
      <c r="G145" s="643">
        <f>AVERAGE(G133:G144)</f>
        <v>0.10965390764349592</v>
      </c>
      <c r="H145" s="643">
        <f t="shared" ref="H145:V145" si="32">AVERAGE(H133:H144)</f>
        <v>0.10270446393622047</v>
      </c>
      <c r="I145" s="643">
        <f t="shared" si="32"/>
        <v>0.10270446393622047</v>
      </c>
      <c r="J145" s="643">
        <f t="shared" si="32"/>
        <v>0.20146341459519093</v>
      </c>
      <c r="K145" s="643">
        <f t="shared" si="32"/>
        <v>0.16348009309960812</v>
      </c>
      <c r="L145" s="643">
        <f t="shared" si="32"/>
        <v>0.16348009309960812</v>
      </c>
      <c r="M145" s="643">
        <f t="shared" si="32"/>
        <v>0.15</v>
      </c>
      <c r="N145" s="643">
        <f t="shared" si="32"/>
        <v>0.15741166666666664</v>
      </c>
      <c r="O145" s="643">
        <f t="shared" si="32"/>
        <v>0.15741166666666664</v>
      </c>
      <c r="P145" s="643">
        <f t="shared" si="32"/>
        <v>1.5762390805156557E-2</v>
      </c>
      <c r="Q145" s="643">
        <f t="shared" si="32"/>
        <v>1.8701635228821081E-2</v>
      </c>
      <c r="R145" s="643">
        <f t="shared" si="32"/>
        <v>1.8701635228821081E-2</v>
      </c>
      <c r="S145" s="643">
        <f t="shared" si="32"/>
        <v>8.1258279166666655E-2</v>
      </c>
      <c r="T145" s="643">
        <f t="shared" si="32"/>
        <v>7.919209792989873E-2</v>
      </c>
      <c r="U145" s="643">
        <f t="shared" si="32"/>
        <v>2.7834771507863551E-2</v>
      </c>
      <c r="V145" s="644">
        <f t="shared" si="32"/>
        <v>0.27274011083333333</v>
      </c>
    </row>
    <row r="146" spans="4:22" ht="19" thickBot="1">
      <c r="D146" s="653" t="s">
        <v>1429</v>
      </c>
      <c r="E146" s="654"/>
      <c r="F146" s="654"/>
      <c r="G146" s="657">
        <v>0.10642779664159885</v>
      </c>
      <c r="H146" s="657">
        <v>9.7729832513493264E-2</v>
      </c>
      <c r="I146" s="657">
        <v>9.6854943638842672E-2</v>
      </c>
      <c r="J146" s="657">
        <v>0.27160855930278544</v>
      </c>
      <c r="K146" s="657">
        <v>2.5414280217482526E-2</v>
      </c>
      <c r="L146" s="657">
        <v>0.16424095999468505</v>
      </c>
      <c r="M146" s="657">
        <v>0.20320968733519398</v>
      </c>
      <c r="N146" s="657">
        <v>0.21727575840319391</v>
      </c>
      <c r="O146" s="657">
        <v>0.21776756921456805</v>
      </c>
      <c r="P146" s="657">
        <v>2.4618284685012717E-2</v>
      </c>
      <c r="Q146" s="657">
        <v>2.85814989337079E-2</v>
      </c>
      <c r="R146" s="657">
        <v>2.9201648069492842E-2</v>
      </c>
      <c r="S146" s="657">
        <v>0.10493925792122626</v>
      </c>
      <c r="T146" s="657">
        <v>0.13419115224925868</v>
      </c>
      <c r="U146" s="657">
        <v>2.3195849034293458E-2</v>
      </c>
      <c r="V146" s="658">
        <v>0.24769777222326272</v>
      </c>
    </row>
    <row r="147" spans="4:22">
      <c r="D147" s="7" t="s">
        <v>1430</v>
      </c>
    </row>
  </sheetData>
  <mergeCells count="36">
    <mergeCell ref="T4:V4"/>
    <mergeCell ref="F4:F5"/>
    <mergeCell ref="E4:E5"/>
    <mergeCell ref="W32:W33"/>
    <mergeCell ref="V32:V33"/>
    <mergeCell ref="U32:U33"/>
    <mergeCell ref="T32:T33"/>
    <mergeCell ref="E32:E33"/>
    <mergeCell ref="D4:D5"/>
    <mergeCell ref="P32:R32"/>
    <mergeCell ref="L32:N32"/>
    <mergeCell ref="H32:J32"/>
    <mergeCell ref="D32:D33"/>
    <mergeCell ref="H4:J4"/>
    <mergeCell ref="L4:N4"/>
    <mergeCell ref="P4:R4"/>
    <mergeCell ref="M107:O107"/>
    <mergeCell ref="J107:L107"/>
    <mergeCell ref="F32:F33"/>
    <mergeCell ref="S64:U64"/>
    <mergeCell ref="P64:R64"/>
    <mergeCell ref="M64:O64"/>
    <mergeCell ref="J64:L64"/>
    <mergeCell ref="G64:I64"/>
    <mergeCell ref="G107:I107"/>
    <mergeCell ref="V107:V108"/>
    <mergeCell ref="U107:U108"/>
    <mergeCell ref="T107:T108"/>
    <mergeCell ref="S107:S108"/>
    <mergeCell ref="P107:R107"/>
    <mergeCell ref="E107:E108"/>
    <mergeCell ref="D107:D108"/>
    <mergeCell ref="F107:F108"/>
    <mergeCell ref="D64:D65"/>
    <mergeCell ref="F64:F65"/>
    <mergeCell ref="E64:E65"/>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D3:F33"/>
  <sheetViews>
    <sheetView showGridLines="0" topLeftCell="B1" zoomScale="75" zoomScaleNormal="75" zoomScalePageLayoutView="75" workbookViewId="0">
      <selection activeCell="I35" sqref="I35"/>
    </sheetView>
  </sheetViews>
  <sheetFormatPr baseColWidth="10" defaultRowHeight="15" x14ac:dyDescent="0"/>
  <cols>
    <col min="4" max="4" width="34.5" bestFit="1" customWidth="1"/>
    <col min="5" max="5" width="19.33203125" bestFit="1" customWidth="1"/>
    <col min="6" max="6" width="27.5" bestFit="1" customWidth="1"/>
  </cols>
  <sheetData>
    <row r="3" spans="4:6" ht="21" thickBot="1">
      <c r="D3" s="1197" t="s">
        <v>1650</v>
      </c>
    </row>
    <row r="4" spans="4:6" s="7" customFormat="1" ht="14">
      <c r="D4" s="1958" t="s">
        <v>1436</v>
      </c>
      <c r="E4" s="1950"/>
      <c r="F4" s="1951"/>
    </row>
    <row r="5" spans="4:6" s="7" customFormat="1" thickBot="1">
      <c r="D5" s="672" t="s">
        <v>1437</v>
      </c>
      <c r="E5" s="673" t="s">
        <v>1439</v>
      </c>
      <c r="F5" s="674" t="s">
        <v>1440</v>
      </c>
    </row>
    <row r="6" spans="4:6" s="7" customFormat="1" ht="14">
      <c r="D6" s="378" t="s">
        <v>1376</v>
      </c>
      <c r="E6" s="1199">
        <v>57104774</v>
      </c>
      <c r="F6" s="1200">
        <f>E6/$E$10</f>
        <v>0.42135611698978781</v>
      </c>
    </row>
    <row r="7" spans="4:6" s="7" customFormat="1" ht="14">
      <c r="D7" s="378" t="s">
        <v>1438</v>
      </c>
      <c r="E7" s="1199">
        <v>22757803</v>
      </c>
      <c r="F7" s="1200">
        <f t="shared" ref="F7:F10" si="0">E7/$E$10</f>
        <v>0.16792185366670997</v>
      </c>
    </row>
    <row r="8" spans="4:6" s="7" customFormat="1" ht="14">
      <c r="D8" s="378" t="s">
        <v>48</v>
      </c>
      <c r="E8" s="1199">
        <v>13827003</v>
      </c>
      <c r="F8" s="1200">
        <f t="shared" si="0"/>
        <v>0.10202460995093242</v>
      </c>
    </row>
    <row r="9" spans="4:6" s="7" customFormat="1" thickBot="1">
      <c r="D9" s="378" t="s">
        <v>108</v>
      </c>
      <c r="E9" s="1199">
        <v>41836574</v>
      </c>
      <c r="F9" s="1200">
        <f t="shared" si="0"/>
        <v>0.30869741939256978</v>
      </c>
    </row>
    <row r="10" spans="4:6" s="7" customFormat="1" thickBot="1">
      <c r="D10" s="813" t="s">
        <v>103</v>
      </c>
      <c r="E10" s="1201">
        <f>SUM(E6:E9)</f>
        <v>135526154</v>
      </c>
      <c r="F10" s="1202">
        <f t="shared" si="0"/>
        <v>1</v>
      </c>
    </row>
    <row r="11" spans="4:6">
      <c r="D11" s="697" t="s">
        <v>1649</v>
      </c>
    </row>
    <row r="13" spans="4:6" ht="20">
      <c r="F13" s="1197" t="s">
        <v>1729</v>
      </c>
    </row>
    <row r="33" spans="6:6">
      <c r="F33" t="s">
        <v>1649</v>
      </c>
    </row>
  </sheetData>
  <mergeCells count="1">
    <mergeCell ref="D4:F4"/>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L207"/>
  <sheetViews>
    <sheetView showGridLines="0" topLeftCell="D1" zoomScale="75" zoomScaleNormal="75" zoomScalePageLayoutView="75" workbookViewId="0">
      <selection activeCell="F207" sqref="F207"/>
    </sheetView>
  </sheetViews>
  <sheetFormatPr baseColWidth="10" defaultRowHeight="15" x14ac:dyDescent="0"/>
  <cols>
    <col min="1" max="3" width="0" hidden="1" customWidth="1"/>
    <col min="4" max="4" width="28.6640625" customWidth="1"/>
    <col min="5" max="5" width="7.5" customWidth="1"/>
    <col min="6" max="6" width="13" customWidth="1"/>
    <col min="7" max="7" width="21.33203125" bestFit="1" customWidth="1"/>
    <col min="8" max="8" width="6.33203125" customWidth="1"/>
    <col min="10" max="10" width="3.6640625" customWidth="1"/>
    <col min="11" max="11" width="2.83203125" customWidth="1"/>
    <col min="12" max="12" width="35" customWidth="1"/>
  </cols>
  <sheetData>
    <row r="1" spans="1:7">
      <c r="A1" t="s">
        <v>1441</v>
      </c>
    </row>
    <row r="4" spans="1:7">
      <c r="D4" s="1959" t="s">
        <v>1442</v>
      </c>
      <c r="E4" s="1959"/>
    </row>
    <row r="5" spans="1:7" ht="20">
      <c r="D5" s="294" t="s">
        <v>217</v>
      </c>
      <c r="E5" s="294" t="s">
        <v>1513</v>
      </c>
      <c r="G5" s="1197" t="s">
        <v>1751</v>
      </c>
    </row>
    <row r="6" spans="1:7">
      <c r="D6" s="675">
        <v>1</v>
      </c>
      <c r="E6" s="675">
        <f>D6*(1+0.69)</f>
        <v>1.69</v>
      </c>
    </row>
    <row r="8" spans="1:7">
      <c r="D8" s="1959" t="s">
        <v>1444</v>
      </c>
      <c r="E8" s="1959"/>
    </row>
    <row r="9" spans="1:7">
      <c r="D9" s="294" t="s">
        <v>1443</v>
      </c>
      <c r="E9" s="294">
        <v>2012</v>
      </c>
    </row>
    <row r="10" spans="1:7" s="168" customFormat="1">
      <c r="D10" s="676">
        <v>9.9</v>
      </c>
      <c r="E10" s="676">
        <v>19.2</v>
      </c>
    </row>
    <row r="26" spans="7:7">
      <c r="G26" t="s">
        <v>1752</v>
      </c>
    </row>
    <row r="31" spans="7:7" ht="20">
      <c r="G31" s="1197" t="s">
        <v>1651</v>
      </c>
    </row>
    <row r="46" spans="7:7">
      <c r="G46" s="27">
        <f>63/5</f>
        <v>12.6</v>
      </c>
    </row>
    <row r="50" spans="7:7">
      <c r="G50" t="s">
        <v>1750</v>
      </c>
    </row>
    <row r="103" spans="12:12" ht="80">
      <c r="L103" s="1198" t="s">
        <v>1648</v>
      </c>
    </row>
    <row r="118" spans="4:12" ht="20">
      <c r="D118" s="1197" t="s">
        <v>1772</v>
      </c>
    </row>
    <row r="123" spans="4:12">
      <c r="L123" t="s">
        <v>1749</v>
      </c>
    </row>
    <row r="130" spans="4:10" ht="21" thickBot="1">
      <c r="G130" s="1310" t="s">
        <v>1725</v>
      </c>
    </row>
    <row r="131" spans="4:10" ht="16" thickBot="1">
      <c r="G131" s="718" t="s">
        <v>1481</v>
      </c>
      <c r="H131" s="404" t="s">
        <v>1479</v>
      </c>
      <c r="I131" s="404" t="s">
        <v>1480</v>
      </c>
      <c r="J131" s="679" t="s">
        <v>18</v>
      </c>
    </row>
    <row r="132" spans="4:10" s="7" customFormat="1" ht="14">
      <c r="G132" s="175" t="s">
        <v>1477</v>
      </c>
      <c r="H132" s="678">
        <v>0.01</v>
      </c>
      <c r="I132" s="678">
        <v>0.1</v>
      </c>
      <c r="J132" s="708">
        <v>0.73</v>
      </c>
    </row>
    <row r="133" spans="4:10" s="7" customFormat="1" ht="14">
      <c r="G133" s="175" t="s">
        <v>1268</v>
      </c>
      <c r="H133" s="678">
        <v>0.48</v>
      </c>
      <c r="I133" s="678">
        <v>0.5</v>
      </c>
      <c r="J133" s="708">
        <v>0.05</v>
      </c>
    </row>
    <row r="134" spans="4:10" s="7" customFormat="1">
      <c r="D134" t="s">
        <v>1749</v>
      </c>
      <c r="G134" s="175" t="s">
        <v>1478</v>
      </c>
      <c r="H134" s="678">
        <v>0.5</v>
      </c>
      <c r="I134" s="678">
        <v>0.36</v>
      </c>
      <c r="J134" s="708">
        <v>0.2</v>
      </c>
    </row>
    <row r="135" spans="4:10" s="7" customFormat="1" ht="14">
      <c r="G135" s="175" t="s">
        <v>108</v>
      </c>
      <c r="H135" s="678">
        <v>0.01</v>
      </c>
      <c r="I135" s="678">
        <v>0.04</v>
      </c>
      <c r="J135" s="708">
        <v>0.02</v>
      </c>
    </row>
    <row r="136" spans="4:10" ht="16" thickBot="1">
      <c r="G136" s="625" t="s">
        <v>103</v>
      </c>
      <c r="H136" s="716">
        <f>SUM(H132:H135)</f>
        <v>1</v>
      </c>
      <c r="I136" s="716">
        <f t="shared" ref="I136:J136" si="0">SUM(I132:I135)</f>
        <v>1</v>
      </c>
      <c r="J136" s="717">
        <f t="shared" si="0"/>
        <v>1</v>
      </c>
    </row>
    <row r="137" spans="4:10">
      <c r="G137" s="697" t="s">
        <v>1724</v>
      </c>
    </row>
    <row r="142" spans="4:10">
      <c r="F142" t="s">
        <v>1482</v>
      </c>
      <c r="G142" t="s">
        <v>19</v>
      </c>
      <c r="H142" t="s">
        <v>722</v>
      </c>
      <c r="I142" t="s">
        <v>1484</v>
      </c>
    </row>
    <row r="143" spans="4:10">
      <c r="F143" t="s">
        <v>1483</v>
      </c>
      <c r="G143">
        <v>90</v>
      </c>
      <c r="H143">
        <v>93</v>
      </c>
      <c r="I143" s="12">
        <f>(H143/G143)^(1/18)-1</f>
        <v>1.8233170482575556E-3</v>
      </c>
    </row>
    <row r="144" spans="4:10">
      <c r="F144" t="s">
        <v>1477</v>
      </c>
      <c r="G144">
        <v>64</v>
      </c>
      <c r="H144">
        <v>93</v>
      </c>
      <c r="I144" s="12">
        <f>(H144/G144)^(1/18)-1</f>
        <v>2.0979052953921107E-2</v>
      </c>
    </row>
    <row r="145" spans="4:11">
      <c r="F145" t="s">
        <v>103</v>
      </c>
      <c r="G145">
        <f>SUM(G143:G144)</f>
        <v>154</v>
      </c>
      <c r="H145">
        <f>SUM(H143:H144)</f>
        <v>186</v>
      </c>
      <c r="I145" s="12">
        <f>(H145/G145)^(1/18)-1</f>
        <v>1.0543757269857013E-2</v>
      </c>
    </row>
    <row r="146" spans="4:11" ht="20">
      <c r="K146" s="1197" t="s">
        <v>1723</v>
      </c>
    </row>
    <row r="156" spans="4:11">
      <c r="D156" s="677"/>
    </row>
    <row r="158" spans="4:11">
      <c r="K158" t="s">
        <v>1724</v>
      </c>
    </row>
    <row r="192" spans="6:6" ht="20">
      <c r="F192" s="1197" t="s">
        <v>1809</v>
      </c>
    </row>
    <row r="207" spans="6:6">
      <c r="F207" t="s">
        <v>1810</v>
      </c>
    </row>
  </sheetData>
  <mergeCells count="2">
    <mergeCell ref="D4:E4"/>
    <mergeCell ref="D8:E8"/>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B1:G5221"/>
  <sheetViews>
    <sheetView showGridLines="0" topLeftCell="B1" zoomScale="75" zoomScaleNormal="75" zoomScalePageLayoutView="75" workbookViewId="0">
      <selection activeCell="E9" sqref="E9"/>
    </sheetView>
  </sheetViews>
  <sheetFormatPr baseColWidth="10" defaultRowHeight="15" x14ac:dyDescent="0"/>
  <cols>
    <col min="3" max="3" width="15.5" customWidth="1"/>
    <col min="4" max="4" width="10.83203125" customWidth="1"/>
    <col min="5" max="5" width="15.5" customWidth="1"/>
  </cols>
  <sheetData>
    <row r="1" spans="2:7">
      <c r="B1" t="s">
        <v>1500</v>
      </c>
      <c r="C1" t="s">
        <v>1506</v>
      </c>
    </row>
    <row r="2" spans="2:7">
      <c r="B2" t="s">
        <v>1501</v>
      </c>
      <c r="C2" s="743">
        <v>34880</v>
      </c>
      <c r="E2" s="743"/>
    </row>
    <row r="3" spans="2:7">
      <c r="B3" t="s">
        <v>1502</v>
      </c>
      <c r="C3" s="743">
        <v>42495</v>
      </c>
      <c r="E3" s="743"/>
    </row>
    <row r="4" spans="2:7">
      <c r="B4" t="s">
        <v>1503</v>
      </c>
      <c r="C4" t="s">
        <v>1220</v>
      </c>
    </row>
    <row r="5" spans="2:7">
      <c r="B5" t="s">
        <v>835</v>
      </c>
      <c r="C5" t="s">
        <v>836</v>
      </c>
    </row>
    <row r="7" spans="2:7">
      <c r="B7" s="453" t="s">
        <v>1176</v>
      </c>
      <c r="C7" s="453" t="s">
        <v>1540</v>
      </c>
      <c r="D7" s="453"/>
      <c r="E7" s="453" t="s">
        <v>510</v>
      </c>
    </row>
    <row r="8" spans="2:7">
      <c r="B8" s="744" t="e">
        <f ca="1">_xll.BDH(C1,C7,C2,C3,"Dir=V","Dts=S","Sort=D","Quote=C","QtTyp=P","Days=T",CONCATENATE("Per=c",C4),"DtFmt=D","UseDPDF=Y",CONCATENATE("FX=",C5),"cols=2;rows=5210")</f>
        <v>#NAME?</v>
      </c>
      <c r="C8" s="2">
        <v>51933.8</v>
      </c>
      <c r="D8" s="2"/>
      <c r="E8" s="2">
        <v>12350</v>
      </c>
      <c r="F8" s="1196"/>
      <c r="G8" s="12"/>
    </row>
    <row r="9" spans="2:7">
      <c r="B9" s="189">
        <v>42494</v>
      </c>
      <c r="C9" s="2">
        <v>51873.5</v>
      </c>
      <c r="D9" s="1196">
        <f>C9/$C$757*100</f>
        <v>130.24065905813259</v>
      </c>
      <c r="E9" s="2">
        <v>12109</v>
      </c>
      <c r="F9" s="1196">
        <f>E9/$E$757*100</f>
        <v>172.47764442456651</v>
      </c>
    </row>
    <row r="10" spans="2:7">
      <c r="B10" s="189">
        <v>42493</v>
      </c>
      <c r="C10" s="2">
        <v>51912.11</v>
      </c>
      <c r="D10" s="1196">
        <f t="shared" ref="D10:D73" si="0">C10/$C$757*100</f>
        <v>130.3375985714917</v>
      </c>
      <c r="E10" s="2">
        <v>12580</v>
      </c>
      <c r="F10" s="1196">
        <f t="shared" ref="F10:F73" si="1">E10/$E$757*100</f>
        <v>179.18645361805653</v>
      </c>
    </row>
    <row r="11" spans="2:7">
      <c r="B11" s="189">
        <v>42489</v>
      </c>
      <c r="C11" s="2">
        <v>52957.32</v>
      </c>
      <c r="D11" s="1196">
        <f t="shared" si="0"/>
        <v>132.9618448485725</v>
      </c>
      <c r="E11" s="2">
        <v>12035</v>
      </c>
      <c r="F11" s="1196">
        <f t="shared" si="1"/>
        <v>171.42360646210736</v>
      </c>
    </row>
    <row r="12" spans="2:7">
      <c r="B12" s="189">
        <v>42488</v>
      </c>
      <c r="C12" s="2">
        <v>53223.98</v>
      </c>
      <c r="D12" s="1196">
        <f t="shared" si="0"/>
        <v>133.63135768546306</v>
      </c>
      <c r="E12" s="2">
        <v>12300</v>
      </c>
      <c r="F12" s="1196">
        <f t="shared" si="1"/>
        <v>175.19820186821107</v>
      </c>
    </row>
    <row r="13" spans="2:7">
      <c r="B13" s="189">
        <v>42486</v>
      </c>
      <c r="C13" s="2">
        <v>53062.95</v>
      </c>
      <c r="D13" s="1196">
        <f t="shared" si="0"/>
        <v>133.22705388240115</v>
      </c>
      <c r="E13" s="2">
        <v>11600</v>
      </c>
      <c r="F13" s="1196">
        <f t="shared" si="1"/>
        <v>165.22757249359742</v>
      </c>
    </row>
    <row r="14" spans="2:7">
      <c r="B14" s="189">
        <v>42485</v>
      </c>
      <c r="C14" s="2">
        <v>52985.31</v>
      </c>
      <c r="D14" s="1196">
        <f t="shared" si="0"/>
        <v>133.03212034660208</v>
      </c>
      <c r="E14" s="2">
        <v>12111</v>
      </c>
      <c r="F14" s="1196">
        <f t="shared" si="1"/>
        <v>172.50613193706539</v>
      </c>
    </row>
    <row r="15" spans="2:7">
      <c r="B15" s="189">
        <v>42482</v>
      </c>
      <c r="C15" s="2">
        <v>52925.75</v>
      </c>
      <c r="D15" s="1196">
        <f t="shared" si="0"/>
        <v>132.88258091599681</v>
      </c>
      <c r="E15" s="2">
        <v>11900</v>
      </c>
      <c r="F15" s="1196">
        <f t="shared" si="1"/>
        <v>169.50069936843184</v>
      </c>
    </row>
    <row r="16" spans="2:7">
      <c r="B16" s="189">
        <v>42481</v>
      </c>
      <c r="C16" s="2">
        <v>53323.58</v>
      </c>
      <c r="D16" s="1196">
        <f t="shared" si="0"/>
        <v>133.88142698177407</v>
      </c>
      <c r="E16" s="2">
        <v>12200</v>
      </c>
      <c r="F16" s="1196">
        <f t="shared" si="1"/>
        <v>173.77382624326629</v>
      </c>
    </row>
    <row r="17" spans="2:6">
      <c r="B17" s="189">
        <v>42480</v>
      </c>
      <c r="C17" s="2">
        <v>53789.75</v>
      </c>
      <c r="D17" s="1196">
        <f t="shared" si="0"/>
        <v>135.05185673941776</v>
      </c>
      <c r="E17" s="2">
        <v>11500</v>
      </c>
      <c r="F17" s="1196">
        <f t="shared" si="1"/>
        <v>163.80319686865263</v>
      </c>
    </row>
    <row r="18" spans="2:6">
      <c r="B18" s="189">
        <v>42479</v>
      </c>
      <c r="C18" s="2">
        <v>53380.94</v>
      </c>
      <c r="D18" s="1196">
        <f t="shared" si="0"/>
        <v>134.02544279338454</v>
      </c>
      <c r="E18" s="2">
        <v>11519</v>
      </c>
      <c r="F18" s="1196">
        <f t="shared" si="1"/>
        <v>164.07382823739215</v>
      </c>
    </row>
    <row r="19" spans="2:6">
      <c r="B19" s="189">
        <v>42478</v>
      </c>
      <c r="C19" s="2">
        <v>53166.59</v>
      </c>
      <c r="D19" s="1196">
        <f t="shared" si="0"/>
        <v>133.48726655177538</v>
      </c>
      <c r="E19" s="2">
        <v>11574</v>
      </c>
      <c r="F19" s="1196">
        <f t="shared" si="1"/>
        <v>164.85723483111178</v>
      </c>
    </row>
    <row r="20" spans="2:6">
      <c r="B20" s="189">
        <v>42475</v>
      </c>
      <c r="C20" s="2">
        <v>53038.91</v>
      </c>
      <c r="D20" s="1196">
        <f t="shared" si="0"/>
        <v>133.16669579120318</v>
      </c>
      <c r="E20" s="2">
        <v>11400</v>
      </c>
      <c r="F20" s="1196">
        <f t="shared" si="1"/>
        <v>162.37882124370782</v>
      </c>
    </row>
    <row r="21" spans="2:6">
      <c r="B21" s="189">
        <v>42474</v>
      </c>
      <c r="C21" s="2">
        <v>52848</v>
      </c>
      <c r="D21" s="1196">
        <f t="shared" si="0"/>
        <v>132.68737119924799</v>
      </c>
      <c r="E21" s="2">
        <v>11467</v>
      </c>
      <c r="F21" s="1196">
        <f t="shared" si="1"/>
        <v>163.33315291242084</v>
      </c>
    </row>
    <row r="22" spans="2:6">
      <c r="B22" s="189">
        <v>42473</v>
      </c>
      <c r="C22" s="2">
        <v>52938.239999999998</v>
      </c>
      <c r="D22" s="1196">
        <f t="shared" si="0"/>
        <v>132.91394000747195</v>
      </c>
      <c r="E22" s="2">
        <v>11554</v>
      </c>
      <c r="F22" s="1196">
        <f t="shared" si="1"/>
        <v>164.57235970612282</v>
      </c>
    </row>
    <row r="23" spans="2:6">
      <c r="B23" s="189">
        <v>42472</v>
      </c>
      <c r="C23" s="2">
        <v>52059.76</v>
      </c>
      <c r="D23" s="1196">
        <f t="shared" si="0"/>
        <v>130.70830872812144</v>
      </c>
      <c r="E23" s="2">
        <v>11500</v>
      </c>
      <c r="F23" s="1196">
        <f t="shared" si="1"/>
        <v>163.80319686865263</v>
      </c>
    </row>
    <row r="24" spans="2:6">
      <c r="B24" s="189">
        <v>42471</v>
      </c>
      <c r="C24" s="2">
        <v>51428.08</v>
      </c>
      <c r="D24" s="1196">
        <f t="shared" si="0"/>
        <v>129.12232707055369</v>
      </c>
      <c r="E24" s="2">
        <v>11655</v>
      </c>
      <c r="F24" s="1196">
        <f t="shared" si="1"/>
        <v>166.01097908731708</v>
      </c>
    </row>
    <row r="25" spans="2:6">
      <c r="B25" s="189">
        <v>42468</v>
      </c>
      <c r="C25" s="2">
        <v>51424.480000000003</v>
      </c>
      <c r="D25" s="1196">
        <f t="shared" si="0"/>
        <v>129.11328842128944</v>
      </c>
      <c r="E25" s="2">
        <v>12060</v>
      </c>
      <c r="F25" s="1196">
        <f t="shared" si="1"/>
        <v>171.77970036834353</v>
      </c>
    </row>
    <row r="26" spans="2:6">
      <c r="B26" s="189">
        <v>42467</v>
      </c>
      <c r="C26" s="2">
        <v>51146.82</v>
      </c>
      <c r="D26" s="1196">
        <f t="shared" si="0"/>
        <v>128.41615748942479</v>
      </c>
      <c r="E26" s="2">
        <v>12150</v>
      </c>
      <c r="F26" s="1196">
        <f t="shared" si="1"/>
        <v>173.06163843079386</v>
      </c>
    </row>
    <row r="27" spans="2:6">
      <c r="B27" s="189">
        <v>42466</v>
      </c>
      <c r="C27" s="2">
        <v>51184.32</v>
      </c>
      <c r="D27" s="1196">
        <f t="shared" si="0"/>
        <v>128.51031008592744</v>
      </c>
      <c r="E27" s="2">
        <v>12040</v>
      </c>
      <c r="F27" s="1196">
        <f t="shared" si="1"/>
        <v>171.49482524335457</v>
      </c>
    </row>
    <row r="28" spans="2:6">
      <c r="B28" s="189">
        <v>42465</v>
      </c>
      <c r="C28" s="2">
        <v>51226.09</v>
      </c>
      <c r="D28" s="1196">
        <f t="shared" si="0"/>
        <v>128.61518352475184</v>
      </c>
      <c r="E28" s="2">
        <v>12040</v>
      </c>
      <c r="F28" s="1196">
        <f t="shared" si="1"/>
        <v>171.49482524335457</v>
      </c>
    </row>
    <row r="29" spans="2:6">
      <c r="B29" s="189">
        <v>42464</v>
      </c>
      <c r="C29" s="2">
        <v>51895.14</v>
      </c>
      <c r="D29" s="1196">
        <f t="shared" si="0"/>
        <v>130.29499138315435</v>
      </c>
      <c r="E29" s="2">
        <v>12399</v>
      </c>
      <c r="F29" s="1196">
        <f t="shared" si="1"/>
        <v>176.60833373690645</v>
      </c>
    </row>
    <row r="30" spans="2:6">
      <c r="B30" s="189">
        <v>42461</v>
      </c>
      <c r="C30" s="2">
        <v>51584.13</v>
      </c>
      <c r="D30" s="1196">
        <f t="shared" si="0"/>
        <v>129.51412740880002</v>
      </c>
      <c r="E30" s="2">
        <v>12135</v>
      </c>
      <c r="F30" s="1196">
        <f t="shared" si="1"/>
        <v>172.84798208705215</v>
      </c>
    </row>
    <row r="31" spans="2:6">
      <c r="B31" s="189">
        <v>42460</v>
      </c>
      <c r="C31" s="2">
        <v>52250.28</v>
      </c>
      <c r="D31" s="1196">
        <f t="shared" si="0"/>
        <v>131.18665413307303</v>
      </c>
      <c r="E31" s="2">
        <v>12500</v>
      </c>
      <c r="F31" s="1196">
        <f t="shared" si="1"/>
        <v>178.04695311810067</v>
      </c>
    </row>
    <row r="32" spans="2:6">
      <c r="B32" s="189">
        <v>42459</v>
      </c>
      <c r="C32" s="2">
        <v>52495.46</v>
      </c>
      <c r="D32" s="1196">
        <f t="shared" si="0"/>
        <v>131.80223636268684</v>
      </c>
      <c r="E32" s="2">
        <v>12581</v>
      </c>
      <c r="F32" s="1196">
        <f t="shared" si="1"/>
        <v>179.20069737430597</v>
      </c>
    </row>
    <row r="33" spans="2:6">
      <c r="B33" s="189">
        <v>42458</v>
      </c>
      <c r="C33" s="2">
        <v>51787.199999999997</v>
      </c>
      <c r="D33" s="1196">
        <f t="shared" si="0"/>
        <v>130.02398254938115</v>
      </c>
      <c r="E33" s="2">
        <v>12426</v>
      </c>
      <c r="F33" s="1196">
        <f t="shared" si="1"/>
        <v>176.99291515564153</v>
      </c>
    </row>
    <row r="34" spans="2:6">
      <c r="B34" s="189">
        <v>42453</v>
      </c>
      <c r="C34" s="2">
        <v>52323.78</v>
      </c>
      <c r="D34" s="1196">
        <f t="shared" si="0"/>
        <v>131.37119322221821</v>
      </c>
      <c r="E34" s="2">
        <v>12400</v>
      </c>
      <c r="F34" s="1196">
        <f t="shared" si="1"/>
        <v>176.62257749315589</v>
      </c>
    </row>
    <row r="35" spans="2:6">
      <c r="B35" s="189">
        <v>42452</v>
      </c>
      <c r="C35" s="2">
        <v>52569.55</v>
      </c>
      <c r="D35" s="1196">
        <f t="shared" si="0"/>
        <v>131.98825678601702</v>
      </c>
      <c r="E35" s="2">
        <v>11950</v>
      </c>
      <c r="F35" s="1196">
        <f t="shared" si="1"/>
        <v>170.21288718090426</v>
      </c>
    </row>
    <row r="36" spans="2:6">
      <c r="B36" s="189">
        <v>42451</v>
      </c>
      <c r="C36" s="2">
        <v>53392.86</v>
      </c>
      <c r="D36" s="1196">
        <f t="shared" si="0"/>
        <v>134.05537076539281</v>
      </c>
      <c r="E36" s="2">
        <v>12850</v>
      </c>
      <c r="F36" s="1196">
        <f t="shared" si="1"/>
        <v>183.03226780540751</v>
      </c>
    </row>
    <row r="37" spans="2:6">
      <c r="B37" s="189">
        <v>42447</v>
      </c>
      <c r="C37" s="2">
        <v>53824.28</v>
      </c>
      <c r="D37" s="1196">
        <f t="shared" si="0"/>
        <v>135.13855245027739</v>
      </c>
      <c r="E37" s="2">
        <v>12890</v>
      </c>
      <c r="F37" s="1196">
        <f t="shared" si="1"/>
        <v>183.60201805538543</v>
      </c>
    </row>
    <row r="38" spans="2:6">
      <c r="B38" s="189">
        <v>42446</v>
      </c>
      <c r="C38" s="2">
        <v>53190.559999999998</v>
      </c>
      <c r="D38" s="1196">
        <f t="shared" si="0"/>
        <v>133.54744889145988</v>
      </c>
      <c r="E38" s="2">
        <v>11900</v>
      </c>
      <c r="F38" s="1196">
        <f t="shared" si="1"/>
        <v>169.50069936843184</v>
      </c>
    </row>
    <row r="39" spans="2:6">
      <c r="B39" s="189">
        <v>42445</v>
      </c>
      <c r="C39" s="2">
        <v>52685.7</v>
      </c>
      <c r="D39" s="1196">
        <f t="shared" si="0"/>
        <v>132.27987876158454</v>
      </c>
      <c r="E39" s="2">
        <v>11523</v>
      </c>
      <c r="F39" s="1196">
        <f t="shared" si="1"/>
        <v>164.13080326238995</v>
      </c>
    </row>
    <row r="40" spans="2:6">
      <c r="B40" s="189">
        <v>42444</v>
      </c>
      <c r="C40" s="2">
        <v>52253.79</v>
      </c>
      <c r="D40" s="1196">
        <f t="shared" si="0"/>
        <v>131.19546681610566</v>
      </c>
      <c r="E40" s="2">
        <v>11221</v>
      </c>
      <c r="F40" s="1196">
        <f t="shared" si="1"/>
        <v>159.82918887505662</v>
      </c>
    </row>
    <row r="41" spans="2:6">
      <c r="B41" s="189">
        <v>42443</v>
      </c>
      <c r="C41" s="2">
        <v>52471.72</v>
      </c>
      <c r="D41" s="1196">
        <f t="shared" si="0"/>
        <v>131.7426314922609</v>
      </c>
      <c r="E41" s="2">
        <v>11155</v>
      </c>
      <c r="F41" s="1196">
        <f t="shared" si="1"/>
        <v>158.88910096259306</v>
      </c>
    </row>
    <row r="42" spans="2:6">
      <c r="B42" s="189">
        <v>42440</v>
      </c>
      <c r="C42" s="2">
        <v>51739.83</v>
      </c>
      <c r="D42" s="1196">
        <f t="shared" si="0"/>
        <v>129.90504898947901</v>
      </c>
      <c r="E42" s="2">
        <v>11150</v>
      </c>
      <c r="F42" s="1196">
        <f t="shared" si="1"/>
        <v>158.81788218134579</v>
      </c>
    </row>
    <row r="43" spans="2:6">
      <c r="B43" s="189">
        <v>42439</v>
      </c>
      <c r="C43" s="2">
        <v>51533.78</v>
      </c>
      <c r="D43" s="1196">
        <f t="shared" si="0"/>
        <v>129.38771185589582</v>
      </c>
      <c r="E43" s="2">
        <v>11700</v>
      </c>
      <c r="F43" s="1196">
        <f t="shared" si="1"/>
        <v>166.65194811854224</v>
      </c>
    </row>
    <row r="44" spans="2:6">
      <c r="B44" s="189">
        <v>42438</v>
      </c>
      <c r="C44" s="2">
        <v>51484.46</v>
      </c>
      <c r="D44" s="1196">
        <f t="shared" si="0"/>
        <v>129.26388236097551</v>
      </c>
      <c r="E44" s="2">
        <v>11800</v>
      </c>
      <c r="F44" s="1196">
        <f t="shared" si="1"/>
        <v>168.07632374348705</v>
      </c>
    </row>
    <row r="45" spans="2:6">
      <c r="B45" s="189">
        <v>42437</v>
      </c>
      <c r="C45" s="2">
        <v>52247.839999999997</v>
      </c>
      <c r="D45" s="1196">
        <f t="shared" si="0"/>
        <v>131.18052793746057</v>
      </c>
      <c r="E45" s="2">
        <v>12000</v>
      </c>
      <c r="F45" s="1196">
        <f t="shared" si="1"/>
        <v>170.92507499337665</v>
      </c>
    </row>
    <row r="46" spans="2:6">
      <c r="B46" s="189">
        <v>42436</v>
      </c>
      <c r="C46" s="2">
        <v>52673.79</v>
      </c>
      <c r="D46" s="1196">
        <f t="shared" si="0"/>
        <v>132.2499758969353</v>
      </c>
      <c r="E46" s="2">
        <v>12214</v>
      </c>
      <c r="F46" s="1196">
        <f t="shared" si="1"/>
        <v>173.97323883075856</v>
      </c>
    </row>
    <row r="47" spans="2:6">
      <c r="B47" s="189">
        <v>42433</v>
      </c>
      <c r="C47" s="2">
        <v>52200.71</v>
      </c>
      <c r="D47" s="1196">
        <f t="shared" si="0"/>
        <v>131.06219695417604</v>
      </c>
      <c r="E47" s="2">
        <v>12249</v>
      </c>
      <c r="F47" s="1196">
        <f t="shared" si="1"/>
        <v>174.47177029948921</v>
      </c>
    </row>
    <row r="48" spans="2:6">
      <c r="B48" s="189">
        <v>42432</v>
      </c>
      <c r="C48" s="2">
        <v>51787.01</v>
      </c>
      <c r="D48" s="1196">
        <f t="shared" si="0"/>
        <v>130.02350550955887</v>
      </c>
      <c r="E48" s="2">
        <v>11950</v>
      </c>
      <c r="F48" s="1196">
        <f t="shared" si="1"/>
        <v>170.21288718090426</v>
      </c>
    </row>
    <row r="49" spans="2:6">
      <c r="B49" s="189">
        <v>42431</v>
      </c>
      <c r="C49" s="2">
        <v>50966.93</v>
      </c>
      <c r="D49" s="1196">
        <f t="shared" si="0"/>
        <v>127.96450120716183</v>
      </c>
      <c r="E49" s="2">
        <v>12500</v>
      </c>
      <c r="F49" s="1196">
        <f t="shared" si="1"/>
        <v>178.04695311810067</v>
      </c>
    </row>
    <row r="50" spans="2:6">
      <c r="B50" s="189">
        <v>42430</v>
      </c>
      <c r="C50" s="2">
        <v>50315.09</v>
      </c>
      <c r="D50" s="1196">
        <f t="shared" si="0"/>
        <v>126.32790311371424</v>
      </c>
      <c r="E50" s="2">
        <v>11554</v>
      </c>
      <c r="F50" s="1196">
        <f t="shared" si="1"/>
        <v>164.57235970612282</v>
      </c>
    </row>
    <row r="51" spans="2:6">
      <c r="B51" s="189">
        <v>42429</v>
      </c>
      <c r="C51" s="2">
        <v>49415.31</v>
      </c>
      <c r="D51" s="1196">
        <f t="shared" si="0"/>
        <v>124.06879315955024</v>
      </c>
      <c r="E51" s="2">
        <v>11500</v>
      </c>
      <c r="F51" s="1196">
        <f t="shared" si="1"/>
        <v>163.80319686865263</v>
      </c>
    </row>
    <row r="52" spans="2:6">
      <c r="B52" s="189">
        <v>42426</v>
      </c>
      <c r="C52" s="2">
        <v>49429.4</v>
      </c>
      <c r="D52" s="1196">
        <f t="shared" si="0"/>
        <v>124.10416942847617</v>
      </c>
      <c r="E52" s="2">
        <v>11422</v>
      </c>
      <c r="F52" s="1196">
        <f t="shared" si="1"/>
        <v>162.69218388119569</v>
      </c>
    </row>
    <row r="53" spans="2:6">
      <c r="B53" s="189">
        <v>42425</v>
      </c>
      <c r="C53" s="2">
        <v>48373.17</v>
      </c>
      <c r="D53" s="1196">
        <f t="shared" si="0"/>
        <v>121.45225484170312</v>
      </c>
      <c r="E53" s="2">
        <v>11500</v>
      </c>
      <c r="F53" s="1196">
        <f t="shared" si="1"/>
        <v>163.80319686865263</v>
      </c>
    </row>
    <row r="54" spans="2:6">
      <c r="B54" s="189">
        <v>42424</v>
      </c>
      <c r="C54" s="2">
        <v>47995.82</v>
      </c>
      <c r="D54" s="1196">
        <f t="shared" si="0"/>
        <v>120.50482864729584</v>
      </c>
      <c r="E54" s="2">
        <v>11500</v>
      </c>
      <c r="F54" s="1196">
        <f t="shared" si="1"/>
        <v>163.80319686865263</v>
      </c>
    </row>
    <row r="55" spans="2:6">
      <c r="B55" s="189">
        <v>42423</v>
      </c>
      <c r="C55" s="2">
        <v>48421.99</v>
      </c>
      <c r="D55" s="1196">
        <f t="shared" si="0"/>
        <v>121.57482896867002</v>
      </c>
      <c r="E55" s="2">
        <v>11524</v>
      </c>
      <c r="F55" s="1196">
        <f t="shared" si="1"/>
        <v>164.14504701863939</v>
      </c>
    </row>
    <row r="56" spans="2:6">
      <c r="B56" s="189">
        <v>42422</v>
      </c>
      <c r="C56" s="2">
        <v>49112.800000000003</v>
      </c>
      <c r="D56" s="1196">
        <f t="shared" si="0"/>
        <v>123.30927044040318</v>
      </c>
      <c r="E56" s="2">
        <v>11510</v>
      </c>
      <c r="F56" s="1196">
        <f t="shared" si="1"/>
        <v>163.94563443114711</v>
      </c>
    </row>
    <row r="57" spans="2:6">
      <c r="B57" s="189">
        <v>42419</v>
      </c>
      <c r="C57" s="2">
        <v>48940.43</v>
      </c>
      <c r="D57" s="1196">
        <f t="shared" si="0"/>
        <v>122.87649489215889</v>
      </c>
      <c r="E57" s="2">
        <v>11500</v>
      </c>
      <c r="F57" s="1196">
        <f t="shared" si="1"/>
        <v>163.80319686865263</v>
      </c>
    </row>
    <row r="58" spans="2:6">
      <c r="B58" s="189">
        <v>42418</v>
      </c>
      <c r="C58" s="2">
        <v>49857.7</v>
      </c>
      <c r="D58" s="1196">
        <f t="shared" si="0"/>
        <v>125.1795176173317</v>
      </c>
      <c r="E58" s="2">
        <v>11500</v>
      </c>
      <c r="F58" s="1196">
        <f t="shared" si="1"/>
        <v>163.80319686865263</v>
      </c>
    </row>
    <row r="59" spans="2:6">
      <c r="B59" s="189">
        <v>42417</v>
      </c>
      <c r="C59" s="2">
        <v>50039.31</v>
      </c>
      <c r="D59" s="1196">
        <f t="shared" si="0"/>
        <v>125.63549236535425</v>
      </c>
      <c r="E59" s="2">
        <v>11400</v>
      </c>
      <c r="F59" s="1196">
        <f t="shared" si="1"/>
        <v>162.37882124370782</v>
      </c>
    </row>
    <row r="60" spans="2:6">
      <c r="B60" s="189">
        <v>42416</v>
      </c>
      <c r="C60" s="2">
        <v>49387.1</v>
      </c>
      <c r="D60" s="1196">
        <f t="shared" si="0"/>
        <v>123.99796529962117</v>
      </c>
      <c r="E60" s="2">
        <v>11199</v>
      </c>
      <c r="F60" s="1196">
        <f t="shared" si="1"/>
        <v>159.51582623756877</v>
      </c>
    </row>
    <row r="61" spans="2:6">
      <c r="B61" s="189">
        <v>42415</v>
      </c>
      <c r="C61" s="2">
        <v>49851.95</v>
      </c>
      <c r="D61" s="1196">
        <f t="shared" si="0"/>
        <v>125.16508088586798</v>
      </c>
      <c r="E61" s="2">
        <v>11402</v>
      </c>
      <c r="F61" s="1196">
        <f t="shared" si="1"/>
        <v>162.40730875620673</v>
      </c>
    </row>
    <row r="62" spans="2:6">
      <c r="B62" s="189">
        <v>42412</v>
      </c>
      <c r="C62" s="2">
        <v>48589.69</v>
      </c>
      <c r="D62" s="1196">
        <f t="shared" si="0"/>
        <v>121.99587938022987</v>
      </c>
      <c r="E62" s="2">
        <v>11200</v>
      </c>
      <c r="F62" s="1196">
        <f t="shared" si="1"/>
        <v>159.53006999381819</v>
      </c>
    </row>
    <row r="63" spans="2:6">
      <c r="B63" s="189">
        <v>42411</v>
      </c>
      <c r="C63" s="2">
        <v>47411.57</v>
      </c>
      <c r="D63" s="1196">
        <f t="shared" si="0"/>
        <v>119.03793119378463</v>
      </c>
      <c r="E63" s="2">
        <v>10825</v>
      </c>
      <c r="F63" s="1196">
        <f t="shared" si="1"/>
        <v>154.18866140027518</v>
      </c>
    </row>
    <row r="64" spans="2:6">
      <c r="B64" s="189">
        <v>42410</v>
      </c>
      <c r="C64" s="2">
        <v>48273.24</v>
      </c>
      <c r="D64" s="1196">
        <f t="shared" si="0"/>
        <v>121.20135700254286</v>
      </c>
      <c r="E64" s="2">
        <v>11000</v>
      </c>
      <c r="F64" s="1196">
        <f t="shared" si="1"/>
        <v>156.68131874392861</v>
      </c>
    </row>
    <row r="65" spans="2:6">
      <c r="B65" s="189">
        <v>42409</v>
      </c>
      <c r="C65" s="2">
        <v>48344.75</v>
      </c>
      <c r="D65" s="1196">
        <f t="shared" si="0"/>
        <v>121.38089972723365</v>
      </c>
      <c r="E65" s="2">
        <v>11054</v>
      </c>
      <c r="F65" s="1196">
        <f t="shared" si="1"/>
        <v>157.4504815813988</v>
      </c>
    </row>
    <row r="66" spans="2:6">
      <c r="B66" s="189">
        <v>42408</v>
      </c>
      <c r="C66" s="2">
        <v>49429.59</v>
      </c>
      <c r="D66" s="1196">
        <f t="shared" si="0"/>
        <v>124.10464646829844</v>
      </c>
      <c r="E66" s="2">
        <v>11184</v>
      </c>
      <c r="F66" s="1196">
        <f t="shared" si="1"/>
        <v>159.30216989382703</v>
      </c>
    </row>
    <row r="67" spans="2:6">
      <c r="B67" s="189">
        <v>42405</v>
      </c>
      <c r="C67" s="2">
        <v>49753.29</v>
      </c>
      <c r="D67" s="1196">
        <f t="shared" si="0"/>
        <v>124.91737168130928</v>
      </c>
      <c r="E67" s="2">
        <v>11415</v>
      </c>
      <c r="F67" s="1196">
        <f t="shared" si="1"/>
        <v>162.59247758744954</v>
      </c>
    </row>
    <row r="68" spans="2:6">
      <c r="B68" s="189">
        <v>42404</v>
      </c>
      <c r="C68" s="2">
        <v>49627.53</v>
      </c>
      <c r="D68" s="1196">
        <f t="shared" si="0"/>
        <v>124.601621533678</v>
      </c>
      <c r="E68" s="2">
        <v>11661</v>
      </c>
      <c r="F68" s="1196">
        <f t="shared" si="1"/>
        <v>166.09644162481376</v>
      </c>
    </row>
    <row r="69" spans="2:6">
      <c r="B69" s="189">
        <v>42403</v>
      </c>
      <c r="C69" s="2">
        <v>48535.48</v>
      </c>
      <c r="D69" s="1196">
        <f t="shared" si="0"/>
        <v>121.85977238672565</v>
      </c>
      <c r="E69" s="2">
        <v>11800</v>
      </c>
      <c r="F69" s="1196">
        <f t="shared" si="1"/>
        <v>168.07632374348705</v>
      </c>
    </row>
    <row r="70" spans="2:6">
      <c r="B70" s="189">
        <v>42402</v>
      </c>
      <c r="C70" s="2">
        <v>48029.24</v>
      </c>
      <c r="D70" s="1196">
        <f t="shared" si="0"/>
        <v>120.58873744129899</v>
      </c>
      <c r="E70" s="2">
        <v>11001</v>
      </c>
      <c r="F70" s="1196">
        <f t="shared" si="1"/>
        <v>156.69556250017806</v>
      </c>
    </row>
    <row r="71" spans="2:6">
      <c r="B71" s="189">
        <v>42401</v>
      </c>
      <c r="C71" s="2">
        <v>49055.54</v>
      </c>
      <c r="D71" s="1196">
        <f t="shared" si="0"/>
        <v>123.1655057023834</v>
      </c>
      <c r="E71" s="2">
        <v>11100</v>
      </c>
      <c r="F71" s="1196">
        <f t="shared" si="1"/>
        <v>158.1056943688734</v>
      </c>
    </row>
    <row r="72" spans="2:6">
      <c r="B72" s="189">
        <v>42398</v>
      </c>
      <c r="C72" s="2">
        <v>49141.94</v>
      </c>
      <c r="D72" s="1196">
        <f t="shared" si="0"/>
        <v>123.38243328472549</v>
      </c>
      <c r="E72" s="2">
        <v>11186</v>
      </c>
      <c r="F72" s="1196">
        <f t="shared" si="1"/>
        <v>159.33065740632594</v>
      </c>
    </row>
    <row r="73" spans="2:6">
      <c r="B73" s="189">
        <v>42397</v>
      </c>
      <c r="C73" s="2">
        <v>48702.61</v>
      </c>
      <c r="D73" s="1196">
        <f t="shared" si="0"/>
        <v>122.27939167881863</v>
      </c>
      <c r="E73" s="2">
        <v>11398</v>
      </c>
      <c r="F73" s="1196">
        <f t="shared" si="1"/>
        <v>162.35033373120893</v>
      </c>
    </row>
    <row r="74" spans="2:6">
      <c r="B74" s="189">
        <v>42396</v>
      </c>
      <c r="C74" s="2">
        <v>47923.92</v>
      </c>
      <c r="D74" s="1196">
        <f t="shared" ref="D74:D137" si="2">C74/$C$757*100</f>
        <v>120.32430673560144</v>
      </c>
      <c r="E74" s="2">
        <v>11509</v>
      </c>
      <c r="F74" s="1196">
        <f t="shared" ref="F74:F137" si="3">E74/$E$757*100</f>
        <v>163.93139067489767</v>
      </c>
    </row>
    <row r="75" spans="2:6">
      <c r="B75" s="189">
        <v>42395</v>
      </c>
      <c r="C75" s="2">
        <v>47532.4</v>
      </c>
      <c r="D75" s="1196">
        <f t="shared" si="2"/>
        <v>119.34130341339568</v>
      </c>
      <c r="E75" s="2">
        <v>11482</v>
      </c>
      <c r="F75" s="1196">
        <f t="shared" si="3"/>
        <v>163.54680925616256</v>
      </c>
    </row>
    <row r="76" spans="2:6">
      <c r="B76" s="189">
        <v>42394</v>
      </c>
      <c r="C76" s="2">
        <v>47210.42</v>
      </c>
      <c r="D76" s="1196">
        <f t="shared" si="2"/>
        <v>118.53289666614444</v>
      </c>
      <c r="E76" s="2">
        <v>11343</v>
      </c>
      <c r="F76" s="1196">
        <f t="shared" si="3"/>
        <v>161.56692713748927</v>
      </c>
    </row>
    <row r="77" spans="2:6">
      <c r="B77" s="189">
        <v>42391</v>
      </c>
      <c r="C77" s="2">
        <v>47661.87</v>
      </c>
      <c r="D77" s="1196">
        <f t="shared" si="2"/>
        <v>119.66636839124097</v>
      </c>
      <c r="E77" s="2">
        <v>11300</v>
      </c>
      <c r="F77" s="1196">
        <f t="shared" si="3"/>
        <v>160.95444561876303</v>
      </c>
    </row>
    <row r="78" spans="2:6">
      <c r="B78" s="189">
        <v>42390</v>
      </c>
      <c r="C78" s="2">
        <v>46282.02</v>
      </c>
      <c r="D78" s="1196">
        <f t="shared" si="2"/>
        <v>116.20192945032962</v>
      </c>
      <c r="E78" s="2">
        <v>11099</v>
      </c>
      <c r="F78" s="1196">
        <f t="shared" si="3"/>
        <v>158.09145061262396</v>
      </c>
    </row>
    <row r="79" spans="2:6">
      <c r="B79" s="189">
        <v>42389</v>
      </c>
      <c r="C79" s="2">
        <v>46329.78</v>
      </c>
      <c r="D79" s="1196">
        <f t="shared" si="2"/>
        <v>116.32184219723538</v>
      </c>
      <c r="E79" s="2">
        <v>11000</v>
      </c>
      <c r="F79" s="1196">
        <f t="shared" si="3"/>
        <v>156.68131874392861</v>
      </c>
    </row>
    <row r="80" spans="2:6">
      <c r="B80" s="189">
        <v>42388</v>
      </c>
      <c r="C80" s="2">
        <v>47627.76</v>
      </c>
      <c r="D80" s="1196">
        <f t="shared" si="2"/>
        <v>119.58072718946215</v>
      </c>
      <c r="E80" s="2">
        <v>11100</v>
      </c>
      <c r="F80" s="1196">
        <f t="shared" si="3"/>
        <v>158.1056943688734</v>
      </c>
    </row>
    <row r="81" spans="2:6">
      <c r="B81" s="189">
        <v>42387</v>
      </c>
      <c r="C81" s="2">
        <v>46876.62</v>
      </c>
      <c r="D81" s="1196">
        <f t="shared" si="2"/>
        <v>117.69481302047555</v>
      </c>
      <c r="E81" s="2">
        <v>11064</v>
      </c>
      <c r="F81" s="1196">
        <f t="shared" si="3"/>
        <v>157.59291914389328</v>
      </c>
    </row>
    <row r="82" spans="2:6">
      <c r="B82" s="189">
        <v>42384</v>
      </c>
      <c r="C82" s="2">
        <v>46960.37</v>
      </c>
      <c r="D82" s="1196">
        <f t="shared" si="2"/>
        <v>117.90508715266481</v>
      </c>
      <c r="E82" s="2">
        <v>11000</v>
      </c>
      <c r="F82" s="1196">
        <f t="shared" si="3"/>
        <v>156.68131874392861</v>
      </c>
    </row>
    <row r="83" spans="2:6">
      <c r="B83" s="189">
        <v>42383</v>
      </c>
      <c r="C83" s="2">
        <v>47697.53</v>
      </c>
      <c r="D83" s="1196">
        <f t="shared" si="2"/>
        <v>119.75590123367519</v>
      </c>
      <c r="E83" s="2">
        <v>11000</v>
      </c>
      <c r="F83" s="1196">
        <f t="shared" si="3"/>
        <v>156.68131874392861</v>
      </c>
    </row>
    <row r="84" spans="2:6">
      <c r="B84" s="189">
        <v>42382</v>
      </c>
      <c r="C84" s="2">
        <v>48412.800000000003</v>
      </c>
      <c r="D84" s="1196">
        <f t="shared" si="2"/>
        <v>121.55175530568714</v>
      </c>
      <c r="E84" s="2">
        <v>11000</v>
      </c>
      <c r="F84" s="1196">
        <f t="shared" si="3"/>
        <v>156.68131874392861</v>
      </c>
    </row>
    <row r="85" spans="2:6">
      <c r="B85" s="189">
        <v>42381</v>
      </c>
      <c r="C85" s="2">
        <v>48396.18</v>
      </c>
      <c r="D85" s="1196">
        <f t="shared" si="2"/>
        <v>121.51002687491714</v>
      </c>
      <c r="E85" s="2">
        <v>10800</v>
      </c>
      <c r="F85" s="1196">
        <f t="shared" si="3"/>
        <v>153.83256749403898</v>
      </c>
    </row>
    <row r="86" spans="2:6">
      <c r="B86" s="189">
        <v>42380</v>
      </c>
      <c r="C86" s="2">
        <v>48322.68</v>
      </c>
      <c r="D86" s="1196">
        <f t="shared" si="2"/>
        <v>121.32548778577197</v>
      </c>
      <c r="E86" s="2">
        <v>10641</v>
      </c>
      <c r="F86" s="1196">
        <f t="shared" si="3"/>
        <v>151.56781025037677</v>
      </c>
    </row>
    <row r="87" spans="2:6">
      <c r="B87" s="189">
        <v>42377</v>
      </c>
      <c r="C87" s="2">
        <v>48104.68</v>
      </c>
      <c r="D87" s="1196">
        <f t="shared" si="2"/>
        <v>120.77814735810325</v>
      </c>
      <c r="E87" s="2">
        <v>10741</v>
      </c>
      <c r="F87" s="1196">
        <f t="shared" si="3"/>
        <v>152.99218587532155</v>
      </c>
    </row>
    <row r="88" spans="2:6">
      <c r="B88" s="189">
        <v>42376</v>
      </c>
      <c r="C88" s="2">
        <v>48052.78</v>
      </c>
      <c r="D88" s="1196">
        <f t="shared" si="2"/>
        <v>120.6478401645436</v>
      </c>
      <c r="E88" s="2">
        <v>10741</v>
      </c>
      <c r="F88" s="1196">
        <f t="shared" si="3"/>
        <v>152.99218587532155</v>
      </c>
    </row>
    <row r="89" spans="2:6">
      <c r="B89" s="189">
        <v>42375</v>
      </c>
      <c r="C89" s="2">
        <v>49082.29</v>
      </c>
      <c r="D89" s="1196">
        <f t="shared" si="2"/>
        <v>123.23266788788862</v>
      </c>
      <c r="E89" s="2">
        <v>10643.36</v>
      </c>
      <c r="F89" s="1196">
        <f t="shared" si="3"/>
        <v>151.60142551512544</v>
      </c>
    </row>
    <row r="90" spans="2:6">
      <c r="B90" s="189">
        <v>42374</v>
      </c>
      <c r="C90" s="2">
        <v>49599.72</v>
      </c>
      <c r="D90" s="1196">
        <f t="shared" si="2"/>
        <v>124.53179796811165</v>
      </c>
      <c r="E90" s="2">
        <v>10741</v>
      </c>
      <c r="F90" s="1196">
        <f t="shared" si="3"/>
        <v>152.99218587532155</v>
      </c>
    </row>
    <row r="91" spans="2:6">
      <c r="B91" s="189">
        <v>42373</v>
      </c>
      <c r="C91" s="2">
        <v>49316.61</v>
      </c>
      <c r="D91" s="1196">
        <f t="shared" si="2"/>
        <v>123.82098352555528</v>
      </c>
      <c r="E91" s="2">
        <v>11058.35</v>
      </c>
      <c r="F91" s="1196">
        <f t="shared" si="3"/>
        <v>157.51244192108388</v>
      </c>
    </row>
    <row r="92" spans="2:6">
      <c r="B92" s="189">
        <v>42369</v>
      </c>
      <c r="C92" s="2">
        <v>50693.760000000002</v>
      </c>
      <c r="D92" s="1196">
        <f t="shared" si="2"/>
        <v>127.27864347951842</v>
      </c>
      <c r="E92" s="2">
        <v>11424.52</v>
      </c>
      <c r="F92" s="1196">
        <f t="shared" si="3"/>
        <v>162.72807814694431</v>
      </c>
    </row>
    <row r="93" spans="2:6">
      <c r="B93" s="189">
        <v>42368</v>
      </c>
      <c r="C93" s="2">
        <v>50805.13</v>
      </c>
      <c r="D93" s="1196">
        <f t="shared" si="2"/>
        <v>127.55826413745174</v>
      </c>
      <c r="E93" s="2">
        <v>11182.36</v>
      </c>
      <c r="F93" s="1196">
        <f t="shared" si="3"/>
        <v>159.27881013357796</v>
      </c>
    </row>
    <row r="94" spans="2:6">
      <c r="B94" s="189">
        <v>42367</v>
      </c>
      <c r="C94" s="2">
        <v>50964.44</v>
      </c>
      <c r="D94" s="1196">
        <f t="shared" si="2"/>
        <v>127.95824947475406</v>
      </c>
      <c r="E94" s="2">
        <v>10985.11</v>
      </c>
      <c r="F94" s="1196">
        <f t="shared" si="3"/>
        <v>156.46922921337435</v>
      </c>
    </row>
    <row r="95" spans="2:6">
      <c r="B95" s="189">
        <v>42366</v>
      </c>
      <c r="C95" s="2">
        <v>51188.72</v>
      </c>
      <c r="D95" s="1196">
        <f t="shared" si="2"/>
        <v>128.52135732391707</v>
      </c>
      <c r="E95" s="2">
        <v>10848.41</v>
      </c>
      <c r="F95" s="1196">
        <f t="shared" si="3"/>
        <v>154.52210773407478</v>
      </c>
    </row>
    <row r="96" spans="2:6">
      <c r="B96" s="189">
        <v>42362</v>
      </c>
      <c r="C96" s="2">
        <v>51324.01</v>
      </c>
      <c r="D96" s="1196">
        <f t="shared" si="2"/>
        <v>128.86103478473956</v>
      </c>
      <c r="E96" s="2">
        <v>10863.06</v>
      </c>
      <c r="F96" s="1196">
        <f t="shared" si="3"/>
        <v>154.73077876312917</v>
      </c>
    </row>
    <row r="97" spans="2:6">
      <c r="B97" s="189">
        <v>42361</v>
      </c>
      <c r="C97" s="2">
        <v>50839.81</v>
      </c>
      <c r="D97" s="1196">
        <f t="shared" si="2"/>
        <v>127.64533645869737</v>
      </c>
      <c r="E97" s="2">
        <v>10863.06</v>
      </c>
      <c r="F97" s="1196">
        <f t="shared" si="3"/>
        <v>154.73077876312917</v>
      </c>
    </row>
    <row r="98" spans="2:6">
      <c r="B98" s="189">
        <v>42360</v>
      </c>
      <c r="C98" s="2">
        <v>49780.33</v>
      </c>
      <c r="D98" s="1196">
        <f t="shared" si="2"/>
        <v>124.98526198022746</v>
      </c>
      <c r="E98" s="2">
        <v>10855.25</v>
      </c>
      <c r="F98" s="1196">
        <f t="shared" si="3"/>
        <v>154.61953502682098</v>
      </c>
    </row>
    <row r="99" spans="2:6">
      <c r="B99" s="189">
        <v>42359</v>
      </c>
      <c r="C99" s="2">
        <v>49189.99</v>
      </c>
      <c r="D99" s="1196">
        <f t="shared" si="2"/>
        <v>123.5030741450442</v>
      </c>
      <c r="E99" s="2">
        <v>10969.49</v>
      </c>
      <c r="F99" s="1196">
        <f t="shared" si="3"/>
        <v>156.24674174075795</v>
      </c>
    </row>
    <row r="100" spans="2:6">
      <c r="B100" s="189">
        <v>42356</v>
      </c>
      <c r="C100" s="2">
        <v>48717.279999999999</v>
      </c>
      <c r="D100" s="1196">
        <f t="shared" si="2"/>
        <v>122.31622417457046</v>
      </c>
      <c r="E100" s="2">
        <v>11079.83</v>
      </c>
      <c r="F100" s="1196">
        <f t="shared" si="3"/>
        <v>157.81839780532204</v>
      </c>
    </row>
    <row r="101" spans="2:6">
      <c r="B101" s="189">
        <v>42355</v>
      </c>
      <c r="C101" s="2">
        <v>49706.29</v>
      </c>
      <c r="D101" s="1196">
        <f t="shared" si="2"/>
        <v>124.79936709369264</v>
      </c>
      <c r="E101" s="2">
        <v>11033.94</v>
      </c>
      <c r="F101" s="1196">
        <f t="shared" si="3"/>
        <v>157.16475183103486</v>
      </c>
    </row>
    <row r="102" spans="2:6">
      <c r="B102" s="189">
        <v>42353</v>
      </c>
      <c r="C102" s="2">
        <v>48428.77</v>
      </c>
      <c r="D102" s="1196">
        <f t="shared" si="2"/>
        <v>121.59185175811771</v>
      </c>
      <c r="E102" s="2">
        <v>11139.39</v>
      </c>
      <c r="F102" s="1196">
        <f t="shared" si="3"/>
        <v>158.66675592753916</v>
      </c>
    </row>
    <row r="103" spans="2:6">
      <c r="B103" s="189">
        <v>42352</v>
      </c>
      <c r="C103" s="2">
        <v>48081.71</v>
      </c>
      <c r="D103" s="1196">
        <f t="shared" si="2"/>
        <v>120.72047575432549</v>
      </c>
      <c r="E103" s="2">
        <v>10936.29</v>
      </c>
      <c r="F103" s="1196">
        <f t="shared" si="3"/>
        <v>155.77384903327626</v>
      </c>
    </row>
    <row r="104" spans="2:6">
      <c r="B104" s="189">
        <v>42349</v>
      </c>
      <c r="C104" s="2">
        <v>48067.53</v>
      </c>
      <c r="D104" s="1196">
        <f t="shared" si="2"/>
        <v>120.68487351916797</v>
      </c>
      <c r="E104" s="2">
        <v>10936.29</v>
      </c>
      <c r="F104" s="1196">
        <f t="shared" si="3"/>
        <v>155.77384903327626</v>
      </c>
    </row>
    <row r="105" spans="2:6">
      <c r="B105" s="189">
        <v>42348</v>
      </c>
      <c r="C105" s="2">
        <v>48984.53</v>
      </c>
      <c r="D105" s="1196">
        <f t="shared" si="2"/>
        <v>122.98721834564599</v>
      </c>
      <c r="E105" s="2">
        <v>11699.88</v>
      </c>
      <c r="F105" s="1196">
        <f t="shared" si="3"/>
        <v>166.6502388677923</v>
      </c>
    </row>
    <row r="106" spans="2:6">
      <c r="B106" s="189">
        <v>42347</v>
      </c>
      <c r="C106" s="2">
        <v>49523.56</v>
      </c>
      <c r="D106" s="1196">
        <f t="shared" si="2"/>
        <v>124.34058032145454</v>
      </c>
      <c r="E106" s="2">
        <v>11453.81</v>
      </c>
      <c r="F106" s="1196">
        <f t="shared" si="3"/>
        <v>163.14527776749063</v>
      </c>
    </row>
    <row r="107" spans="2:6">
      <c r="B107" s="189">
        <v>42346</v>
      </c>
      <c r="C107" s="2">
        <v>49083.8</v>
      </c>
      <c r="D107" s="1196">
        <f t="shared" si="2"/>
        <v>123.23645909910779</v>
      </c>
      <c r="E107" s="2">
        <v>11570.99</v>
      </c>
      <c r="F107" s="1196">
        <f t="shared" si="3"/>
        <v>164.81436112480094</v>
      </c>
    </row>
    <row r="108" spans="2:6">
      <c r="B108" s="189">
        <v>42345</v>
      </c>
      <c r="C108" s="2">
        <v>49860.74</v>
      </c>
      <c r="D108" s="1196">
        <f t="shared" si="2"/>
        <v>125.18715025448819</v>
      </c>
      <c r="E108" s="2">
        <v>10960.7</v>
      </c>
      <c r="F108" s="1196">
        <f t="shared" si="3"/>
        <v>156.12153912332531</v>
      </c>
    </row>
    <row r="109" spans="2:6">
      <c r="B109" s="189">
        <v>42342</v>
      </c>
      <c r="C109" s="2">
        <v>49284.49</v>
      </c>
      <c r="D109" s="1196">
        <f t="shared" si="2"/>
        <v>123.74033868823086</v>
      </c>
      <c r="E109" s="2">
        <v>10852.32</v>
      </c>
      <c r="F109" s="1196">
        <f t="shared" si="3"/>
        <v>154.5778008210101</v>
      </c>
    </row>
    <row r="110" spans="2:6">
      <c r="B110" s="189">
        <v>42341</v>
      </c>
      <c r="C110" s="2">
        <v>50424.89</v>
      </c>
      <c r="D110" s="1196">
        <f t="shared" si="2"/>
        <v>126.60358191627398</v>
      </c>
      <c r="E110" s="2">
        <v>11082.76</v>
      </c>
      <c r="F110" s="1196">
        <f t="shared" si="3"/>
        <v>157.86013201113295</v>
      </c>
    </row>
    <row r="111" spans="2:6">
      <c r="B111" s="189">
        <v>42340</v>
      </c>
      <c r="C111" s="2">
        <v>51159.11</v>
      </c>
      <c r="D111" s="1196">
        <f t="shared" si="2"/>
        <v>128.44701443371858</v>
      </c>
      <c r="E111" s="2">
        <v>11033.94</v>
      </c>
      <c r="F111" s="1196">
        <f t="shared" si="3"/>
        <v>157.16475183103486</v>
      </c>
    </row>
    <row r="112" spans="2:6">
      <c r="B112" s="189">
        <v>42339</v>
      </c>
      <c r="C112" s="2">
        <v>51535.82</v>
      </c>
      <c r="D112" s="1196">
        <f t="shared" si="2"/>
        <v>129.39283375714555</v>
      </c>
      <c r="E112" s="2">
        <v>11065.18</v>
      </c>
      <c r="F112" s="1196">
        <f t="shared" si="3"/>
        <v>157.60972677626762</v>
      </c>
    </row>
    <row r="113" spans="2:6">
      <c r="B113" s="189">
        <v>42338</v>
      </c>
      <c r="C113" s="2">
        <v>51607.83</v>
      </c>
      <c r="D113" s="1196">
        <f t="shared" si="2"/>
        <v>129.57363184978971</v>
      </c>
      <c r="E113" s="2">
        <v>11033.94</v>
      </c>
      <c r="F113" s="1196">
        <f t="shared" si="3"/>
        <v>157.16475183103486</v>
      </c>
    </row>
    <row r="114" spans="2:6">
      <c r="B114" s="189">
        <v>42335</v>
      </c>
      <c r="C114" s="2">
        <v>51637.279999999999</v>
      </c>
      <c r="D114" s="1196">
        <f t="shared" si="2"/>
        <v>129.64757302224311</v>
      </c>
      <c r="E114" s="2">
        <v>11033.94</v>
      </c>
      <c r="F114" s="1196">
        <f t="shared" si="3"/>
        <v>157.16475183103486</v>
      </c>
    </row>
    <row r="115" spans="2:6">
      <c r="B115" s="189">
        <v>42334</v>
      </c>
      <c r="C115" s="2">
        <v>52229.919999999998</v>
      </c>
      <c r="D115" s="1196">
        <f t="shared" si="2"/>
        <v>131.13553555001184</v>
      </c>
      <c r="E115" s="2">
        <v>11174.55</v>
      </c>
      <c r="F115" s="1196">
        <f t="shared" si="3"/>
        <v>159.16756639726975</v>
      </c>
    </row>
    <row r="116" spans="2:6">
      <c r="B116" s="189">
        <v>42333</v>
      </c>
      <c r="C116" s="2">
        <v>51914.55</v>
      </c>
      <c r="D116" s="1196">
        <f t="shared" si="2"/>
        <v>130.34372476710413</v>
      </c>
      <c r="E116" s="2">
        <v>10990.97</v>
      </c>
      <c r="F116" s="1196">
        <f t="shared" si="3"/>
        <v>156.55269762499609</v>
      </c>
    </row>
    <row r="117" spans="2:6">
      <c r="B117" s="189">
        <v>42332</v>
      </c>
      <c r="C117" s="2">
        <v>51817.84</v>
      </c>
      <c r="D117" s="1196">
        <f t="shared" si="2"/>
        <v>130.10091149756357</v>
      </c>
      <c r="E117" s="2">
        <v>11033.94</v>
      </c>
      <c r="F117" s="1196">
        <f t="shared" si="3"/>
        <v>157.16475183103486</v>
      </c>
    </row>
    <row r="118" spans="2:6">
      <c r="B118" s="189">
        <v>42331</v>
      </c>
      <c r="C118" s="2">
        <v>52195.98</v>
      </c>
      <c r="D118" s="1196">
        <f t="shared" si="2"/>
        <v>131.05032117333718</v>
      </c>
      <c r="E118" s="2">
        <v>11228.25</v>
      </c>
      <c r="F118" s="1196">
        <f t="shared" si="3"/>
        <v>159.93245610786514</v>
      </c>
    </row>
    <row r="119" spans="2:6">
      <c r="B119" s="189">
        <v>42328</v>
      </c>
      <c r="C119" s="2">
        <v>52240.58</v>
      </c>
      <c r="D119" s="1196">
        <f t="shared" si="2"/>
        <v>131.1622999947777</v>
      </c>
      <c r="E119" s="2">
        <v>11229.23</v>
      </c>
      <c r="F119" s="1196">
        <f t="shared" si="3"/>
        <v>159.94641498898957</v>
      </c>
    </row>
    <row r="120" spans="2:6">
      <c r="B120" s="189">
        <v>42327</v>
      </c>
      <c r="C120" s="2">
        <v>52116.26</v>
      </c>
      <c r="D120" s="1196">
        <f t="shared" si="2"/>
        <v>130.85016530685212</v>
      </c>
      <c r="E120" s="2">
        <v>11229.23</v>
      </c>
      <c r="F120" s="1196">
        <f t="shared" si="3"/>
        <v>159.94641498898957</v>
      </c>
    </row>
    <row r="121" spans="2:6">
      <c r="B121" s="189">
        <v>42326</v>
      </c>
      <c r="C121" s="2">
        <v>51654.54</v>
      </c>
      <c r="D121" s="1196">
        <f t="shared" si="2"/>
        <v>129.6909083239934</v>
      </c>
      <c r="E121" s="2">
        <v>11223.37</v>
      </c>
      <c r="F121" s="1196">
        <f t="shared" si="3"/>
        <v>159.86294657736781</v>
      </c>
    </row>
    <row r="122" spans="2:6">
      <c r="B122" s="189">
        <v>42325</v>
      </c>
      <c r="C122" s="2">
        <v>51981.65</v>
      </c>
      <c r="D122" s="1196">
        <f t="shared" si="2"/>
        <v>130.5121951464462</v>
      </c>
      <c r="E122" s="2">
        <v>11195.05</v>
      </c>
      <c r="F122" s="1196">
        <f t="shared" si="3"/>
        <v>159.45956340038344</v>
      </c>
    </row>
    <row r="123" spans="2:6">
      <c r="B123" s="189">
        <v>42324</v>
      </c>
      <c r="C123" s="2">
        <v>51547.38</v>
      </c>
      <c r="D123" s="1196">
        <f t="shared" si="2"/>
        <v>129.42185786422743</v>
      </c>
      <c r="E123" s="2">
        <v>11229.23</v>
      </c>
      <c r="F123" s="1196">
        <f t="shared" si="3"/>
        <v>159.94641498898957</v>
      </c>
    </row>
    <row r="124" spans="2:6">
      <c r="B124" s="189">
        <v>42321</v>
      </c>
      <c r="C124" s="2">
        <v>51199.34</v>
      </c>
      <c r="D124" s="1196">
        <f t="shared" si="2"/>
        <v>128.54802133924662</v>
      </c>
      <c r="E124" s="2">
        <v>11082.76</v>
      </c>
      <c r="F124" s="1196">
        <f t="shared" si="3"/>
        <v>157.86013201113295</v>
      </c>
    </row>
    <row r="125" spans="2:6">
      <c r="B125" s="189">
        <v>42320</v>
      </c>
      <c r="C125" s="2">
        <v>52056.67</v>
      </c>
      <c r="D125" s="1196">
        <f t="shared" si="2"/>
        <v>130.70055055416964</v>
      </c>
      <c r="E125" s="2">
        <v>10936.29</v>
      </c>
      <c r="F125" s="1196">
        <f t="shared" si="3"/>
        <v>155.77384903327626</v>
      </c>
    </row>
    <row r="126" spans="2:6">
      <c r="B126" s="189">
        <v>42319</v>
      </c>
      <c r="C126" s="2">
        <v>52594.1</v>
      </c>
      <c r="D126" s="1196">
        <f t="shared" si="2"/>
        <v>132.04989535252741</v>
      </c>
      <c r="E126" s="2">
        <v>10506.65</v>
      </c>
      <c r="F126" s="1196">
        <f t="shared" si="3"/>
        <v>149.65416159826339</v>
      </c>
    </row>
    <row r="127" spans="2:6">
      <c r="B127" s="189">
        <v>42318</v>
      </c>
      <c r="C127" s="2">
        <v>52565.5</v>
      </c>
      <c r="D127" s="1196">
        <f t="shared" si="2"/>
        <v>131.97808830559472</v>
      </c>
      <c r="E127" s="2">
        <v>10594.53</v>
      </c>
      <c r="F127" s="1196">
        <f t="shared" si="3"/>
        <v>150.9059028974649</v>
      </c>
    </row>
    <row r="128" spans="2:6">
      <c r="B128" s="189">
        <v>42317</v>
      </c>
      <c r="C128" s="2">
        <v>53371.23</v>
      </c>
      <c r="D128" s="1196">
        <f t="shared" si="2"/>
        <v>134.00106354773013</v>
      </c>
      <c r="E128" s="2">
        <v>10448.06</v>
      </c>
      <c r="F128" s="1196">
        <f t="shared" si="3"/>
        <v>148.81961991960824</v>
      </c>
    </row>
    <row r="129" spans="2:6">
      <c r="B129" s="189">
        <v>42314</v>
      </c>
      <c r="C129" s="2">
        <v>52964.07</v>
      </c>
      <c r="D129" s="1196">
        <f t="shared" si="2"/>
        <v>132.978792315943</v>
      </c>
      <c r="E129" s="2">
        <v>10203.950000000001</v>
      </c>
      <c r="F129" s="1196">
        <f t="shared" si="3"/>
        <v>145.34257658155551</v>
      </c>
    </row>
    <row r="130" spans="2:6">
      <c r="B130" s="189">
        <v>42313</v>
      </c>
      <c r="C130" s="2">
        <v>54073.01</v>
      </c>
      <c r="D130" s="1196">
        <f t="shared" si="2"/>
        <v>135.76304779236014</v>
      </c>
      <c r="E130" s="2">
        <v>10448.06</v>
      </c>
      <c r="F130" s="1196">
        <f t="shared" si="3"/>
        <v>148.81961991960824</v>
      </c>
    </row>
    <row r="131" spans="2:6">
      <c r="B131" s="189">
        <v>42312</v>
      </c>
      <c r="C131" s="2">
        <v>54609.01</v>
      </c>
      <c r="D131" s="1196">
        <f t="shared" si="2"/>
        <v>137.10880223837128</v>
      </c>
      <c r="E131" s="2">
        <v>10318.200000000001</v>
      </c>
      <c r="F131" s="1196">
        <f t="shared" si="3"/>
        <v>146.96992573305491</v>
      </c>
    </row>
    <row r="132" spans="2:6">
      <c r="B132" s="189">
        <v>42311</v>
      </c>
      <c r="C132" s="2">
        <v>54076.07</v>
      </c>
      <c r="D132" s="1196">
        <f t="shared" si="2"/>
        <v>135.77073064423476</v>
      </c>
      <c r="E132" s="2">
        <v>10240.08</v>
      </c>
      <c r="F132" s="1196">
        <f t="shared" si="3"/>
        <v>145.85720349484802</v>
      </c>
    </row>
    <row r="133" spans="2:6">
      <c r="B133" s="189">
        <v>42310</v>
      </c>
      <c r="C133" s="2">
        <v>53860.26</v>
      </c>
      <c r="D133" s="1196">
        <f t="shared" si="2"/>
        <v>135.22888872820181</v>
      </c>
      <c r="E133" s="2">
        <v>9945.19</v>
      </c>
      <c r="F133" s="1196">
        <f t="shared" si="3"/>
        <v>141.6568622144483</v>
      </c>
    </row>
    <row r="134" spans="2:6">
      <c r="B134" s="189">
        <v>42307</v>
      </c>
      <c r="C134" s="2">
        <v>53793.74</v>
      </c>
      <c r="D134" s="1196">
        <f t="shared" si="2"/>
        <v>135.06187457568564</v>
      </c>
      <c r="E134" s="2">
        <v>10071.15</v>
      </c>
      <c r="F134" s="1196">
        <f t="shared" si="3"/>
        <v>143.45100575162877</v>
      </c>
    </row>
    <row r="135" spans="2:6">
      <c r="B135" s="189">
        <v>42306</v>
      </c>
      <c r="C135" s="2">
        <v>53406.32</v>
      </c>
      <c r="D135" s="1196">
        <f t="shared" si="2"/>
        <v>134.08916527069749</v>
      </c>
      <c r="E135" s="2">
        <v>10057.48</v>
      </c>
      <c r="F135" s="1196">
        <f t="shared" si="3"/>
        <v>143.25629360369882</v>
      </c>
    </row>
    <row r="136" spans="2:6">
      <c r="B136" s="189">
        <v>42305</v>
      </c>
      <c r="C136" s="2">
        <v>53755.73</v>
      </c>
      <c r="D136" s="1196">
        <f t="shared" si="2"/>
        <v>134.96644150387056</v>
      </c>
      <c r="E136" s="2">
        <v>10252.77</v>
      </c>
      <c r="F136" s="1196">
        <f t="shared" si="3"/>
        <v>146.03795676165353</v>
      </c>
    </row>
    <row r="137" spans="2:6">
      <c r="B137" s="189">
        <v>42304</v>
      </c>
      <c r="C137" s="2">
        <v>53770.29</v>
      </c>
      <c r="D137" s="1196">
        <f t="shared" si="2"/>
        <v>135.00299781867264</v>
      </c>
      <c r="E137" s="2">
        <v>10252.77</v>
      </c>
      <c r="F137" s="1196">
        <f t="shared" si="3"/>
        <v>146.03795676165353</v>
      </c>
    </row>
    <row r="138" spans="2:6">
      <c r="B138" s="189">
        <v>42303</v>
      </c>
      <c r="C138" s="2">
        <v>54150.7</v>
      </c>
      <c r="D138" s="1196">
        <f t="shared" ref="D138:D201" si="4">C138/$C$757*100</f>
        <v>135.95810686495454</v>
      </c>
      <c r="E138" s="2">
        <v>10252.77</v>
      </c>
      <c r="F138" s="1196">
        <f t="shared" ref="F138:F201" si="5">E138/$E$757*100</f>
        <v>146.03795676165353</v>
      </c>
    </row>
    <row r="139" spans="2:6">
      <c r="B139" s="189">
        <v>42300</v>
      </c>
      <c r="C139" s="2">
        <v>54298.41</v>
      </c>
      <c r="D139" s="1196">
        <f t="shared" si="4"/>
        <v>136.32896766573873</v>
      </c>
      <c r="E139" s="2">
        <v>10057.48</v>
      </c>
      <c r="F139" s="1196">
        <f t="shared" si="5"/>
        <v>143.25629360369882</v>
      </c>
    </row>
    <row r="140" spans="2:6">
      <c r="B140" s="189">
        <v>42299</v>
      </c>
      <c r="C140" s="2">
        <v>53293.97</v>
      </c>
      <c r="D140" s="1196">
        <f t="shared" si="4"/>
        <v>133.80708409157558</v>
      </c>
      <c r="E140" s="2">
        <v>10122.9</v>
      </c>
      <c r="F140" s="1196">
        <f t="shared" si="5"/>
        <v>144.18812013753771</v>
      </c>
    </row>
    <row r="141" spans="2:6">
      <c r="B141" s="189">
        <v>42298</v>
      </c>
      <c r="C141" s="2">
        <v>52997.97</v>
      </c>
      <c r="D141" s="1196">
        <f t="shared" si="4"/>
        <v>133.06390626318137</v>
      </c>
      <c r="E141" s="2">
        <v>10252.77</v>
      </c>
      <c r="F141" s="1196">
        <f t="shared" si="5"/>
        <v>146.03795676165353</v>
      </c>
    </row>
    <row r="142" spans="2:6">
      <c r="B142" s="189">
        <v>42297</v>
      </c>
      <c r="C142" s="2">
        <v>52880.160000000003</v>
      </c>
      <c r="D142" s="1196">
        <f t="shared" si="4"/>
        <v>132.76811646600865</v>
      </c>
      <c r="E142" s="2">
        <v>10447.09</v>
      </c>
      <c r="F142" s="1196">
        <f t="shared" si="5"/>
        <v>148.80580347604629</v>
      </c>
    </row>
    <row r="143" spans="2:6">
      <c r="B143" s="189">
        <v>42296</v>
      </c>
      <c r="C143" s="2">
        <v>53184.07</v>
      </c>
      <c r="D143" s="1196">
        <f t="shared" si="4"/>
        <v>133.53115421542518</v>
      </c>
      <c r="E143" s="2">
        <v>10454.9</v>
      </c>
      <c r="F143" s="1196">
        <f t="shared" si="5"/>
        <v>148.91704721235445</v>
      </c>
    </row>
    <row r="144" spans="2:6">
      <c r="B144" s="189">
        <v>42293</v>
      </c>
      <c r="C144" s="2">
        <v>52945.11</v>
      </c>
      <c r="D144" s="1196">
        <f t="shared" si="4"/>
        <v>132.93118876315125</v>
      </c>
      <c r="E144" s="2">
        <v>10370.92</v>
      </c>
      <c r="F144" s="1196">
        <f t="shared" si="5"/>
        <v>147.72085656252582</v>
      </c>
    </row>
    <row r="145" spans="2:6">
      <c r="B145" s="189">
        <v>42292</v>
      </c>
      <c r="C145" s="2">
        <v>52966.42</v>
      </c>
      <c r="D145" s="1196">
        <f t="shared" si="4"/>
        <v>132.98469254532381</v>
      </c>
      <c r="E145" s="2">
        <v>10692.18</v>
      </c>
      <c r="F145" s="1196">
        <f t="shared" si="5"/>
        <v>152.2968056952235</v>
      </c>
    </row>
    <row r="146" spans="2:6">
      <c r="B146" s="189">
        <v>42291</v>
      </c>
      <c r="C146" s="2">
        <v>53059.06</v>
      </c>
      <c r="D146" s="1196">
        <f t="shared" si="4"/>
        <v>133.21728711972395</v>
      </c>
      <c r="E146" s="2">
        <v>10643.36</v>
      </c>
      <c r="F146" s="1196">
        <f t="shared" si="5"/>
        <v>151.60142551512544</v>
      </c>
    </row>
    <row r="147" spans="2:6">
      <c r="B147" s="189">
        <v>42290</v>
      </c>
      <c r="C147" s="2">
        <v>53063.06</v>
      </c>
      <c r="D147" s="1196">
        <f t="shared" si="4"/>
        <v>133.22733006335088</v>
      </c>
      <c r="E147" s="2">
        <v>10545.71</v>
      </c>
      <c r="F147" s="1196">
        <f t="shared" si="5"/>
        <v>150.21052271736684</v>
      </c>
    </row>
    <row r="148" spans="2:6">
      <c r="B148" s="189">
        <v>42289</v>
      </c>
      <c r="C148" s="2">
        <v>52757.599999999999</v>
      </c>
      <c r="D148" s="1196">
        <f t="shared" si="4"/>
        <v>132.46040067327894</v>
      </c>
      <c r="E148" s="2">
        <v>10741</v>
      </c>
      <c r="F148" s="1196">
        <f t="shared" si="5"/>
        <v>152.99218587532155</v>
      </c>
    </row>
    <row r="149" spans="2:6">
      <c r="B149" s="189">
        <v>42286</v>
      </c>
      <c r="C149" s="2">
        <v>53295.64</v>
      </c>
      <c r="D149" s="1196">
        <f t="shared" si="4"/>
        <v>133.81127702053982</v>
      </c>
      <c r="E149" s="2">
        <v>10301.6</v>
      </c>
      <c r="F149" s="1196">
        <f t="shared" si="5"/>
        <v>146.7334793793141</v>
      </c>
    </row>
    <row r="150" spans="2:6">
      <c r="B150" s="189">
        <v>42285</v>
      </c>
      <c r="C150" s="2">
        <v>52726.6</v>
      </c>
      <c r="D150" s="1196">
        <f t="shared" si="4"/>
        <v>132.3825678601701</v>
      </c>
      <c r="E150" s="2">
        <v>10203.950000000001</v>
      </c>
      <c r="F150" s="1196">
        <f t="shared" si="5"/>
        <v>145.34257658155551</v>
      </c>
    </row>
    <row r="151" spans="2:6">
      <c r="B151" s="189">
        <v>42284</v>
      </c>
      <c r="C151" s="2">
        <v>52565.42</v>
      </c>
      <c r="D151" s="1196">
        <f t="shared" si="4"/>
        <v>131.97788744672218</v>
      </c>
      <c r="E151" s="2">
        <v>10243.01</v>
      </c>
      <c r="F151" s="1196">
        <f t="shared" si="5"/>
        <v>145.89893770065891</v>
      </c>
    </row>
    <row r="152" spans="2:6">
      <c r="B152" s="189">
        <v>42283</v>
      </c>
      <c r="C152" s="2">
        <v>52070.15</v>
      </c>
      <c r="D152" s="1196">
        <f t="shared" si="4"/>
        <v>130.73439527419245</v>
      </c>
      <c r="E152" s="2">
        <v>9977.41</v>
      </c>
      <c r="F152" s="1196">
        <f t="shared" si="5"/>
        <v>142.11579604080552</v>
      </c>
    </row>
    <row r="153" spans="2:6">
      <c r="B153" s="189">
        <v>42282</v>
      </c>
      <c r="C153" s="2">
        <v>52071.31</v>
      </c>
      <c r="D153" s="1196">
        <f t="shared" si="4"/>
        <v>130.73730772784427</v>
      </c>
      <c r="E153" s="2">
        <v>9793.84</v>
      </c>
      <c r="F153" s="1196">
        <f t="shared" si="5"/>
        <v>139.50106970609431</v>
      </c>
    </row>
    <row r="154" spans="2:6">
      <c r="B154" s="189">
        <v>42279</v>
      </c>
      <c r="C154" s="2">
        <v>50955.89</v>
      </c>
      <c r="D154" s="1196">
        <f t="shared" si="4"/>
        <v>127.93678268275144</v>
      </c>
      <c r="E154" s="2">
        <v>9538.01</v>
      </c>
      <c r="F154" s="1196">
        <f t="shared" si="5"/>
        <v>135.85708954479804</v>
      </c>
    </row>
    <row r="155" spans="2:6">
      <c r="B155" s="189">
        <v>42278</v>
      </c>
      <c r="C155" s="2">
        <v>50516.58</v>
      </c>
      <c r="D155" s="1196">
        <f t="shared" si="4"/>
        <v>126.83379129156273</v>
      </c>
      <c r="E155" s="2">
        <v>9325.14</v>
      </c>
      <c r="F155" s="1196">
        <f t="shared" si="5"/>
        <v>132.82502115197804</v>
      </c>
    </row>
    <row r="156" spans="2:6">
      <c r="B156" s="189">
        <v>42277</v>
      </c>
      <c r="C156" s="2">
        <v>50088.86</v>
      </c>
      <c r="D156" s="1196">
        <f t="shared" si="4"/>
        <v>125.75989932953308</v>
      </c>
      <c r="E156" s="2">
        <v>9413.02</v>
      </c>
      <c r="F156" s="1196">
        <f t="shared" si="5"/>
        <v>134.07676245117955</v>
      </c>
    </row>
    <row r="157" spans="2:6">
      <c r="B157" s="189">
        <v>42276</v>
      </c>
      <c r="C157" s="2">
        <v>49383.93</v>
      </c>
      <c r="D157" s="1196">
        <f t="shared" si="4"/>
        <v>123.99000626679684</v>
      </c>
      <c r="E157" s="2">
        <v>9466.73</v>
      </c>
      <c r="F157" s="1196">
        <f t="shared" si="5"/>
        <v>134.84179459933739</v>
      </c>
    </row>
    <row r="158" spans="2:6">
      <c r="B158" s="189">
        <v>42275</v>
      </c>
      <c r="C158" s="2">
        <v>49490.81</v>
      </c>
      <c r="D158" s="1196">
        <f t="shared" si="4"/>
        <v>124.25835372050888</v>
      </c>
      <c r="E158" s="2">
        <v>9325.14</v>
      </c>
      <c r="F158" s="1196">
        <f t="shared" si="5"/>
        <v>132.82502115197804</v>
      </c>
    </row>
    <row r="159" spans="2:6">
      <c r="B159" s="189">
        <v>42272</v>
      </c>
      <c r="C159" s="2">
        <v>50331.12</v>
      </c>
      <c r="D159" s="1196">
        <f t="shared" si="4"/>
        <v>126.36815021029926</v>
      </c>
      <c r="E159" s="2">
        <v>9276.32</v>
      </c>
      <c r="F159" s="1196">
        <f t="shared" si="5"/>
        <v>132.12964097187998</v>
      </c>
    </row>
    <row r="160" spans="2:6">
      <c r="B160" s="189">
        <v>42270</v>
      </c>
      <c r="C160" s="2">
        <v>50381.63</v>
      </c>
      <c r="D160" s="1196">
        <f t="shared" si="4"/>
        <v>126.49496748094853</v>
      </c>
      <c r="E160" s="2">
        <v>9320.26</v>
      </c>
      <c r="F160" s="1196">
        <f t="shared" si="5"/>
        <v>132.75551162148074</v>
      </c>
    </row>
    <row r="161" spans="2:6">
      <c r="B161" s="189">
        <v>42269</v>
      </c>
      <c r="C161" s="2">
        <v>49853.09</v>
      </c>
      <c r="D161" s="1196">
        <f t="shared" si="4"/>
        <v>125.16794312480164</v>
      </c>
      <c r="E161" s="2">
        <v>9062.48</v>
      </c>
      <c r="F161" s="1196">
        <f t="shared" si="5"/>
        <v>129.08375613549799</v>
      </c>
    </row>
    <row r="162" spans="2:6">
      <c r="B162" s="189">
        <v>42268</v>
      </c>
      <c r="C162" s="2">
        <v>50737.14</v>
      </c>
      <c r="D162" s="1196">
        <f t="shared" si="4"/>
        <v>127.38755920315268</v>
      </c>
      <c r="E162" s="2">
        <v>9129.85</v>
      </c>
      <c r="F162" s="1196">
        <f t="shared" si="5"/>
        <v>130.04335799402332</v>
      </c>
    </row>
    <row r="163" spans="2:6">
      <c r="B163" s="189">
        <v>42265</v>
      </c>
      <c r="C163" s="2">
        <v>51044.58</v>
      </c>
      <c r="D163" s="1196">
        <f t="shared" si="4"/>
        <v>128.15945985031999</v>
      </c>
      <c r="E163" s="2">
        <v>9202.11</v>
      </c>
      <c r="F163" s="1196">
        <f t="shared" si="5"/>
        <v>131.07261182060844</v>
      </c>
    </row>
    <row r="164" spans="2:6">
      <c r="B164" s="189">
        <v>42264</v>
      </c>
      <c r="C164" s="2">
        <v>51573.57</v>
      </c>
      <c r="D164" s="1196">
        <f t="shared" si="4"/>
        <v>129.48761403762487</v>
      </c>
      <c r="E164" s="2">
        <v>9032.2099999999991</v>
      </c>
      <c r="F164" s="1196">
        <f t="shared" si="5"/>
        <v>128.65259763382718</v>
      </c>
    </row>
    <row r="165" spans="2:6">
      <c r="B165" s="189">
        <v>42263</v>
      </c>
      <c r="C165" s="2">
        <v>51029.24</v>
      </c>
      <c r="D165" s="1196">
        <f t="shared" si="4"/>
        <v>128.12094516151063</v>
      </c>
      <c r="E165" s="2">
        <v>8870.11</v>
      </c>
      <c r="F165" s="1196">
        <f t="shared" si="5"/>
        <v>126.34368474579169</v>
      </c>
    </row>
    <row r="166" spans="2:6">
      <c r="B166" s="189">
        <v>42262</v>
      </c>
      <c r="C166" s="2">
        <v>49491.68</v>
      </c>
      <c r="D166" s="1196">
        <f t="shared" si="4"/>
        <v>124.26053806074778</v>
      </c>
      <c r="E166" s="2">
        <v>8968.74</v>
      </c>
      <c r="F166" s="1196">
        <f t="shared" si="5"/>
        <v>127.74854642467474</v>
      </c>
    </row>
    <row r="167" spans="2:6">
      <c r="B167" s="189">
        <v>42261</v>
      </c>
      <c r="C167" s="2">
        <v>49366.6</v>
      </c>
      <c r="D167" s="1196">
        <f t="shared" si="4"/>
        <v>123.94649521353307</v>
      </c>
      <c r="E167" s="2">
        <v>9144.5</v>
      </c>
      <c r="F167" s="1196">
        <f t="shared" si="5"/>
        <v>130.25202902307774</v>
      </c>
    </row>
    <row r="168" spans="2:6">
      <c r="B168" s="189">
        <v>42258</v>
      </c>
      <c r="C168" s="2">
        <v>48930.64</v>
      </c>
      <c r="D168" s="1196">
        <f t="shared" si="4"/>
        <v>122.85191478763191</v>
      </c>
      <c r="E168" s="2">
        <v>9276.32</v>
      </c>
      <c r="F168" s="1196">
        <f t="shared" si="5"/>
        <v>132.12964097187998</v>
      </c>
    </row>
    <row r="169" spans="2:6">
      <c r="B169" s="189">
        <v>42257</v>
      </c>
      <c r="C169" s="2">
        <v>49528.13</v>
      </c>
      <c r="D169" s="1196">
        <f t="shared" si="4"/>
        <v>124.35205438454832</v>
      </c>
      <c r="E169" s="2">
        <v>9085.91</v>
      </c>
      <c r="F169" s="1196">
        <f t="shared" si="5"/>
        <v>129.41748734442257</v>
      </c>
    </row>
    <row r="170" spans="2:6">
      <c r="B170" s="189">
        <v>42256</v>
      </c>
      <c r="C170" s="2">
        <v>49723.55</v>
      </c>
      <c r="D170" s="1196">
        <f t="shared" si="4"/>
        <v>124.84270239544293</v>
      </c>
      <c r="E170" s="2">
        <v>9763.57</v>
      </c>
      <c r="F170" s="1196">
        <f t="shared" si="5"/>
        <v>139.06991120442353</v>
      </c>
    </row>
    <row r="171" spans="2:6">
      <c r="B171" s="189">
        <v>42255</v>
      </c>
      <c r="C171" s="2">
        <v>49573.49</v>
      </c>
      <c r="D171" s="1196">
        <f t="shared" si="4"/>
        <v>124.46594136527793</v>
      </c>
      <c r="E171" s="2">
        <v>9294.8700000000008</v>
      </c>
      <c r="F171" s="1196">
        <f t="shared" si="5"/>
        <v>132.39386265030726</v>
      </c>
    </row>
    <row r="172" spans="2:6">
      <c r="B172" s="189">
        <v>42254</v>
      </c>
      <c r="C172" s="2">
        <v>48847.05</v>
      </c>
      <c r="D172" s="1196">
        <f t="shared" si="4"/>
        <v>122.64204237318776</v>
      </c>
      <c r="E172" s="2">
        <v>9124.9699999999993</v>
      </c>
      <c r="F172" s="1196">
        <f t="shared" si="5"/>
        <v>129.973848463526</v>
      </c>
    </row>
    <row r="173" spans="2:6">
      <c r="B173" s="189">
        <v>42251</v>
      </c>
      <c r="C173" s="2">
        <v>49102.5</v>
      </c>
      <c r="D173" s="1196">
        <f t="shared" si="4"/>
        <v>123.28340986056376</v>
      </c>
      <c r="E173" s="2">
        <v>9013.65</v>
      </c>
      <c r="F173" s="1196">
        <f t="shared" si="5"/>
        <v>128.38823351783745</v>
      </c>
    </row>
    <row r="174" spans="2:6">
      <c r="B174" s="189">
        <v>42250</v>
      </c>
      <c r="C174" s="2">
        <v>50411.09</v>
      </c>
      <c r="D174" s="1196">
        <f t="shared" si="4"/>
        <v>126.56893376076101</v>
      </c>
      <c r="E174" s="2">
        <v>9040.02</v>
      </c>
      <c r="F174" s="1196">
        <f t="shared" si="5"/>
        <v>128.76384137013542</v>
      </c>
    </row>
    <row r="175" spans="2:6">
      <c r="B175" s="189">
        <v>42249</v>
      </c>
      <c r="C175" s="2">
        <v>49228.77</v>
      </c>
      <c r="D175" s="1196">
        <f t="shared" si="4"/>
        <v>123.60044048350747</v>
      </c>
      <c r="E175" s="2">
        <v>9474.5400000000009</v>
      </c>
      <c r="F175" s="1196">
        <f t="shared" si="5"/>
        <v>134.95303833564557</v>
      </c>
    </row>
    <row r="176" spans="2:6">
      <c r="B176" s="189">
        <v>42248</v>
      </c>
      <c r="C176" s="2">
        <v>48515.13</v>
      </c>
      <c r="D176" s="1196">
        <f t="shared" si="4"/>
        <v>121.80867891102353</v>
      </c>
      <c r="E176" s="2">
        <v>9129.85</v>
      </c>
      <c r="F176" s="1196">
        <f t="shared" si="5"/>
        <v>130.04335799402332</v>
      </c>
    </row>
    <row r="177" spans="2:6">
      <c r="B177" s="189">
        <v>42247</v>
      </c>
      <c r="C177" s="2">
        <v>49972.33</v>
      </c>
      <c r="D177" s="1196">
        <f t="shared" si="4"/>
        <v>125.46732327432099</v>
      </c>
      <c r="E177" s="2">
        <v>9452.08</v>
      </c>
      <c r="F177" s="1196">
        <f t="shared" si="5"/>
        <v>134.63312357028298</v>
      </c>
    </row>
    <row r="178" spans="2:6">
      <c r="B178" s="189">
        <v>42244</v>
      </c>
      <c r="C178" s="2">
        <v>49966.8</v>
      </c>
      <c r="D178" s="1196">
        <f t="shared" si="4"/>
        <v>125.45343890475675</v>
      </c>
      <c r="E178" s="2">
        <v>9641.51</v>
      </c>
      <c r="F178" s="1196">
        <f t="shared" si="5"/>
        <v>137.33131831661592</v>
      </c>
    </row>
    <row r="179" spans="2:6">
      <c r="B179" s="189">
        <v>42243</v>
      </c>
      <c r="C179" s="2">
        <v>49125.08</v>
      </c>
      <c r="D179" s="1196">
        <f t="shared" si="4"/>
        <v>123.34010227733789</v>
      </c>
      <c r="E179" s="2">
        <v>9300.73</v>
      </c>
      <c r="F179" s="1196">
        <f t="shared" si="5"/>
        <v>132.47733106192899</v>
      </c>
    </row>
    <row r="180" spans="2:6">
      <c r="B180" s="189">
        <v>42242</v>
      </c>
      <c r="C180" s="2">
        <v>48359.24</v>
      </c>
      <c r="D180" s="1196">
        <f t="shared" si="4"/>
        <v>121.41728029052229</v>
      </c>
      <c r="E180" s="2">
        <v>9381.7800000000007</v>
      </c>
      <c r="F180" s="1196">
        <f t="shared" si="5"/>
        <v>133.63178750594676</v>
      </c>
    </row>
    <row r="181" spans="2:6">
      <c r="B181" s="189">
        <v>42241</v>
      </c>
      <c r="C181" s="2">
        <v>48980.84</v>
      </c>
      <c r="D181" s="1196">
        <f t="shared" si="4"/>
        <v>122.97795373015012</v>
      </c>
      <c r="E181" s="2">
        <v>9289.99</v>
      </c>
      <c r="F181" s="1196">
        <f t="shared" si="5"/>
        <v>132.32435311980993</v>
      </c>
    </row>
    <row r="182" spans="2:6">
      <c r="B182" s="189">
        <v>42240</v>
      </c>
      <c r="C182" s="2">
        <v>47631.19</v>
      </c>
      <c r="D182" s="1196">
        <f t="shared" si="4"/>
        <v>119.58933901362225</v>
      </c>
      <c r="E182" s="2">
        <v>9081.0300000000007</v>
      </c>
      <c r="F182" s="1196">
        <f t="shared" si="5"/>
        <v>129.3479778139253</v>
      </c>
    </row>
    <row r="183" spans="2:6">
      <c r="B183" s="189">
        <v>42237</v>
      </c>
      <c r="C183" s="2">
        <v>49028.36</v>
      </c>
      <c r="D183" s="1196">
        <f t="shared" si="4"/>
        <v>123.09726390043826</v>
      </c>
      <c r="E183" s="2">
        <v>9396.59</v>
      </c>
      <c r="F183" s="1196">
        <f t="shared" si="5"/>
        <v>133.8427375360011</v>
      </c>
    </row>
    <row r="184" spans="2:6">
      <c r="B184" s="189">
        <v>42236</v>
      </c>
      <c r="C184" s="2">
        <v>49761.67</v>
      </c>
      <c r="D184" s="1196">
        <f t="shared" si="4"/>
        <v>124.93841164820773</v>
      </c>
      <c r="E184" s="2">
        <v>9557.6200000000008</v>
      </c>
      <c r="F184" s="1196">
        <f t="shared" si="5"/>
        <v>136.13640960484972</v>
      </c>
    </row>
    <row r="185" spans="2:6">
      <c r="B185" s="189">
        <v>42235</v>
      </c>
      <c r="C185" s="2">
        <v>50140.9</v>
      </c>
      <c r="D185" s="1196">
        <f t="shared" si="4"/>
        <v>125.89055802611971</v>
      </c>
      <c r="E185" s="2">
        <v>9330.2900000000009</v>
      </c>
      <c r="F185" s="1196">
        <f t="shared" si="5"/>
        <v>132.89837649666271</v>
      </c>
    </row>
    <row r="186" spans="2:6">
      <c r="B186" s="189">
        <v>42234</v>
      </c>
      <c r="C186" s="2">
        <v>50977.03</v>
      </c>
      <c r="D186" s="1196">
        <f t="shared" si="4"/>
        <v>127.98985963981988</v>
      </c>
      <c r="E186" s="2">
        <v>9311.34</v>
      </c>
      <c r="F186" s="1196">
        <f t="shared" si="5"/>
        <v>132.62845731573566</v>
      </c>
    </row>
    <row r="187" spans="2:6">
      <c r="B187" s="189">
        <v>42233</v>
      </c>
      <c r="C187" s="2">
        <v>50751.1</v>
      </c>
      <c r="D187" s="1196">
        <f t="shared" si="4"/>
        <v>127.42260907641074</v>
      </c>
      <c r="E187" s="2">
        <v>9207.14</v>
      </c>
      <c r="F187" s="1196">
        <f t="shared" si="5"/>
        <v>131.14425791454318</v>
      </c>
    </row>
    <row r="188" spans="2:6">
      <c r="B188" s="189">
        <v>42230</v>
      </c>
      <c r="C188" s="2">
        <v>50821.18</v>
      </c>
      <c r="D188" s="1196">
        <f t="shared" si="4"/>
        <v>127.59856144875488</v>
      </c>
      <c r="E188" s="2">
        <v>9591.7199999999993</v>
      </c>
      <c r="F188" s="1196">
        <f t="shared" si="5"/>
        <v>136.62212169295589</v>
      </c>
    </row>
    <row r="189" spans="2:6">
      <c r="B189" s="189">
        <v>42229</v>
      </c>
      <c r="C189" s="2">
        <v>51375.44</v>
      </c>
      <c r="D189" s="1196">
        <f t="shared" si="4"/>
        <v>128.99016193242306</v>
      </c>
      <c r="E189" s="2">
        <v>9477.11</v>
      </c>
      <c r="F189" s="1196">
        <f t="shared" si="5"/>
        <v>134.98964478920666</v>
      </c>
    </row>
    <row r="190" spans="2:6">
      <c r="B190" s="189">
        <v>42228</v>
      </c>
      <c r="C190" s="2">
        <v>50570.6</v>
      </c>
      <c r="D190" s="1196">
        <f t="shared" si="4"/>
        <v>126.96942124524466</v>
      </c>
      <c r="E190" s="2">
        <v>9549.1</v>
      </c>
      <c r="F190" s="1196">
        <f t="shared" si="5"/>
        <v>136.01505280160441</v>
      </c>
    </row>
    <row r="191" spans="2:6">
      <c r="B191" s="189">
        <v>42227</v>
      </c>
      <c r="C191" s="2">
        <v>52221.17</v>
      </c>
      <c r="D191" s="1196">
        <f t="shared" si="4"/>
        <v>131.11356661082789</v>
      </c>
      <c r="E191" s="2">
        <v>9472.3700000000008</v>
      </c>
      <c r="F191" s="1196">
        <f t="shared" si="5"/>
        <v>134.92212938458428</v>
      </c>
    </row>
    <row r="192" spans="2:6">
      <c r="B192" s="189">
        <v>42223</v>
      </c>
      <c r="C192" s="2">
        <v>52014.96</v>
      </c>
      <c r="D192" s="1196">
        <f t="shared" si="4"/>
        <v>130.59582775949963</v>
      </c>
      <c r="E192" s="2">
        <v>9472.3700000000008</v>
      </c>
      <c r="F192" s="1196">
        <f t="shared" si="5"/>
        <v>134.92212938458428</v>
      </c>
    </row>
    <row r="193" spans="2:6">
      <c r="B193" s="189">
        <v>42222</v>
      </c>
      <c r="C193" s="2">
        <v>52464.59</v>
      </c>
      <c r="D193" s="1196">
        <f t="shared" si="4"/>
        <v>131.72472994524585</v>
      </c>
      <c r="E193" s="2">
        <v>9564.25</v>
      </c>
      <c r="F193" s="1196">
        <f t="shared" si="5"/>
        <v>136.23084570878356</v>
      </c>
    </row>
    <row r="194" spans="2:6">
      <c r="B194" s="189">
        <v>42221</v>
      </c>
      <c r="C194" s="2">
        <v>52774.21</v>
      </c>
      <c r="D194" s="1196">
        <f t="shared" si="4"/>
        <v>132.50210399668984</v>
      </c>
      <c r="E194" s="2">
        <v>9552.89</v>
      </c>
      <c r="F194" s="1196">
        <f t="shared" si="5"/>
        <v>136.06903663778982</v>
      </c>
    </row>
    <row r="195" spans="2:6">
      <c r="B195" s="189">
        <v>42220</v>
      </c>
      <c r="C195" s="2">
        <v>52437.84</v>
      </c>
      <c r="D195" s="1196">
        <f t="shared" si="4"/>
        <v>131.65756775974066</v>
      </c>
      <c r="E195" s="2">
        <v>9654.24</v>
      </c>
      <c r="F195" s="1196">
        <f t="shared" si="5"/>
        <v>137.51264133367138</v>
      </c>
    </row>
    <row r="196" spans="2:6">
      <c r="B196" s="189">
        <v>42219</v>
      </c>
      <c r="C196" s="2">
        <v>51629.67</v>
      </c>
      <c r="D196" s="1196">
        <f t="shared" si="4"/>
        <v>129.62846632199282</v>
      </c>
      <c r="E196" s="2">
        <v>9472.3700000000008</v>
      </c>
      <c r="F196" s="1196">
        <f t="shared" si="5"/>
        <v>134.92212938458428</v>
      </c>
    </row>
    <row r="197" spans="2:6">
      <c r="B197" s="189">
        <v>42216</v>
      </c>
      <c r="C197" s="2">
        <v>52053.27</v>
      </c>
      <c r="D197" s="1196">
        <f t="shared" si="4"/>
        <v>130.69201405208673</v>
      </c>
      <c r="E197" s="2">
        <v>9443.9500000000007</v>
      </c>
      <c r="F197" s="1196">
        <f t="shared" si="5"/>
        <v>134.51732183197495</v>
      </c>
    </row>
    <row r="198" spans="2:6">
      <c r="B198" s="189">
        <v>42215</v>
      </c>
      <c r="C198" s="2">
        <v>51774.41</v>
      </c>
      <c r="D198" s="1196">
        <f t="shared" si="4"/>
        <v>129.99187023713398</v>
      </c>
      <c r="E198" s="2">
        <v>9377.65</v>
      </c>
      <c r="F198" s="1196">
        <f t="shared" si="5"/>
        <v>133.57296079263654</v>
      </c>
    </row>
    <row r="199" spans="2:6">
      <c r="B199" s="189">
        <v>42214</v>
      </c>
      <c r="C199" s="2">
        <v>51598.54</v>
      </c>
      <c r="D199" s="1196">
        <f t="shared" si="4"/>
        <v>129.55030711321612</v>
      </c>
      <c r="E199" s="2">
        <v>9462.9</v>
      </c>
      <c r="F199" s="1196">
        <f t="shared" si="5"/>
        <v>134.78724101290197</v>
      </c>
    </row>
    <row r="200" spans="2:6">
      <c r="B200" s="189">
        <v>42213</v>
      </c>
      <c r="C200" s="2">
        <v>50758.42</v>
      </c>
      <c r="D200" s="1196">
        <f t="shared" si="4"/>
        <v>127.44098766324805</v>
      </c>
      <c r="E200" s="2">
        <v>9192.94</v>
      </c>
      <c r="F200" s="1196">
        <f t="shared" si="5"/>
        <v>130.941996575801</v>
      </c>
    </row>
    <row r="201" spans="2:6">
      <c r="B201" s="189">
        <v>42212</v>
      </c>
      <c r="C201" s="2">
        <v>51301.55</v>
      </c>
      <c r="D201" s="1196">
        <f t="shared" si="4"/>
        <v>128.80464365627424</v>
      </c>
      <c r="E201" s="2">
        <v>9387.1200000000008</v>
      </c>
      <c r="F201" s="1196">
        <f t="shared" si="5"/>
        <v>133.70784916431884</v>
      </c>
    </row>
    <row r="202" spans="2:6">
      <c r="B202" s="189">
        <v>42209</v>
      </c>
      <c r="C202" s="2">
        <v>51356.08</v>
      </c>
      <c r="D202" s="1196">
        <f t="shared" ref="D202:D265" si="6">C202/$C$757*100</f>
        <v>128.94155408526862</v>
      </c>
      <c r="E202" s="2">
        <v>9377.65</v>
      </c>
      <c r="F202" s="1196">
        <f t="shared" ref="F202:F265" si="7">E202/$E$757*100</f>
        <v>133.57296079263654</v>
      </c>
    </row>
    <row r="203" spans="2:6">
      <c r="B203" s="189">
        <v>42208</v>
      </c>
      <c r="C203" s="2">
        <v>52237.02</v>
      </c>
      <c r="D203" s="1196">
        <f t="shared" si="6"/>
        <v>131.15336177494967</v>
      </c>
      <c r="E203" s="2">
        <v>9415.5400000000009</v>
      </c>
      <c r="F203" s="1196">
        <f t="shared" si="7"/>
        <v>134.11265671692817</v>
      </c>
    </row>
    <row r="204" spans="2:6">
      <c r="B204" s="189">
        <v>42207</v>
      </c>
      <c r="C204" s="2">
        <v>51977.56</v>
      </c>
      <c r="D204" s="1196">
        <f t="shared" si="6"/>
        <v>130.50192623658765</v>
      </c>
      <c r="E204" s="2">
        <v>9472.3700000000008</v>
      </c>
      <c r="F204" s="1196">
        <f t="shared" si="7"/>
        <v>134.92212938458428</v>
      </c>
    </row>
    <row r="205" spans="2:6">
      <c r="B205" s="189">
        <v>42206</v>
      </c>
      <c r="C205" s="2">
        <v>52901.42</v>
      </c>
      <c r="D205" s="1196">
        <f t="shared" si="6"/>
        <v>132.8214947113859</v>
      </c>
      <c r="E205" s="2">
        <v>9444.9</v>
      </c>
      <c r="F205" s="1196">
        <f t="shared" si="7"/>
        <v>134.53085340041193</v>
      </c>
    </row>
    <row r="206" spans="2:6">
      <c r="B206" s="189">
        <v>42205</v>
      </c>
      <c r="C206" s="2">
        <v>52988.32</v>
      </c>
      <c r="D206" s="1196">
        <f t="shared" si="6"/>
        <v>133.03967766168134</v>
      </c>
      <c r="E206" s="2">
        <v>9434.48</v>
      </c>
      <c r="F206" s="1196">
        <f t="shared" si="7"/>
        <v>134.38243346029267</v>
      </c>
    </row>
    <row r="207" spans="2:6">
      <c r="B207" s="189">
        <v>42202</v>
      </c>
      <c r="C207" s="2">
        <v>52723.72</v>
      </c>
      <c r="D207" s="1196">
        <f t="shared" si="6"/>
        <v>132.3753369407587</v>
      </c>
      <c r="E207" s="2">
        <v>9472.3700000000008</v>
      </c>
      <c r="F207" s="1196">
        <f t="shared" si="7"/>
        <v>134.92212938458428</v>
      </c>
    </row>
    <row r="208" spans="2:6">
      <c r="B208" s="189">
        <v>42201</v>
      </c>
      <c r="C208" s="2">
        <v>52849.120000000003</v>
      </c>
      <c r="D208" s="1196">
        <f t="shared" si="6"/>
        <v>132.69018322346352</v>
      </c>
      <c r="E208" s="2">
        <v>9425.01</v>
      </c>
      <c r="F208" s="1196">
        <f t="shared" si="7"/>
        <v>134.24754508861042</v>
      </c>
    </row>
    <row r="209" spans="2:6">
      <c r="B209" s="189">
        <v>42200</v>
      </c>
      <c r="C209" s="2">
        <v>52531.13</v>
      </c>
      <c r="D209" s="1196">
        <f t="shared" si="6"/>
        <v>131.89179431248016</v>
      </c>
      <c r="E209" s="2">
        <v>9472.3700000000008</v>
      </c>
      <c r="F209" s="1196">
        <f t="shared" si="7"/>
        <v>134.92212938458428</v>
      </c>
    </row>
    <row r="210" spans="2:6">
      <c r="B210" s="189">
        <v>42199</v>
      </c>
      <c r="C210" s="2">
        <v>52109.52</v>
      </c>
      <c r="D210" s="1196">
        <f t="shared" si="6"/>
        <v>130.8332429468407</v>
      </c>
      <c r="E210" s="2">
        <v>9472.3700000000008</v>
      </c>
      <c r="F210" s="1196">
        <f t="shared" si="7"/>
        <v>134.92212938458428</v>
      </c>
    </row>
    <row r="211" spans="2:6">
      <c r="B211" s="189">
        <v>42198</v>
      </c>
      <c r="C211" s="2">
        <v>52474.82</v>
      </c>
      <c r="D211" s="1196">
        <f t="shared" si="6"/>
        <v>131.75041477357178</v>
      </c>
      <c r="E211" s="2">
        <v>9349.23</v>
      </c>
      <c r="F211" s="1196">
        <f t="shared" si="7"/>
        <v>133.16815324002721</v>
      </c>
    </row>
    <row r="212" spans="2:6">
      <c r="B212" s="189">
        <v>42195</v>
      </c>
      <c r="C212" s="2">
        <v>51800.7</v>
      </c>
      <c r="D212" s="1196">
        <f t="shared" si="6"/>
        <v>130.05787748412209</v>
      </c>
      <c r="E212" s="2">
        <v>9432.59</v>
      </c>
      <c r="F212" s="1196">
        <f t="shared" si="7"/>
        <v>134.35551276098124</v>
      </c>
    </row>
    <row r="213" spans="2:6">
      <c r="B213" s="189">
        <v>42194</v>
      </c>
      <c r="C213" s="2">
        <v>51452.36</v>
      </c>
      <c r="D213" s="1196">
        <f t="shared" si="6"/>
        <v>129.18328773836927</v>
      </c>
      <c r="E213" s="2">
        <v>9472.3700000000008</v>
      </c>
      <c r="F213" s="1196">
        <f t="shared" si="7"/>
        <v>134.92212938458428</v>
      </c>
    </row>
    <row r="214" spans="2:6">
      <c r="B214" s="189">
        <v>42193</v>
      </c>
      <c r="C214" s="2">
        <v>50235.76</v>
      </c>
      <c r="D214" s="1196">
        <f t="shared" si="6"/>
        <v>126.12872643423279</v>
      </c>
      <c r="E214" s="2">
        <v>9335.9699999999993</v>
      </c>
      <c r="F214" s="1196">
        <f t="shared" si="7"/>
        <v>132.97928103215955</v>
      </c>
    </row>
    <row r="215" spans="2:6">
      <c r="B215" s="189">
        <v>42192</v>
      </c>
      <c r="C215" s="2">
        <v>49997.79</v>
      </c>
      <c r="D215" s="1196">
        <f t="shared" si="6"/>
        <v>125.53124661050654</v>
      </c>
      <c r="E215" s="2">
        <v>9377.65</v>
      </c>
      <c r="F215" s="1196">
        <f t="shared" si="7"/>
        <v>133.57296079263654</v>
      </c>
    </row>
    <row r="216" spans="2:6">
      <c r="B216" s="189">
        <v>42191</v>
      </c>
      <c r="C216" s="2">
        <v>51381.22</v>
      </c>
      <c r="D216" s="1196">
        <f t="shared" si="6"/>
        <v>129.00467398596399</v>
      </c>
      <c r="E216" s="2">
        <v>9254.51</v>
      </c>
      <c r="F216" s="1196">
        <f t="shared" si="7"/>
        <v>131.81898464807952</v>
      </c>
    </row>
    <row r="217" spans="2:6">
      <c r="B217" s="189">
        <v>42188</v>
      </c>
      <c r="C217" s="2">
        <v>51967.08</v>
      </c>
      <c r="D217" s="1196">
        <f t="shared" si="6"/>
        <v>130.47561372428504</v>
      </c>
      <c r="E217" s="2">
        <v>9235.56</v>
      </c>
      <c r="F217" s="1196">
        <f t="shared" si="7"/>
        <v>131.54906546715245</v>
      </c>
    </row>
    <row r="218" spans="2:6">
      <c r="B218" s="189">
        <v>42187</v>
      </c>
      <c r="C218" s="2">
        <v>52215.47</v>
      </c>
      <c r="D218" s="1196">
        <f t="shared" si="6"/>
        <v>131.09925541615951</v>
      </c>
      <c r="E218" s="2">
        <v>9235.56</v>
      </c>
      <c r="F218" s="1196">
        <f t="shared" si="7"/>
        <v>131.54906546715245</v>
      </c>
    </row>
    <row r="219" spans="2:6">
      <c r="B219" s="189">
        <v>42186</v>
      </c>
      <c r="C219" s="2">
        <v>51888.04</v>
      </c>
      <c r="D219" s="1196">
        <f t="shared" si="6"/>
        <v>130.27716515821655</v>
      </c>
      <c r="E219" s="2">
        <v>9182.52</v>
      </c>
      <c r="F219" s="1196">
        <f t="shared" si="7"/>
        <v>130.79357663568177</v>
      </c>
    </row>
    <row r="220" spans="2:6">
      <c r="B220" s="189">
        <v>42185</v>
      </c>
      <c r="C220" s="2">
        <v>51806.95</v>
      </c>
      <c r="D220" s="1196">
        <f t="shared" si="6"/>
        <v>130.07356958353921</v>
      </c>
      <c r="E220" s="2">
        <v>9188.2000000000007</v>
      </c>
      <c r="F220" s="1196">
        <f t="shared" si="7"/>
        <v>130.87448117117864</v>
      </c>
    </row>
    <row r="221" spans="2:6">
      <c r="B221" s="189">
        <v>42184</v>
      </c>
      <c r="C221" s="2">
        <v>51999.92</v>
      </c>
      <c r="D221" s="1196">
        <f t="shared" si="6"/>
        <v>130.5580662914623</v>
      </c>
      <c r="E221" s="2">
        <v>8879.4</v>
      </c>
      <c r="F221" s="1196">
        <f t="shared" si="7"/>
        <v>126.47600924134905</v>
      </c>
    </row>
    <row r="222" spans="2:6">
      <c r="B222" s="189">
        <v>42181</v>
      </c>
      <c r="C222" s="2">
        <v>52669.75</v>
      </c>
      <c r="D222" s="1196">
        <f t="shared" si="6"/>
        <v>132.23983252387208</v>
      </c>
      <c r="E222" s="2">
        <v>8888.8700000000008</v>
      </c>
      <c r="F222" s="1196">
        <f t="shared" si="7"/>
        <v>126.61089761303134</v>
      </c>
    </row>
    <row r="223" spans="2:6">
      <c r="B223" s="189">
        <v>42180</v>
      </c>
      <c r="C223" s="2">
        <v>52856.39</v>
      </c>
      <c r="D223" s="1196">
        <f t="shared" si="6"/>
        <v>132.7084362735055</v>
      </c>
      <c r="E223" s="2">
        <v>8710.91</v>
      </c>
      <c r="F223" s="1196">
        <f t="shared" si="7"/>
        <v>124.07607875087956</v>
      </c>
    </row>
    <row r="224" spans="2:6">
      <c r="B224" s="189">
        <v>42179</v>
      </c>
      <c r="C224" s="2">
        <v>52783.85</v>
      </c>
      <c r="D224" s="1196">
        <f t="shared" si="6"/>
        <v>132.52630749083079</v>
      </c>
      <c r="E224" s="2">
        <v>8710.91</v>
      </c>
      <c r="F224" s="1196">
        <f t="shared" si="7"/>
        <v>124.07607875087956</v>
      </c>
    </row>
    <row r="225" spans="2:6">
      <c r="B225" s="189">
        <v>42178</v>
      </c>
      <c r="C225" s="2">
        <v>52592</v>
      </c>
      <c r="D225" s="1196">
        <f t="shared" si="6"/>
        <v>132.04462280712326</v>
      </c>
      <c r="E225" s="2">
        <v>8664.08</v>
      </c>
      <c r="F225" s="1196">
        <f t="shared" si="7"/>
        <v>123.4090436457179</v>
      </c>
    </row>
    <row r="226" spans="2:6">
      <c r="B226" s="189">
        <v>42177</v>
      </c>
      <c r="C226" s="2">
        <v>52189.32</v>
      </c>
      <c r="D226" s="1196">
        <f t="shared" si="6"/>
        <v>131.03359967219831</v>
      </c>
      <c r="E226" s="2">
        <v>8546.99</v>
      </c>
      <c r="F226" s="1196">
        <f t="shared" si="7"/>
        <v>121.74124222647002</v>
      </c>
    </row>
    <row r="227" spans="2:6">
      <c r="B227" s="189">
        <v>42174</v>
      </c>
      <c r="C227" s="2">
        <v>51806.71</v>
      </c>
      <c r="D227" s="1196">
        <f t="shared" si="6"/>
        <v>130.0729670069216</v>
      </c>
      <c r="E227" s="2">
        <v>8336.25</v>
      </c>
      <c r="F227" s="1196">
        <f t="shared" si="7"/>
        <v>118.73951303446135</v>
      </c>
    </row>
    <row r="228" spans="2:6">
      <c r="B228" s="189">
        <v>42173</v>
      </c>
      <c r="C228" s="2">
        <v>51900.53</v>
      </c>
      <c r="D228" s="1196">
        <f t="shared" si="6"/>
        <v>130.30852424969169</v>
      </c>
      <c r="E228" s="2">
        <v>8242.58</v>
      </c>
      <c r="F228" s="1196">
        <f t="shared" si="7"/>
        <v>117.40530038657555</v>
      </c>
    </row>
    <row r="229" spans="2:6">
      <c r="B229" s="189">
        <v>42172</v>
      </c>
      <c r="C229" s="2">
        <v>51595.66</v>
      </c>
      <c r="D229" s="1196">
        <f t="shared" si="6"/>
        <v>129.54307619380472</v>
      </c>
      <c r="E229" s="2">
        <v>8183.57</v>
      </c>
      <c r="F229" s="1196">
        <f t="shared" si="7"/>
        <v>116.5647763302956</v>
      </c>
    </row>
    <row r="230" spans="2:6">
      <c r="B230" s="189">
        <v>42170</v>
      </c>
      <c r="C230" s="2">
        <v>51297.88</v>
      </c>
      <c r="D230" s="1196">
        <f t="shared" si="6"/>
        <v>128.79542925549649</v>
      </c>
      <c r="E230" s="2">
        <v>8167.65</v>
      </c>
      <c r="F230" s="1196">
        <f t="shared" si="7"/>
        <v>116.3380157308044</v>
      </c>
    </row>
    <row r="231" spans="2:6">
      <c r="B231" s="189">
        <v>42167</v>
      </c>
      <c r="C231" s="2">
        <v>51828.76</v>
      </c>
      <c r="D231" s="1196">
        <f t="shared" si="6"/>
        <v>130.12832873366514</v>
      </c>
      <c r="E231" s="2">
        <v>8242.58</v>
      </c>
      <c r="F231" s="1196">
        <f t="shared" si="7"/>
        <v>117.40530038657555</v>
      </c>
    </row>
    <row r="232" spans="2:6">
      <c r="B232" s="189">
        <v>42166</v>
      </c>
      <c r="C232" s="2">
        <v>51881.45</v>
      </c>
      <c r="D232" s="1196">
        <f t="shared" si="6"/>
        <v>130.26061940859114</v>
      </c>
      <c r="E232" s="2">
        <v>8242.58</v>
      </c>
      <c r="F232" s="1196">
        <f t="shared" si="7"/>
        <v>117.40530038657555</v>
      </c>
    </row>
    <row r="233" spans="2:6">
      <c r="B233" s="189">
        <v>42165</v>
      </c>
      <c r="C233" s="2">
        <v>51958.27</v>
      </c>
      <c r="D233" s="1196">
        <f t="shared" si="6"/>
        <v>130.4534941409467</v>
      </c>
      <c r="E233" s="2">
        <v>8242.58</v>
      </c>
      <c r="F233" s="1196">
        <f t="shared" si="7"/>
        <v>117.40530038657555</v>
      </c>
    </row>
    <row r="234" spans="2:6">
      <c r="B234" s="189">
        <v>42164</v>
      </c>
      <c r="C234" s="2">
        <v>51080.26</v>
      </c>
      <c r="D234" s="1196">
        <f t="shared" si="6"/>
        <v>128.24904290747236</v>
      </c>
      <c r="E234" s="2">
        <v>8392.44</v>
      </c>
      <c r="F234" s="1196">
        <f t="shared" si="7"/>
        <v>119.53986969811783</v>
      </c>
    </row>
    <row r="235" spans="2:6">
      <c r="B235" s="189">
        <v>42163</v>
      </c>
      <c r="C235" s="2">
        <v>51623.3</v>
      </c>
      <c r="D235" s="1196">
        <f t="shared" si="6"/>
        <v>129.61247293426695</v>
      </c>
      <c r="E235" s="2">
        <v>8383.08</v>
      </c>
      <c r="F235" s="1196">
        <f t="shared" si="7"/>
        <v>119.406548139623</v>
      </c>
    </row>
    <row r="236" spans="2:6">
      <c r="B236" s="189">
        <v>42160</v>
      </c>
      <c r="C236" s="2">
        <v>51694.25</v>
      </c>
      <c r="D236" s="1196">
        <f t="shared" si="6"/>
        <v>129.79060964684993</v>
      </c>
      <c r="E236" s="2">
        <v>8710.91</v>
      </c>
      <c r="F236" s="1196">
        <f t="shared" si="7"/>
        <v>124.07607875087956</v>
      </c>
    </row>
    <row r="237" spans="2:6">
      <c r="B237" s="189">
        <v>42159</v>
      </c>
      <c r="C237" s="2">
        <v>51323.68</v>
      </c>
      <c r="D237" s="1196">
        <f t="shared" si="6"/>
        <v>128.86020624189032</v>
      </c>
      <c r="E237" s="2">
        <v>8547.93</v>
      </c>
      <c r="F237" s="1196">
        <f t="shared" si="7"/>
        <v>121.75463135734452</v>
      </c>
    </row>
    <row r="238" spans="2:6">
      <c r="B238" s="189">
        <v>42158</v>
      </c>
      <c r="C238" s="2">
        <v>51850.67</v>
      </c>
      <c r="D238" s="1196">
        <f t="shared" si="6"/>
        <v>130.18333895738178</v>
      </c>
      <c r="E238" s="2">
        <v>8687.49</v>
      </c>
      <c r="F238" s="1196">
        <f t="shared" si="7"/>
        <v>123.74248997951747</v>
      </c>
    </row>
    <row r="239" spans="2:6">
      <c r="B239" s="189">
        <v>42157</v>
      </c>
      <c r="C239" s="2">
        <v>52185.61</v>
      </c>
      <c r="D239" s="1196">
        <f t="shared" si="6"/>
        <v>131.02428484198435</v>
      </c>
      <c r="E239" s="2">
        <v>8710.91</v>
      </c>
      <c r="F239" s="1196">
        <f t="shared" si="7"/>
        <v>124.07607875087956</v>
      </c>
    </row>
    <row r="240" spans="2:6">
      <c r="B240" s="189">
        <v>42156</v>
      </c>
      <c r="C240" s="2">
        <v>52073.88</v>
      </c>
      <c r="D240" s="1196">
        <f t="shared" si="6"/>
        <v>130.74376031912459</v>
      </c>
      <c r="E240" s="2">
        <v>8664.08</v>
      </c>
      <c r="F240" s="1196">
        <f t="shared" si="7"/>
        <v>123.4090436457179</v>
      </c>
    </row>
    <row r="241" spans="2:6">
      <c r="B241" s="189">
        <v>42153</v>
      </c>
      <c r="C241" s="2">
        <v>52270.86</v>
      </c>
      <c r="D241" s="1196">
        <f t="shared" si="6"/>
        <v>131.23832507803368</v>
      </c>
      <c r="E241" s="2">
        <v>8830.7999999999993</v>
      </c>
      <c r="F241" s="1196">
        <f t="shared" si="7"/>
        <v>125.78376268762588</v>
      </c>
    </row>
    <row r="242" spans="2:6">
      <c r="B242" s="189">
        <v>42152</v>
      </c>
      <c r="C242" s="2">
        <v>52810.36</v>
      </c>
      <c r="D242" s="1196">
        <f t="shared" si="6"/>
        <v>132.5928670997184</v>
      </c>
      <c r="E242" s="2">
        <v>8710.91</v>
      </c>
      <c r="F242" s="1196">
        <f t="shared" si="7"/>
        <v>124.07607875087956</v>
      </c>
    </row>
    <row r="243" spans="2:6">
      <c r="B243" s="189">
        <v>42151</v>
      </c>
      <c r="C243" s="2">
        <v>52933.34</v>
      </c>
      <c r="D243" s="1196">
        <f t="shared" si="6"/>
        <v>132.90163740152894</v>
      </c>
      <c r="E243" s="2">
        <v>8523.58</v>
      </c>
      <c r="F243" s="1196">
        <f t="shared" si="7"/>
        <v>121.40779589267045</v>
      </c>
    </row>
    <row r="244" spans="2:6">
      <c r="B244" s="189">
        <v>42150</v>
      </c>
      <c r="C244" s="2">
        <v>52963.39</v>
      </c>
      <c r="D244" s="1196">
        <f t="shared" si="6"/>
        <v>132.9770850155264</v>
      </c>
      <c r="E244" s="2">
        <v>8898.24</v>
      </c>
      <c r="F244" s="1196">
        <f t="shared" si="7"/>
        <v>126.74436160908866</v>
      </c>
    </row>
    <row r="245" spans="2:6">
      <c r="B245" s="189">
        <v>42149</v>
      </c>
      <c r="C245" s="2">
        <v>53985.66</v>
      </c>
      <c r="D245" s="1196">
        <f t="shared" si="6"/>
        <v>135.54373501090663</v>
      </c>
      <c r="E245" s="2">
        <v>8992.84</v>
      </c>
      <c r="F245" s="1196">
        <f t="shared" si="7"/>
        <v>128.09182095028643</v>
      </c>
    </row>
    <row r="246" spans="2:6">
      <c r="B246" s="189">
        <v>42146</v>
      </c>
      <c r="C246" s="2">
        <v>54055.38</v>
      </c>
      <c r="D246" s="1196">
        <f t="shared" si="6"/>
        <v>135.71878351832436</v>
      </c>
      <c r="E246" s="2">
        <v>9256.0400000000009</v>
      </c>
      <c r="F246" s="1196">
        <f t="shared" si="7"/>
        <v>131.84077759514119</v>
      </c>
    </row>
    <row r="247" spans="2:6">
      <c r="B247" s="189">
        <v>42145</v>
      </c>
      <c r="C247" s="2">
        <v>54123.89</v>
      </c>
      <c r="D247" s="1196">
        <f t="shared" si="6"/>
        <v>135.8907940352949</v>
      </c>
      <c r="E247" s="2">
        <v>9179.24</v>
      </c>
      <c r="F247" s="1196">
        <f t="shared" si="7"/>
        <v>130.74685711518356</v>
      </c>
    </row>
    <row r="248" spans="2:6">
      <c r="B248" s="189">
        <v>42144</v>
      </c>
      <c r="C248" s="2">
        <v>54192.07</v>
      </c>
      <c r="D248" s="1196">
        <f t="shared" si="6"/>
        <v>136.06197600941627</v>
      </c>
      <c r="E248" s="2">
        <v>9330.0400000000009</v>
      </c>
      <c r="F248" s="1196">
        <f t="shared" si="7"/>
        <v>132.89481555760034</v>
      </c>
    </row>
    <row r="249" spans="2:6">
      <c r="B249" s="189">
        <v>42143</v>
      </c>
      <c r="C249" s="2">
        <v>54327.13</v>
      </c>
      <c r="D249" s="1196">
        <f t="shared" si="6"/>
        <v>136.4010760009802</v>
      </c>
      <c r="E249" s="2">
        <v>9633.51</v>
      </c>
      <c r="F249" s="1196">
        <f t="shared" si="7"/>
        <v>137.21736826662035</v>
      </c>
    </row>
    <row r="250" spans="2:6">
      <c r="B250" s="189">
        <v>42142</v>
      </c>
      <c r="C250" s="2">
        <v>54409.43</v>
      </c>
      <c r="D250" s="1196">
        <f t="shared" si="6"/>
        <v>136.60770956610466</v>
      </c>
      <c r="E250" s="2">
        <v>9360.9500000000007</v>
      </c>
      <c r="F250" s="1196">
        <f t="shared" si="7"/>
        <v>133.33509006327077</v>
      </c>
    </row>
    <row r="251" spans="2:6">
      <c r="B251" s="189">
        <v>42139</v>
      </c>
      <c r="C251" s="2">
        <v>54028.17</v>
      </c>
      <c r="D251" s="1196">
        <f t="shared" si="6"/>
        <v>135.65046639430201</v>
      </c>
      <c r="E251" s="2">
        <v>9015.32</v>
      </c>
      <c r="F251" s="1196">
        <f t="shared" si="7"/>
        <v>128.41202059077403</v>
      </c>
    </row>
    <row r="252" spans="2:6">
      <c r="B252" s="189">
        <v>42138</v>
      </c>
      <c r="C252" s="2">
        <v>53874.59</v>
      </c>
      <c r="D252" s="1196">
        <f t="shared" si="6"/>
        <v>135.26486757374533</v>
      </c>
      <c r="E252" s="2">
        <v>10532.71</v>
      </c>
      <c r="F252" s="1196">
        <f t="shared" si="7"/>
        <v>150.02535388612401</v>
      </c>
    </row>
    <row r="253" spans="2:6">
      <c r="B253" s="189">
        <v>42137</v>
      </c>
      <c r="C253" s="2">
        <v>54053.919999999998</v>
      </c>
      <c r="D253" s="1196">
        <f t="shared" si="6"/>
        <v>135.71511784390052</v>
      </c>
      <c r="E253" s="2">
        <v>10593.59</v>
      </c>
      <c r="F253" s="1196">
        <f t="shared" si="7"/>
        <v>150.89251376659044</v>
      </c>
    </row>
    <row r="254" spans="2:6">
      <c r="B254" s="189">
        <v>42136</v>
      </c>
      <c r="C254" s="2">
        <v>53934.41</v>
      </c>
      <c r="D254" s="1196">
        <f t="shared" si="6"/>
        <v>135.41505979568637</v>
      </c>
      <c r="E254" s="2">
        <v>10537.39</v>
      </c>
      <c r="F254" s="1196">
        <f t="shared" si="7"/>
        <v>150.09201466537144</v>
      </c>
    </row>
    <row r="255" spans="2:6">
      <c r="B255" s="189">
        <v>42135</v>
      </c>
      <c r="C255" s="2">
        <v>54161.05</v>
      </c>
      <c r="D255" s="1196">
        <f t="shared" si="6"/>
        <v>135.9840929815893</v>
      </c>
      <c r="E255" s="2">
        <v>9787.1299999999992</v>
      </c>
      <c r="F255" s="1196">
        <f t="shared" si="7"/>
        <v>139.40549410166051</v>
      </c>
    </row>
    <row r="256" spans="2:6">
      <c r="B256" s="189">
        <v>42132</v>
      </c>
      <c r="C256" s="2">
        <v>53790.57</v>
      </c>
      <c r="D256" s="1196">
        <f t="shared" si="6"/>
        <v>135.05391554286129</v>
      </c>
      <c r="E256" s="2">
        <v>9963.2199999999993</v>
      </c>
      <c r="F256" s="1196">
        <f t="shared" si="7"/>
        <v>141.91367713962583</v>
      </c>
    </row>
    <row r="257" spans="2:6">
      <c r="B257" s="189">
        <v>42131</v>
      </c>
      <c r="C257" s="2">
        <v>53238.17</v>
      </c>
      <c r="D257" s="1196">
        <f t="shared" si="6"/>
        <v>133.66698502797965</v>
      </c>
      <c r="E257" s="2">
        <v>9742.17</v>
      </c>
      <c r="F257" s="1196">
        <f t="shared" si="7"/>
        <v>138.76509482068536</v>
      </c>
    </row>
    <row r="258" spans="2:6">
      <c r="B258" s="189">
        <v>42130</v>
      </c>
      <c r="C258" s="2">
        <v>53848.74</v>
      </c>
      <c r="D258" s="1196">
        <f t="shared" si="6"/>
        <v>135.19996505055619</v>
      </c>
      <c r="E258" s="2">
        <v>10022.23</v>
      </c>
      <c r="F258" s="1196">
        <f t="shared" si="7"/>
        <v>142.75420119590575</v>
      </c>
    </row>
    <row r="259" spans="2:6">
      <c r="B259" s="189">
        <v>42129</v>
      </c>
      <c r="C259" s="2">
        <v>54574.99</v>
      </c>
      <c r="D259" s="1196">
        <f t="shared" si="6"/>
        <v>137.02338700282408</v>
      </c>
      <c r="E259" s="2">
        <v>10677.89</v>
      </c>
      <c r="F259" s="1196">
        <f t="shared" si="7"/>
        <v>152.09326241841887</v>
      </c>
    </row>
    <row r="260" spans="2:6">
      <c r="B260" s="189">
        <v>42128</v>
      </c>
      <c r="C260" s="2">
        <v>54639.86</v>
      </c>
      <c r="D260" s="1196">
        <f t="shared" si="6"/>
        <v>137.18625844109414</v>
      </c>
      <c r="E260" s="2">
        <v>10162.73</v>
      </c>
      <c r="F260" s="1196">
        <f t="shared" si="7"/>
        <v>144.75544894895322</v>
      </c>
    </row>
    <row r="261" spans="2:6">
      <c r="B261" s="189">
        <v>42124</v>
      </c>
      <c r="C261" s="2">
        <v>54440.43</v>
      </c>
      <c r="D261" s="1196">
        <f t="shared" si="6"/>
        <v>136.68554237921353</v>
      </c>
      <c r="E261" s="2">
        <v>9958.5300000000007</v>
      </c>
      <c r="F261" s="1196">
        <f t="shared" si="7"/>
        <v>141.84687392281594</v>
      </c>
    </row>
    <row r="262" spans="2:6">
      <c r="B262" s="189">
        <v>42123</v>
      </c>
      <c r="C262" s="2">
        <v>54541.74</v>
      </c>
      <c r="D262" s="1196">
        <f t="shared" si="6"/>
        <v>136.93990503392507</v>
      </c>
      <c r="E262" s="2">
        <v>9296.32</v>
      </c>
      <c r="F262" s="1196">
        <f t="shared" si="7"/>
        <v>132.41451609686894</v>
      </c>
    </row>
    <row r="263" spans="2:6">
      <c r="B263" s="189">
        <v>42122</v>
      </c>
      <c r="C263" s="2">
        <v>55039.29</v>
      </c>
      <c r="D263" s="1196">
        <f t="shared" si="6"/>
        <v>138.18912168432215</v>
      </c>
      <c r="E263" s="2">
        <v>9515.5</v>
      </c>
      <c r="F263" s="1196">
        <f t="shared" si="7"/>
        <v>135.53646259162298</v>
      </c>
    </row>
    <row r="264" spans="2:6">
      <c r="B264" s="189">
        <v>42118</v>
      </c>
      <c r="C264" s="2">
        <v>55188.34</v>
      </c>
      <c r="D264" s="1196">
        <f t="shared" si="6"/>
        <v>138.56334687122134</v>
      </c>
      <c r="E264" s="2">
        <v>9447.1200000000008</v>
      </c>
      <c r="F264" s="1196">
        <f t="shared" si="7"/>
        <v>134.56247453928572</v>
      </c>
    </row>
    <row r="265" spans="2:6">
      <c r="B265" s="189">
        <v>42117</v>
      </c>
      <c r="C265" s="2">
        <v>54686.54</v>
      </c>
      <c r="D265" s="1196">
        <f t="shared" si="6"/>
        <v>137.30345959322062</v>
      </c>
      <c r="E265" s="2">
        <v>9460.23</v>
      </c>
      <c r="F265" s="1196">
        <f t="shared" si="7"/>
        <v>134.74921018371597</v>
      </c>
    </row>
    <row r="266" spans="2:6">
      <c r="B266" s="189">
        <v>42116</v>
      </c>
      <c r="C266" s="2">
        <v>54281.56</v>
      </c>
      <c r="D266" s="1196">
        <f t="shared" ref="D266:D329" si="8">C266/$C$757*100</f>
        <v>136.28666176571019</v>
      </c>
      <c r="E266" s="2">
        <v>9381.5499999999993</v>
      </c>
      <c r="F266" s="1196">
        <f t="shared" ref="F266:F329" si="9">E266/$E$757*100</f>
        <v>133.62851144200937</v>
      </c>
    </row>
    <row r="267" spans="2:6">
      <c r="B267" s="189">
        <v>42115</v>
      </c>
      <c r="C267" s="2">
        <v>54140.93</v>
      </c>
      <c r="D267" s="1196">
        <f t="shared" si="8"/>
        <v>135.93357697514571</v>
      </c>
      <c r="E267" s="2">
        <v>9450.8700000000008</v>
      </c>
      <c r="F267" s="1196">
        <f t="shared" si="9"/>
        <v>134.61588862522115</v>
      </c>
    </row>
    <row r="268" spans="2:6">
      <c r="B268" s="189">
        <v>42114</v>
      </c>
      <c r="C268" s="2">
        <v>53839.71</v>
      </c>
      <c r="D268" s="1196">
        <f t="shared" si="8"/>
        <v>135.17729310531834</v>
      </c>
      <c r="E268" s="2">
        <v>9403.1</v>
      </c>
      <c r="F268" s="1196">
        <f t="shared" si="9"/>
        <v>133.935464389185</v>
      </c>
    </row>
    <row r="269" spans="2:6">
      <c r="B269" s="189">
        <v>42111</v>
      </c>
      <c r="C269" s="2">
        <v>53734.04</v>
      </c>
      <c r="D269" s="1196">
        <f t="shared" si="8"/>
        <v>134.91198364205343</v>
      </c>
      <c r="E269" s="2">
        <v>9366.57</v>
      </c>
      <c r="F269" s="1196">
        <f t="shared" si="9"/>
        <v>133.41513997339268</v>
      </c>
    </row>
    <row r="270" spans="2:6">
      <c r="B270" s="189">
        <v>42110</v>
      </c>
      <c r="C270" s="2">
        <v>54262.27</v>
      </c>
      <c r="D270" s="1196">
        <f t="shared" si="8"/>
        <v>136.23822967006922</v>
      </c>
      <c r="E270" s="2">
        <v>9348.77</v>
      </c>
      <c r="F270" s="1196">
        <f t="shared" si="9"/>
        <v>133.16160111215248</v>
      </c>
    </row>
    <row r="271" spans="2:6">
      <c r="B271" s="189">
        <v>42109</v>
      </c>
      <c r="C271" s="2">
        <v>53720.57</v>
      </c>
      <c r="D271" s="1196">
        <f t="shared" si="8"/>
        <v>134.87816402938967</v>
      </c>
      <c r="E271" s="2">
        <v>9380.6200000000008</v>
      </c>
      <c r="F271" s="1196">
        <f t="shared" si="9"/>
        <v>133.61526474869743</v>
      </c>
    </row>
    <row r="272" spans="2:6">
      <c r="B272" s="189">
        <v>42108</v>
      </c>
      <c r="C272" s="2">
        <v>53311.46</v>
      </c>
      <c r="D272" s="1196">
        <f t="shared" si="8"/>
        <v>133.85099686258442</v>
      </c>
      <c r="E272" s="2">
        <v>9413.4</v>
      </c>
      <c r="F272" s="1196">
        <f t="shared" si="9"/>
        <v>134.08217507855431</v>
      </c>
    </row>
    <row r="273" spans="2:6">
      <c r="B273" s="189">
        <v>42107</v>
      </c>
      <c r="C273" s="2">
        <v>53589.31</v>
      </c>
      <c r="D273" s="1196">
        <f t="shared" si="8"/>
        <v>134.54860483427134</v>
      </c>
      <c r="E273" s="2">
        <v>9443.3700000000008</v>
      </c>
      <c r="F273" s="1196">
        <f t="shared" si="9"/>
        <v>134.50906045335029</v>
      </c>
    </row>
    <row r="274" spans="2:6">
      <c r="B274" s="189">
        <v>42104</v>
      </c>
      <c r="C274" s="2">
        <v>53420.78</v>
      </c>
      <c r="D274" s="1196">
        <f t="shared" si="8"/>
        <v>134.12547051190893</v>
      </c>
      <c r="E274" s="2">
        <v>9310.3700000000008</v>
      </c>
      <c r="F274" s="1196">
        <f t="shared" si="9"/>
        <v>132.61464087217371</v>
      </c>
    </row>
    <row r="275" spans="2:6">
      <c r="B275" s="189">
        <v>42103</v>
      </c>
      <c r="C275" s="2">
        <v>52984.55</v>
      </c>
      <c r="D275" s="1196">
        <f t="shared" si="8"/>
        <v>133.03021218731297</v>
      </c>
      <c r="E275" s="2">
        <v>9604.48</v>
      </c>
      <c r="F275" s="1196">
        <f t="shared" si="9"/>
        <v>136.80387202269884</v>
      </c>
    </row>
    <row r="276" spans="2:6">
      <c r="B276" s="189">
        <v>42102</v>
      </c>
      <c r="C276" s="2">
        <v>52806</v>
      </c>
      <c r="D276" s="1196">
        <f t="shared" si="8"/>
        <v>132.58192029116503</v>
      </c>
      <c r="E276" s="2">
        <v>9583.8700000000008</v>
      </c>
      <c r="F276" s="1196">
        <f t="shared" si="9"/>
        <v>136.51030820639772</v>
      </c>
    </row>
    <row r="277" spans="2:6">
      <c r="B277" s="189">
        <v>42101</v>
      </c>
      <c r="C277" s="2">
        <v>52595.69</v>
      </c>
      <c r="D277" s="1196">
        <f t="shared" si="8"/>
        <v>132.05388742261911</v>
      </c>
      <c r="E277" s="2">
        <v>9681.2800000000007</v>
      </c>
      <c r="F277" s="1196">
        <f t="shared" si="9"/>
        <v>137.89779250265647</v>
      </c>
    </row>
    <row r="278" spans="2:6">
      <c r="B278" s="189">
        <v>42096</v>
      </c>
      <c r="C278" s="2">
        <v>52229.32</v>
      </c>
      <c r="D278" s="1196">
        <f t="shared" si="8"/>
        <v>131.13402910846781</v>
      </c>
      <c r="E278" s="2">
        <v>9741.23</v>
      </c>
      <c r="F278" s="1196">
        <f t="shared" si="9"/>
        <v>138.75170568981088</v>
      </c>
    </row>
    <row r="279" spans="2:6">
      <c r="B279" s="189">
        <v>42095</v>
      </c>
      <c r="C279" s="2">
        <v>52281.14</v>
      </c>
      <c r="D279" s="1196">
        <f t="shared" si="8"/>
        <v>131.26413544315494</v>
      </c>
      <c r="E279" s="2">
        <v>9689.7099999999991</v>
      </c>
      <c r="F279" s="1196">
        <f t="shared" si="9"/>
        <v>138.0178673678393</v>
      </c>
    </row>
    <row r="280" spans="2:6">
      <c r="B280" s="189">
        <v>42094</v>
      </c>
      <c r="C280" s="2">
        <v>52181.95</v>
      </c>
      <c r="D280" s="1196">
        <f t="shared" si="8"/>
        <v>131.01509554856565</v>
      </c>
      <c r="E280" s="2">
        <v>9422.77</v>
      </c>
      <c r="F280" s="1196">
        <f t="shared" si="9"/>
        <v>134.21563907461166</v>
      </c>
    </row>
    <row r="281" spans="2:6">
      <c r="B281" s="189">
        <v>42093</v>
      </c>
      <c r="C281" s="2">
        <v>52455.360000000001</v>
      </c>
      <c r="D281" s="1196">
        <f t="shared" si="8"/>
        <v>131.70155585282671</v>
      </c>
      <c r="E281" s="2">
        <v>9469.6</v>
      </c>
      <c r="F281" s="1196">
        <f t="shared" si="9"/>
        <v>134.88267417977332</v>
      </c>
    </row>
    <row r="282" spans="2:6">
      <c r="B282" s="189">
        <v>42090</v>
      </c>
      <c r="C282" s="2">
        <v>51810.16</v>
      </c>
      <c r="D282" s="1196">
        <f t="shared" si="8"/>
        <v>130.08162904579984</v>
      </c>
      <c r="E282" s="2">
        <v>9230.75</v>
      </c>
      <c r="F282" s="1196">
        <f t="shared" si="9"/>
        <v>131.48055299959262</v>
      </c>
    </row>
    <row r="283" spans="2:6">
      <c r="B283" s="189">
        <v>42089</v>
      </c>
      <c r="C283" s="2">
        <v>51603.93</v>
      </c>
      <c r="D283" s="1196">
        <f t="shared" si="8"/>
        <v>129.56383997975342</v>
      </c>
      <c r="E283" s="2">
        <v>9277.59</v>
      </c>
      <c r="F283" s="1196">
        <f t="shared" si="9"/>
        <v>132.14773054231679</v>
      </c>
    </row>
    <row r="284" spans="2:6">
      <c r="B284" s="189">
        <v>42088</v>
      </c>
      <c r="C284" s="2">
        <v>52313.02</v>
      </c>
      <c r="D284" s="1196">
        <f t="shared" si="8"/>
        <v>131.3441777038617</v>
      </c>
      <c r="E284" s="2">
        <v>9493.9500000000007</v>
      </c>
      <c r="F284" s="1196">
        <f t="shared" si="9"/>
        <v>135.22950964444738</v>
      </c>
    </row>
    <row r="285" spans="2:6">
      <c r="B285" s="189">
        <v>42087</v>
      </c>
      <c r="C285" s="2">
        <v>52858.12</v>
      </c>
      <c r="D285" s="1196">
        <f t="shared" si="8"/>
        <v>132.71277984662419</v>
      </c>
      <c r="E285" s="2">
        <v>9383.43</v>
      </c>
      <c r="F285" s="1196">
        <f t="shared" si="9"/>
        <v>133.65528970375837</v>
      </c>
    </row>
    <row r="286" spans="2:6">
      <c r="B286" s="189">
        <v>42086</v>
      </c>
      <c r="C286" s="2">
        <v>52559.35</v>
      </c>
      <c r="D286" s="1196">
        <f t="shared" si="8"/>
        <v>131.9626472797683</v>
      </c>
      <c r="E286" s="2">
        <v>8991.91</v>
      </c>
      <c r="F286" s="1196">
        <f t="shared" si="9"/>
        <v>128.07857425697446</v>
      </c>
    </row>
    <row r="287" spans="2:6">
      <c r="B287" s="189">
        <v>42083</v>
      </c>
      <c r="C287" s="2">
        <v>52631.78</v>
      </c>
      <c r="D287" s="1196">
        <f t="shared" si="8"/>
        <v>132.14449988149326</v>
      </c>
      <c r="E287" s="2">
        <v>8804.57</v>
      </c>
      <c r="F287" s="1196">
        <f t="shared" si="9"/>
        <v>125.41014896120286</v>
      </c>
    </row>
    <row r="288" spans="2:6">
      <c r="B288" s="189">
        <v>42082</v>
      </c>
      <c r="C288" s="2">
        <v>52741.02</v>
      </c>
      <c r="D288" s="1196">
        <f t="shared" si="8"/>
        <v>132.41877267194525</v>
      </c>
      <c r="E288" s="2">
        <v>9141.77</v>
      </c>
      <c r="F288" s="1196">
        <f t="shared" si="9"/>
        <v>130.21314356851676</v>
      </c>
    </row>
    <row r="289" spans="2:6">
      <c r="B289" s="189">
        <v>42081</v>
      </c>
      <c r="C289" s="2">
        <v>52187.48</v>
      </c>
      <c r="D289" s="1196">
        <f t="shared" si="8"/>
        <v>131.02897991812995</v>
      </c>
      <c r="E289" s="2">
        <v>9582.94</v>
      </c>
      <c r="F289" s="1196">
        <f t="shared" si="9"/>
        <v>136.49706151308573</v>
      </c>
    </row>
    <row r="290" spans="2:6">
      <c r="B290" s="189">
        <v>42080</v>
      </c>
      <c r="C290" s="2">
        <v>52300.24</v>
      </c>
      <c r="D290" s="1196">
        <f t="shared" si="8"/>
        <v>131.31209049897362</v>
      </c>
      <c r="E290" s="2">
        <v>9789.94</v>
      </c>
      <c r="F290" s="1196">
        <f t="shared" si="9"/>
        <v>139.44551905672148</v>
      </c>
    </row>
    <row r="291" spans="2:6">
      <c r="B291" s="189">
        <v>42079</v>
      </c>
      <c r="C291" s="2">
        <v>52139.15</v>
      </c>
      <c r="D291" s="1196">
        <f t="shared" si="8"/>
        <v>130.90763605175732</v>
      </c>
      <c r="E291" s="2">
        <v>9881.73</v>
      </c>
      <c r="F291" s="1196">
        <f t="shared" si="9"/>
        <v>140.75295344285831</v>
      </c>
    </row>
    <row r="292" spans="2:6">
      <c r="B292" s="189">
        <v>42076</v>
      </c>
      <c r="C292" s="2">
        <v>51798.74</v>
      </c>
      <c r="D292" s="1196">
        <f t="shared" si="8"/>
        <v>130.0529564417449</v>
      </c>
      <c r="E292" s="2">
        <v>9509.8799999999992</v>
      </c>
      <c r="F292" s="1196">
        <f t="shared" si="9"/>
        <v>135.45641268150106</v>
      </c>
    </row>
    <row r="293" spans="2:6">
      <c r="B293" s="189">
        <v>42075</v>
      </c>
      <c r="C293" s="2">
        <v>52240.06</v>
      </c>
      <c r="D293" s="1196">
        <f t="shared" si="8"/>
        <v>131.16099441210616</v>
      </c>
      <c r="E293" s="2">
        <v>9741.23</v>
      </c>
      <c r="F293" s="1196">
        <f t="shared" si="9"/>
        <v>138.75170568981088</v>
      </c>
    </row>
    <row r="294" spans="2:6">
      <c r="B294" s="189">
        <v>42074</v>
      </c>
      <c r="C294" s="2">
        <v>51753.07</v>
      </c>
      <c r="D294" s="1196">
        <f t="shared" si="8"/>
        <v>129.93829113288422</v>
      </c>
      <c r="E294" s="2">
        <v>9870.49</v>
      </c>
      <c r="F294" s="1196">
        <f t="shared" si="9"/>
        <v>140.59285362261454</v>
      </c>
    </row>
    <row r="295" spans="2:6">
      <c r="B295" s="189">
        <v>42073</v>
      </c>
      <c r="C295" s="2">
        <v>52088.54</v>
      </c>
      <c r="D295" s="1196">
        <f t="shared" si="8"/>
        <v>130.78056770751735</v>
      </c>
      <c r="E295" s="2">
        <v>10251.709999999999</v>
      </c>
      <c r="F295" s="1196">
        <f t="shared" si="9"/>
        <v>146.02285838002911</v>
      </c>
    </row>
    <row r="296" spans="2:6">
      <c r="B296" s="189">
        <v>42072</v>
      </c>
      <c r="C296" s="2">
        <v>52614.080000000002</v>
      </c>
      <c r="D296" s="1196">
        <f t="shared" si="8"/>
        <v>132.10005985594401</v>
      </c>
      <c r="E296" s="2">
        <v>9834.9</v>
      </c>
      <c r="F296" s="1196">
        <f t="shared" si="9"/>
        <v>140.08591833769665</v>
      </c>
    </row>
    <row r="297" spans="2:6">
      <c r="B297" s="189">
        <v>42069</v>
      </c>
      <c r="C297" s="2">
        <v>53346.99</v>
      </c>
      <c r="D297" s="1196">
        <f t="shared" si="8"/>
        <v>133.94020330935078</v>
      </c>
      <c r="E297" s="2">
        <v>10197.379999999999</v>
      </c>
      <c r="F297" s="1196">
        <f t="shared" si="9"/>
        <v>145.24899510299662</v>
      </c>
    </row>
    <row r="298" spans="2:6">
      <c r="B298" s="189">
        <v>42068</v>
      </c>
      <c r="C298" s="2">
        <v>53285.599999999999</v>
      </c>
      <c r="D298" s="1196">
        <f t="shared" si="8"/>
        <v>133.78606923203617</v>
      </c>
      <c r="E298" s="2">
        <v>10247.030000000001</v>
      </c>
      <c r="F298" s="1196">
        <f t="shared" si="9"/>
        <v>145.95619760078171</v>
      </c>
    </row>
    <row r="299" spans="2:6">
      <c r="B299" s="189">
        <v>42067</v>
      </c>
      <c r="C299" s="2">
        <v>52891.3</v>
      </c>
      <c r="D299" s="1196">
        <f t="shared" si="8"/>
        <v>132.79608606400973</v>
      </c>
      <c r="E299" s="2">
        <v>10115.89</v>
      </c>
      <c r="F299" s="1196">
        <f t="shared" si="9"/>
        <v>144.08827140622907</v>
      </c>
    </row>
    <row r="300" spans="2:6">
      <c r="B300" s="189">
        <v>42066</v>
      </c>
      <c r="C300" s="2">
        <v>53130.34</v>
      </c>
      <c r="D300" s="1196">
        <f t="shared" si="8"/>
        <v>133.39625237515617</v>
      </c>
      <c r="E300" s="2">
        <v>10114.02</v>
      </c>
      <c r="F300" s="1196">
        <f t="shared" si="9"/>
        <v>144.06163558204261</v>
      </c>
    </row>
    <row r="301" spans="2:6">
      <c r="B301" s="189">
        <v>42065</v>
      </c>
      <c r="C301" s="2">
        <v>52952.91</v>
      </c>
      <c r="D301" s="1196">
        <f t="shared" si="8"/>
        <v>132.95077250322379</v>
      </c>
      <c r="E301" s="2">
        <v>10209.56</v>
      </c>
      <c r="F301" s="1196">
        <f t="shared" si="9"/>
        <v>145.42248405411488</v>
      </c>
    </row>
    <row r="302" spans="2:6">
      <c r="B302" s="189">
        <v>42062</v>
      </c>
      <c r="C302" s="2">
        <v>53344.2</v>
      </c>
      <c r="D302" s="1196">
        <f t="shared" si="8"/>
        <v>133.93319835617098</v>
      </c>
      <c r="E302" s="2">
        <v>10303.219999999999</v>
      </c>
      <c r="F302" s="1196">
        <f t="shared" si="9"/>
        <v>146.75655426443817</v>
      </c>
    </row>
    <row r="303" spans="2:6">
      <c r="B303" s="189">
        <v>42061</v>
      </c>
      <c r="C303" s="2">
        <v>53331.16</v>
      </c>
      <c r="D303" s="1196">
        <f t="shared" si="8"/>
        <v>133.90045835994715</v>
      </c>
      <c r="E303" s="2">
        <v>10396.89</v>
      </c>
      <c r="F303" s="1196">
        <f t="shared" si="9"/>
        <v>148.09076691232397</v>
      </c>
    </row>
    <row r="304" spans="2:6">
      <c r="B304" s="189">
        <v>42060</v>
      </c>
      <c r="C304" s="2">
        <v>53217.75</v>
      </c>
      <c r="D304" s="1196">
        <f t="shared" si="8"/>
        <v>133.61571580076406</v>
      </c>
      <c r="E304" s="2">
        <v>10458.709999999999</v>
      </c>
      <c r="F304" s="1196">
        <f t="shared" si="9"/>
        <v>148.97131592366486</v>
      </c>
    </row>
    <row r="305" spans="2:6">
      <c r="B305" s="189">
        <v>42059</v>
      </c>
      <c r="C305" s="2">
        <v>53374.879999999997</v>
      </c>
      <c r="D305" s="1196">
        <f t="shared" si="8"/>
        <v>134.01022773378969</v>
      </c>
      <c r="E305" s="2">
        <v>10489.62</v>
      </c>
      <c r="F305" s="1196">
        <f t="shared" si="9"/>
        <v>149.41159042933532</v>
      </c>
    </row>
    <row r="306" spans="2:6">
      <c r="B306" s="189">
        <v>42058</v>
      </c>
      <c r="C306" s="2">
        <v>53336.46</v>
      </c>
      <c r="D306" s="1196">
        <f t="shared" si="8"/>
        <v>133.91376526025286</v>
      </c>
      <c r="E306" s="2">
        <v>10677.89</v>
      </c>
      <c r="F306" s="1196">
        <f t="shared" si="9"/>
        <v>152.09326241841887</v>
      </c>
    </row>
    <row r="307" spans="2:6">
      <c r="B307" s="189">
        <v>42055</v>
      </c>
      <c r="C307" s="2">
        <v>53035.26</v>
      </c>
      <c r="D307" s="1196">
        <f t="shared" si="8"/>
        <v>133.15753160514362</v>
      </c>
      <c r="E307" s="2">
        <v>10771.55</v>
      </c>
      <c r="F307" s="1196">
        <f t="shared" si="9"/>
        <v>153.42733262874216</v>
      </c>
    </row>
    <row r="308" spans="2:6">
      <c r="B308" s="189">
        <v>42054</v>
      </c>
      <c r="C308" s="2">
        <v>52835.55</v>
      </c>
      <c r="D308" s="1196">
        <f t="shared" si="8"/>
        <v>132.65611253720914</v>
      </c>
      <c r="E308" s="2">
        <v>10677.89</v>
      </c>
      <c r="F308" s="1196">
        <f t="shared" si="9"/>
        <v>152.09326241841887</v>
      </c>
    </row>
    <row r="309" spans="2:6">
      <c r="B309" s="189">
        <v>42053</v>
      </c>
      <c r="C309" s="2">
        <v>52536.24</v>
      </c>
      <c r="D309" s="1196">
        <f t="shared" si="8"/>
        <v>131.90462417296359</v>
      </c>
      <c r="E309" s="2">
        <v>10628.24</v>
      </c>
      <c r="F309" s="1196">
        <f t="shared" si="9"/>
        <v>151.38605992063378</v>
      </c>
    </row>
    <row r="310" spans="2:6">
      <c r="B310" s="189">
        <v>42052</v>
      </c>
      <c r="C310" s="2">
        <v>52833.48</v>
      </c>
      <c r="D310" s="1196">
        <f t="shared" si="8"/>
        <v>132.65091531388217</v>
      </c>
      <c r="E310" s="2">
        <v>10654.47</v>
      </c>
      <c r="F310" s="1196">
        <f t="shared" si="9"/>
        <v>151.75967364705681</v>
      </c>
    </row>
    <row r="311" spans="2:6">
      <c r="B311" s="189">
        <v>42051</v>
      </c>
      <c r="C311" s="2">
        <v>52995.89</v>
      </c>
      <c r="D311" s="1196">
        <f t="shared" si="8"/>
        <v>133.05868393249537</v>
      </c>
      <c r="E311" s="2">
        <v>10162.73</v>
      </c>
      <c r="F311" s="1196">
        <f t="shared" si="9"/>
        <v>144.75544894895322</v>
      </c>
    </row>
    <row r="312" spans="2:6">
      <c r="B312" s="189">
        <v>42048</v>
      </c>
      <c r="C312" s="2">
        <v>52967.63</v>
      </c>
      <c r="D312" s="1196">
        <f t="shared" si="8"/>
        <v>132.98773053577096</v>
      </c>
      <c r="E312" s="2">
        <v>10256.39</v>
      </c>
      <c r="F312" s="1196">
        <f t="shared" si="9"/>
        <v>146.08951915927653</v>
      </c>
    </row>
    <row r="313" spans="2:6">
      <c r="B313" s="189">
        <v>42047</v>
      </c>
      <c r="C313" s="2">
        <v>52507.93</v>
      </c>
      <c r="D313" s="1196">
        <f t="shared" si="8"/>
        <v>131.83354523944385</v>
      </c>
      <c r="E313" s="2">
        <v>10429.67</v>
      </c>
      <c r="F313" s="1196">
        <f t="shared" si="9"/>
        <v>148.55767724218089</v>
      </c>
    </row>
    <row r="314" spans="2:6">
      <c r="B314" s="189">
        <v>42046</v>
      </c>
      <c r="C314" s="2">
        <v>52069.3</v>
      </c>
      <c r="D314" s="1196">
        <f t="shared" si="8"/>
        <v>130.73226114867174</v>
      </c>
      <c r="E314" s="2">
        <v>10261.07</v>
      </c>
      <c r="F314" s="1196">
        <f t="shared" si="9"/>
        <v>146.15617993852393</v>
      </c>
    </row>
    <row r="315" spans="2:6">
      <c r="B315" s="189">
        <v>42045</v>
      </c>
      <c r="C315" s="2">
        <v>52109.54</v>
      </c>
      <c r="D315" s="1196">
        <f t="shared" si="8"/>
        <v>130.83329316155883</v>
      </c>
      <c r="E315" s="2">
        <v>10441.85</v>
      </c>
      <c r="F315" s="1196">
        <f t="shared" si="9"/>
        <v>148.73116619329917</v>
      </c>
    </row>
    <row r="316" spans="2:6">
      <c r="B316" s="189">
        <v>42044</v>
      </c>
      <c r="C316" s="2">
        <v>52105.38</v>
      </c>
      <c r="D316" s="1196">
        <f t="shared" si="8"/>
        <v>130.82284850018681</v>
      </c>
      <c r="E316" s="2">
        <v>10462.459999999999</v>
      </c>
      <c r="F316" s="1196">
        <f t="shared" si="9"/>
        <v>149.02473000960029</v>
      </c>
    </row>
    <row r="317" spans="2:6">
      <c r="B317" s="189">
        <v>42041</v>
      </c>
      <c r="C317" s="2">
        <v>51998.32</v>
      </c>
      <c r="D317" s="1196">
        <f t="shared" si="8"/>
        <v>130.55404911401152</v>
      </c>
      <c r="E317" s="2">
        <v>10359.42</v>
      </c>
      <c r="F317" s="1196">
        <f t="shared" si="9"/>
        <v>147.55705336565717</v>
      </c>
    </row>
    <row r="318" spans="2:6">
      <c r="B318" s="189">
        <v>42040</v>
      </c>
      <c r="C318" s="2">
        <v>51688.7</v>
      </c>
      <c r="D318" s="1196">
        <f t="shared" si="8"/>
        <v>129.77667506256753</v>
      </c>
      <c r="E318" s="2">
        <v>10560.81</v>
      </c>
      <c r="F318" s="1196">
        <f t="shared" si="9"/>
        <v>150.4256034367335</v>
      </c>
    </row>
    <row r="319" spans="2:6">
      <c r="B319" s="189">
        <v>42039</v>
      </c>
      <c r="C319" s="2">
        <v>51630.82</v>
      </c>
      <c r="D319" s="1196">
        <f t="shared" si="8"/>
        <v>129.63135366828561</v>
      </c>
      <c r="E319" s="2">
        <v>10560.81</v>
      </c>
      <c r="F319" s="1196">
        <f t="shared" si="9"/>
        <v>150.4256034367335</v>
      </c>
    </row>
    <row r="320" spans="2:6">
      <c r="B320" s="189">
        <v>42038</v>
      </c>
      <c r="C320" s="2">
        <v>51949.33</v>
      </c>
      <c r="D320" s="1196">
        <f t="shared" si="8"/>
        <v>130.43104816194045</v>
      </c>
      <c r="E320" s="2">
        <v>10537.39</v>
      </c>
      <c r="F320" s="1196">
        <f t="shared" si="9"/>
        <v>150.09201466537144</v>
      </c>
    </row>
    <row r="321" spans="2:6">
      <c r="B321" s="189">
        <v>42037</v>
      </c>
      <c r="C321" s="2">
        <v>51394.55</v>
      </c>
      <c r="D321" s="1196">
        <f t="shared" si="8"/>
        <v>129.03814209560082</v>
      </c>
      <c r="E321" s="2">
        <v>10326.64</v>
      </c>
      <c r="F321" s="1196">
        <f t="shared" si="9"/>
        <v>147.09014303580025</v>
      </c>
    </row>
    <row r="322" spans="2:6">
      <c r="B322" s="189">
        <v>42034</v>
      </c>
      <c r="C322" s="2">
        <v>51266.81</v>
      </c>
      <c r="D322" s="1196">
        <f t="shared" si="8"/>
        <v>128.71742069087418</v>
      </c>
      <c r="E322" s="2">
        <v>10115.89</v>
      </c>
      <c r="F322" s="1196">
        <f t="shared" si="9"/>
        <v>144.08827140622907</v>
      </c>
    </row>
    <row r="323" spans="2:6">
      <c r="B323" s="189">
        <v>42033</v>
      </c>
      <c r="C323" s="2">
        <v>50945.56</v>
      </c>
      <c r="D323" s="1196">
        <f t="shared" si="8"/>
        <v>127.91084678083485</v>
      </c>
      <c r="E323" s="2">
        <v>10209.56</v>
      </c>
      <c r="F323" s="1196">
        <f t="shared" si="9"/>
        <v>145.42248405411488</v>
      </c>
    </row>
    <row r="324" spans="2:6">
      <c r="B324" s="189">
        <v>42032</v>
      </c>
      <c r="C324" s="2">
        <v>51200.57</v>
      </c>
      <c r="D324" s="1196">
        <f t="shared" si="8"/>
        <v>128.5511095444119</v>
      </c>
      <c r="E324" s="2">
        <v>10209.56</v>
      </c>
      <c r="F324" s="1196">
        <f t="shared" si="9"/>
        <v>145.42248405411488</v>
      </c>
    </row>
    <row r="325" spans="2:6">
      <c r="B325" s="189">
        <v>42031</v>
      </c>
      <c r="C325" s="2">
        <v>50711.09</v>
      </c>
      <c r="D325" s="1196">
        <f t="shared" si="8"/>
        <v>127.32215453278218</v>
      </c>
      <c r="E325" s="2">
        <v>10209.56</v>
      </c>
      <c r="F325" s="1196">
        <f t="shared" si="9"/>
        <v>145.42248405411488</v>
      </c>
    </row>
    <row r="326" spans="2:6">
      <c r="B326" s="189">
        <v>42030</v>
      </c>
      <c r="C326" s="2">
        <v>50337.98</v>
      </c>
      <c r="D326" s="1196">
        <f t="shared" si="8"/>
        <v>126.38537385861947</v>
      </c>
      <c r="E326" s="2">
        <v>10209.56</v>
      </c>
      <c r="F326" s="1196">
        <f t="shared" si="9"/>
        <v>145.42248405411488</v>
      </c>
    </row>
    <row r="327" spans="2:6">
      <c r="B327" s="189">
        <v>42027</v>
      </c>
      <c r="C327" s="2">
        <v>49816.57</v>
      </c>
      <c r="D327" s="1196">
        <f t="shared" si="8"/>
        <v>125.07625104948761</v>
      </c>
      <c r="E327" s="2">
        <v>10256.39</v>
      </c>
      <c r="F327" s="1196">
        <f t="shared" si="9"/>
        <v>146.08951915927653</v>
      </c>
    </row>
    <row r="328" spans="2:6">
      <c r="B328" s="189">
        <v>42026</v>
      </c>
      <c r="C328" s="2">
        <v>49872.69</v>
      </c>
      <c r="D328" s="1196">
        <f t="shared" si="8"/>
        <v>125.21715354857371</v>
      </c>
      <c r="E328" s="2">
        <v>10022.23</v>
      </c>
      <c r="F328" s="1196">
        <f t="shared" si="9"/>
        <v>142.75420119590575</v>
      </c>
    </row>
    <row r="329" spans="2:6">
      <c r="B329" s="189">
        <v>42025</v>
      </c>
      <c r="C329" s="2">
        <v>49588.79</v>
      </c>
      <c r="D329" s="1196">
        <f t="shared" si="8"/>
        <v>124.50435562465101</v>
      </c>
      <c r="E329" s="2">
        <v>10301.35</v>
      </c>
      <c r="F329" s="1196">
        <f t="shared" si="9"/>
        <v>146.72991844025171</v>
      </c>
    </row>
    <row r="330" spans="2:6">
      <c r="B330" s="189">
        <v>42024</v>
      </c>
      <c r="C330" s="2">
        <v>49124.77</v>
      </c>
      <c r="D330" s="1196">
        <f t="shared" ref="D330:D393" si="10">C330/$C$757*100</f>
        <v>123.33932394920681</v>
      </c>
      <c r="E330" s="2">
        <v>10115.89</v>
      </c>
      <c r="F330" s="1196">
        <f t="shared" ref="F330:F393" si="11">E330/$E$757*100</f>
        <v>144.08827140622907</v>
      </c>
    </row>
    <row r="331" spans="2:6">
      <c r="B331" s="189">
        <v>42023</v>
      </c>
      <c r="C331" s="2">
        <v>48996.94</v>
      </c>
      <c r="D331" s="1196">
        <f t="shared" si="10"/>
        <v>123.01837657824859</v>
      </c>
      <c r="E331" s="2">
        <v>10209.56</v>
      </c>
      <c r="F331" s="1196">
        <f t="shared" si="11"/>
        <v>145.42248405411488</v>
      </c>
    </row>
    <row r="332" spans="2:6">
      <c r="B332" s="189">
        <v>42020</v>
      </c>
      <c r="C332" s="2">
        <v>48458.25</v>
      </c>
      <c r="D332" s="1196">
        <f t="shared" si="10"/>
        <v>121.66586825264834</v>
      </c>
      <c r="E332" s="2">
        <v>10209.56</v>
      </c>
      <c r="F332" s="1196">
        <f t="shared" si="11"/>
        <v>145.42248405411488</v>
      </c>
    </row>
    <row r="333" spans="2:6">
      <c r="B333" s="189">
        <v>42019</v>
      </c>
      <c r="C333" s="2">
        <v>48524.25</v>
      </c>
      <c r="D333" s="1196">
        <f t="shared" si="10"/>
        <v>121.83157682249299</v>
      </c>
      <c r="E333" s="2">
        <v>10110.27</v>
      </c>
      <c r="F333" s="1196">
        <f t="shared" si="11"/>
        <v>144.00822149610718</v>
      </c>
    </row>
    <row r="334" spans="2:6">
      <c r="B334" s="189">
        <v>42018</v>
      </c>
      <c r="C334" s="2">
        <v>48057.46</v>
      </c>
      <c r="D334" s="1196">
        <f t="shared" si="10"/>
        <v>120.65959040858712</v>
      </c>
      <c r="E334" s="2">
        <v>10106.530000000001</v>
      </c>
      <c r="F334" s="1196">
        <f t="shared" si="11"/>
        <v>143.95494984773424</v>
      </c>
    </row>
    <row r="335" spans="2:6">
      <c r="B335" s="189">
        <v>42017</v>
      </c>
      <c r="C335" s="2">
        <v>49433</v>
      </c>
      <c r="D335" s="1196">
        <f t="shared" si="10"/>
        <v>124.11320807774042</v>
      </c>
      <c r="E335" s="2">
        <v>9923.8799999999992</v>
      </c>
      <c r="F335" s="1196">
        <f t="shared" si="11"/>
        <v>141.35332776877254</v>
      </c>
    </row>
    <row r="336" spans="2:6">
      <c r="B336" s="189">
        <v>42016</v>
      </c>
      <c r="C336" s="2">
        <v>48468.39</v>
      </c>
      <c r="D336" s="1196">
        <f t="shared" si="10"/>
        <v>121.69132711474265</v>
      </c>
      <c r="E336" s="2">
        <v>9872.36</v>
      </c>
      <c r="F336" s="1196">
        <f t="shared" si="11"/>
        <v>140.619489446801</v>
      </c>
    </row>
    <row r="337" spans="2:6">
      <c r="B337" s="189">
        <v>42013</v>
      </c>
      <c r="C337" s="2">
        <v>48950.5</v>
      </c>
      <c r="D337" s="1196">
        <f t="shared" si="10"/>
        <v>122.90177800273972</v>
      </c>
      <c r="E337" s="2">
        <v>10049.39</v>
      </c>
      <c r="F337" s="1196">
        <f t="shared" si="11"/>
        <v>143.14106161564078</v>
      </c>
    </row>
    <row r="338" spans="2:6">
      <c r="B338" s="189">
        <v>42012</v>
      </c>
      <c r="C338" s="2">
        <v>49595.44</v>
      </c>
      <c r="D338" s="1196">
        <f t="shared" si="10"/>
        <v>124.52105201843082</v>
      </c>
      <c r="E338" s="2">
        <v>10003.709999999999</v>
      </c>
      <c r="F338" s="1196">
        <f t="shared" si="11"/>
        <v>142.49040683016599</v>
      </c>
    </row>
    <row r="339" spans="2:6">
      <c r="B339" s="189">
        <v>42011</v>
      </c>
      <c r="C339" s="2">
        <v>48961.06</v>
      </c>
      <c r="D339" s="1196">
        <f t="shared" si="10"/>
        <v>122.92829137391486</v>
      </c>
      <c r="E339" s="2">
        <v>9967.17</v>
      </c>
      <c r="F339" s="1196">
        <f t="shared" si="11"/>
        <v>141.96993997681119</v>
      </c>
    </row>
    <row r="340" spans="2:6">
      <c r="B340" s="189">
        <v>42010</v>
      </c>
      <c r="C340" s="2">
        <v>48598.19</v>
      </c>
      <c r="D340" s="1196">
        <f t="shared" si="10"/>
        <v>122.01722063543714</v>
      </c>
      <c r="E340" s="2">
        <v>10003.709999999999</v>
      </c>
      <c r="F340" s="1196">
        <f t="shared" si="11"/>
        <v>142.49040683016599</v>
      </c>
    </row>
    <row r="341" spans="2:6">
      <c r="B341" s="189">
        <v>42009</v>
      </c>
      <c r="C341" s="2">
        <v>47831.040000000001</v>
      </c>
      <c r="D341" s="1196">
        <f t="shared" si="10"/>
        <v>120.09110958458369</v>
      </c>
      <c r="E341" s="2">
        <v>9912.35</v>
      </c>
      <c r="F341" s="1196">
        <f t="shared" si="11"/>
        <v>141.18909725921642</v>
      </c>
    </row>
    <row r="342" spans="2:6">
      <c r="B342" s="189">
        <v>42006</v>
      </c>
      <c r="C342" s="2">
        <v>49518.48</v>
      </c>
      <c r="D342" s="1196">
        <f t="shared" si="10"/>
        <v>124.32782578304833</v>
      </c>
      <c r="E342" s="2">
        <v>9651.98</v>
      </c>
      <c r="F342" s="1196">
        <f t="shared" si="11"/>
        <v>137.48045044454761</v>
      </c>
    </row>
    <row r="343" spans="2:6">
      <c r="B343" s="189">
        <v>42004</v>
      </c>
      <c r="C343" s="2">
        <v>49770.6</v>
      </c>
      <c r="D343" s="1196">
        <f t="shared" si="10"/>
        <v>124.9608325198549</v>
      </c>
      <c r="E343" s="2">
        <v>9579.81</v>
      </c>
      <c r="F343" s="1196">
        <f t="shared" si="11"/>
        <v>136.45247855602497</v>
      </c>
    </row>
    <row r="344" spans="2:6">
      <c r="B344" s="189">
        <v>42003</v>
      </c>
      <c r="C344" s="2">
        <v>49755.61</v>
      </c>
      <c r="D344" s="1196">
        <f t="shared" si="10"/>
        <v>124.92319658861291</v>
      </c>
      <c r="E344" s="2">
        <v>9501.24</v>
      </c>
      <c r="F344" s="1196">
        <f t="shared" si="11"/>
        <v>135.33334662750582</v>
      </c>
    </row>
    <row r="345" spans="2:6">
      <c r="B345" s="189">
        <v>42002</v>
      </c>
      <c r="C345" s="2">
        <v>50254.080000000002</v>
      </c>
      <c r="D345" s="1196">
        <f t="shared" si="10"/>
        <v>126.17472311604421</v>
      </c>
      <c r="E345" s="2">
        <v>9767.09</v>
      </c>
      <c r="F345" s="1196">
        <f t="shared" si="11"/>
        <v>139.1200492264216</v>
      </c>
    </row>
    <row r="346" spans="2:6">
      <c r="B346" s="189">
        <v>41997</v>
      </c>
      <c r="C346" s="2">
        <v>49478.57</v>
      </c>
      <c r="D346" s="1196">
        <f t="shared" si="10"/>
        <v>124.22762231301043</v>
      </c>
      <c r="E346" s="2">
        <v>9831.0400000000009</v>
      </c>
      <c r="F346" s="1196">
        <f t="shared" si="11"/>
        <v>140.03093743857383</v>
      </c>
    </row>
    <row r="347" spans="2:6">
      <c r="B347" s="189">
        <v>41996</v>
      </c>
      <c r="C347" s="2">
        <v>49568</v>
      </c>
      <c r="D347" s="1196">
        <f t="shared" si="10"/>
        <v>124.45215742514995</v>
      </c>
      <c r="E347" s="2">
        <v>9658.3799999999992</v>
      </c>
      <c r="F347" s="1196">
        <f t="shared" si="11"/>
        <v>137.5716104845441</v>
      </c>
    </row>
    <row r="348" spans="2:6">
      <c r="B348" s="189">
        <v>41995</v>
      </c>
      <c r="C348" s="2">
        <v>49339.32</v>
      </c>
      <c r="D348" s="1196">
        <f t="shared" si="10"/>
        <v>123.87800233799729</v>
      </c>
      <c r="E348" s="2">
        <v>9661.1200000000008</v>
      </c>
      <c r="F348" s="1196">
        <f t="shared" si="11"/>
        <v>137.61063837666759</v>
      </c>
    </row>
    <row r="349" spans="2:6">
      <c r="B349" s="189">
        <v>41992</v>
      </c>
      <c r="C349" s="2">
        <v>49386.71</v>
      </c>
      <c r="D349" s="1196">
        <f t="shared" si="10"/>
        <v>123.99698611261756</v>
      </c>
      <c r="E349" s="2">
        <v>9640.11</v>
      </c>
      <c r="F349" s="1196">
        <f t="shared" si="11"/>
        <v>137.31137705786668</v>
      </c>
    </row>
    <row r="350" spans="2:6">
      <c r="B350" s="189">
        <v>41991</v>
      </c>
      <c r="C350" s="2">
        <v>49290.559999999998</v>
      </c>
      <c r="D350" s="1196">
        <f t="shared" si="10"/>
        <v>123.75557885518478</v>
      </c>
      <c r="E350" s="2">
        <v>9665.69</v>
      </c>
      <c r="F350" s="1196">
        <f t="shared" si="11"/>
        <v>137.6757323427276</v>
      </c>
    </row>
    <row r="351" spans="2:6">
      <c r="B351" s="189">
        <v>41990</v>
      </c>
      <c r="C351" s="2">
        <v>47282.48</v>
      </c>
      <c r="D351" s="1196">
        <f t="shared" si="10"/>
        <v>118.71382029558393</v>
      </c>
      <c r="E351" s="2">
        <v>9318.5300000000007</v>
      </c>
      <c r="F351" s="1196">
        <f t="shared" si="11"/>
        <v>132.73086992316919</v>
      </c>
    </row>
    <row r="352" spans="2:6">
      <c r="B352" s="189">
        <v>41988</v>
      </c>
      <c r="C352" s="2">
        <v>47397.440000000002</v>
      </c>
      <c r="D352" s="1196">
        <f t="shared" si="10"/>
        <v>119.00245449542244</v>
      </c>
      <c r="E352" s="2">
        <v>9135.81</v>
      </c>
      <c r="F352" s="1196">
        <f t="shared" si="11"/>
        <v>130.12825078127003</v>
      </c>
    </row>
    <row r="353" spans="2:6">
      <c r="B353" s="189">
        <v>41985</v>
      </c>
      <c r="C353" s="2">
        <v>48043.19</v>
      </c>
      <c r="D353" s="1196">
        <f t="shared" si="10"/>
        <v>120.623762207198</v>
      </c>
      <c r="E353" s="2">
        <v>9135.81</v>
      </c>
      <c r="F353" s="1196">
        <f t="shared" si="11"/>
        <v>130.12825078127003</v>
      </c>
    </row>
    <row r="354" spans="2:6">
      <c r="B354" s="189">
        <v>41984</v>
      </c>
      <c r="C354" s="2">
        <v>48110.52</v>
      </c>
      <c r="D354" s="1196">
        <f t="shared" si="10"/>
        <v>120.79281005579858</v>
      </c>
      <c r="E354" s="2">
        <v>9184.23</v>
      </c>
      <c r="F354" s="1196">
        <f t="shared" si="11"/>
        <v>130.81793345886831</v>
      </c>
    </row>
    <row r="355" spans="2:6">
      <c r="B355" s="189">
        <v>41983</v>
      </c>
      <c r="C355" s="2">
        <v>48745.43</v>
      </c>
      <c r="D355" s="1196">
        <f t="shared" si="10"/>
        <v>122.38690139034512</v>
      </c>
      <c r="E355" s="2">
        <v>9227.17</v>
      </c>
      <c r="F355" s="1196">
        <f t="shared" si="11"/>
        <v>131.4295603522196</v>
      </c>
    </row>
    <row r="356" spans="2:6">
      <c r="B356" s="189">
        <v>41982</v>
      </c>
      <c r="C356" s="2">
        <v>48556.55</v>
      </c>
      <c r="D356" s="1196">
        <f t="shared" si="10"/>
        <v>121.9126735922806</v>
      </c>
      <c r="E356" s="2">
        <v>9456.48</v>
      </c>
      <c r="F356" s="1196">
        <f t="shared" si="11"/>
        <v>134.69579609778052</v>
      </c>
    </row>
    <row r="357" spans="2:6">
      <c r="B357" s="189">
        <v>41981</v>
      </c>
      <c r="C357" s="2">
        <v>49590.2</v>
      </c>
      <c r="D357" s="1196">
        <f t="shared" si="10"/>
        <v>124.5078957622795</v>
      </c>
      <c r="E357" s="2">
        <v>9593.51</v>
      </c>
      <c r="F357" s="1196">
        <f t="shared" si="11"/>
        <v>136.64761801664241</v>
      </c>
    </row>
    <row r="358" spans="2:6">
      <c r="B358" s="189">
        <v>41978</v>
      </c>
      <c r="C358" s="2">
        <v>49506.59</v>
      </c>
      <c r="D358" s="1196">
        <f t="shared" si="10"/>
        <v>124.29797313311721</v>
      </c>
      <c r="E358" s="2">
        <v>9423.59</v>
      </c>
      <c r="F358" s="1196">
        <f t="shared" si="11"/>
        <v>134.22731895473618</v>
      </c>
    </row>
    <row r="359" spans="2:6">
      <c r="B359" s="189">
        <v>41977</v>
      </c>
      <c r="C359" s="2">
        <v>49392.59</v>
      </c>
      <c r="D359" s="1196">
        <f t="shared" si="10"/>
        <v>124.01174923974916</v>
      </c>
      <c r="E359" s="2">
        <v>9134.9</v>
      </c>
      <c r="F359" s="1196">
        <f t="shared" si="11"/>
        <v>130.11528896308303</v>
      </c>
    </row>
    <row r="360" spans="2:6">
      <c r="B360" s="189">
        <v>41976</v>
      </c>
      <c r="C360" s="2">
        <v>49857.18</v>
      </c>
      <c r="D360" s="1196">
        <f t="shared" si="10"/>
        <v>125.17821203466022</v>
      </c>
      <c r="E360" s="2">
        <v>9067.2900000000009</v>
      </c>
      <c r="F360" s="1196">
        <f t="shared" si="11"/>
        <v>129.15226860305785</v>
      </c>
    </row>
    <row r="361" spans="2:6">
      <c r="B361" s="189">
        <v>41975</v>
      </c>
      <c r="C361" s="2">
        <v>49591.43</v>
      </c>
      <c r="D361" s="1196">
        <f t="shared" si="10"/>
        <v>124.5109839674448</v>
      </c>
      <c r="E361" s="2">
        <v>8998.77</v>
      </c>
      <c r="F361" s="1196">
        <f t="shared" si="11"/>
        <v>128.1762864248457</v>
      </c>
    </row>
    <row r="362" spans="2:6">
      <c r="B362" s="189">
        <v>41974</v>
      </c>
      <c r="C362" s="2">
        <v>48858.76</v>
      </c>
      <c r="D362" s="1196">
        <f t="shared" si="10"/>
        <v>122.67144309065566</v>
      </c>
      <c r="E362" s="2">
        <v>9135.81</v>
      </c>
      <c r="F362" s="1196">
        <f t="shared" si="11"/>
        <v>130.12825078127003</v>
      </c>
    </row>
    <row r="363" spans="2:6">
      <c r="B363" s="189">
        <v>41971</v>
      </c>
      <c r="C363" s="2">
        <v>49911.37</v>
      </c>
      <c r="D363" s="1196">
        <f t="shared" si="10"/>
        <v>125.31426881344632</v>
      </c>
      <c r="E363" s="2">
        <v>9537.7800000000007</v>
      </c>
      <c r="F363" s="1196">
        <f t="shared" si="11"/>
        <v>135.85381348086068</v>
      </c>
    </row>
    <row r="364" spans="2:6">
      <c r="B364" s="189">
        <v>41970</v>
      </c>
      <c r="C364" s="2">
        <v>50557.83</v>
      </c>
      <c r="D364" s="1196">
        <f t="shared" si="10"/>
        <v>126.93735914771564</v>
      </c>
      <c r="E364" s="2">
        <v>9592.6</v>
      </c>
      <c r="F364" s="1196">
        <f t="shared" si="11"/>
        <v>136.63465619845542</v>
      </c>
    </row>
    <row r="365" spans="2:6">
      <c r="B365" s="189">
        <v>41969</v>
      </c>
      <c r="C365" s="2">
        <v>50355.78</v>
      </c>
      <c r="D365" s="1196">
        <f t="shared" si="10"/>
        <v>126.43006495775937</v>
      </c>
      <c r="E365" s="2">
        <v>9227.17</v>
      </c>
      <c r="F365" s="1196">
        <f t="shared" si="11"/>
        <v>131.4295603522196</v>
      </c>
    </row>
    <row r="366" spans="2:6">
      <c r="B366" s="189">
        <v>41968</v>
      </c>
      <c r="C366" s="2">
        <v>50507.59</v>
      </c>
      <c r="D366" s="1196">
        <f t="shared" si="10"/>
        <v>126.81121977576115</v>
      </c>
      <c r="E366" s="2">
        <v>9227.17</v>
      </c>
      <c r="F366" s="1196">
        <f t="shared" si="11"/>
        <v>131.4295603522196</v>
      </c>
    </row>
    <row r="367" spans="2:6">
      <c r="B367" s="189">
        <v>41967</v>
      </c>
      <c r="C367" s="2">
        <v>50727.22</v>
      </c>
      <c r="D367" s="1196">
        <f t="shared" si="10"/>
        <v>127.36265270295786</v>
      </c>
      <c r="E367" s="2">
        <v>9044.4500000000007</v>
      </c>
      <c r="F367" s="1196">
        <f t="shared" si="11"/>
        <v>128.82694121032048</v>
      </c>
    </row>
    <row r="368" spans="2:6">
      <c r="B368" s="189">
        <v>41964</v>
      </c>
      <c r="C368" s="2">
        <v>50855.09</v>
      </c>
      <c r="D368" s="1196">
        <f t="shared" si="10"/>
        <v>127.68370050335234</v>
      </c>
      <c r="E368" s="2">
        <v>8998.77</v>
      </c>
      <c r="F368" s="1196">
        <f t="shared" si="11"/>
        <v>128.1762864248457</v>
      </c>
    </row>
    <row r="369" spans="2:6">
      <c r="B369" s="189">
        <v>41963</v>
      </c>
      <c r="C369" s="2">
        <v>49272.05</v>
      </c>
      <c r="D369" s="1196">
        <f t="shared" si="10"/>
        <v>123.70910513355106</v>
      </c>
      <c r="E369" s="2">
        <v>8588.57</v>
      </c>
      <c r="F369" s="1196">
        <f t="shared" si="11"/>
        <v>122.33349761132209</v>
      </c>
    </row>
    <row r="370" spans="2:6">
      <c r="B370" s="189">
        <v>41962</v>
      </c>
      <c r="C370" s="2">
        <v>50150.48</v>
      </c>
      <c r="D370" s="1196">
        <f t="shared" si="10"/>
        <v>125.91461087610625</v>
      </c>
      <c r="E370" s="2">
        <v>8541.98</v>
      </c>
      <c r="F370" s="1196">
        <f t="shared" si="11"/>
        <v>121.66988100766029</v>
      </c>
    </row>
    <row r="371" spans="2:6">
      <c r="B371" s="189">
        <v>41961</v>
      </c>
      <c r="C371" s="2">
        <v>50372.05</v>
      </c>
      <c r="D371" s="1196">
        <f t="shared" si="10"/>
        <v>126.470914630962</v>
      </c>
      <c r="E371" s="2">
        <v>8222.23</v>
      </c>
      <c r="F371" s="1196">
        <f t="shared" si="11"/>
        <v>117.11543994689929</v>
      </c>
    </row>
    <row r="372" spans="2:6">
      <c r="B372" s="189">
        <v>41960</v>
      </c>
      <c r="C372" s="2">
        <v>50511.519999999997</v>
      </c>
      <c r="D372" s="1196">
        <f t="shared" si="10"/>
        <v>126.82108696787462</v>
      </c>
      <c r="E372" s="2">
        <v>7901.56</v>
      </c>
      <c r="F372" s="1196">
        <f t="shared" si="11"/>
        <v>112.54789463038877</v>
      </c>
    </row>
    <row r="373" spans="2:6">
      <c r="B373" s="189">
        <v>41957</v>
      </c>
      <c r="C373" s="2">
        <v>50598.02</v>
      </c>
      <c r="D373" s="1196">
        <f t="shared" si="10"/>
        <v>127.0382656238074</v>
      </c>
      <c r="E373" s="2">
        <v>8039.51</v>
      </c>
      <c r="F373" s="1196">
        <f t="shared" si="11"/>
        <v>114.51282080500013</v>
      </c>
    </row>
    <row r="374" spans="2:6">
      <c r="B374" s="189">
        <v>41956</v>
      </c>
      <c r="C374" s="2">
        <v>50588.4</v>
      </c>
      <c r="D374" s="1196">
        <f t="shared" si="10"/>
        <v>127.0141123443846</v>
      </c>
      <c r="E374" s="2">
        <v>8064.18</v>
      </c>
      <c r="F374" s="1196">
        <f t="shared" si="11"/>
        <v>114.86421427167402</v>
      </c>
    </row>
    <row r="375" spans="2:6">
      <c r="B375" s="189">
        <v>41955</v>
      </c>
      <c r="C375" s="2">
        <v>50374.85</v>
      </c>
      <c r="D375" s="1196">
        <f t="shared" si="10"/>
        <v>126.47794469150087</v>
      </c>
      <c r="E375" s="2">
        <v>7912.52</v>
      </c>
      <c r="F375" s="1196">
        <f t="shared" si="11"/>
        <v>112.70400619888272</v>
      </c>
    </row>
    <row r="376" spans="2:6">
      <c r="B376" s="189">
        <v>41954</v>
      </c>
      <c r="C376" s="2">
        <v>50355.38</v>
      </c>
      <c r="D376" s="1196">
        <f t="shared" si="10"/>
        <v>126.42906066339667</v>
      </c>
      <c r="E376" s="2">
        <v>7813.86</v>
      </c>
      <c r="F376" s="1196">
        <f t="shared" si="11"/>
        <v>111.29871720731217</v>
      </c>
    </row>
    <row r="377" spans="2:6">
      <c r="B377" s="189">
        <v>41953</v>
      </c>
      <c r="C377" s="2">
        <v>50484.09</v>
      </c>
      <c r="D377" s="1196">
        <f t="shared" si="10"/>
        <v>126.75221748195283</v>
      </c>
      <c r="E377" s="2">
        <v>7809.29</v>
      </c>
      <c r="F377" s="1196">
        <f t="shared" si="11"/>
        <v>111.23362324125219</v>
      </c>
    </row>
    <row r="378" spans="2:6">
      <c r="B378" s="189">
        <v>41950</v>
      </c>
      <c r="C378" s="2">
        <v>50079.44</v>
      </c>
      <c r="D378" s="1196">
        <f t="shared" si="10"/>
        <v>125.73624819729163</v>
      </c>
      <c r="E378" s="2">
        <v>7857.71</v>
      </c>
      <c r="F378" s="1196">
        <f t="shared" si="11"/>
        <v>111.92330591885047</v>
      </c>
    </row>
    <row r="379" spans="2:6">
      <c r="B379" s="189">
        <v>41949</v>
      </c>
      <c r="C379" s="2">
        <v>49587.24</v>
      </c>
      <c r="D379" s="1196">
        <f t="shared" si="10"/>
        <v>124.50046398399557</v>
      </c>
      <c r="E379" s="2">
        <v>7540.7</v>
      </c>
      <c r="F379" s="1196">
        <f t="shared" si="11"/>
        <v>107.40789275021294</v>
      </c>
    </row>
    <row r="380" spans="2:6">
      <c r="B380" s="189">
        <v>41948</v>
      </c>
      <c r="C380" s="2">
        <v>49717.07</v>
      </c>
      <c r="D380" s="1196">
        <f t="shared" si="10"/>
        <v>124.82643282676726</v>
      </c>
      <c r="E380" s="2">
        <v>7139.63</v>
      </c>
      <c r="F380" s="1196">
        <f t="shared" si="11"/>
        <v>101.69514943124682</v>
      </c>
    </row>
    <row r="381" spans="2:6">
      <c r="B381" s="189">
        <v>41947</v>
      </c>
      <c r="C381" s="2">
        <v>49788.32</v>
      </c>
      <c r="D381" s="1196">
        <f t="shared" si="10"/>
        <v>125.00532276012228</v>
      </c>
      <c r="E381" s="2">
        <v>7125.02</v>
      </c>
      <c r="F381" s="1196">
        <f t="shared" si="11"/>
        <v>101.48704815244238</v>
      </c>
    </row>
    <row r="382" spans="2:6">
      <c r="B382" s="189">
        <v>41946</v>
      </c>
      <c r="C382" s="2">
        <v>50022.64</v>
      </c>
      <c r="D382" s="1196">
        <f t="shared" si="10"/>
        <v>125.59363839778894</v>
      </c>
      <c r="E382" s="2">
        <v>6915.81</v>
      </c>
      <c r="F382" s="1196">
        <f t="shared" si="11"/>
        <v>98.507111907495357</v>
      </c>
    </row>
    <row r="383" spans="2:6">
      <c r="B383" s="189">
        <v>41943</v>
      </c>
      <c r="C383" s="2">
        <v>49722.879999999997</v>
      </c>
      <c r="D383" s="1196">
        <f t="shared" si="10"/>
        <v>124.84102020238539</v>
      </c>
      <c r="E383" s="2">
        <v>6924.94</v>
      </c>
      <c r="F383" s="1196">
        <f t="shared" si="11"/>
        <v>98.637157402052807</v>
      </c>
    </row>
    <row r="384" spans="2:6">
      <c r="B384" s="189">
        <v>41942</v>
      </c>
      <c r="C384" s="2">
        <v>48660.44</v>
      </c>
      <c r="D384" s="1196">
        <f t="shared" si="10"/>
        <v>122.17351394563154</v>
      </c>
      <c r="E384" s="2">
        <v>6840.89</v>
      </c>
      <c r="F384" s="1196">
        <f t="shared" si="11"/>
        <v>97.439969689286713</v>
      </c>
    </row>
    <row r="385" spans="2:6">
      <c r="B385" s="189">
        <v>41941</v>
      </c>
      <c r="C385" s="2">
        <v>49116.76</v>
      </c>
      <c r="D385" s="1196">
        <f t="shared" si="10"/>
        <v>123.31921295459385</v>
      </c>
      <c r="E385" s="2">
        <v>6829.02</v>
      </c>
      <c r="F385" s="1196">
        <f t="shared" si="11"/>
        <v>97.270896302605763</v>
      </c>
    </row>
    <row r="386" spans="2:6">
      <c r="B386" s="189">
        <v>41940</v>
      </c>
      <c r="C386" s="2">
        <v>48460.93</v>
      </c>
      <c r="D386" s="1196">
        <f t="shared" si="10"/>
        <v>121.67259702487839</v>
      </c>
      <c r="E386" s="2">
        <v>6851.86</v>
      </c>
      <c r="F386" s="1196">
        <f t="shared" si="11"/>
        <v>97.596223695343141</v>
      </c>
    </row>
    <row r="387" spans="2:6">
      <c r="B387" s="189">
        <v>41939</v>
      </c>
      <c r="C387" s="2">
        <v>48051.05</v>
      </c>
      <c r="D387" s="1196">
        <f t="shared" si="10"/>
        <v>120.64349659142495</v>
      </c>
      <c r="E387" s="2">
        <v>6897.54</v>
      </c>
      <c r="F387" s="1196">
        <f t="shared" si="11"/>
        <v>98.246878480817941</v>
      </c>
    </row>
    <row r="388" spans="2:6">
      <c r="B388" s="189">
        <v>41936</v>
      </c>
      <c r="C388" s="2">
        <v>47879.45</v>
      </c>
      <c r="D388" s="1196">
        <f t="shared" si="10"/>
        <v>120.21265430982882</v>
      </c>
      <c r="E388" s="2">
        <v>6896.62</v>
      </c>
      <c r="F388" s="1196">
        <f t="shared" si="11"/>
        <v>98.233774225068444</v>
      </c>
    </row>
    <row r="389" spans="2:6">
      <c r="B389" s="189">
        <v>41935</v>
      </c>
      <c r="C389" s="2">
        <v>48104.66</v>
      </c>
      <c r="D389" s="1196">
        <f t="shared" si="10"/>
        <v>120.77809714338512</v>
      </c>
      <c r="E389" s="2">
        <v>6866.47</v>
      </c>
      <c r="F389" s="1196">
        <f t="shared" si="11"/>
        <v>97.804324974147576</v>
      </c>
    </row>
    <row r="390" spans="2:6">
      <c r="B390" s="189">
        <v>41934</v>
      </c>
      <c r="C390" s="2">
        <v>48202.91</v>
      </c>
      <c r="D390" s="1196">
        <f t="shared" si="10"/>
        <v>121.02477694622206</v>
      </c>
      <c r="E390" s="2">
        <v>6892.97</v>
      </c>
      <c r="F390" s="1196">
        <f t="shared" si="11"/>
        <v>98.181784514757965</v>
      </c>
    </row>
    <row r="391" spans="2:6">
      <c r="B391" s="189">
        <v>41933</v>
      </c>
      <c r="C391" s="2">
        <v>48530.47</v>
      </c>
      <c r="D391" s="1196">
        <f t="shared" si="10"/>
        <v>121.84719359983289</v>
      </c>
      <c r="E391" s="2">
        <v>6835.41</v>
      </c>
      <c r="F391" s="1196">
        <f t="shared" si="11"/>
        <v>97.361913905039728</v>
      </c>
    </row>
    <row r="392" spans="2:6">
      <c r="B392" s="189">
        <v>41932</v>
      </c>
      <c r="C392" s="2">
        <v>47599.25</v>
      </c>
      <c r="D392" s="1196">
        <f t="shared" si="10"/>
        <v>119.50914610876107</v>
      </c>
      <c r="E392" s="2">
        <v>6824.45</v>
      </c>
      <c r="F392" s="1196">
        <f t="shared" si="11"/>
        <v>97.205802336545773</v>
      </c>
    </row>
    <row r="393" spans="2:6">
      <c r="B393" s="189">
        <v>41929</v>
      </c>
      <c r="C393" s="2">
        <v>47836.69</v>
      </c>
      <c r="D393" s="1196">
        <f t="shared" si="10"/>
        <v>120.10529524245675</v>
      </c>
      <c r="E393" s="2">
        <v>6755.93</v>
      </c>
      <c r="F393" s="1196">
        <f t="shared" si="11"/>
        <v>96.229820158333595</v>
      </c>
    </row>
    <row r="394" spans="2:6">
      <c r="B394" s="189">
        <v>41928</v>
      </c>
      <c r="C394" s="2">
        <v>46881.120000000003</v>
      </c>
      <c r="D394" s="1196">
        <f t="shared" ref="D394:D457" si="12">C394/$C$757*100</f>
        <v>117.70611133205588</v>
      </c>
      <c r="E394" s="2">
        <v>6422.47</v>
      </c>
      <c r="F394" s="1196">
        <f t="shared" ref="F394:F457" si="13">E394/$E$757*100</f>
        <v>91.480097199392645</v>
      </c>
    </row>
    <row r="395" spans="2:6">
      <c r="B395" s="189">
        <v>41927</v>
      </c>
      <c r="C395" s="2">
        <v>46673.38</v>
      </c>
      <c r="D395" s="1196">
        <f t="shared" si="12"/>
        <v>117.18453105479027</v>
      </c>
      <c r="E395" s="2">
        <v>6395.07</v>
      </c>
      <c r="F395" s="1196">
        <f t="shared" si="13"/>
        <v>91.089818278157765</v>
      </c>
    </row>
    <row r="396" spans="2:6">
      <c r="B396" s="189">
        <v>41926</v>
      </c>
      <c r="C396" s="2">
        <v>47686.85</v>
      </c>
      <c r="D396" s="1196">
        <f t="shared" si="12"/>
        <v>119.72908657419123</v>
      </c>
      <c r="E396" s="2">
        <v>6440.75</v>
      </c>
      <c r="F396" s="1196">
        <f t="shared" si="13"/>
        <v>91.74047306363255</v>
      </c>
    </row>
    <row r="397" spans="2:6">
      <c r="B397" s="189">
        <v>41925</v>
      </c>
      <c r="C397" s="2">
        <v>47368.34</v>
      </c>
      <c r="D397" s="1196">
        <f t="shared" si="12"/>
        <v>118.92939208053636</v>
      </c>
      <c r="E397" s="2">
        <v>6548.55</v>
      </c>
      <c r="F397" s="1196">
        <f t="shared" si="13"/>
        <v>93.27594998732306</v>
      </c>
    </row>
    <row r="398" spans="2:6">
      <c r="B398" s="189">
        <v>41922</v>
      </c>
      <c r="C398" s="2">
        <v>47092.24</v>
      </c>
      <c r="D398" s="1196">
        <f t="shared" si="12"/>
        <v>118.23617789668623</v>
      </c>
      <c r="E398" s="2">
        <v>6541.24</v>
      </c>
      <c r="F398" s="1196">
        <f t="shared" si="13"/>
        <v>93.171828129139584</v>
      </c>
    </row>
    <row r="399" spans="2:6">
      <c r="B399" s="189">
        <v>41921</v>
      </c>
      <c r="C399" s="2">
        <v>48133.52</v>
      </c>
      <c r="D399" s="1196">
        <f t="shared" si="12"/>
        <v>120.85055698165354</v>
      </c>
      <c r="E399" s="2">
        <v>6669.14</v>
      </c>
      <c r="F399" s="1196">
        <f t="shared" si="13"/>
        <v>94.993604553444001</v>
      </c>
    </row>
    <row r="400" spans="2:6">
      <c r="B400" s="189">
        <v>41920</v>
      </c>
      <c r="C400" s="2">
        <v>48033.62</v>
      </c>
      <c r="D400" s="1196">
        <f t="shared" si="12"/>
        <v>120.5997344645705</v>
      </c>
      <c r="E400" s="2">
        <v>6870.13</v>
      </c>
      <c r="F400" s="1196">
        <f t="shared" si="13"/>
        <v>97.856457122020572</v>
      </c>
    </row>
    <row r="401" spans="2:6">
      <c r="B401" s="189">
        <v>41919</v>
      </c>
      <c r="C401" s="2">
        <v>48712.45</v>
      </c>
      <c r="D401" s="1196">
        <f t="shared" si="12"/>
        <v>122.30409732014091</v>
      </c>
      <c r="E401" s="2">
        <v>7052.84</v>
      </c>
      <c r="F401" s="1196">
        <f t="shared" si="13"/>
        <v>100.45893382635722</v>
      </c>
    </row>
    <row r="402" spans="2:6">
      <c r="B402" s="189">
        <v>41918</v>
      </c>
      <c r="C402" s="2">
        <v>49166.2</v>
      </c>
      <c r="D402" s="1196">
        <f t="shared" si="12"/>
        <v>123.44334373782293</v>
      </c>
      <c r="E402" s="2">
        <v>7080.25</v>
      </c>
      <c r="F402" s="1196">
        <f t="shared" si="13"/>
        <v>100.84935518515459</v>
      </c>
    </row>
    <row r="403" spans="2:6">
      <c r="B403" s="189">
        <v>41915</v>
      </c>
      <c r="C403" s="2">
        <v>48613.19</v>
      </c>
      <c r="D403" s="1196">
        <f t="shared" si="12"/>
        <v>122.0548816740382</v>
      </c>
      <c r="E403" s="2">
        <v>7016.3</v>
      </c>
      <c r="F403" s="1196">
        <f t="shared" si="13"/>
        <v>99.938466973002392</v>
      </c>
    </row>
    <row r="404" spans="2:6">
      <c r="B404" s="189">
        <v>41914</v>
      </c>
      <c r="C404" s="2">
        <v>48189.06</v>
      </c>
      <c r="D404" s="1196">
        <f t="shared" si="12"/>
        <v>120.99000325391374</v>
      </c>
      <c r="E404" s="2">
        <v>6764.15</v>
      </c>
      <c r="F404" s="1196">
        <f t="shared" si="13"/>
        <v>96.346903834704051</v>
      </c>
    </row>
    <row r="405" spans="2:6">
      <c r="B405" s="189">
        <v>41913</v>
      </c>
      <c r="C405" s="2">
        <v>48875.03</v>
      </c>
      <c r="D405" s="1196">
        <f t="shared" si="12"/>
        <v>122.71229276385827</v>
      </c>
      <c r="E405" s="2">
        <v>6774.2</v>
      </c>
      <c r="F405" s="1196">
        <f t="shared" si="13"/>
        <v>96.490053585010997</v>
      </c>
    </row>
    <row r="406" spans="2:6">
      <c r="B406" s="189">
        <v>41912</v>
      </c>
      <c r="C406" s="2">
        <v>49336.31</v>
      </c>
      <c r="D406" s="1196">
        <f t="shared" si="12"/>
        <v>123.87044502291799</v>
      </c>
      <c r="E406" s="2">
        <v>6760.5</v>
      </c>
      <c r="F406" s="1196">
        <f t="shared" si="13"/>
        <v>96.294914124393571</v>
      </c>
    </row>
    <row r="407" spans="2:6">
      <c r="B407" s="189">
        <v>41911</v>
      </c>
      <c r="C407" s="2">
        <v>49371.12</v>
      </c>
      <c r="D407" s="1196">
        <f t="shared" si="12"/>
        <v>123.95784373983152</v>
      </c>
      <c r="E407" s="2">
        <v>6720.3</v>
      </c>
      <c r="F407" s="1196">
        <f t="shared" si="13"/>
        <v>95.722315123165771</v>
      </c>
    </row>
    <row r="408" spans="2:6">
      <c r="B408" s="189">
        <v>41908</v>
      </c>
      <c r="C408" s="2">
        <v>49663.64</v>
      </c>
      <c r="D408" s="1196">
        <f t="shared" si="12"/>
        <v>124.6922842072703</v>
      </c>
      <c r="E408" s="2">
        <v>6669.14</v>
      </c>
      <c r="F408" s="1196">
        <f t="shared" si="13"/>
        <v>94.993604553444001</v>
      </c>
    </row>
    <row r="409" spans="2:6">
      <c r="B409" s="189">
        <v>41907</v>
      </c>
      <c r="C409" s="2">
        <v>49503.55</v>
      </c>
      <c r="D409" s="1196">
        <f t="shared" si="12"/>
        <v>124.29034049596072</v>
      </c>
      <c r="E409" s="2">
        <v>6578.7</v>
      </c>
      <c r="F409" s="1196">
        <f t="shared" si="13"/>
        <v>93.705399238243913</v>
      </c>
    </row>
    <row r="410" spans="2:6">
      <c r="B410" s="189">
        <v>41905</v>
      </c>
      <c r="C410" s="2">
        <v>50053.91</v>
      </c>
      <c r="D410" s="1196">
        <f t="shared" si="12"/>
        <v>125.67214910959264</v>
      </c>
      <c r="E410" s="2">
        <v>6762.33</v>
      </c>
      <c r="F410" s="1196">
        <f t="shared" si="13"/>
        <v>96.320980198330062</v>
      </c>
    </row>
    <row r="411" spans="2:6">
      <c r="B411" s="189">
        <v>41904</v>
      </c>
      <c r="C411" s="2">
        <v>50485.53</v>
      </c>
      <c r="D411" s="1196">
        <f t="shared" si="12"/>
        <v>126.75583294165853</v>
      </c>
      <c r="E411" s="2">
        <v>6829.02</v>
      </c>
      <c r="F411" s="1196">
        <f t="shared" si="13"/>
        <v>97.270896302605763</v>
      </c>
    </row>
    <row r="412" spans="2:6">
      <c r="B412" s="189">
        <v>41901</v>
      </c>
      <c r="C412" s="2">
        <v>51462.42</v>
      </c>
      <c r="D412" s="1196">
        <f t="shared" si="12"/>
        <v>129.20854574159105</v>
      </c>
      <c r="E412" s="2">
        <v>6760.5</v>
      </c>
      <c r="F412" s="1196">
        <f t="shared" si="13"/>
        <v>96.294914124393571</v>
      </c>
    </row>
    <row r="413" spans="2:6">
      <c r="B413" s="189">
        <v>41900</v>
      </c>
      <c r="C413" s="2">
        <v>51547.02</v>
      </c>
      <c r="D413" s="1196">
        <f t="shared" si="12"/>
        <v>129.42095399930099</v>
      </c>
      <c r="E413" s="2">
        <v>6550.38</v>
      </c>
      <c r="F413" s="1196">
        <f t="shared" si="13"/>
        <v>93.30201606125955</v>
      </c>
    </row>
    <row r="414" spans="2:6">
      <c r="B414" s="189">
        <v>41899</v>
      </c>
      <c r="C414" s="2">
        <v>51173.03</v>
      </c>
      <c r="D414" s="1196">
        <f t="shared" si="12"/>
        <v>128.48196387754035</v>
      </c>
      <c r="E414" s="2">
        <v>6440.75</v>
      </c>
      <c r="F414" s="1196">
        <f t="shared" si="13"/>
        <v>91.74047306363255</v>
      </c>
    </row>
    <row r="415" spans="2:6">
      <c r="B415" s="189">
        <v>41898</v>
      </c>
      <c r="C415" s="2">
        <v>51178.07</v>
      </c>
      <c r="D415" s="1196">
        <f t="shared" si="12"/>
        <v>128.49461798651032</v>
      </c>
      <c r="E415" s="2">
        <v>6571.39</v>
      </c>
      <c r="F415" s="1196">
        <f t="shared" si="13"/>
        <v>93.601277380060452</v>
      </c>
    </row>
    <row r="416" spans="2:6">
      <c r="B416" s="189">
        <v>41897</v>
      </c>
      <c r="C416" s="2">
        <v>51376.57</v>
      </c>
      <c r="D416" s="1196">
        <f t="shared" si="12"/>
        <v>128.99299906399767</v>
      </c>
      <c r="E416" s="2">
        <v>6644.47</v>
      </c>
      <c r="F416" s="1196">
        <f t="shared" si="13"/>
        <v>94.642211086770118</v>
      </c>
    </row>
    <row r="417" spans="2:6">
      <c r="B417" s="189">
        <v>41894</v>
      </c>
      <c r="C417" s="2">
        <v>51247.71</v>
      </c>
      <c r="D417" s="1196">
        <f t="shared" si="12"/>
        <v>128.6694656350555</v>
      </c>
      <c r="E417" s="2">
        <v>6577.78</v>
      </c>
      <c r="F417" s="1196">
        <f t="shared" si="13"/>
        <v>93.692294982494417</v>
      </c>
    </row>
    <row r="418" spans="2:6">
      <c r="B418" s="189">
        <v>41893</v>
      </c>
      <c r="C418" s="2">
        <v>51230.89</v>
      </c>
      <c r="D418" s="1196">
        <f t="shared" si="12"/>
        <v>128.62723505710417</v>
      </c>
      <c r="E418" s="2">
        <v>6577.78</v>
      </c>
      <c r="F418" s="1196">
        <f t="shared" si="13"/>
        <v>93.692294982494417</v>
      </c>
    </row>
    <row r="419" spans="2:6">
      <c r="B419" s="189">
        <v>41892</v>
      </c>
      <c r="C419" s="2">
        <v>51263.48</v>
      </c>
      <c r="D419" s="1196">
        <f t="shared" si="12"/>
        <v>128.70905994030474</v>
      </c>
      <c r="E419" s="2">
        <v>6486.42</v>
      </c>
      <c r="F419" s="1196">
        <f t="shared" si="13"/>
        <v>92.390985411544861</v>
      </c>
    </row>
    <row r="420" spans="2:6">
      <c r="B420" s="189">
        <v>41891</v>
      </c>
      <c r="C420" s="2">
        <v>51707.25</v>
      </c>
      <c r="D420" s="1196">
        <f t="shared" si="12"/>
        <v>129.82324921363752</v>
      </c>
      <c r="E420" s="2">
        <v>6526.62</v>
      </c>
      <c r="F420" s="1196">
        <f t="shared" si="13"/>
        <v>92.963584412772661</v>
      </c>
    </row>
    <row r="421" spans="2:6">
      <c r="B421" s="189">
        <v>41890</v>
      </c>
      <c r="C421" s="2">
        <v>51610.13</v>
      </c>
      <c r="D421" s="1196">
        <f t="shared" si="12"/>
        <v>129.57940654237518</v>
      </c>
      <c r="E421" s="2">
        <v>6564.08</v>
      </c>
      <c r="F421" s="1196">
        <f t="shared" si="13"/>
        <v>93.497155521876991</v>
      </c>
    </row>
    <row r="422" spans="2:6">
      <c r="B422" s="189">
        <v>41887</v>
      </c>
      <c r="C422" s="2">
        <v>51789.4</v>
      </c>
      <c r="D422" s="1196">
        <f t="shared" si="12"/>
        <v>130.02950616837597</v>
      </c>
      <c r="E422" s="2">
        <v>6468.15</v>
      </c>
      <c r="F422" s="1196">
        <f t="shared" si="13"/>
        <v>92.13075198486743</v>
      </c>
    </row>
    <row r="423" spans="2:6">
      <c r="B423" s="189">
        <v>41886</v>
      </c>
      <c r="C423" s="2">
        <v>52081.22</v>
      </c>
      <c r="D423" s="1196">
        <f t="shared" si="12"/>
        <v>130.76218912068003</v>
      </c>
      <c r="E423" s="2">
        <v>6851.86</v>
      </c>
      <c r="F423" s="1196">
        <f t="shared" si="13"/>
        <v>97.596223695343141</v>
      </c>
    </row>
    <row r="424" spans="2:6">
      <c r="B424" s="189">
        <v>41885</v>
      </c>
      <c r="C424" s="2">
        <v>51793.65</v>
      </c>
      <c r="D424" s="1196">
        <f t="shared" si="12"/>
        <v>130.04017679597962</v>
      </c>
      <c r="E424" s="2">
        <v>7116.8</v>
      </c>
      <c r="F424" s="1196">
        <f t="shared" si="13"/>
        <v>101.36996447607191</v>
      </c>
    </row>
    <row r="425" spans="2:6">
      <c r="B425" s="189">
        <v>41884</v>
      </c>
      <c r="C425" s="2">
        <v>51462.57</v>
      </c>
      <c r="D425" s="1196">
        <f t="shared" si="12"/>
        <v>129.20892235197704</v>
      </c>
      <c r="E425" s="2">
        <v>7127.76</v>
      </c>
      <c r="F425" s="1196">
        <f t="shared" si="13"/>
        <v>101.52607604456587</v>
      </c>
    </row>
    <row r="426" spans="2:6">
      <c r="B426" s="189">
        <v>41883</v>
      </c>
      <c r="C426" s="2">
        <v>51113.87</v>
      </c>
      <c r="D426" s="1196">
        <f t="shared" si="12"/>
        <v>128.33342874129781</v>
      </c>
      <c r="E426" s="2">
        <v>7164.3</v>
      </c>
      <c r="F426" s="1196">
        <f t="shared" si="13"/>
        <v>102.0465428979207</v>
      </c>
    </row>
    <row r="427" spans="2:6">
      <c r="B427" s="189">
        <v>41880</v>
      </c>
      <c r="C427" s="2">
        <v>50959.02</v>
      </c>
      <c r="D427" s="1196">
        <f t="shared" si="12"/>
        <v>127.94464128613954</v>
      </c>
      <c r="E427" s="2">
        <v>7156.08</v>
      </c>
      <c r="F427" s="1196">
        <f t="shared" si="13"/>
        <v>101.92945922155023</v>
      </c>
    </row>
    <row r="428" spans="2:6">
      <c r="B428" s="189">
        <v>41879</v>
      </c>
      <c r="C428" s="2">
        <v>51133.13</v>
      </c>
      <c r="D428" s="1196">
        <f t="shared" si="12"/>
        <v>128.38178551486155</v>
      </c>
      <c r="E428" s="2">
        <v>7225.51</v>
      </c>
      <c r="F428" s="1196">
        <f t="shared" si="13"/>
        <v>102.9184032179494</v>
      </c>
    </row>
    <row r="429" spans="2:6">
      <c r="B429" s="189">
        <v>41878</v>
      </c>
      <c r="C429" s="2">
        <v>51610.42</v>
      </c>
      <c r="D429" s="1196">
        <f t="shared" si="12"/>
        <v>129.58013465578816</v>
      </c>
      <c r="E429" s="2">
        <v>7236.47</v>
      </c>
      <c r="F429" s="1196">
        <f t="shared" si="13"/>
        <v>103.07451478644336</v>
      </c>
    </row>
    <row r="430" spans="2:6">
      <c r="B430" s="189">
        <v>41877</v>
      </c>
      <c r="C430" s="2">
        <v>51729.68</v>
      </c>
      <c r="D430" s="1196">
        <f t="shared" si="12"/>
        <v>129.87956502002561</v>
      </c>
      <c r="E430" s="2">
        <v>7355.24</v>
      </c>
      <c r="F430" s="1196">
        <f t="shared" si="13"/>
        <v>104.76624571619031</v>
      </c>
    </row>
    <row r="431" spans="2:6">
      <c r="B431" s="189">
        <v>41876</v>
      </c>
      <c r="C431" s="2">
        <v>51437.58</v>
      </c>
      <c r="D431" s="1196">
        <f t="shared" si="12"/>
        <v>129.14617906166771</v>
      </c>
      <c r="E431" s="2">
        <v>7427.41</v>
      </c>
      <c r="F431" s="1196">
        <f t="shared" si="13"/>
        <v>105.79421760471297</v>
      </c>
    </row>
    <row r="432" spans="2:6">
      <c r="B432" s="189">
        <v>41873</v>
      </c>
      <c r="C432" s="2">
        <v>51197.16</v>
      </c>
      <c r="D432" s="1196">
        <f t="shared" si="12"/>
        <v>128.54254793496995</v>
      </c>
      <c r="E432" s="2">
        <v>7501.41</v>
      </c>
      <c r="F432" s="1196">
        <f t="shared" si="13"/>
        <v>106.84825556717212</v>
      </c>
    </row>
    <row r="433" spans="2:6">
      <c r="B433" s="189">
        <v>41872</v>
      </c>
      <c r="C433" s="2">
        <v>51443.43</v>
      </c>
      <c r="D433" s="1196">
        <f t="shared" si="12"/>
        <v>129.1608668667221</v>
      </c>
      <c r="E433" s="2">
        <v>7431.07</v>
      </c>
      <c r="F433" s="1196">
        <f t="shared" si="13"/>
        <v>105.84634975258595</v>
      </c>
    </row>
    <row r="434" spans="2:6">
      <c r="B434" s="189">
        <v>41871</v>
      </c>
      <c r="C434" s="2">
        <v>51436.59</v>
      </c>
      <c r="D434" s="1196">
        <f t="shared" si="12"/>
        <v>129.14369343312003</v>
      </c>
      <c r="E434" s="2">
        <v>7551.66</v>
      </c>
      <c r="F434" s="1196">
        <f t="shared" si="13"/>
        <v>107.56400431870689</v>
      </c>
    </row>
    <row r="435" spans="2:6">
      <c r="B435" s="189">
        <v>41870</v>
      </c>
      <c r="C435" s="2">
        <v>51363.37</v>
      </c>
      <c r="D435" s="1196">
        <f t="shared" si="12"/>
        <v>128.95985735002873</v>
      </c>
      <c r="E435" s="2">
        <v>7442.94</v>
      </c>
      <c r="F435" s="1196">
        <f t="shared" si="13"/>
        <v>106.0154231392669</v>
      </c>
    </row>
    <row r="436" spans="2:6">
      <c r="B436" s="189">
        <v>41869</v>
      </c>
      <c r="C436" s="2">
        <v>51572.19</v>
      </c>
      <c r="D436" s="1196">
        <f t="shared" si="12"/>
        <v>129.4841492220736</v>
      </c>
      <c r="E436" s="2">
        <v>7491.36</v>
      </c>
      <c r="F436" s="1196">
        <f t="shared" si="13"/>
        <v>106.70510581686517</v>
      </c>
    </row>
    <row r="437" spans="2:6">
      <c r="B437" s="189">
        <v>41866</v>
      </c>
      <c r="C437" s="2">
        <v>51257.72</v>
      </c>
      <c r="D437" s="1196">
        <f t="shared" si="12"/>
        <v>128.69459810148194</v>
      </c>
      <c r="E437" s="2">
        <v>7354.33</v>
      </c>
      <c r="F437" s="1196">
        <f t="shared" si="13"/>
        <v>104.75328389800332</v>
      </c>
    </row>
    <row r="438" spans="2:6">
      <c r="B438" s="189">
        <v>41865</v>
      </c>
      <c r="C438" s="2">
        <v>51073.9</v>
      </c>
      <c r="D438" s="1196">
        <f t="shared" si="12"/>
        <v>128.23307462710551</v>
      </c>
      <c r="E438" s="2">
        <v>7445.68</v>
      </c>
      <c r="F438" s="1196">
        <f t="shared" si="13"/>
        <v>106.0544510313904</v>
      </c>
    </row>
    <row r="439" spans="2:6">
      <c r="B439" s="189">
        <v>41864</v>
      </c>
      <c r="C439" s="2">
        <v>51266.51</v>
      </c>
      <c r="D439" s="1196">
        <f t="shared" si="12"/>
        <v>128.71666747010218</v>
      </c>
      <c r="E439" s="2">
        <v>7491.36</v>
      </c>
      <c r="F439" s="1196">
        <f t="shared" si="13"/>
        <v>106.70510581686517</v>
      </c>
    </row>
    <row r="440" spans="2:6">
      <c r="B440" s="189">
        <v>41863</v>
      </c>
      <c r="C440" s="2">
        <v>51449.01</v>
      </c>
      <c r="D440" s="1196">
        <f t="shared" si="12"/>
        <v>129.17487677308171</v>
      </c>
      <c r="E440" s="2">
        <v>7628.4</v>
      </c>
      <c r="F440" s="1196">
        <f t="shared" si="13"/>
        <v>108.65707017328954</v>
      </c>
    </row>
    <row r="441" spans="2:6">
      <c r="B441" s="189">
        <v>41862</v>
      </c>
      <c r="C441" s="2">
        <v>51523.27</v>
      </c>
      <c r="D441" s="1196">
        <f t="shared" si="12"/>
        <v>129.361324021516</v>
      </c>
      <c r="E441" s="2">
        <v>7856.8</v>
      </c>
      <c r="F441" s="1196">
        <f t="shared" si="13"/>
        <v>111.91034410066348</v>
      </c>
    </row>
    <row r="442" spans="2:6">
      <c r="B442" s="189">
        <v>41859</v>
      </c>
      <c r="C442" s="2">
        <v>50669.95</v>
      </c>
      <c r="D442" s="1196">
        <f t="shared" si="12"/>
        <v>127.218862857579</v>
      </c>
      <c r="E442" s="2">
        <v>7765.44</v>
      </c>
      <c r="F442" s="1196">
        <f t="shared" si="13"/>
        <v>110.6090345297139</v>
      </c>
    </row>
    <row r="443" spans="2:6">
      <c r="B443" s="189">
        <v>41858</v>
      </c>
      <c r="C443" s="2">
        <v>50674.61</v>
      </c>
      <c r="D443" s="1196">
        <f t="shared" si="12"/>
        <v>127.23056288690439</v>
      </c>
      <c r="E443" s="2">
        <v>7674.99</v>
      </c>
      <c r="F443" s="1196">
        <f t="shared" si="13"/>
        <v>109.32068677695132</v>
      </c>
    </row>
    <row r="444" spans="2:6">
      <c r="B444" s="189">
        <v>41857</v>
      </c>
      <c r="C444" s="2">
        <v>51091.8</v>
      </c>
      <c r="D444" s="1196">
        <f t="shared" si="12"/>
        <v>128.27801679983611</v>
      </c>
      <c r="E444" s="2">
        <v>7674.08</v>
      </c>
      <c r="F444" s="1196">
        <f t="shared" si="13"/>
        <v>109.30772495876433</v>
      </c>
    </row>
    <row r="445" spans="2:6">
      <c r="B445" s="189">
        <v>41856</v>
      </c>
      <c r="C445" s="2">
        <v>51349.11</v>
      </c>
      <c r="D445" s="1196">
        <f t="shared" si="12"/>
        <v>128.92405425599864</v>
      </c>
      <c r="E445" s="2">
        <v>7560.8</v>
      </c>
      <c r="F445" s="1196">
        <f t="shared" si="13"/>
        <v>107.69419225082686</v>
      </c>
    </row>
    <row r="446" spans="2:6">
      <c r="B446" s="189">
        <v>41855</v>
      </c>
      <c r="C446" s="2">
        <v>51239.56</v>
      </c>
      <c r="D446" s="1196">
        <f t="shared" si="12"/>
        <v>128.64900313741558</v>
      </c>
      <c r="E446" s="2">
        <v>7537.04</v>
      </c>
      <c r="F446" s="1196">
        <f t="shared" si="13"/>
        <v>107.35576060233996</v>
      </c>
    </row>
    <row r="447" spans="2:6">
      <c r="B447" s="189">
        <v>41852</v>
      </c>
      <c r="C447" s="2">
        <v>50917.78</v>
      </c>
      <c r="D447" s="1196">
        <f t="shared" si="12"/>
        <v>127.84109853734569</v>
      </c>
      <c r="E447" s="2">
        <v>7322.35</v>
      </c>
      <c r="F447" s="1196">
        <f t="shared" si="13"/>
        <v>104.29776857314596</v>
      </c>
    </row>
    <row r="448" spans="2:6">
      <c r="B448" s="189">
        <v>41851</v>
      </c>
      <c r="C448" s="2">
        <v>51396.07</v>
      </c>
      <c r="D448" s="1196">
        <f t="shared" si="12"/>
        <v>129.04195841417902</v>
      </c>
      <c r="E448" s="2">
        <v>7584.55</v>
      </c>
      <c r="F448" s="1196">
        <f t="shared" si="13"/>
        <v>108.03248146175125</v>
      </c>
    </row>
    <row r="449" spans="2:6">
      <c r="B449" s="189">
        <v>41850</v>
      </c>
      <c r="C449" s="2">
        <v>51770.59</v>
      </c>
      <c r="D449" s="1196">
        <f t="shared" si="12"/>
        <v>129.98227922597025</v>
      </c>
      <c r="E449" s="2">
        <v>7856.8</v>
      </c>
      <c r="F449" s="1196">
        <f t="shared" si="13"/>
        <v>111.91034410066348</v>
      </c>
    </row>
    <row r="450" spans="2:6">
      <c r="B450" s="189">
        <v>41849</v>
      </c>
      <c r="C450" s="2">
        <v>52242.12</v>
      </c>
      <c r="D450" s="1196">
        <f t="shared" si="12"/>
        <v>131.16616652807406</v>
      </c>
      <c r="E450" s="2">
        <v>7948.15</v>
      </c>
      <c r="F450" s="1196">
        <f t="shared" si="13"/>
        <v>113.21151123405056</v>
      </c>
    </row>
    <row r="451" spans="2:6">
      <c r="B451" s="189">
        <v>41848</v>
      </c>
      <c r="C451" s="2">
        <v>51927.57</v>
      </c>
      <c r="D451" s="1196">
        <f t="shared" si="12"/>
        <v>130.37641454860986</v>
      </c>
      <c r="E451" s="2">
        <v>7765.44</v>
      </c>
      <c r="F451" s="1196">
        <f t="shared" si="13"/>
        <v>110.6090345297139</v>
      </c>
    </row>
    <row r="452" spans="2:6">
      <c r="B452" s="189">
        <v>41845</v>
      </c>
      <c r="C452" s="2">
        <v>51550.17</v>
      </c>
      <c r="D452" s="1196">
        <f t="shared" si="12"/>
        <v>129.42886281740724</v>
      </c>
      <c r="E452" s="2">
        <v>7935.36</v>
      </c>
      <c r="F452" s="1196">
        <f t="shared" si="13"/>
        <v>113.0293335916201</v>
      </c>
    </row>
    <row r="453" spans="2:6">
      <c r="B453" s="189">
        <v>41844</v>
      </c>
      <c r="C453" s="2">
        <v>51621.52</v>
      </c>
      <c r="D453" s="1196">
        <f t="shared" si="12"/>
        <v>129.60800382435295</v>
      </c>
      <c r="E453" s="2">
        <v>7948.15</v>
      </c>
      <c r="F453" s="1196">
        <f t="shared" si="13"/>
        <v>113.21151123405056</v>
      </c>
    </row>
    <row r="454" spans="2:6">
      <c r="B454" s="189">
        <v>41843</v>
      </c>
      <c r="C454" s="2">
        <v>51910.92</v>
      </c>
      <c r="D454" s="1196">
        <f t="shared" si="12"/>
        <v>130.33461079576267</v>
      </c>
      <c r="E454" s="2">
        <v>7948.15</v>
      </c>
      <c r="F454" s="1196">
        <f t="shared" si="13"/>
        <v>113.21151123405056</v>
      </c>
    </row>
    <row r="455" spans="2:6">
      <c r="B455" s="189">
        <v>41842</v>
      </c>
      <c r="C455" s="2">
        <v>51931.33</v>
      </c>
      <c r="D455" s="1196">
        <f t="shared" si="12"/>
        <v>130.38585491561921</v>
      </c>
      <c r="E455" s="2">
        <v>7993.83</v>
      </c>
      <c r="F455" s="1196">
        <f t="shared" si="13"/>
        <v>113.86216601952535</v>
      </c>
    </row>
    <row r="456" spans="2:6">
      <c r="B456" s="189">
        <v>41841</v>
      </c>
      <c r="C456" s="2">
        <v>51420.81</v>
      </c>
      <c r="D456" s="1196">
        <f t="shared" si="12"/>
        <v>129.10407402051169</v>
      </c>
      <c r="E456" s="2">
        <v>7878.72</v>
      </c>
      <c r="F456" s="1196">
        <f t="shared" si="13"/>
        <v>112.22256723765139</v>
      </c>
    </row>
    <row r="457" spans="2:6">
      <c r="B457" s="189">
        <v>41838</v>
      </c>
      <c r="C457" s="2">
        <v>51695.05</v>
      </c>
      <c r="D457" s="1196">
        <f t="shared" si="12"/>
        <v>129.79261823557533</v>
      </c>
      <c r="E457" s="2">
        <v>7902.47</v>
      </c>
      <c r="F457" s="1196">
        <f t="shared" si="13"/>
        <v>112.56085644857576</v>
      </c>
    </row>
    <row r="458" spans="2:6">
      <c r="B458" s="189">
        <v>41837</v>
      </c>
      <c r="C458" s="2">
        <v>51789.74</v>
      </c>
      <c r="D458" s="1196">
        <f t="shared" ref="D458:D521" si="14">C458/$C$757*100</f>
        <v>130.03035981858426</v>
      </c>
      <c r="E458" s="2">
        <v>7947.24</v>
      </c>
      <c r="F458" s="1196">
        <f t="shared" ref="F458:F521" si="15">E458/$E$757*100</f>
        <v>113.19854941586355</v>
      </c>
    </row>
    <row r="459" spans="2:6">
      <c r="B459" s="189">
        <v>41836</v>
      </c>
      <c r="C459" s="2">
        <v>52076.9</v>
      </c>
      <c r="D459" s="1196">
        <f t="shared" si="14"/>
        <v>130.75134274156292</v>
      </c>
      <c r="E459" s="2">
        <v>7948.15</v>
      </c>
      <c r="F459" s="1196">
        <f t="shared" si="15"/>
        <v>113.21151123405056</v>
      </c>
    </row>
    <row r="460" spans="2:6">
      <c r="B460" s="189">
        <v>41835</v>
      </c>
      <c r="C460" s="2">
        <v>51735.29</v>
      </c>
      <c r="D460" s="1196">
        <f t="shared" si="14"/>
        <v>129.89365024846242</v>
      </c>
      <c r="E460" s="2">
        <v>7948.15</v>
      </c>
      <c r="F460" s="1196">
        <f t="shared" si="15"/>
        <v>113.21151123405056</v>
      </c>
    </row>
    <row r="461" spans="2:6">
      <c r="B461" s="189">
        <v>41834</v>
      </c>
      <c r="C461" s="2">
        <v>51540.88</v>
      </c>
      <c r="D461" s="1196">
        <f t="shared" si="14"/>
        <v>129.40553808083365</v>
      </c>
      <c r="E461" s="2">
        <v>7921.66</v>
      </c>
      <c r="F461" s="1196">
        <f t="shared" si="15"/>
        <v>112.83419413100269</v>
      </c>
    </row>
    <row r="462" spans="2:6">
      <c r="B462" s="189">
        <v>41831</v>
      </c>
      <c r="C462" s="2">
        <v>51161.33</v>
      </c>
      <c r="D462" s="1196">
        <f t="shared" si="14"/>
        <v>128.45258826743154</v>
      </c>
      <c r="E462" s="2">
        <v>8006.62</v>
      </c>
      <c r="F462" s="1196">
        <f t="shared" si="15"/>
        <v>114.04434366195576</v>
      </c>
    </row>
    <row r="463" spans="2:6">
      <c r="B463" s="189">
        <v>41830</v>
      </c>
      <c r="C463" s="2">
        <v>50994.46</v>
      </c>
      <c r="D463" s="1196">
        <f t="shared" si="14"/>
        <v>128.03362176667429</v>
      </c>
      <c r="E463" s="2">
        <v>8039.51</v>
      </c>
      <c r="F463" s="1196">
        <f t="shared" si="15"/>
        <v>114.51282080500013</v>
      </c>
    </row>
    <row r="464" spans="2:6">
      <c r="B464" s="189">
        <v>41829</v>
      </c>
      <c r="C464" s="2">
        <v>51401.46</v>
      </c>
      <c r="D464" s="1196">
        <f t="shared" si="14"/>
        <v>129.05549128071635</v>
      </c>
      <c r="E464" s="2">
        <v>8130.87</v>
      </c>
      <c r="F464" s="1196">
        <f t="shared" si="15"/>
        <v>115.8141303759497</v>
      </c>
    </row>
    <row r="465" spans="2:6">
      <c r="B465" s="189">
        <v>41828</v>
      </c>
      <c r="C465" s="2">
        <v>51608.33</v>
      </c>
      <c r="D465" s="1196">
        <f t="shared" si="14"/>
        <v>129.57488721774308</v>
      </c>
      <c r="E465" s="2">
        <v>7948.15</v>
      </c>
      <c r="F465" s="1196">
        <f t="shared" si="15"/>
        <v>113.21151123405056</v>
      </c>
    </row>
    <row r="466" spans="2:6">
      <c r="B466" s="189">
        <v>41827</v>
      </c>
      <c r="C466" s="2">
        <v>51877.11</v>
      </c>
      <c r="D466" s="1196">
        <f t="shared" si="14"/>
        <v>130.2497228147559</v>
      </c>
      <c r="E466" s="2">
        <v>8039.51</v>
      </c>
      <c r="F466" s="1196">
        <f t="shared" si="15"/>
        <v>114.51282080500013</v>
      </c>
    </row>
    <row r="467" spans="2:6">
      <c r="B467" s="189">
        <v>41824</v>
      </c>
      <c r="C467" s="2">
        <v>52060.03</v>
      </c>
      <c r="D467" s="1196">
        <f t="shared" si="14"/>
        <v>130.70898662681628</v>
      </c>
      <c r="E467" s="2">
        <v>8039.51</v>
      </c>
      <c r="F467" s="1196">
        <f t="shared" si="15"/>
        <v>114.51282080500013</v>
      </c>
    </row>
    <row r="468" spans="2:6">
      <c r="B468" s="189">
        <v>41823</v>
      </c>
      <c r="C468" s="2">
        <v>51918.44</v>
      </c>
      <c r="D468" s="1196">
        <f t="shared" si="14"/>
        <v>130.35349152978137</v>
      </c>
      <c r="E468" s="2">
        <v>7884.2</v>
      </c>
      <c r="F468" s="1196">
        <f t="shared" si="15"/>
        <v>112.30062302189836</v>
      </c>
    </row>
    <row r="469" spans="2:6">
      <c r="B469" s="189">
        <v>41822</v>
      </c>
      <c r="C469" s="2">
        <v>51883.71</v>
      </c>
      <c r="D469" s="1196">
        <f t="shared" si="14"/>
        <v>130.26629367174036</v>
      </c>
      <c r="E469" s="2">
        <v>7856.8</v>
      </c>
      <c r="F469" s="1196">
        <f t="shared" si="15"/>
        <v>111.91034410066348</v>
      </c>
    </row>
    <row r="470" spans="2:6">
      <c r="B470" s="189">
        <v>41821</v>
      </c>
      <c r="C470" s="2">
        <v>51480.19</v>
      </c>
      <c r="D470" s="1196">
        <f t="shared" si="14"/>
        <v>129.25316151865377</v>
      </c>
      <c r="E470" s="2">
        <v>7765.44</v>
      </c>
      <c r="F470" s="1196">
        <f t="shared" si="15"/>
        <v>110.6090345297139</v>
      </c>
    </row>
    <row r="471" spans="2:6">
      <c r="B471" s="189">
        <v>41820</v>
      </c>
      <c r="C471" s="2">
        <v>50945.26</v>
      </c>
      <c r="D471" s="1196">
        <f t="shared" si="14"/>
        <v>127.91009356006285</v>
      </c>
      <c r="E471" s="2">
        <v>7948.15</v>
      </c>
      <c r="F471" s="1196">
        <f t="shared" si="15"/>
        <v>113.21151123405056</v>
      </c>
    </row>
    <row r="472" spans="2:6">
      <c r="B472" s="189">
        <v>41817</v>
      </c>
      <c r="C472" s="2">
        <v>50625.37</v>
      </c>
      <c r="D472" s="1196">
        <f t="shared" si="14"/>
        <v>127.10693425085667</v>
      </c>
      <c r="E472" s="2">
        <v>7879.64</v>
      </c>
      <c r="F472" s="1196">
        <f t="shared" si="15"/>
        <v>112.23567149340087</v>
      </c>
    </row>
    <row r="473" spans="2:6">
      <c r="B473" s="189">
        <v>41816</v>
      </c>
      <c r="C473" s="2">
        <v>50761.82</v>
      </c>
      <c r="D473" s="1196">
        <f t="shared" si="14"/>
        <v>127.44952416533096</v>
      </c>
      <c r="E473" s="2">
        <v>7648.5</v>
      </c>
      <c r="F473" s="1196">
        <f t="shared" si="15"/>
        <v>108.94336967390346</v>
      </c>
    </row>
    <row r="474" spans="2:6">
      <c r="B474" s="189">
        <v>41815</v>
      </c>
      <c r="C474" s="2">
        <v>50350.61</v>
      </c>
      <c r="D474" s="1196">
        <f t="shared" si="14"/>
        <v>126.41708445312155</v>
      </c>
      <c r="E474" s="2">
        <v>7674.08</v>
      </c>
      <c r="F474" s="1196">
        <f t="shared" si="15"/>
        <v>109.30772495876433</v>
      </c>
    </row>
    <row r="475" spans="2:6">
      <c r="B475" s="189">
        <v>41814</v>
      </c>
      <c r="C475" s="2">
        <v>50890.92</v>
      </c>
      <c r="D475" s="1196">
        <f t="shared" si="14"/>
        <v>127.77366017089074</v>
      </c>
      <c r="E475" s="2">
        <v>7657.64</v>
      </c>
      <c r="F475" s="1196">
        <f t="shared" si="15"/>
        <v>109.0735576060234</v>
      </c>
    </row>
    <row r="476" spans="2:6">
      <c r="B476" s="189">
        <v>41813</v>
      </c>
      <c r="C476" s="2">
        <v>51058.27</v>
      </c>
      <c r="D476" s="1196">
        <f t="shared" si="14"/>
        <v>128.1938318248832</v>
      </c>
      <c r="E476" s="2">
        <v>7445.68</v>
      </c>
      <c r="F476" s="1196">
        <f t="shared" si="15"/>
        <v>106.0544510313904</v>
      </c>
    </row>
    <row r="477" spans="2:6">
      <c r="B477" s="189">
        <v>41810</v>
      </c>
      <c r="C477" s="2">
        <v>51322.67</v>
      </c>
      <c r="D477" s="1196">
        <f t="shared" si="14"/>
        <v>128.85767039862452</v>
      </c>
      <c r="E477" s="2">
        <v>7303.17</v>
      </c>
      <c r="F477" s="1196">
        <f t="shared" si="15"/>
        <v>104.02457332828155</v>
      </c>
    </row>
    <row r="478" spans="2:6">
      <c r="B478" s="189">
        <v>41809</v>
      </c>
      <c r="C478" s="2">
        <v>51263.5</v>
      </c>
      <c r="D478" s="1196">
        <f t="shared" si="14"/>
        <v>128.7091101550229</v>
      </c>
      <c r="E478" s="2">
        <v>7213.91</v>
      </c>
      <c r="F478" s="1196">
        <f t="shared" si="15"/>
        <v>102.75317564545581</v>
      </c>
    </row>
    <row r="479" spans="2:6">
      <c r="B479" s="189">
        <v>41808</v>
      </c>
      <c r="C479" s="2">
        <v>50693.95</v>
      </c>
      <c r="D479" s="1196">
        <f t="shared" si="14"/>
        <v>127.27912051934069</v>
      </c>
      <c r="E479" s="2">
        <v>7483.49</v>
      </c>
      <c r="F479" s="1196">
        <f t="shared" si="15"/>
        <v>106.593007455182</v>
      </c>
    </row>
    <row r="480" spans="2:6">
      <c r="B480" s="189">
        <v>41807</v>
      </c>
      <c r="C480" s="2">
        <v>50911.05</v>
      </c>
      <c r="D480" s="1196">
        <f t="shared" si="14"/>
        <v>127.82420128469336</v>
      </c>
      <c r="E480" s="2">
        <v>7551.11</v>
      </c>
      <c r="F480" s="1196">
        <f t="shared" si="15"/>
        <v>107.55617025276969</v>
      </c>
    </row>
    <row r="481" spans="2:6">
      <c r="B481" s="189">
        <v>41803</v>
      </c>
      <c r="C481" s="2">
        <v>50763.71</v>
      </c>
      <c r="D481" s="1196">
        <f t="shared" si="14"/>
        <v>127.45426945619469</v>
      </c>
      <c r="E481" s="2">
        <v>7618.73</v>
      </c>
      <c r="F481" s="1196">
        <f t="shared" si="15"/>
        <v>108.51933305035737</v>
      </c>
    </row>
    <row r="482" spans="2:6">
      <c r="B482" s="189">
        <v>41802</v>
      </c>
      <c r="C482" s="2">
        <v>50596.17</v>
      </c>
      <c r="D482" s="1196">
        <f t="shared" si="14"/>
        <v>127.03362076237994</v>
      </c>
      <c r="E482" s="2">
        <v>7911.76</v>
      </c>
      <c r="F482" s="1196">
        <f t="shared" si="15"/>
        <v>112.69318094413315</v>
      </c>
    </row>
    <row r="483" spans="2:6">
      <c r="B483" s="189">
        <v>41801</v>
      </c>
      <c r="C483" s="2">
        <v>50659.44</v>
      </c>
      <c r="D483" s="1196">
        <f t="shared" si="14"/>
        <v>127.19247502319921</v>
      </c>
      <c r="E483" s="2">
        <v>7844.14</v>
      </c>
      <c r="F483" s="1196">
        <f t="shared" si="15"/>
        <v>111.73001814654546</v>
      </c>
    </row>
    <row r="484" spans="2:6">
      <c r="B484" s="189">
        <v>41800</v>
      </c>
      <c r="C484" s="2">
        <v>50736.42</v>
      </c>
      <c r="D484" s="1196">
        <f t="shared" si="14"/>
        <v>127.38575147329982</v>
      </c>
      <c r="E484" s="2">
        <v>7844.14</v>
      </c>
      <c r="F484" s="1196">
        <f t="shared" si="15"/>
        <v>111.73001814654546</v>
      </c>
    </row>
    <row r="485" spans="2:6">
      <c r="B485" s="189">
        <v>41799</v>
      </c>
      <c r="C485" s="2">
        <v>50134.53</v>
      </c>
      <c r="D485" s="1196">
        <f t="shared" si="14"/>
        <v>125.87456463839376</v>
      </c>
      <c r="E485" s="2">
        <v>7889.22</v>
      </c>
      <c r="F485" s="1196">
        <f t="shared" si="15"/>
        <v>112.37212667827059</v>
      </c>
    </row>
    <row r="486" spans="2:6">
      <c r="B486" s="189">
        <v>41796</v>
      </c>
      <c r="C486" s="2">
        <v>49933.99</v>
      </c>
      <c r="D486" s="1196">
        <f t="shared" si="14"/>
        <v>125.37106165965668</v>
      </c>
      <c r="E486" s="2">
        <v>7828.81</v>
      </c>
      <c r="F486" s="1196">
        <f t="shared" si="15"/>
        <v>111.51166136324142</v>
      </c>
    </row>
    <row r="487" spans="2:6">
      <c r="B487" s="189">
        <v>41795</v>
      </c>
      <c r="C487" s="2">
        <v>50000.43</v>
      </c>
      <c r="D487" s="1196">
        <f t="shared" si="14"/>
        <v>125.5378749533003</v>
      </c>
      <c r="E487" s="2">
        <v>7844.14</v>
      </c>
      <c r="F487" s="1196">
        <f t="shared" si="15"/>
        <v>111.73001814654546</v>
      </c>
    </row>
    <row r="488" spans="2:6">
      <c r="B488" s="189">
        <v>41794</v>
      </c>
      <c r="C488" s="2">
        <v>49960.21</v>
      </c>
      <c r="D488" s="1196">
        <f t="shared" si="14"/>
        <v>125.43689315513133</v>
      </c>
      <c r="E488" s="2">
        <v>8163.32</v>
      </c>
      <c r="F488" s="1196">
        <f t="shared" si="15"/>
        <v>116.27634026624429</v>
      </c>
    </row>
    <row r="489" spans="2:6">
      <c r="B489" s="189">
        <v>41793</v>
      </c>
      <c r="C489" s="2">
        <v>49936.54</v>
      </c>
      <c r="D489" s="1196">
        <f t="shared" si="14"/>
        <v>125.37746403621888</v>
      </c>
      <c r="E489" s="2">
        <v>7934.3</v>
      </c>
      <c r="F489" s="1196">
        <f t="shared" si="15"/>
        <v>113.01423520999569</v>
      </c>
    </row>
    <row r="490" spans="2:6">
      <c r="B490" s="189">
        <v>41792</v>
      </c>
      <c r="C490" s="2">
        <v>49817.89</v>
      </c>
      <c r="D490" s="1196">
        <f t="shared" si="14"/>
        <v>125.0795652208845</v>
      </c>
      <c r="E490" s="2">
        <v>7934.3</v>
      </c>
      <c r="F490" s="1196">
        <f t="shared" si="15"/>
        <v>113.01423520999569</v>
      </c>
    </row>
    <row r="491" spans="2:6">
      <c r="B491" s="189">
        <v>41789</v>
      </c>
      <c r="C491" s="2">
        <v>49632.7</v>
      </c>
      <c r="D491" s="1196">
        <f t="shared" si="14"/>
        <v>124.61460203831582</v>
      </c>
      <c r="E491" s="2">
        <v>8123.65</v>
      </c>
      <c r="F491" s="1196">
        <f t="shared" si="15"/>
        <v>115.71129045582869</v>
      </c>
    </row>
    <row r="492" spans="2:6">
      <c r="B492" s="189">
        <v>41788</v>
      </c>
      <c r="C492" s="2">
        <v>49726.64</v>
      </c>
      <c r="D492" s="1196">
        <f t="shared" si="14"/>
        <v>124.85046056939473</v>
      </c>
      <c r="E492" s="2">
        <v>7663.82</v>
      </c>
      <c r="F492" s="1196">
        <f t="shared" si="15"/>
        <v>109.16158401964499</v>
      </c>
    </row>
    <row r="493" spans="2:6">
      <c r="B493" s="189">
        <v>41787</v>
      </c>
      <c r="C493" s="2">
        <v>49690.58</v>
      </c>
      <c r="D493" s="1196">
        <f t="shared" si="14"/>
        <v>124.75992343259779</v>
      </c>
      <c r="E493" s="2">
        <v>7642.18</v>
      </c>
      <c r="F493" s="1196">
        <f t="shared" si="15"/>
        <v>108.85334913440694</v>
      </c>
    </row>
    <row r="494" spans="2:6">
      <c r="B494" s="189">
        <v>41786</v>
      </c>
      <c r="C494" s="2">
        <v>49824.45</v>
      </c>
      <c r="D494" s="1196">
        <f t="shared" si="14"/>
        <v>125.0960356484327</v>
      </c>
      <c r="E494" s="2">
        <v>7596.19</v>
      </c>
      <c r="F494" s="1196">
        <f t="shared" si="15"/>
        <v>108.19827878449482</v>
      </c>
    </row>
    <row r="495" spans="2:6">
      <c r="B495" s="189">
        <v>41785</v>
      </c>
      <c r="C495" s="2">
        <v>50021.72</v>
      </c>
      <c r="D495" s="1196">
        <f t="shared" si="14"/>
        <v>125.59132852075476</v>
      </c>
      <c r="E495" s="2">
        <v>7636.77</v>
      </c>
      <c r="F495" s="1196">
        <f t="shared" si="15"/>
        <v>108.77629041309743</v>
      </c>
    </row>
    <row r="496" spans="2:6">
      <c r="B496" s="189">
        <v>41782</v>
      </c>
      <c r="C496" s="2">
        <v>49952.69</v>
      </c>
      <c r="D496" s="1196">
        <f t="shared" si="14"/>
        <v>125.41801242111268</v>
      </c>
      <c r="E496" s="2">
        <v>7663.82</v>
      </c>
      <c r="F496" s="1196">
        <f t="shared" si="15"/>
        <v>109.16158401964499</v>
      </c>
    </row>
    <row r="497" spans="2:6">
      <c r="B497" s="189">
        <v>41781</v>
      </c>
      <c r="C497" s="2">
        <v>49891.360000000001</v>
      </c>
      <c r="D497" s="1196">
        <f t="shared" si="14"/>
        <v>125.26402898795249</v>
      </c>
      <c r="E497" s="2">
        <v>7663.82</v>
      </c>
      <c r="F497" s="1196">
        <f t="shared" si="15"/>
        <v>109.16158401964499</v>
      </c>
    </row>
    <row r="498" spans="2:6">
      <c r="B498" s="189">
        <v>41780</v>
      </c>
      <c r="C498" s="2">
        <v>49648.12</v>
      </c>
      <c r="D498" s="1196">
        <f t="shared" si="14"/>
        <v>124.65331758599774</v>
      </c>
      <c r="E498" s="2">
        <v>7684.55</v>
      </c>
      <c r="F498" s="1196">
        <f t="shared" si="15"/>
        <v>109.45685708669606</v>
      </c>
    </row>
    <row r="499" spans="2:6">
      <c r="B499" s="189">
        <v>41779</v>
      </c>
      <c r="C499" s="2">
        <v>49617</v>
      </c>
      <c r="D499" s="1196">
        <f t="shared" si="14"/>
        <v>124.57518348458008</v>
      </c>
      <c r="E499" s="2">
        <v>7490.7</v>
      </c>
      <c r="F499" s="1196">
        <f t="shared" si="15"/>
        <v>106.69570493774054</v>
      </c>
    </row>
    <row r="500" spans="2:6">
      <c r="B500" s="189">
        <v>41778</v>
      </c>
      <c r="C500" s="2">
        <v>49507.48</v>
      </c>
      <c r="D500" s="1196">
        <f t="shared" si="14"/>
        <v>124.30020768807421</v>
      </c>
      <c r="E500" s="2">
        <v>7655.7</v>
      </c>
      <c r="F500" s="1196">
        <f t="shared" si="15"/>
        <v>109.04592471889947</v>
      </c>
    </row>
    <row r="501" spans="2:6">
      <c r="B501" s="189">
        <v>41775</v>
      </c>
      <c r="C501" s="2">
        <v>49159.77</v>
      </c>
      <c r="D501" s="1196">
        <f t="shared" si="14"/>
        <v>123.4271997059426</v>
      </c>
      <c r="E501" s="2">
        <v>7371.69</v>
      </c>
      <c r="F501" s="1196">
        <f t="shared" si="15"/>
        <v>105.00055550649373</v>
      </c>
    </row>
    <row r="502" spans="2:6">
      <c r="B502" s="189">
        <v>41774</v>
      </c>
      <c r="C502" s="2">
        <v>49454.59</v>
      </c>
      <c r="D502" s="1196">
        <f t="shared" si="14"/>
        <v>124.16741486596688</v>
      </c>
      <c r="E502" s="2">
        <v>7636.77</v>
      </c>
      <c r="F502" s="1196">
        <f t="shared" si="15"/>
        <v>108.77629041309743</v>
      </c>
    </row>
    <row r="503" spans="2:6">
      <c r="B503" s="189">
        <v>41773</v>
      </c>
      <c r="C503" s="2">
        <v>49632.23</v>
      </c>
      <c r="D503" s="1196">
        <f t="shared" si="14"/>
        <v>124.61342199243968</v>
      </c>
      <c r="E503" s="2">
        <v>7618.73</v>
      </c>
      <c r="F503" s="1196">
        <f t="shared" si="15"/>
        <v>108.51933305035737</v>
      </c>
    </row>
    <row r="504" spans="2:6">
      <c r="B504" s="189">
        <v>41772</v>
      </c>
      <c r="C504" s="2">
        <v>49199.7</v>
      </c>
      <c r="D504" s="1196">
        <f t="shared" si="14"/>
        <v>123.52745339069861</v>
      </c>
      <c r="E504" s="2">
        <v>7708</v>
      </c>
      <c r="F504" s="1196">
        <f t="shared" si="15"/>
        <v>109.79087317074561</v>
      </c>
    </row>
    <row r="505" spans="2:6">
      <c r="B505" s="189">
        <v>41771</v>
      </c>
      <c r="C505" s="2">
        <v>49239.29</v>
      </c>
      <c r="D505" s="1196">
        <f t="shared" si="14"/>
        <v>123.62685342524635</v>
      </c>
      <c r="E505" s="2">
        <v>7510.54</v>
      </c>
      <c r="F505" s="1196">
        <f t="shared" si="15"/>
        <v>106.97830106172958</v>
      </c>
    </row>
    <row r="506" spans="2:6">
      <c r="B506" s="189">
        <v>41768</v>
      </c>
      <c r="C506" s="2">
        <v>48852.45</v>
      </c>
      <c r="D506" s="1196">
        <f t="shared" si="14"/>
        <v>122.65560034708413</v>
      </c>
      <c r="E506" s="2">
        <v>7723.32</v>
      </c>
      <c r="F506" s="1196">
        <f t="shared" si="15"/>
        <v>110.00908751648714</v>
      </c>
    </row>
    <row r="507" spans="2:6">
      <c r="B507" s="189">
        <v>41767</v>
      </c>
      <c r="C507" s="2">
        <v>49026.95</v>
      </c>
      <c r="D507" s="1196">
        <f t="shared" si="14"/>
        <v>123.09372376280976</v>
      </c>
      <c r="E507" s="2">
        <v>8114.63</v>
      </c>
      <c r="F507" s="1196">
        <f t="shared" si="15"/>
        <v>115.58281177445866</v>
      </c>
    </row>
    <row r="508" spans="2:6">
      <c r="B508" s="189">
        <v>41765</v>
      </c>
      <c r="C508" s="2">
        <v>48942.02</v>
      </c>
      <c r="D508" s="1196">
        <f t="shared" si="14"/>
        <v>122.88048696225059</v>
      </c>
      <c r="E508" s="2">
        <v>8114.63</v>
      </c>
      <c r="F508" s="1196">
        <f t="shared" si="15"/>
        <v>115.58281177445866</v>
      </c>
    </row>
    <row r="509" spans="2:6">
      <c r="B509" s="189">
        <v>41764</v>
      </c>
      <c r="C509" s="2">
        <v>48880.81</v>
      </c>
      <c r="D509" s="1196">
        <f t="shared" si="14"/>
        <v>122.7268048173992</v>
      </c>
      <c r="E509" s="2">
        <v>8069.55</v>
      </c>
      <c r="F509" s="1196">
        <f t="shared" si="15"/>
        <v>114.94070324273355</v>
      </c>
    </row>
    <row r="510" spans="2:6">
      <c r="B510" s="189">
        <v>41761</v>
      </c>
      <c r="C510" s="2">
        <v>49091.16</v>
      </c>
      <c r="D510" s="1196">
        <f t="shared" si="14"/>
        <v>123.25493811538138</v>
      </c>
      <c r="E510" s="2">
        <v>8114.63</v>
      </c>
      <c r="F510" s="1196">
        <f t="shared" si="15"/>
        <v>115.58281177445866</v>
      </c>
    </row>
    <row r="511" spans="2:6">
      <c r="B511" s="189">
        <v>41759</v>
      </c>
      <c r="C511" s="2">
        <v>48870.1</v>
      </c>
      <c r="D511" s="1196">
        <f t="shared" si="14"/>
        <v>122.69991483583804</v>
      </c>
      <c r="E511" s="2">
        <v>8114.63</v>
      </c>
      <c r="F511" s="1196">
        <f t="shared" si="15"/>
        <v>115.58281177445866</v>
      </c>
    </row>
    <row r="512" spans="2:6">
      <c r="B512" s="189">
        <v>41758</v>
      </c>
      <c r="C512" s="2">
        <v>48935.360000000001</v>
      </c>
      <c r="D512" s="1196">
        <f t="shared" si="14"/>
        <v>122.86376546111171</v>
      </c>
      <c r="E512" s="2">
        <v>7979.39</v>
      </c>
      <c r="F512" s="1196">
        <f t="shared" si="15"/>
        <v>113.65648617928332</v>
      </c>
    </row>
    <row r="513" spans="2:6">
      <c r="B513" s="189">
        <v>41754</v>
      </c>
      <c r="C513" s="2">
        <v>48910.9</v>
      </c>
      <c r="D513" s="1196">
        <f t="shared" si="14"/>
        <v>122.80235286083293</v>
      </c>
      <c r="E513" s="2">
        <v>7862.17</v>
      </c>
      <c r="F513" s="1196">
        <f t="shared" si="15"/>
        <v>111.98683307172301</v>
      </c>
    </row>
    <row r="514" spans="2:6">
      <c r="B514" s="189">
        <v>41753</v>
      </c>
      <c r="C514" s="2">
        <v>48934.51</v>
      </c>
      <c r="D514" s="1196">
        <f t="shared" si="14"/>
        <v>122.861631335591</v>
      </c>
      <c r="E514" s="2">
        <v>7821.6</v>
      </c>
      <c r="F514" s="1196">
        <f t="shared" si="15"/>
        <v>111.4089638806829</v>
      </c>
    </row>
    <row r="515" spans="2:6">
      <c r="B515" s="189">
        <v>41752</v>
      </c>
      <c r="C515" s="2">
        <v>48647.62</v>
      </c>
      <c r="D515" s="1196">
        <f t="shared" si="14"/>
        <v>122.14132631130717</v>
      </c>
      <c r="E515" s="2">
        <v>7767.5</v>
      </c>
      <c r="F515" s="1196">
        <f t="shared" si="15"/>
        <v>110.63837666758775</v>
      </c>
    </row>
    <row r="516" spans="2:6">
      <c r="B516" s="189">
        <v>41751</v>
      </c>
      <c r="C516" s="2">
        <v>48643.31</v>
      </c>
      <c r="D516" s="1196">
        <f t="shared" si="14"/>
        <v>122.13050503954912</v>
      </c>
      <c r="E516" s="2">
        <v>7764.8</v>
      </c>
      <c r="F516" s="1196">
        <f t="shared" si="15"/>
        <v>110.59991852571424</v>
      </c>
    </row>
    <row r="517" spans="2:6">
      <c r="B517" s="189">
        <v>41746</v>
      </c>
      <c r="C517" s="2">
        <v>48362.22</v>
      </c>
      <c r="D517" s="1196">
        <f t="shared" si="14"/>
        <v>121.42476228352434</v>
      </c>
      <c r="E517" s="2">
        <v>7889.22</v>
      </c>
      <c r="F517" s="1196">
        <f t="shared" si="15"/>
        <v>112.37212667827059</v>
      </c>
    </row>
    <row r="518" spans="2:6">
      <c r="B518" s="189">
        <v>41745</v>
      </c>
      <c r="C518" s="2">
        <v>48139.69</v>
      </c>
      <c r="D518" s="1196">
        <f t="shared" si="14"/>
        <v>120.86604822219813</v>
      </c>
      <c r="E518" s="2">
        <v>7889.22</v>
      </c>
      <c r="F518" s="1196">
        <f t="shared" si="15"/>
        <v>112.37212667827059</v>
      </c>
    </row>
    <row r="519" spans="2:6">
      <c r="B519" s="189">
        <v>41744</v>
      </c>
      <c r="C519" s="2">
        <v>47789.760000000002</v>
      </c>
      <c r="D519" s="1196">
        <f t="shared" si="14"/>
        <v>119.98746640635358</v>
      </c>
      <c r="E519" s="2">
        <v>7966.76</v>
      </c>
      <c r="F519" s="1196">
        <f t="shared" si="15"/>
        <v>113.47658753785279</v>
      </c>
    </row>
    <row r="520" spans="2:6">
      <c r="B520" s="189">
        <v>41743</v>
      </c>
      <c r="C520" s="2">
        <v>48213.26</v>
      </c>
      <c r="D520" s="1196">
        <f t="shared" si="14"/>
        <v>121.05076306285679</v>
      </c>
      <c r="E520" s="2">
        <v>7889.22</v>
      </c>
      <c r="F520" s="1196">
        <f t="shared" si="15"/>
        <v>112.37212667827059</v>
      </c>
    </row>
    <row r="521" spans="2:6">
      <c r="B521" s="189">
        <v>41740</v>
      </c>
      <c r="C521" s="2">
        <v>48032.41</v>
      </c>
      <c r="D521" s="1196">
        <f t="shared" si="14"/>
        <v>120.59669647412336</v>
      </c>
      <c r="E521" s="2">
        <v>7966.76</v>
      </c>
      <c r="F521" s="1196">
        <f t="shared" si="15"/>
        <v>113.47658753785279</v>
      </c>
    </row>
    <row r="522" spans="2:6">
      <c r="B522" s="189">
        <v>41739</v>
      </c>
      <c r="C522" s="2">
        <v>48529.88</v>
      </c>
      <c r="D522" s="1196">
        <f t="shared" ref="D522:D585" si="16">C522/$C$757*100</f>
        <v>121.8457122656479</v>
      </c>
      <c r="E522" s="2">
        <v>7906.35</v>
      </c>
      <c r="F522" s="1196">
        <f t="shared" ref="F522:F585" si="17">E522/$E$757*100</f>
        <v>112.61612222282362</v>
      </c>
    </row>
    <row r="523" spans="2:6">
      <c r="B523" s="189">
        <v>41738</v>
      </c>
      <c r="C523" s="2">
        <v>48291.88</v>
      </c>
      <c r="D523" s="1196">
        <f t="shared" si="16"/>
        <v>121.24815711984445</v>
      </c>
      <c r="E523" s="2">
        <v>7882.01</v>
      </c>
      <c r="F523" s="1196">
        <f t="shared" si="17"/>
        <v>112.26942919571205</v>
      </c>
    </row>
    <row r="524" spans="2:6">
      <c r="B524" s="189">
        <v>41737</v>
      </c>
      <c r="C524" s="2">
        <v>48069.53</v>
      </c>
      <c r="D524" s="1196">
        <f t="shared" si="16"/>
        <v>120.68989499098144</v>
      </c>
      <c r="E524" s="2">
        <v>8087.58</v>
      </c>
      <c r="F524" s="1196">
        <f t="shared" si="17"/>
        <v>115.19751816791111</v>
      </c>
    </row>
    <row r="525" spans="2:6">
      <c r="B525" s="189">
        <v>41736</v>
      </c>
      <c r="C525" s="2">
        <v>47857.95</v>
      </c>
      <c r="D525" s="1196">
        <f t="shared" si="16"/>
        <v>120.15867348783398</v>
      </c>
      <c r="E525" s="2">
        <v>8137.17</v>
      </c>
      <c r="F525" s="1196">
        <f t="shared" si="17"/>
        <v>115.90386604032123</v>
      </c>
    </row>
    <row r="526" spans="2:6">
      <c r="B526" s="189">
        <v>41733</v>
      </c>
      <c r="C526" s="2">
        <v>48347.75</v>
      </c>
      <c r="D526" s="1196">
        <f t="shared" si="16"/>
        <v>121.38843193495386</v>
      </c>
      <c r="E526" s="2">
        <v>8272.41</v>
      </c>
      <c r="F526" s="1196">
        <f t="shared" si="17"/>
        <v>117.83019163549658</v>
      </c>
    </row>
    <row r="527" spans="2:6">
      <c r="B527" s="189">
        <v>41732</v>
      </c>
      <c r="C527" s="2">
        <v>48231.39</v>
      </c>
      <c r="D527" s="1196">
        <f t="shared" si="16"/>
        <v>121.09628270484592</v>
      </c>
      <c r="E527" s="2">
        <v>8193.07</v>
      </c>
      <c r="F527" s="1196">
        <f t="shared" si="17"/>
        <v>116.70009201466539</v>
      </c>
    </row>
    <row r="528" spans="2:6">
      <c r="B528" s="189">
        <v>41731</v>
      </c>
      <c r="C528" s="2">
        <v>48405.9</v>
      </c>
      <c r="D528" s="1196">
        <f t="shared" si="16"/>
        <v>121.53443122793064</v>
      </c>
      <c r="E528" s="2">
        <v>8294.9500000000007</v>
      </c>
      <c r="F528" s="1196">
        <f t="shared" si="17"/>
        <v>118.15124590135915</v>
      </c>
    </row>
    <row r="529" spans="2:6">
      <c r="B529" s="189">
        <v>41730</v>
      </c>
      <c r="C529" s="2">
        <v>48104.98</v>
      </c>
      <c r="D529" s="1196">
        <f t="shared" si="16"/>
        <v>120.77890057887528</v>
      </c>
      <c r="E529" s="2">
        <v>8294.9500000000007</v>
      </c>
      <c r="F529" s="1196">
        <f t="shared" si="17"/>
        <v>118.15124590135915</v>
      </c>
    </row>
    <row r="530" spans="2:6">
      <c r="B530" s="189">
        <v>41729</v>
      </c>
      <c r="C530" s="2">
        <v>47770.92</v>
      </c>
      <c r="D530" s="1196">
        <f t="shared" si="16"/>
        <v>119.94016414187062</v>
      </c>
      <c r="E530" s="2">
        <v>8164.22</v>
      </c>
      <c r="F530" s="1196">
        <f t="shared" si="17"/>
        <v>116.28915964686881</v>
      </c>
    </row>
    <row r="531" spans="2:6">
      <c r="B531" s="189">
        <v>41726</v>
      </c>
      <c r="C531" s="2">
        <v>47930.03</v>
      </c>
      <c r="D531" s="1196">
        <f t="shared" si="16"/>
        <v>120.3396473319916</v>
      </c>
      <c r="E531" s="2">
        <v>7911.76</v>
      </c>
      <c r="F531" s="1196">
        <f t="shared" si="17"/>
        <v>112.69318094413315</v>
      </c>
    </row>
    <row r="532" spans="2:6">
      <c r="B532" s="189">
        <v>41725</v>
      </c>
      <c r="C532" s="2">
        <v>47380.98</v>
      </c>
      <c r="D532" s="1196">
        <f t="shared" si="16"/>
        <v>118.96112778239754</v>
      </c>
      <c r="E532" s="2">
        <v>7753.98</v>
      </c>
      <c r="F532" s="1196">
        <f t="shared" si="17"/>
        <v>110.44580108309523</v>
      </c>
    </row>
    <row r="533" spans="2:6">
      <c r="B533" s="189">
        <v>41724</v>
      </c>
      <c r="C533" s="2">
        <v>47652.89</v>
      </c>
      <c r="D533" s="1196">
        <f t="shared" si="16"/>
        <v>119.64382198279844</v>
      </c>
      <c r="E533" s="2">
        <v>7753.98</v>
      </c>
      <c r="F533" s="1196">
        <f t="shared" si="17"/>
        <v>110.44580108309523</v>
      </c>
    </row>
    <row r="534" spans="2:6">
      <c r="B534" s="189">
        <v>41723</v>
      </c>
      <c r="C534" s="2">
        <v>47387.56</v>
      </c>
      <c r="D534" s="1196">
        <f t="shared" si="16"/>
        <v>118.97764842466385</v>
      </c>
      <c r="E534" s="2">
        <v>7818.9</v>
      </c>
      <c r="F534" s="1196">
        <f t="shared" si="17"/>
        <v>111.3705057388094</v>
      </c>
    </row>
    <row r="535" spans="2:6">
      <c r="B535" s="189">
        <v>41722</v>
      </c>
      <c r="C535" s="2">
        <v>46875.37</v>
      </c>
      <c r="D535" s="1196">
        <f t="shared" si="16"/>
        <v>117.69167460059214</v>
      </c>
      <c r="E535" s="2">
        <v>7934.3</v>
      </c>
      <c r="F535" s="1196">
        <f t="shared" si="17"/>
        <v>113.01423520999569</v>
      </c>
    </row>
    <row r="536" spans="2:6">
      <c r="B536" s="189">
        <v>41718</v>
      </c>
      <c r="C536" s="2">
        <v>46508.27</v>
      </c>
      <c r="D536" s="1196">
        <f t="shared" si="16"/>
        <v>116.76998344922889</v>
      </c>
      <c r="E536" s="2">
        <v>8113.73</v>
      </c>
      <c r="F536" s="1196">
        <f t="shared" si="17"/>
        <v>115.56999239383417</v>
      </c>
    </row>
    <row r="537" spans="2:6">
      <c r="B537" s="189">
        <v>41717</v>
      </c>
      <c r="C537" s="2">
        <v>46666.54</v>
      </c>
      <c r="D537" s="1196">
        <f t="shared" si="16"/>
        <v>117.16735762118819</v>
      </c>
      <c r="E537" s="2">
        <v>7753.98</v>
      </c>
      <c r="F537" s="1196">
        <f t="shared" si="17"/>
        <v>110.44580108309523</v>
      </c>
    </row>
    <row r="538" spans="2:6">
      <c r="B538" s="189">
        <v>41716</v>
      </c>
      <c r="C538" s="2">
        <v>47059.19</v>
      </c>
      <c r="D538" s="1196">
        <f t="shared" si="16"/>
        <v>118.15319807496859</v>
      </c>
      <c r="E538" s="2">
        <v>7438.41</v>
      </c>
      <c r="F538" s="1196">
        <f t="shared" si="17"/>
        <v>105.9508989234569</v>
      </c>
    </row>
    <row r="539" spans="2:6">
      <c r="B539" s="189">
        <v>41715</v>
      </c>
      <c r="C539" s="2">
        <v>46816.65</v>
      </c>
      <c r="D539" s="1196">
        <f t="shared" si="16"/>
        <v>117.54424418814853</v>
      </c>
      <c r="E539" s="2">
        <v>7393.33</v>
      </c>
      <c r="F539" s="1196">
        <f t="shared" si="17"/>
        <v>105.30879039173178</v>
      </c>
    </row>
    <row r="540" spans="2:6">
      <c r="B540" s="189">
        <v>41712</v>
      </c>
      <c r="C540" s="2">
        <v>46412.4</v>
      </c>
      <c r="D540" s="1196">
        <f t="shared" si="16"/>
        <v>116.52927919785002</v>
      </c>
      <c r="E540" s="2">
        <v>7413.16</v>
      </c>
      <c r="F540" s="1196">
        <f t="shared" si="17"/>
        <v>105.59124407815834</v>
      </c>
    </row>
    <row r="541" spans="2:6">
      <c r="B541" s="189">
        <v>41711</v>
      </c>
      <c r="C541" s="2">
        <v>46825.52</v>
      </c>
      <c r="D541" s="1196">
        <f t="shared" si="16"/>
        <v>117.56651441564128</v>
      </c>
      <c r="E541" s="2">
        <v>7386.12</v>
      </c>
      <c r="F541" s="1196">
        <f t="shared" si="17"/>
        <v>105.20609290917326</v>
      </c>
    </row>
    <row r="542" spans="2:6">
      <c r="B542" s="189">
        <v>41710</v>
      </c>
      <c r="C542" s="2">
        <v>47188.84</v>
      </c>
      <c r="D542" s="1196">
        <f t="shared" si="16"/>
        <v>118.47871498527705</v>
      </c>
      <c r="E542" s="2">
        <v>7303.17</v>
      </c>
      <c r="F542" s="1196">
        <f t="shared" si="17"/>
        <v>104.02457332828155</v>
      </c>
    </row>
    <row r="543" spans="2:6">
      <c r="B543" s="189">
        <v>41709</v>
      </c>
      <c r="C543" s="2">
        <v>47612.81</v>
      </c>
      <c r="D543" s="1196">
        <f t="shared" si="16"/>
        <v>119.54319168765642</v>
      </c>
      <c r="E543" s="2">
        <v>7406.85</v>
      </c>
      <c r="F543" s="1196">
        <f t="shared" si="17"/>
        <v>105.50136597622432</v>
      </c>
    </row>
    <row r="544" spans="2:6">
      <c r="B544" s="189">
        <v>41708</v>
      </c>
      <c r="C544" s="2">
        <v>47322.46</v>
      </c>
      <c r="D544" s="1196">
        <f t="shared" si="16"/>
        <v>118.81419951713528</v>
      </c>
      <c r="E544" s="2">
        <v>7212.1</v>
      </c>
      <c r="F544" s="1196">
        <f t="shared" si="17"/>
        <v>102.72739444664431</v>
      </c>
    </row>
    <row r="545" spans="2:6">
      <c r="B545" s="189">
        <v>41705</v>
      </c>
      <c r="C545" s="2">
        <v>47786.77</v>
      </c>
      <c r="D545" s="1196">
        <f t="shared" si="16"/>
        <v>119.97995930599241</v>
      </c>
      <c r="E545" s="2">
        <v>7213</v>
      </c>
      <c r="F545" s="1196">
        <f t="shared" si="17"/>
        <v>102.74021382726882</v>
      </c>
    </row>
    <row r="546" spans="2:6">
      <c r="B546" s="189">
        <v>41704</v>
      </c>
      <c r="C546" s="2">
        <v>47819.53</v>
      </c>
      <c r="D546" s="1196">
        <f t="shared" si="16"/>
        <v>120.06221101429713</v>
      </c>
      <c r="E546" s="2">
        <v>7276.12</v>
      </c>
      <c r="F546" s="1196">
        <f t="shared" si="17"/>
        <v>103.63927972173397</v>
      </c>
    </row>
    <row r="547" spans="2:6">
      <c r="B547" s="189">
        <v>41703</v>
      </c>
      <c r="C547" s="2">
        <v>47514.8</v>
      </c>
      <c r="D547" s="1196">
        <f t="shared" si="16"/>
        <v>119.29711446143712</v>
      </c>
      <c r="E547" s="2">
        <v>7242.76</v>
      </c>
      <c r="F547" s="1196">
        <f t="shared" si="17"/>
        <v>103.1641080132524</v>
      </c>
    </row>
    <row r="548" spans="2:6">
      <c r="B548" s="189">
        <v>41702</v>
      </c>
      <c r="C548" s="2">
        <v>47602.69</v>
      </c>
      <c r="D548" s="1196">
        <f t="shared" si="16"/>
        <v>119.51778304028025</v>
      </c>
      <c r="E548" s="2">
        <v>7285.13</v>
      </c>
      <c r="F548" s="1196">
        <f t="shared" si="17"/>
        <v>103.76761596554151</v>
      </c>
    </row>
    <row r="549" spans="2:6">
      <c r="B549" s="189">
        <v>41701</v>
      </c>
      <c r="C549" s="2">
        <v>47138.32</v>
      </c>
      <c r="D549" s="1196">
        <f t="shared" si="16"/>
        <v>118.35187260726869</v>
      </c>
      <c r="E549" s="2">
        <v>7403.25</v>
      </c>
      <c r="F549" s="1196">
        <f t="shared" si="17"/>
        <v>105.45008845372632</v>
      </c>
    </row>
    <row r="550" spans="2:6">
      <c r="B550" s="189">
        <v>41698</v>
      </c>
      <c r="C550" s="2">
        <v>47328.92</v>
      </c>
      <c r="D550" s="1196">
        <f t="shared" si="16"/>
        <v>118.83041887109277</v>
      </c>
      <c r="E550" s="2">
        <v>7483.49</v>
      </c>
      <c r="F550" s="1196">
        <f t="shared" si="17"/>
        <v>106.593007455182</v>
      </c>
    </row>
    <row r="551" spans="2:6">
      <c r="B551" s="189">
        <v>41697</v>
      </c>
      <c r="C551" s="2">
        <v>47049.79</v>
      </c>
      <c r="D551" s="1196">
        <f t="shared" si="16"/>
        <v>118.12959715744525</v>
      </c>
      <c r="E551" s="2">
        <v>7462.75</v>
      </c>
      <c r="F551" s="1196">
        <f t="shared" si="17"/>
        <v>106.29759195056847</v>
      </c>
    </row>
    <row r="552" spans="2:6">
      <c r="B552" s="189">
        <v>41696</v>
      </c>
      <c r="C552" s="2">
        <v>47017.19</v>
      </c>
      <c r="D552" s="1196">
        <f t="shared" si="16"/>
        <v>118.04774716688561</v>
      </c>
      <c r="E552" s="2">
        <v>7357.26</v>
      </c>
      <c r="F552" s="1196">
        <f t="shared" si="17"/>
        <v>104.7950181038142</v>
      </c>
    </row>
    <row r="553" spans="2:6">
      <c r="B553" s="189">
        <v>41695</v>
      </c>
      <c r="C553" s="2">
        <v>46956.75</v>
      </c>
      <c r="D553" s="1196">
        <f t="shared" si="16"/>
        <v>117.89599828868241</v>
      </c>
      <c r="E553" s="2">
        <v>7573.65</v>
      </c>
      <c r="F553" s="1196">
        <f t="shared" si="17"/>
        <v>107.87722451863226</v>
      </c>
    </row>
    <row r="554" spans="2:6">
      <c r="B554" s="189">
        <v>41694</v>
      </c>
      <c r="C554" s="2">
        <v>47394</v>
      </c>
      <c r="D554" s="1196">
        <f t="shared" si="16"/>
        <v>118.99381756390326</v>
      </c>
      <c r="E554" s="2">
        <v>7546.6</v>
      </c>
      <c r="F554" s="1196">
        <f t="shared" si="17"/>
        <v>107.49193091208468</v>
      </c>
    </row>
    <row r="555" spans="2:6">
      <c r="B555" s="189">
        <v>41691</v>
      </c>
      <c r="C555" s="2">
        <v>47452.24</v>
      </c>
      <c r="D555" s="1196">
        <f t="shared" si="16"/>
        <v>119.14004282311161</v>
      </c>
      <c r="E555" s="2">
        <v>7560.13</v>
      </c>
      <c r="F555" s="1196">
        <f t="shared" si="17"/>
        <v>107.68464893413972</v>
      </c>
    </row>
    <row r="556" spans="2:6">
      <c r="B556" s="189">
        <v>41690</v>
      </c>
      <c r="C556" s="2">
        <v>47149.35</v>
      </c>
      <c r="D556" s="1196">
        <f t="shared" si="16"/>
        <v>118.37956602431998</v>
      </c>
      <c r="E556" s="2">
        <v>7521.36</v>
      </c>
      <c r="F556" s="1196">
        <f t="shared" si="17"/>
        <v>107.13241850434862</v>
      </c>
    </row>
    <row r="557" spans="2:6">
      <c r="B557" s="189">
        <v>41689</v>
      </c>
      <c r="C557" s="2">
        <v>47438.31</v>
      </c>
      <c r="D557" s="1196">
        <f t="shared" si="16"/>
        <v>119.10506827193078</v>
      </c>
      <c r="E557" s="2">
        <v>7582.67</v>
      </c>
      <c r="F557" s="1196">
        <f t="shared" si="17"/>
        <v>108.00570320000229</v>
      </c>
    </row>
    <row r="558" spans="2:6">
      <c r="B558" s="189">
        <v>41688</v>
      </c>
      <c r="C558" s="2">
        <v>47112.43</v>
      </c>
      <c r="D558" s="1196">
        <f t="shared" si="16"/>
        <v>118.28686965464325</v>
      </c>
      <c r="E558" s="2">
        <v>7616.93</v>
      </c>
      <c r="F558" s="1196">
        <f t="shared" si="17"/>
        <v>108.49369428910838</v>
      </c>
    </row>
    <row r="559" spans="2:6">
      <c r="B559" s="189">
        <v>41687</v>
      </c>
      <c r="C559" s="2">
        <v>47027.54</v>
      </c>
      <c r="D559" s="1196">
        <f t="shared" si="16"/>
        <v>118.07373328352033</v>
      </c>
      <c r="E559" s="2">
        <v>7507.83</v>
      </c>
      <c r="F559" s="1196">
        <f t="shared" si="17"/>
        <v>106.9397004822936</v>
      </c>
    </row>
    <row r="560" spans="2:6">
      <c r="B560" s="189">
        <v>41684</v>
      </c>
      <c r="C560" s="2">
        <v>46628.74</v>
      </c>
      <c r="D560" s="1196">
        <f t="shared" si="16"/>
        <v>117.07245180391352</v>
      </c>
      <c r="E560" s="2">
        <v>7492.51</v>
      </c>
      <c r="F560" s="1196">
        <f t="shared" si="17"/>
        <v>106.72148613655206</v>
      </c>
    </row>
    <row r="561" spans="2:6">
      <c r="B561" s="189">
        <v>41683</v>
      </c>
      <c r="C561" s="2">
        <v>46251.77</v>
      </c>
      <c r="D561" s="1196">
        <f t="shared" si="16"/>
        <v>116.1259796891508</v>
      </c>
      <c r="E561" s="2">
        <v>7555.62</v>
      </c>
      <c r="F561" s="1196">
        <f t="shared" si="17"/>
        <v>107.62040959345471</v>
      </c>
    </row>
    <row r="562" spans="2:6">
      <c r="B562" s="189">
        <v>41682</v>
      </c>
      <c r="C562" s="2">
        <v>46425.11</v>
      </c>
      <c r="D562" s="1196">
        <f t="shared" si="16"/>
        <v>116.56119065122463</v>
      </c>
      <c r="E562" s="2">
        <v>7616.93</v>
      </c>
      <c r="F562" s="1196">
        <f t="shared" si="17"/>
        <v>108.49369428910838</v>
      </c>
    </row>
    <row r="563" spans="2:6">
      <c r="B563" s="189">
        <v>41681</v>
      </c>
      <c r="C563" s="2">
        <v>45866.02</v>
      </c>
      <c r="D563" s="1196">
        <f t="shared" si="16"/>
        <v>115.15746331312693</v>
      </c>
      <c r="E563" s="2">
        <v>7606.11</v>
      </c>
      <c r="F563" s="1196">
        <f t="shared" si="17"/>
        <v>108.33957684648934</v>
      </c>
    </row>
    <row r="564" spans="2:6">
      <c r="B564" s="189">
        <v>41680</v>
      </c>
      <c r="C564" s="2">
        <v>45920.87</v>
      </c>
      <c r="D564" s="1196">
        <f t="shared" si="16"/>
        <v>115.29517717761149</v>
      </c>
      <c r="E564" s="2">
        <v>7508.74</v>
      </c>
      <c r="F564" s="1196">
        <f t="shared" si="17"/>
        <v>106.95266230048057</v>
      </c>
    </row>
    <row r="565" spans="2:6">
      <c r="B565" s="189">
        <v>41677</v>
      </c>
      <c r="C565" s="2">
        <v>45340.76</v>
      </c>
      <c r="D565" s="1196">
        <f t="shared" si="16"/>
        <v>113.83867417075415</v>
      </c>
      <c r="E565" s="2">
        <v>7551.11</v>
      </c>
      <c r="F565" s="1196">
        <f t="shared" si="17"/>
        <v>107.55617025276969</v>
      </c>
    </row>
    <row r="566" spans="2:6">
      <c r="B566" s="189">
        <v>41676</v>
      </c>
      <c r="C566" s="2">
        <v>44985.34</v>
      </c>
      <c r="D566" s="1196">
        <f t="shared" si="16"/>
        <v>112.9463084147816</v>
      </c>
      <c r="E566" s="2">
        <v>7483.49</v>
      </c>
      <c r="F566" s="1196">
        <f t="shared" si="17"/>
        <v>106.593007455182</v>
      </c>
    </row>
    <row r="567" spans="2:6">
      <c r="B567" s="189">
        <v>41675</v>
      </c>
      <c r="C567" s="2">
        <v>44477.18</v>
      </c>
      <c r="D567" s="1196">
        <f t="shared" si="16"/>
        <v>111.67045285641404</v>
      </c>
      <c r="E567" s="2">
        <v>7506.93</v>
      </c>
      <c r="F567" s="1196">
        <f t="shared" si="17"/>
        <v>106.92688110166908</v>
      </c>
    </row>
    <row r="568" spans="2:6">
      <c r="B568" s="189">
        <v>41674</v>
      </c>
      <c r="C568" s="2">
        <v>44451.57</v>
      </c>
      <c r="D568" s="1196">
        <f t="shared" si="16"/>
        <v>111.60615290984248</v>
      </c>
      <c r="E568" s="2">
        <v>7483.49</v>
      </c>
      <c r="F568" s="1196">
        <f t="shared" si="17"/>
        <v>106.593007455182</v>
      </c>
    </row>
    <row r="569" spans="2:6">
      <c r="B569" s="189">
        <v>41673</v>
      </c>
      <c r="C569" s="2">
        <v>44956.91</v>
      </c>
      <c r="D569" s="1196">
        <f t="shared" si="16"/>
        <v>112.87492819295308</v>
      </c>
      <c r="E569" s="2">
        <v>7618.73</v>
      </c>
      <c r="F569" s="1196">
        <f t="shared" si="17"/>
        <v>108.51933305035737</v>
      </c>
    </row>
    <row r="570" spans="2:6">
      <c r="B570" s="189">
        <v>41670</v>
      </c>
      <c r="C570" s="2">
        <v>45132.1</v>
      </c>
      <c r="D570" s="1196">
        <f t="shared" si="16"/>
        <v>113.31478401645437</v>
      </c>
      <c r="E570" s="2">
        <v>7537.59</v>
      </c>
      <c r="F570" s="1196">
        <f t="shared" si="17"/>
        <v>107.36359466827716</v>
      </c>
    </row>
    <row r="571" spans="2:6">
      <c r="B571" s="189">
        <v>41669</v>
      </c>
      <c r="C571" s="2">
        <v>45178.25</v>
      </c>
      <c r="D571" s="1196">
        <f t="shared" si="16"/>
        <v>113.43065447855028</v>
      </c>
      <c r="E571" s="2">
        <v>7488</v>
      </c>
      <c r="F571" s="1196">
        <f t="shared" si="17"/>
        <v>106.65724679586704</v>
      </c>
    </row>
    <row r="572" spans="2:6">
      <c r="B572" s="189">
        <v>41668</v>
      </c>
      <c r="C572" s="2">
        <v>45564.62</v>
      </c>
      <c r="D572" s="1196">
        <f t="shared" si="16"/>
        <v>114.40072751083635</v>
      </c>
      <c r="E572" s="2">
        <v>7663.82</v>
      </c>
      <c r="F572" s="1196">
        <f t="shared" si="17"/>
        <v>109.16158401964499</v>
      </c>
    </row>
    <row r="573" spans="2:6">
      <c r="B573" s="189">
        <v>41667</v>
      </c>
      <c r="C573" s="2">
        <v>45724.7</v>
      </c>
      <c r="D573" s="1196">
        <f t="shared" si="16"/>
        <v>114.80264611478684</v>
      </c>
      <c r="E573" s="2">
        <v>7630.46</v>
      </c>
      <c r="F573" s="1196">
        <f t="shared" si="17"/>
        <v>108.68641231116341</v>
      </c>
    </row>
    <row r="574" spans="2:6">
      <c r="B574" s="189">
        <v>41666</v>
      </c>
      <c r="C574" s="2">
        <v>45750.7</v>
      </c>
      <c r="D574" s="1196">
        <f t="shared" si="16"/>
        <v>114.867925248362</v>
      </c>
      <c r="E574" s="2">
        <v>7429.39</v>
      </c>
      <c r="F574" s="1196">
        <f t="shared" si="17"/>
        <v>105.82242024208688</v>
      </c>
    </row>
    <row r="575" spans="2:6">
      <c r="B575" s="189">
        <v>41663</v>
      </c>
      <c r="C575" s="2">
        <v>46462.14</v>
      </c>
      <c r="D575" s="1196">
        <f t="shared" si="16"/>
        <v>116.65416320185112</v>
      </c>
      <c r="E575" s="2">
        <v>7548.23</v>
      </c>
      <c r="F575" s="1196">
        <f t="shared" si="17"/>
        <v>107.51514823477129</v>
      </c>
    </row>
    <row r="576" spans="2:6">
      <c r="B576" s="189">
        <v>41662</v>
      </c>
      <c r="C576" s="2">
        <v>47045.440000000002</v>
      </c>
      <c r="D576" s="1196">
        <f t="shared" si="16"/>
        <v>118.11867545625094</v>
      </c>
      <c r="E576" s="2">
        <v>7596.19</v>
      </c>
      <c r="F576" s="1196">
        <f t="shared" si="17"/>
        <v>108.19827878449482</v>
      </c>
    </row>
    <row r="577" spans="2:6">
      <c r="B577" s="189">
        <v>41661</v>
      </c>
      <c r="C577" s="2">
        <v>47000.95</v>
      </c>
      <c r="D577" s="1196">
        <f t="shared" si="16"/>
        <v>118.00697281576018</v>
      </c>
      <c r="E577" s="2">
        <v>7663.82</v>
      </c>
      <c r="F577" s="1196">
        <f t="shared" si="17"/>
        <v>109.16158401964499</v>
      </c>
    </row>
    <row r="578" spans="2:6">
      <c r="B578" s="189">
        <v>41660</v>
      </c>
      <c r="C578" s="2">
        <v>46889.64</v>
      </c>
      <c r="D578" s="1196">
        <f t="shared" si="16"/>
        <v>117.72750280198127</v>
      </c>
      <c r="E578" s="2">
        <v>7483.49</v>
      </c>
      <c r="F578" s="1196">
        <f t="shared" si="17"/>
        <v>106.593007455182</v>
      </c>
    </row>
    <row r="579" spans="2:6">
      <c r="B579" s="189">
        <v>41659</v>
      </c>
      <c r="C579" s="2">
        <v>46934.59</v>
      </c>
      <c r="D579" s="1196">
        <f t="shared" si="16"/>
        <v>117.84036038098911</v>
      </c>
      <c r="E579" s="2">
        <v>7454.72</v>
      </c>
      <c r="F579" s="1196">
        <f t="shared" si="17"/>
        <v>106.1832145878854</v>
      </c>
    </row>
    <row r="580" spans="2:6">
      <c r="B580" s="189">
        <v>41656</v>
      </c>
      <c r="C580" s="2">
        <v>46675.88</v>
      </c>
      <c r="D580" s="1196">
        <f t="shared" si="16"/>
        <v>117.19080789455711</v>
      </c>
      <c r="E580" s="2">
        <v>7483.49</v>
      </c>
      <c r="F580" s="1196">
        <f t="shared" si="17"/>
        <v>106.593007455182</v>
      </c>
    </row>
    <row r="581" spans="2:6">
      <c r="B581" s="189">
        <v>41655</v>
      </c>
      <c r="C581" s="2">
        <v>46728.46</v>
      </c>
      <c r="D581" s="1196">
        <f t="shared" si="16"/>
        <v>117.32282238853338</v>
      </c>
      <c r="E581" s="2">
        <v>7460.05</v>
      </c>
      <c r="F581" s="1196">
        <f t="shared" si="17"/>
        <v>106.25913380869495</v>
      </c>
    </row>
    <row r="582" spans="2:6">
      <c r="B582" s="189">
        <v>41654</v>
      </c>
      <c r="C582" s="2">
        <v>46442.45</v>
      </c>
      <c r="D582" s="1196">
        <f t="shared" si="16"/>
        <v>116.60472681184746</v>
      </c>
      <c r="E582" s="2">
        <v>7528.57</v>
      </c>
      <c r="F582" s="1196">
        <f t="shared" si="17"/>
        <v>107.23511598690713</v>
      </c>
    </row>
    <row r="583" spans="2:6">
      <c r="B583" s="189">
        <v>41653</v>
      </c>
      <c r="C583" s="2">
        <v>45982.07</v>
      </c>
      <c r="D583" s="1196">
        <f t="shared" si="16"/>
        <v>115.44883421510379</v>
      </c>
      <c r="E583" s="2">
        <v>7486.2</v>
      </c>
      <c r="F583" s="1196">
        <f t="shared" si="17"/>
        <v>106.63160803461803</v>
      </c>
    </row>
    <row r="584" spans="2:6">
      <c r="B584" s="189">
        <v>41652</v>
      </c>
      <c r="C584" s="2">
        <v>46030.25</v>
      </c>
      <c r="D584" s="1196">
        <f t="shared" si="16"/>
        <v>115.5698014710904</v>
      </c>
      <c r="E584" s="2">
        <v>7565.54</v>
      </c>
      <c r="F584" s="1196">
        <f t="shared" si="17"/>
        <v>107.76170765544923</v>
      </c>
    </row>
    <row r="585" spans="2:6">
      <c r="B585" s="189">
        <v>41649</v>
      </c>
      <c r="C585" s="2">
        <v>45548.15</v>
      </c>
      <c r="D585" s="1196">
        <f t="shared" si="16"/>
        <v>114.35937569045238</v>
      </c>
      <c r="E585" s="2">
        <v>7341.03</v>
      </c>
      <c r="F585" s="1196">
        <f t="shared" si="17"/>
        <v>104.56384193988566</v>
      </c>
    </row>
    <row r="586" spans="2:6">
      <c r="B586" s="189">
        <v>41648</v>
      </c>
      <c r="C586" s="2">
        <v>45444.59</v>
      </c>
      <c r="D586" s="1196">
        <f t="shared" ref="D586:D649" si="18">C586/$C$757*100</f>
        <v>114.09936387995066</v>
      </c>
      <c r="E586" s="2">
        <v>7191.36</v>
      </c>
      <c r="F586" s="1196">
        <f t="shared" ref="F586:F649" si="19">E586/$E$757*100</f>
        <v>102.43197894203075</v>
      </c>
    </row>
    <row r="587" spans="2:6">
      <c r="B587" s="189">
        <v>41647</v>
      </c>
      <c r="C587" s="2">
        <v>45696.97</v>
      </c>
      <c r="D587" s="1196">
        <f t="shared" si="18"/>
        <v>114.73302340809302</v>
      </c>
      <c r="E587" s="2">
        <v>7213</v>
      </c>
      <c r="F587" s="1196">
        <f t="shared" si="19"/>
        <v>102.74021382726882</v>
      </c>
    </row>
    <row r="588" spans="2:6">
      <c r="B588" s="189">
        <v>41646</v>
      </c>
      <c r="C588" s="2">
        <v>45867.519999999997</v>
      </c>
      <c r="D588" s="1196">
        <f t="shared" si="18"/>
        <v>115.16122941698703</v>
      </c>
      <c r="E588" s="2">
        <v>7202.18</v>
      </c>
      <c r="F588" s="1196">
        <f t="shared" si="19"/>
        <v>102.58609638464979</v>
      </c>
    </row>
    <row r="589" spans="2:6">
      <c r="B589" s="189">
        <v>41645</v>
      </c>
      <c r="C589" s="2">
        <v>45897.440000000002</v>
      </c>
      <c r="D589" s="1196">
        <f t="shared" si="18"/>
        <v>115.23635063531663</v>
      </c>
      <c r="E589" s="2">
        <v>7181.45</v>
      </c>
      <c r="F589" s="1196">
        <f t="shared" si="19"/>
        <v>102.29082331759874</v>
      </c>
    </row>
    <row r="590" spans="2:6">
      <c r="B590" s="189">
        <v>41642</v>
      </c>
      <c r="C590" s="2">
        <v>46206.09</v>
      </c>
      <c r="D590" s="1196">
        <f t="shared" si="18"/>
        <v>116.01128927293105</v>
      </c>
      <c r="E590" s="2">
        <v>7193.17</v>
      </c>
      <c r="F590" s="1196">
        <f t="shared" si="19"/>
        <v>102.45776014084227</v>
      </c>
    </row>
    <row r="591" spans="2:6">
      <c r="B591" s="189">
        <v>41641</v>
      </c>
      <c r="C591" s="2">
        <v>46589.7</v>
      </c>
      <c r="D591" s="1196">
        <f t="shared" si="18"/>
        <v>116.97443267411451</v>
      </c>
      <c r="E591" s="2">
        <v>7204.57</v>
      </c>
      <c r="F591" s="1196">
        <f t="shared" si="19"/>
        <v>102.62013896208597</v>
      </c>
    </row>
    <row r="592" spans="2:6">
      <c r="B592" s="189">
        <v>41639</v>
      </c>
      <c r="C592" s="2">
        <v>46256.23</v>
      </c>
      <c r="D592" s="1196">
        <f t="shared" si="18"/>
        <v>116.13717757129487</v>
      </c>
      <c r="E592" s="2">
        <v>7193.17</v>
      </c>
      <c r="F592" s="1196">
        <f t="shared" si="19"/>
        <v>102.45776014084227</v>
      </c>
    </row>
    <row r="593" spans="2:6">
      <c r="B593" s="189">
        <v>41638</v>
      </c>
      <c r="C593" s="2">
        <v>46131.29</v>
      </c>
      <c r="D593" s="1196">
        <f t="shared" si="18"/>
        <v>115.82348622710713</v>
      </c>
      <c r="E593" s="2">
        <v>7224.75</v>
      </c>
      <c r="F593" s="1196">
        <f t="shared" si="19"/>
        <v>102.90757796319983</v>
      </c>
    </row>
    <row r="594" spans="2:6">
      <c r="B594" s="189">
        <v>41635</v>
      </c>
      <c r="C594" s="2">
        <v>45735.26</v>
      </c>
      <c r="D594" s="1196">
        <f t="shared" si="18"/>
        <v>114.82915948596198</v>
      </c>
      <c r="E594" s="2">
        <v>7224.75</v>
      </c>
      <c r="F594" s="1196">
        <f t="shared" si="19"/>
        <v>102.90757796319983</v>
      </c>
    </row>
    <row r="595" spans="2:6">
      <c r="B595" s="189">
        <v>41632</v>
      </c>
      <c r="C595" s="2">
        <v>44912.800000000003</v>
      </c>
      <c r="D595" s="1196">
        <f t="shared" si="18"/>
        <v>112.7641796321069</v>
      </c>
      <c r="E595" s="2">
        <v>7162.47</v>
      </c>
      <c r="F595" s="1196">
        <f t="shared" si="19"/>
        <v>102.02047682398421</v>
      </c>
    </row>
    <row r="596" spans="2:6">
      <c r="B596" s="189">
        <v>41631</v>
      </c>
      <c r="C596" s="2">
        <v>44753.19</v>
      </c>
      <c r="D596" s="1196">
        <f t="shared" si="18"/>
        <v>112.36344107403258</v>
      </c>
      <c r="E596" s="2">
        <v>7175.62</v>
      </c>
      <c r="F596" s="1196">
        <f t="shared" si="19"/>
        <v>102.20778221866445</v>
      </c>
    </row>
    <row r="597" spans="2:6">
      <c r="B597" s="189">
        <v>41628</v>
      </c>
      <c r="C597" s="2">
        <v>44574.25</v>
      </c>
      <c r="D597" s="1196">
        <f t="shared" si="18"/>
        <v>111.91416999088102</v>
      </c>
      <c r="E597" s="2">
        <v>7017.73</v>
      </c>
      <c r="F597" s="1196">
        <f t="shared" si="19"/>
        <v>99.958835544439097</v>
      </c>
    </row>
    <row r="598" spans="2:6">
      <c r="B598" s="189">
        <v>41627</v>
      </c>
      <c r="C598" s="2">
        <v>44327.839999999997</v>
      </c>
      <c r="D598" s="1196">
        <f t="shared" si="18"/>
        <v>111.2954995561019</v>
      </c>
      <c r="E598" s="2">
        <v>6913.34</v>
      </c>
      <c r="F598" s="1196">
        <f t="shared" si="19"/>
        <v>98.471929829559215</v>
      </c>
    </row>
    <row r="599" spans="2:6">
      <c r="B599" s="189">
        <v>41626</v>
      </c>
      <c r="C599" s="2">
        <v>43925.38</v>
      </c>
      <c r="D599" s="1196">
        <f t="shared" si="18"/>
        <v>110.28502878307643</v>
      </c>
      <c r="E599" s="2">
        <v>6754.56</v>
      </c>
      <c r="F599" s="1196">
        <f t="shared" si="19"/>
        <v>96.21030621227186</v>
      </c>
    </row>
    <row r="600" spans="2:6">
      <c r="B600" s="189">
        <v>41625</v>
      </c>
      <c r="C600" s="2">
        <v>43848.95</v>
      </c>
      <c r="D600" s="1196">
        <f t="shared" si="18"/>
        <v>110.09313323772449</v>
      </c>
      <c r="E600" s="2">
        <v>6737.02</v>
      </c>
      <c r="F600" s="1196">
        <f t="shared" si="19"/>
        <v>95.960470727656542</v>
      </c>
    </row>
    <row r="601" spans="2:6">
      <c r="B601" s="189">
        <v>41621</v>
      </c>
      <c r="C601" s="2">
        <v>43185.73</v>
      </c>
      <c r="D601" s="1196">
        <f t="shared" si="18"/>
        <v>108.42796296965827</v>
      </c>
      <c r="E601" s="2">
        <v>6842.28</v>
      </c>
      <c r="F601" s="1196">
        <f t="shared" si="19"/>
        <v>97.459768510473438</v>
      </c>
    </row>
    <row r="602" spans="2:6">
      <c r="B602" s="189">
        <v>41620</v>
      </c>
      <c r="C602" s="2">
        <v>43252.17</v>
      </c>
      <c r="D602" s="1196">
        <f t="shared" si="18"/>
        <v>108.59477626330187</v>
      </c>
      <c r="E602" s="2">
        <v>6861.58</v>
      </c>
      <c r="F602" s="1196">
        <f t="shared" si="19"/>
        <v>97.734673006087775</v>
      </c>
    </row>
    <row r="603" spans="2:6">
      <c r="B603" s="189">
        <v>41619</v>
      </c>
      <c r="C603" s="2">
        <v>44436.86</v>
      </c>
      <c r="D603" s="1196">
        <f t="shared" si="18"/>
        <v>111.56921998465438</v>
      </c>
      <c r="E603" s="2">
        <v>7193.17</v>
      </c>
      <c r="F603" s="1196">
        <f t="shared" si="19"/>
        <v>102.45776014084227</v>
      </c>
    </row>
    <row r="604" spans="2:6">
      <c r="B604" s="189">
        <v>41618</v>
      </c>
      <c r="C604" s="2">
        <v>44640.98</v>
      </c>
      <c r="D604" s="1196">
        <f t="shared" si="18"/>
        <v>112.0817113979376</v>
      </c>
      <c r="E604" s="2">
        <v>7080.88</v>
      </c>
      <c r="F604" s="1196">
        <f t="shared" si="19"/>
        <v>100.85832875159176</v>
      </c>
    </row>
    <row r="605" spans="2:6">
      <c r="B605" s="189">
        <v>41617</v>
      </c>
      <c r="C605" s="2">
        <v>44732.42</v>
      </c>
      <c r="D605" s="1196">
        <f t="shared" si="18"/>
        <v>112.31129308924963</v>
      </c>
      <c r="E605" s="2">
        <v>7008.08</v>
      </c>
      <c r="F605" s="1196">
        <f t="shared" si="19"/>
        <v>99.821383296631922</v>
      </c>
    </row>
    <row r="606" spans="2:6">
      <c r="B606" s="189">
        <v>41614</v>
      </c>
      <c r="C606" s="2">
        <v>44616.21</v>
      </c>
      <c r="D606" s="1196">
        <f t="shared" si="18"/>
        <v>112.01952046952771</v>
      </c>
      <c r="E606" s="2">
        <v>6874.74</v>
      </c>
      <c r="F606" s="1196">
        <f t="shared" si="19"/>
        <v>97.922120838330514</v>
      </c>
    </row>
    <row r="607" spans="2:6">
      <c r="B607" s="189">
        <v>41613</v>
      </c>
      <c r="C607" s="2">
        <v>44297.66</v>
      </c>
      <c r="D607" s="1196">
        <f t="shared" si="18"/>
        <v>111.21972554643658</v>
      </c>
      <c r="E607" s="2">
        <v>6965.09</v>
      </c>
      <c r="F607" s="1196">
        <f t="shared" si="19"/>
        <v>99.209044215468154</v>
      </c>
    </row>
    <row r="608" spans="2:6">
      <c r="B608" s="189">
        <v>41612</v>
      </c>
      <c r="C608" s="2">
        <v>43986.37</v>
      </c>
      <c r="D608" s="1196">
        <f t="shared" si="18"/>
        <v>110.43815856602835</v>
      </c>
      <c r="E608" s="2">
        <v>7022.11</v>
      </c>
      <c r="F608" s="1196">
        <f t="shared" si="19"/>
        <v>100.02122319681168</v>
      </c>
    </row>
    <row r="609" spans="2:6">
      <c r="B609" s="189">
        <v>41611</v>
      </c>
      <c r="C609" s="2">
        <v>43962.83</v>
      </c>
      <c r="D609" s="1196">
        <f t="shared" si="18"/>
        <v>110.37905584278376</v>
      </c>
      <c r="E609" s="2">
        <v>7279.14</v>
      </c>
      <c r="F609" s="1196">
        <f t="shared" si="19"/>
        <v>103.68229586560732</v>
      </c>
    </row>
    <row r="610" spans="2:6">
      <c r="B610" s="189">
        <v>41610</v>
      </c>
      <c r="C610" s="2">
        <v>44659.37</v>
      </c>
      <c r="D610" s="1196">
        <f t="shared" si="18"/>
        <v>112.12788383126249</v>
      </c>
      <c r="E610" s="2">
        <v>7506.33</v>
      </c>
      <c r="F610" s="1196">
        <f t="shared" si="19"/>
        <v>106.91833484791941</v>
      </c>
    </row>
    <row r="611" spans="2:6">
      <c r="B611" s="189">
        <v>41607</v>
      </c>
      <c r="C611" s="2">
        <v>44975.67</v>
      </c>
      <c r="D611" s="1196">
        <f t="shared" si="18"/>
        <v>112.92202959856346</v>
      </c>
      <c r="E611" s="2">
        <v>7632.65</v>
      </c>
      <c r="F611" s="1196">
        <f t="shared" si="19"/>
        <v>108.71760613734969</v>
      </c>
    </row>
    <row r="612" spans="2:6">
      <c r="B612" s="189">
        <v>41606</v>
      </c>
      <c r="C612" s="2">
        <v>45058.22</v>
      </c>
      <c r="D612" s="1196">
        <f t="shared" si="18"/>
        <v>113.12929084766461</v>
      </c>
      <c r="E612" s="2">
        <v>7675.64</v>
      </c>
      <c r="F612" s="1196">
        <f t="shared" si="19"/>
        <v>109.32994521851347</v>
      </c>
    </row>
    <row r="613" spans="2:6">
      <c r="B613" s="189">
        <v>41605</v>
      </c>
      <c r="C613" s="2">
        <v>44564.01</v>
      </c>
      <c r="D613" s="1196">
        <f t="shared" si="18"/>
        <v>111.88846005519602</v>
      </c>
      <c r="E613" s="2">
        <v>7719.5</v>
      </c>
      <c r="F613" s="1196">
        <f t="shared" si="19"/>
        <v>109.95467636761427</v>
      </c>
    </row>
    <row r="614" spans="2:6">
      <c r="B614" s="189">
        <v>41604</v>
      </c>
      <c r="C614" s="2">
        <v>43988.14</v>
      </c>
      <c r="D614" s="1196">
        <f t="shared" si="18"/>
        <v>110.44260256858327</v>
      </c>
      <c r="E614" s="2">
        <v>7715.11</v>
      </c>
      <c r="F614" s="1196">
        <f t="shared" si="19"/>
        <v>109.89214627767919</v>
      </c>
    </row>
    <row r="615" spans="2:6">
      <c r="B615" s="189">
        <v>41603</v>
      </c>
      <c r="C615" s="2">
        <v>44552.51</v>
      </c>
      <c r="D615" s="1196">
        <f t="shared" si="18"/>
        <v>111.85958659226856</v>
      </c>
      <c r="E615" s="2">
        <v>7719.5</v>
      </c>
      <c r="F615" s="1196">
        <f t="shared" si="19"/>
        <v>109.95467636761427</v>
      </c>
    </row>
    <row r="616" spans="2:6">
      <c r="B616" s="189">
        <v>41600</v>
      </c>
      <c r="C616" s="2">
        <v>44435.61</v>
      </c>
      <c r="D616" s="1196">
        <f t="shared" si="18"/>
        <v>111.56608156477097</v>
      </c>
      <c r="E616" s="2">
        <v>7719.5</v>
      </c>
      <c r="F616" s="1196">
        <f t="shared" si="19"/>
        <v>109.95467636761427</v>
      </c>
    </row>
    <row r="617" spans="2:6">
      <c r="B617" s="189">
        <v>41599</v>
      </c>
      <c r="C617" s="2">
        <v>44741.55</v>
      </c>
      <c r="D617" s="1196">
        <f t="shared" si="18"/>
        <v>112.33421610807814</v>
      </c>
      <c r="E617" s="2">
        <v>7763.36</v>
      </c>
      <c r="F617" s="1196">
        <f t="shared" si="19"/>
        <v>110.57940751671505</v>
      </c>
    </row>
    <row r="618" spans="2:6">
      <c r="B618" s="189">
        <v>41598</v>
      </c>
      <c r="C618" s="2">
        <v>45201.08</v>
      </c>
      <c r="D618" s="1196">
        <f t="shared" si="18"/>
        <v>113.48797457930108</v>
      </c>
      <c r="E618" s="2">
        <v>7719.5</v>
      </c>
      <c r="F618" s="1196">
        <f t="shared" si="19"/>
        <v>109.95467636761427</v>
      </c>
    </row>
    <row r="619" spans="2:6">
      <c r="B619" s="189">
        <v>41597</v>
      </c>
      <c r="C619" s="2">
        <v>45138.13</v>
      </c>
      <c r="D619" s="1196">
        <f t="shared" si="18"/>
        <v>113.32992375397197</v>
      </c>
      <c r="E619" s="2">
        <v>7632.65</v>
      </c>
      <c r="F619" s="1196">
        <f t="shared" si="19"/>
        <v>108.71760613734969</v>
      </c>
    </row>
    <row r="620" spans="2:6">
      <c r="B620" s="189">
        <v>41596</v>
      </c>
      <c r="C620" s="2">
        <v>45428.85</v>
      </c>
      <c r="D620" s="1196">
        <f t="shared" si="18"/>
        <v>114.05984489677863</v>
      </c>
      <c r="E620" s="2">
        <v>7631.78</v>
      </c>
      <c r="F620" s="1196">
        <f t="shared" si="19"/>
        <v>108.70521406941268</v>
      </c>
    </row>
    <row r="621" spans="2:6">
      <c r="B621" s="189">
        <v>41593</v>
      </c>
      <c r="C621" s="2">
        <v>45174.18</v>
      </c>
      <c r="D621" s="1196">
        <f t="shared" si="18"/>
        <v>113.42043578340986</v>
      </c>
      <c r="E621" s="2">
        <v>7517.74</v>
      </c>
      <c r="F621" s="1196">
        <f t="shared" si="19"/>
        <v>107.08085610672562</v>
      </c>
    </row>
    <row r="622" spans="2:6">
      <c r="B622" s="189">
        <v>41592</v>
      </c>
      <c r="C622" s="2">
        <v>44903.85</v>
      </c>
      <c r="D622" s="1196">
        <f t="shared" si="18"/>
        <v>112.74170854574159</v>
      </c>
      <c r="E622" s="2">
        <v>7368.61</v>
      </c>
      <c r="F622" s="1196">
        <f t="shared" si="19"/>
        <v>104.95668473724542</v>
      </c>
    </row>
    <row r="623" spans="2:6">
      <c r="B623" s="189">
        <v>41591</v>
      </c>
      <c r="C623" s="2">
        <v>44625</v>
      </c>
      <c r="D623" s="1196">
        <f t="shared" si="18"/>
        <v>112.04158983814791</v>
      </c>
      <c r="E623" s="2">
        <v>7324.75</v>
      </c>
      <c r="F623" s="1196">
        <f t="shared" si="19"/>
        <v>104.33195358814464</v>
      </c>
    </row>
    <row r="624" spans="2:6">
      <c r="B624" s="189">
        <v>41590</v>
      </c>
      <c r="C624" s="2">
        <v>45448.28</v>
      </c>
      <c r="D624" s="1196">
        <f t="shared" si="18"/>
        <v>114.10862849544652</v>
      </c>
      <c r="E624" s="2">
        <v>7412.47</v>
      </c>
      <c r="F624" s="1196">
        <f t="shared" si="19"/>
        <v>105.58141588634622</v>
      </c>
    </row>
    <row r="625" spans="2:6">
      <c r="B625" s="189">
        <v>41589</v>
      </c>
      <c r="C625" s="2">
        <v>45488.18</v>
      </c>
      <c r="D625" s="1196">
        <f t="shared" si="18"/>
        <v>114.20880685812536</v>
      </c>
      <c r="E625" s="2">
        <v>7425.63</v>
      </c>
      <c r="F625" s="1196">
        <f t="shared" si="19"/>
        <v>105.76886371858896</v>
      </c>
    </row>
    <row r="626" spans="2:6">
      <c r="B626" s="189">
        <v>41586</v>
      </c>
      <c r="C626" s="2">
        <v>45481.19</v>
      </c>
      <c r="D626" s="1196">
        <f t="shared" si="18"/>
        <v>114.19125681413726</v>
      </c>
      <c r="E626" s="2">
        <v>7280.89</v>
      </c>
      <c r="F626" s="1196">
        <f t="shared" si="19"/>
        <v>103.70722243904385</v>
      </c>
    </row>
    <row r="627" spans="2:6">
      <c r="B627" s="189">
        <v>41585</v>
      </c>
      <c r="C627" s="2">
        <v>46068.47</v>
      </c>
      <c r="D627" s="1196">
        <f t="shared" si="18"/>
        <v>115.66576179744588</v>
      </c>
      <c r="E627" s="2">
        <v>7587.92</v>
      </c>
      <c r="F627" s="1196">
        <f t="shared" si="19"/>
        <v>108.08048292031189</v>
      </c>
    </row>
    <row r="628" spans="2:6">
      <c r="B628" s="189">
        <v>41584</v>
      </c>
      <c r="C628" s="2">
        <v>46192.91</v>
      </c>
      <c r="D628" s="1196">
        <f t="shared" si="18"/>
        <v>115.97819777368026</v>
      </c>
      <c r="E628" s="2">
        <v>7451.95</v>
      </c>
      <c r="F628" s="1196">
        <f t="shared" si="19"/>
        <v>106.14375938307444</v>
      </c>
    </row>
    <row r="629" spans="2:6">
      <c r="B629" s="189">
        <v>41583</v>
      </c>
      <c r="C629" s="2">
        <v>45750.23</v>
      </c>
      <c r="D629" s="1196">
        <f t="shared" si="18"/>
        <v>114.86674520248583</v>
      </c>
      <c r="E629" s="2">
        <v>7427.38</v>
      </c>
      <c r="F629" s="1196">
        <f t="shared" si="19"/>
        <v>105.79379029202549</v>
      </c>
    </row>
    <row r="630" spans="2:6">
      <c r="B630" s="189">
        <v>41582</v>
      </c>
      <c r="C630" s="2">
        <v>45671.44</v>
      </c>
      <c r="D630" s="1196">
        <f t="shared" si="18"/>
        <v>114.66892432039401</v>
      </c>
      <c r="E630" s="2">
        <v>7368.61</v>
      </c>
      <c r="F630" s="1196">
        <f t="shared" si="19"/>
        <v>104.95668473724542</v>
      </c>
    </row>
    <row r="631" spans="2:6">
      <c r="B631" s="189">
        <v>41579</v>
      </c>
      <c r="C631" s="2">
        <v>45561.08</v>
      </c>
      <c r="D631" s="1196">
        <f t="shared" si="18"/>
        <v>114.39183950572649</v>
      </c>
      <c r="E631" s="2">
        <v>7518.62</v>
      </c>
      <c r="F631" s="1196">
        <f t="shared" si="19"/>
        <v>107.09339061222514</v>
      </c>
    </row>
    <row r="632" spans="2:6">
      <c r="B632" s="189">
        <v>41578</v>
      </c>
      <c r="C632" s="2">
        <v>45517.56</v>
      </c>
      <c r="D632" s="1196">
        <f t="shared" si="18"/>
        <v>114.28257227906529</v>
      </c>
      <c r="E632" s="2">
        <v>7368.61</v>
      </c>
      <c r="F632" s="1196">
        <f t="shared" si="19"/>
        <v>104.95668473724542</v>
      </c>
    </row>
    <row r="633" spans="2:6">
      <c r="B633" s="189">
        <v>41577</v>
      </c>
      <c r="C633" s="2">
        <v>45611.91</v>
      </c>
      <c r="D633" s="1196">
        <f t="shared" si="18"/>
        <v>114.51946021186595</v>
      </c>
      <c r="E633" s="2">
        <v>7570.37</v>
      </c>
      <c r="F633" s="1196">
        <f t="shared" si="19"/>
        <v>107.83050499813407</v>
      </c>
    </row>
    <row r="634" spans="2:6">
      <c r="B634" s="189">
        <v>41576</v>
      </c>
      <c r="C634" s="2">
        <v>45443.88</v>
      </c>
      <c r="D634" s="1196">
        <f t="shared" si="18"/>
        <v>114.09758125745688</v>
      </c>
      <c r="E634" s="2">
        <v>7587.92</v>
      </c>
      <c r="F634" s="1196">
        <f t="shared" si="19"/>
        <v>108.08048292031189</v>
      </c>
    </row>
    <row r="635" spans="2:6">
      <c r="B635" s="189">
        <v>41575</v>
      </c>
      <c r="C635" s="2">
        <v>45401.67</v>
      </c>
      <c r="D635" s="1196">
        <f t="shared" si="18"/>
        <v>113.99160309483352</v>
      </c>
      <c r="E635" s="2">
        <v>7587.92</v>
      </c>
      <c r="F635" s="1196">
        <f t="shared" si="19"/>
        <v>108.08048292031189</v>
      </c>
    </row>
    <row r="636" spans="2:6">
      <c r="B636" s="189">
        <v>41572</v>
      </c>
      <c r="C636" s="2">
        <v>45124.04</v>
      </c>
      <c r="D636" s="1196">
        <f t="shared" si="18"/>
        <v>113.29454748504605</v>
      </c>
      <c r="E636" s="2">
        <v>7522.12</v>
      </c>
      <c r="F636" s="1196">
        <f t="shared" si="19"/>
        <v>107.14324375909821</v>
      </c>
    </row>
    <row r="637" spans="2:6">
      <c r="B637" s="189">
        <v>41571</v>
      </c>
      <c r="C637" s="2">
        <v>45063.49</v>
      </c>
      <c r="D637" s="1196">
        <f t="shared" si="18"/>
        <v>113.14252242589311</v>
      </c>
      <c r="E637" s="2">
        <v>7592.3</v>
      </c>
      <c r="F637" s="1196">
        <f t="shared" si="19"/>
        <v>108.14287057268446</v>
      </c>
    </row>
    <row r="638" spans="2:6">
      <c r="B638" s="189">
        <v>41570</v>
      </c>
      <c r="C638" s="2">
        <v>45035.78</v>
      </c>
      <c r="D638" s="1196">
        <f t="shared" si="18"/>
        <v>113.07294993391743</v>
      </c>
      <c r="E638" s="2">
        <v>7544.05</v>
      </c>
      <c r="F638" s="1196">
        <f t="shared" si="19"/>
        <v>107.4556093336486</v>
      </c>
    </row>
    <row r="639" spans="2:6">
      <c r="B639" s="189">
        <v>41569</v>
      </c>
      <c r="C639" s="2">
        <v>45357.81</v>
      </c>
      <c r="D639" s="1196">
        <f t="shared" si="18"/>
        <v>113.88148221796402</v>
      </c>
      <c r="E639" s="2">
        <v>7544.05</v>
      </c>
      <c r="F639" s="1196">
        <f t="shared" si="19"/>
        <v>107.4556093336486</v>
      </c>
    </row>
    <row r="640" spans="2:6">
      <c r="B640" s="189">
        <v>41568</v>
      </c>
      <c r="C640" s="2">
        <v>44926.71</v>
      </c>
      <c r="D640" s="1196">
        <f t="shared" si="18"/>
        <v>112.7991039685696</v>
      </c>
      <c r="E640" s="2">
        <v>7605.46</v>
      </c>
      <c r="F640" s="1196">
        <f t="shared" si="19"/>
        <v>108.3303184049272</v>
      </c>
    </row>
    <row r="641" spans="2:6">
      <c r="B641" s="189">
        <v>41565</v>
      </c>
      <c r="C641" s="2">
        <v>44689.29</v>
      </c>
      <c r="D641" s="1196">
        <f t="shared" si="18"/>
        <v>112.20300504959206</v>
      </c>
      <c r="E641" s="2">
        <v>7571.25</v>
      </c>
      <c r="F641" s="1196">
        <f t="shared" si="19"/>
        <v>107.84303950363359</v>
      </c>
    </row>
    <row r="642" spans="2:6">
      <c r="B642" s="189">
        <v>41564</v>
      </c>
      <c r="C642" s="2">
        <v>44514.12</v>
      </c>
      <c r="D642" s="1196">
        <f t="shared" si="18"/>
        <v>111.7631994408089</v>
      </c>
      <c r="E642" s="2">
        <v>7483.53</v>
      </c>
      <c r="F642" s="1196">
        <f t="shared" si="19"/>
        <v>106.59357720543198</v>
      </c>
    </row>
    <row r="643" spans="2:6">
      <c r="B643" s="189">
        <v>41563</v>
      </c>
      <c r="C643" s="2">
        <v>44418.01</v>
      </c>
      <c r="D643" s="1196">
        <f t="shared" si="18"/>
        <v>111.52189261281239</v>
      </c>
      <c r="E643" s="2">
        <v>7631.78</v>
      </c>
      <c r="F643" s="1196">
        <f t="shared" si="19"/>
        <v>108.70521406941268</v>
      </c>
    </row>
    <row r="644" spans="2:6">
      <c r="B644" s="189">
        <v>41562</v>
      </c>
      <c r="C644" s="2">
        <v>44297.17</v>
      </c>
      <c r="D644" s="1196">
        <f t="shared" si="18"/>
        <v>111.21849528584227</v>
      </c>
      <c r="E644" s="2">
        <v>7631.78</v>
      </c>
      <c r="F644" s="1196">
        <f t="shared" si="19"/>
        <v>108.70521406941268</v>
      </c>
    </row>
    <row r="645" spans="2:6">
      <c r="B645" s="189">
        <v>41561</v>
      </c>
      <c r="C645" s="2">
        <v>43723.16</v>
      </c>
      <c r="D645" s="1196">
        <f t="shared" si="18"/>
        <v>109.77730776801604</v>
      </c>
      <c r="E645" s="2">
        <v>7631.78</v>
      </c>
      <c r="F645" s="1196">
        <f t="shared" si="19"/>
        <v>108.70521406941268</v>
      </c>
    </row>
    <row r="646" spans="2:6">
      <c r="B646" s="189">
        <v>41558</v>
      </c>
      <c r="C646" s="2">
        <v>43620.57</v>
      </c>
      <c r="D646" s="1196">
        <f t="shared" si="18"/>
        <v>109.51973137134388</v>
      </c>
      <c r="E646" s="2">
        <v>7456.33</v>
      </c>
      <c r="F646" s="1196">
        <f t="shared" si="19"/>
        <v>106.20614703544702</v>
      </c>
    </row>
    <row r="647" spans="2:6">
      <c r="B647" s="189">
        <v>41557</v>
      </c>
      <c r="C647" s="2">
        <v>43321.36</v>
      </c>
      <c r="D647" s="1196">
        <f t="shared" si="18"/>
        <v>108.76849408068902</v>
      </c>
      <c r="E647" s="2">
        <v>7537.91</v>
      </c>
      <c r="F647" s="1196">
        <f t="shared" si="19"/>
        <v>107.36815267027697</v>
      </c>
    </row>
    <row r="648" spans="2:6">
      <c r="B648" s="189">
        <v>41556</v>
      </c>
      <c r="C648" s="2">
        <v>42779.87</v>
      </c>
      <c r="D648" s="1196">
        <f t="shared" si="18"/>
        <v>107.40895569454992</v>
      </c>
      <c r="E648" s="2">
        <v>7547.86</v>
      </c>
      <c r="F648" s="1196">
        <f t="shared" si="19"/>
        <v>107.509878044959</v>
      </c>
    </row>
    <row r="649" spans="2:6">
      <c r="B649" s="189">
        <v>41555</v>
      </c>
      <c r="C649" s="2">
        <v>43253.61</v>
      </c>
      <c r="D649" s="1196">
        <f t="shared" si="18"/>
        <v>108.59839172300758</v>
      </c>
      <c r="E649" s="2">
        <v>7737.04</v>
      </c>
      <c r="F649" s="1196">
        <f t="shared" si="19"/>
        <v>110.20451185222957</v>
      </c>
    </row>
    <row r="650" spans="2:6">
      <c r="B650" s="189">
        <v>41554</v>
      </c>
      <c r="C650" s="2">
        <v>43725.7</v>
      </c>
      <c r="D650" s="1196">
        <f t="shared" ref="D650:D713" si="20">C650/$C$757*100</f>
        <v>109.78368503721913</v>
      </c>
      <c r="E650" s="2">
        <v>7763.36</v>
      </c>
      <c r="F650" s="1196">
        <f t="shared" ref="F650:F713" si="21">E650/$E$757*100</f>
        <v>110.57940751671505</v>
      </c>
    </row>
    <row r="651" spans="2:6">
      <c r="B651" s="189">
        <v>41551</v>
      </c>
      <c r="C651" s="2">
        <v>43925.68</v>
      </c>
      <c r="D651" s="1196">
        <f t="shared" si="20"/>
        <v>110.28578200384847</v>
      </c>
      <c r="E651" s="2">
        <v>7608.97</v>
      </c>
      <c r="F651" s="1196">
        <f t="shared" si="21"/>
        <v>108.38031398936276</v>
      </c>
    </row>
    <row r="652" spans="2:6">
      <c r="B652" s="189">
        <v>41550</v>
      </c>
      <c r="C652" s="2">
        <v>44006.86</v>
      </c>
      <c r="D652" s="1196">
        <f t="shared" si="20"/>
        <v>110.48960354475739</v>
      </c>
      <c r="E652" s="2">
        <v>7526.51</v>
      </c>
      <c r="F652" s="1196">
        <f t="shared" si="21"/>
        <v>107.20577384903326</v>
      </c>
    </row>
    <row r="653" spans="2:6">
      <c r="B653" s="189">
        <v>41549</v>
      </c>
      <c r="C653" s="2">
        <v>43967.839999999997</v>
      </c>
      <c r="D653" s="1196">
        <f t="shared" si="20"/>
        <v>110.39163462967649</v>
      </c>
      <c r="E653" s="2">
        <v>7500.19</v>
      </c>
      <c r="F653" s="1196">
        <f t="shared" si="21"/>
        <v>106.8308781845478</v>
      </c>
    </row>
    <row r="654" spans="2:6">
      <c r="B654" s="189">
        <v>41548</v>
      </c>
      <c r="C654" s="2">
        <v>43946.53</v>
      </c>
      <c r="D654" s="1196">
        <f t="shared" si="20"/>
        <v>110.33813084750392</v>
      </c>
      <c r="E654" s="2">
        <v>7434.4</v>
      </c>
      <c r="F654" s="1196">
        <f t="shared" si="21"/>
        <v>105.89378146089661</v>
      </c>
    </row>
    <row r="655" spans="2:6">
      <c r="B655" s="189">
        <v>41547</v>
      </c>
      <c r="C655" s="2">
        <v>44031.83</v>
      </c>
      <c r="D655" s="1196">
        <f t="shared" si="20"/>
        <v>110.55229662034863</v>
      </c>
      <c r="E655" s="2">
        <v>7389.66</v>
      </c>
      <c r="F655" s="1196">
        <f t="shared" si="21"/>
        <v>105.25651580629631</v>
      </c>
    </row>
    <row r="656" spans="2:6">
      <c r="B656" s="189">
        <v>41544</v>
      </c>
      <c r="C656" s="2">
        <v>44358.74</v>
      </c>
      <c r="D656" s="1196">
        <f t="shared" si="20"/>
        <v>111.37308129562007</v>
      </c>
      <c r="E656" s="2">
        <v>7386.16</v>
      </c>
      <c r="F656" s="1196">
        <f t="shared" si="21"/>
        <v>105.20666265942324</v>
      </c>
    </row>
    <row r="657" spans="2:6">
      <c r="B657" s="189">
        <v>41543</v>
      </c>
      <c r="C657" s="2">
        <v>44350.31</v>
      </c>
      <c r="D657" s="1196">
        <f t="shared" si="20"/>
        <v>111.35191579192627</v>
      </c>
      <c r="E657" s="2">
        <v>7346.68</v>
      </c>
      <c r="F657" s="1196">
        <f t="shared" si="21"/>
        <v>104.64431916269503</v>
      </c>
    </row>
    <row r="658" spans="2:6">
      <c r="B658" s="189">
        <v>41542</v>
      </c>
      <c r="C658" s="2">
        <v>44453.88</v>
      </c>
      <c r="D658" s="1196">
        <f t="shared" si="20"/>
        <v>111.61195270978706</v>
      </c>
      <c r="E658" s="2">
        <v>7324.75</v>
      </c>
      <c r="F658" s="1196">
        <f t="shared" si="21"/>
        <v>104.33195358814464</v>
      </c>
    </row>
    <row r="659" spans="2:6">
      <c r="B659" s="189">
        <v>41540</v>
      </c>
      <c r="C659" s="2">
        <v>44017.73</v>
      </c>
      <c r="D659" s="1196">
        <f t="shared" si="20"/>
        <v>110.51689524406363</v>
      </c>
      <c r="E659" s="2">
        <v>7106.32</v>
      </c>
      <c r="F659" s="1196">
        <f t="shared" si="21"/>
        <v>101.22068991057769</v>
      </c>
    </row>
    <row r="660" spans="2:6">
      <c r="B660" s="189">
        <v>41537</v>
      </c>
      <c r="C660" s="2">
        <v>44094.31</v>
      </c>
      <c r="D660" s="1196">
        <f t="shared" si="20"/>
        <v>110.70916739980154</v>
      </c>
      <c r="E660" s="2">
        <v>6930</v>
      </c>
      <c r="F660" s="1196">
        <f t="shared" si="21"/>
        <v>98.709230808675017</v>
      </c>
    </row>
    <row r="661" spans="2:6">
      <c r="B661" s="189">
        <v>41536</v>
      </c>
      <c r="C661" s="2">
        <v>44302.94</v>
      </c>
      <c r="D661" s="1196">
        <f t="shared" si="20"/>
        <v>111.23298223202414</v>
      </c>
      <c r="E661" s="2">
        <v>7105.45</v>
      </c>
      <c r="F661" s="1196">
        <f t="shared" si="21"/>
        <v>101.20829784264068</v>
      </c>
    </row>
    <row r="662" spans="2:6">
      <c r="B662" s="189">
        <v>41535</v>
      </c>
      <c r="C662" s="2">
        <v>43371.44</v>
      </c>
      <c r="D662" s="1196">
        <f t="shared" si="20"/>
        <v>108.89423173489843</v>
      </c>
      <c r="E662" s="2">
        <v>7193.17</v>
      </c>
      <c r="F662" s="1196">
        <f t="shared" si="21"/>
        <v>102.45776014084227</v>
      </c>
    </row>
    <row r="663" spans="2:6">
      <c r="B663" s="189">
        <v>41534</v>
      </c>
      <c r="C663" s="2">
        <v>43762.87</v>
      </c>
      <c r="D663" s="1196">
        <f t="shared" si="20"/>
        <v>109.87700909087259</v>
      </c>
      <c r="E663" s="2">
        <v>7306.33</v>
      </c>
      <c r="F663" s="1196">
        <f t="shared" si="21"/>
        <v>104.06958359802981</v>
      </c>
    </row>
    <row r="664" spans="2:6">
      <c r="B664" s="189">
        <v>41533</v>
      </c>
      <c r="C664" s="2">
        <v>43594.92</v>
      </c>
      <c r="D664" s="1196">
        <f t="shared" si="20"/>
        <v>109.45533099533607</v>
      </c>
      <c r="E664" s="2">
        <v>7386.16</v>
      </c>
      <c r="F664" s="1196">
        <f t="shared" si="21"/>
        <v>105.20666265942324</v>
      </c>
    </row>
    <row r="665" spans="2:6">
      <c r="B665" s="189">
        <v>41530</v>
      </c>
      <c r="C665" s="2">
        <v>43602.64</v>
      </c>
      <c r="D665" s="1196">
        <f t="shared" si="20"/>
        <v>109.47471387653607</v>
      </c>
      <c r="E665" s="2">
        <v>7560.72</v>
      </c>
      <c r="F665" s="1196">
        <f t="shared" si="21"/>
        <v>107.6930527503269</v>
      </c>
    </row>
    <row r="666" spans="2:6">
      <c r="B666" s="189">
        <v>41529</v>
      </c>
      <c r="C666" s="2">
        <v>43752.3</v>
      </c>
      <c r="D666" s="1196">
        <f t="shared" si="20"/>
        <v>109.85047061233837</v>
      </c>
      <c r="E666" s="2">
        <v>7622.13</v>
      </c>
      <c r="F666" s="1196">
        <f t="shared" si="21"/>
        <v>108.5677618216055</v>
      </c>
    </row>
    <row r="667" spans="2:6">
      <c r="B667" s="189">
        <v>41528</v>
      </c>
      <c r="C667" s="2">
        <v>43419.32</v>
      </c>
      <c r="D667" s="1196">
        <f t="shared" si="20"/>
        <v>109.01444577011301</v>
      </c>
      <c r="E667" s="2">
        <v>7684.41</v>
      </c>
      <c r="F667" s="1196">
        <f t="shared" si="21"/>
        <v>109.45486296082112</v>
      </c>
    </row>
    <row r="668" spans="2:6">
      <c r="B668" s="189">
        <v>41527</v>
      </c>
      <c r="C668" s="2">
        <v>43545.83</v>
      </c>
      <c r="D668" s="1196">
        <f t="shared" si="20"/>
        <v>109.33207896967434</v>
      </c>
      <c r="E668" s="2">
        <v>7796.69</v>
      </c>
      <c r="F668" s="1196">
        <f t="shared" si="21"/>
        <v>111.05415191250916</v>
      </c>
    </row>
    <row r="669" spans="2:6">
      <c r="B669" s="189">
        <v>41526</v>
      </c>
      <c r="C669" s="2">
        <v>42769.62</v>
      </c>
      <c r="D669" s="1196">
        <f t="shared" si="20"/>
        <v>107.38322065150585</v>
      </c>
      <c r="E669" s="2">
        <v>7761.6</v>
      </c>
      <c r="F669" s="1196">
        <f t="shared" si="21"/>
        <v>110.55433850571603</v>
      </c>
    </row>
    <row r="670" spans="2:6">
      <c r="B670" s="189">
        <v>41523</v>
      </c>
      <c r="C670" s="2">
        <v>42837.71</v>
      </c>
      <c r="D670" s="1196">
        <f t="shared" si="20"/>
        <v>107.55417665939558</v>
      </c>
      <c r="E670" s="2">
        <v>7684.41</v>
      </c>
      <c r="F670" s="1196">
        <f t="shared" si="21"/>
        <v>109.45486296082112</v>
      </c>
    </row>
    <row r="671" spans="2:6">
      <c r="B671" s="189">
        <v>41522</v>
      </c>
      <c r="C671" s="2">
        <v>42797.21</v>
      </c>
      <c r="D671" s="1196">
        <f t="shared" si="20"/>
        <v>107.45249185517271</v>
      </c>
      <c r="E671" s="2">
        <v>7544.93</v>
      </c>
      <c r="F671" s="1196">
        <f t="shared" si="21"/>
        <v>107.46814383914811</v>
      </c>
    </row>
    <row r="672" spans="2:6">
      <c r="B672" s="189">
        <v>41521</v>
      </c>
      <c r="C672" s="2">
        <v>42522.8</v>
      </c>
      <c r="D672" s="1196">
        <f t="shared" si="20"/>
        <v>106.76352081500498</v>
      </c>
      <c r="E672" s="2">
        <v>7689.67</v>
      </c>
      <c r="F672" s="1196">
        <f t="shared" si="21"/>
        <v>109.52978511869323</v>
      </c>
    </row>
    <row r="673" spans="2:6">
      <c r="B673" s="189">
        <v>41520</v>
      </c>
      <c r="C673" s="2">
        <v>42892.25</v>
      </c>
      <c r="D673" s="1196">
        <f t="shared" si="20"/>
        <v>107.69111219574903</v>
      </c>
      <c r="E673" s="2">
        <v>7719.5</v>
      </c>
      <c r="F673" s="1196">
        <f t="shared" si="21"/>
        <v>109.95467636761427</v>
      </c>
    </row>
    <row r="674" spans="2:6">
      <c r="B674" s="189">
        <v>41519</v>
      </c>
      <c r="C674" s="2">
        <v>42725.7</v>
      </c>
      <c r="D674" s="1196">
        <f t="shared" si="20"/>
        <v>107.27294913048193</v>
      </c>
      <c r="E674" s="2">
        <v>7684.41</v>
      </c>
      <c r="F674" s="1196">
        <f t="shared" si="21"/>
        <v>109.45486296082112</v>
      </c>
    </row>
    <row r="675" spans="2:6">
      <c r="B675" s="189">
        <v>41516</v>
      </c>
      <c r="C675" s="2">
        <v>42228.34</v>
      </c>
      <c r="D675" s="1196">
        <f t="shared" si="20"/>
        <v>106.02420951990712</v>
      </c>
      <c r="E675" s="2">
        <v>7719.5</v>
      </c>
      <c r="F675" s="1196">
        <f t="shared" si="21"/>
        <v>109.95467636761427</v>
      </c>
    </row>
    <row r="676" spans="2:6">
      <c r="B676" s="189">
        <v>41515</v>
      </c>
      <c r="C676" s="2">
        <v>42429.36</v>
      </c>
      <c r="D676" s="1196">
        <f t="shared" si="20"/>
        <v>106.52891765187944</v>
      </c>
      <c r="E676" s="2">
        <v>7696.69</v>
      </c>
      <c r="F676" s="1196">
        <f t="shared" si="21"/>
        <v>109.62977628756434</v>
      </c>
    </row>
    <row r="677" spans="2:6">
      <c r="B677" s="189">
        <v>41514</v>
      </c>
      <c r="C677" s="2">
        <v>42311</v>
      </c>
      <c r="D677" s="1196">
        <f t="shared" si="20"/>
        <v>106.23174694995802</v>
      </c>
      <c r="E677" s="2">
        <v>7701.95</v>
      </c>
      <c r="F677" s="1196">
        <f t="shared" si="21"/>
        <v>109.70469844543645</v>
      </c>
    </row>
    <row r="678" spans="2:6">
      <c r="B678" s="189">
        <v>41513</v>
      </c>
      <c r="C678" s="2">
        <v>43082.83</v>
      </c>
      <c r="D678" s="1196">
        <f t="shared" si="20"/>
        <v>108.169608244855</v>
      </c>
      <c r="E678" s="2">
        <v>7786.17</v>
      </c>
      <c r="F678" s="1196">
        <f t="shared" si="21"/>
        <v>110.90430759676495</v>
      </c>
    </row>
    <row r="679" spans="2:6">
      <c r="B679" s="189">
        <v>41512</v>
      </c>
      <c r="C679" s="2">
        <v>43290.55</v>
      </c>
      <c r="D679" s="1196">
        <f t="shared" si="20"/>
        <v>108.69113830740247</v>
      </c>
      <c r="E679" s="2">
        <v>7800.2</v>
      </c>
      <c r="F679" s="1196">
        <f t="shared" si="21"/>
        <v>111.10414749694471</v>
      </c>
    </row>
    <row r="680" spans="2:6">
      <c r="B680" s="189">
        <v>41509</v>
      </c>
      <c r="C680" s="2">
        <v>42994.92</v>
      </c>
      <c r="D680" s="1196">
        <f t="shared" si="20"/>
        <v>107.94888945129372</v>
      </c>
      <c r="E680" s="2">
        <v>7817.75</v>
      </c>
      <c r="F680" s="1196">
        <f t="shared" si="21"/>
        <v>111.35412541912252</v>
      </c>
    </row>
    <row r="681" spans="2:6">
      <c r="B681" s="189">
        <v>41508</v>
      </c>
      <c r="C681" s="2">
        <v>43014.44</v>
      </c>
      <c r="D681" s="1196">
        <f t="shared" si="20"/>
        <v>107.99789901619326</v>
      </c>
      <c r="E681" s="2">
        <v>7763.36</v>
      </c>
      <c r="F681" s="1196">
        <f t="shared" si="21"/>
        <v>110.57940751671505</v>
      </c>
    </row>
    <row r="682" spans="2:6">
      <c r="B682" s="189">
        <v>41507</v>
      </c>
      <c r="C682" s="2">
        <v>42762.37</v>
      </c>
      <c r="D682" s="1196">
        <f t="shared" si="20"/>
        <v>107.36501781618199</v>
      </c>
      <c r="E682" s="2">
        <v>7672.13</v>
      </c>
      <c r="F682" s="1196">
        <f t="shared" si="21"/>
        <v>109.27994963407789</v>
      </c>
    </row>
    <row r="683" spans="2:6">
      <c r="B683" s="189">
        <v>41506</v>
      </c>
      <c r="C683" s="2">
        <v>42765.22</v>
      </c>
      <c r="D683" s="1196">
        <f t="shared" si="20"/>
        <v>107.37217341351619</v>
      </c>
      <c r="E683" s="2">
        <v>7552.83</v>
      </c>
      <c r="F683" s="1196">
        <f t="shared" si="21"/>
        <v>107.58066951351874</v>
      </c>
    </row>
    <row r="684" spans="2:6">
      <c r="B684" s="189">
        <v>41505</v>
      </c>
      <c r="C684" s="2">
        <v>42920.22</v>
      </c>
      <c r="D684" s="1196">
        <f t="shared" si="20"/>
        <v>107.76133747906047</v>
      </c>
      <c r="E684" s="2">
        <v>7720.37</v>
      </c>
      <c r="F684" s="1196">
        <f t="shared" si="21"/>
        <v>109.96706843555128</v>
      </c>
    </row>
    <row r="685" spans="2:6">
      <c r="B685" s="189">
        <v>41502</v>
      </c>
      <c r="C685" s="2">
        <v>43042.11</v>
      </c>
      <c r="D685" s="1196">
        <f t="shared" si="20"/>
        <v>108.06737107873265</v>
      </c>
      <c r="E685" s="2">
        <v>7694.94</v>
      </c>
      <c r="F685" s="1196">
        <f t="shared" si="21"/>
        <v>109.60484971412781</v>
      </c>
    </row>
    <row r="686" spans="2:6">
      <c r="B686" s="189">
        <v>41501</v>
      </c>
      <c r="C686" s="2">
        <v>42509.7</v>
      </c>
      <c r="D686" s="1196">
        <f t="shared" si="20"/>
        <v>106.7306301746267</v>
      </c>
      <c r="E686" s="2">
        <v>7806.34</v>
      </c>
      <c r="F686" s="1196">
        <f t="shared" si="21"/>
        <v>111.19160416031633</v>
      </c>
    </row>
    <row r="687" spans="2:6">
      <c r="B687" s="189">
        <v>41500</v>
      </c>
      <c r="C687" s="2">
        <v>43019.21</v>
      </c>
      <c r="D687" s="1196">
        <f t="shared" si="20"/>
        <v>108.00987522646838</v>
      </c>
      <c r="E687" s="2">
        <v>7824.76</v>
      </c>
      <c r="F687" s="1196">
        <f t="shared" si="21"/>
        <v>111.45397415043116</v>
      </c>
    </row>
    <row r="688" spans="2:6">
      <c r="B688" s="189">
        <v>41499</v>
      </c>
      <c r="C688" s="2">
        <v>42685.35</v>
      </c>
      <c r="D688" s="1196">
        <f t="shared" si="20"/>
        <v>107.17164093664509</v>
      </c>
      <c r="E688" s="2">
        <v>7890.55</v>
      </c>
      <c r="F688" s="1196">
        <f t="shared" si="21"/>
        <v>112.39107087408236</v>
      </c>
    </row>
    <row r="689" spans="2:6">
      <c r="B689" s="189">
        <v>41498</v>
      </c>
      <c r="C689" s="2">
        <v>42497.3</v>
      </c>
      <c r="D689" s="1196">
        <f t="shared" si="20"/>
        <v>106.69949704938317</v>
      </c>
      <c r="E689" s="2">
        <v>7894.94</v>
      </c>
      <c r="F689" s="1196">
        <f t="shared" si="21"/>
        <v>112.45360096401743</v>
      </c>
    </row>
    <row r="690" spans="2:6">
      <c r="B690" s="189">
        <v>41494</v>
      </c>
      <c r="C690" s="2">
        <v>41747.160000000003</v>
      </c>
      <c r="D690" s="1196">
        <f t="shared" si="20"/>
        <v>104.81609361630333</v>
      </c>
      <c r="E690" s="2">
        <v>8114.24</v>
      </c>
      <c r="F690" s="1196">
        <f t="shared" si="21"/>
        <v>115.57725670952136</v>
      </c>
    </row>
    <row r="691" spans="2:6">
      <c r="B691" s="189">
        <v>41493</v>
      </c>
      <c r="C691" s="2">
        <v>41600.03</v>
      </c>
      <c r="D691" s="1196">
        <f t="shared" si="20"/>
        <v>104.44668904234507</v>
      </c>
      <c r="E691" s="2">
        <v>8216.8799999999992</v>
      </c>
      <c r="F691" s="1196">
        <f t="shared" si="21"/>
        <v>117.03923585096472</v>
      </c>
    </row>
    <row r="692" spans="2:6">
      <c r="B692" s="189">
        <v>41492</v>
      </c>
      <c r="C692" s="2">
        <v>41573.71</v>
      </c>
      <c r="D692" s="1196">
        <f t="shared" si="20"/>
        <v>104.38060647327974</v>
      </c>
      <c r="E692" s="2">
        <v>8044.07</v>
      </c>
      <c r="F692" s="1196">
        <f t="shared" si="21"/>
        <v>114.57777233349762</v>
      </c>
    </row>
    <row r="693" spans="2:6">
      <c r="B693" s="189">
        <v>41491</v>
      </c>
      <c r="C693" s="2">
        <v>41803.93</v>
      </c>
      <c r="D693" s="1196">
        <f t="shared" si="20"/>
        <v>104.95862809372878</v>
      </c>
      <c r="E693" s="2">
        <v>8443.2000000000007</v>
      </c>
      <c r="F693" s="1196">
        <f t="shared" si="21"/>
        <v>120.26288276533982</v>
      </c>
    </row>
    <row r="694" spans="2:6">
      <c r="B694" s="189">
        <v>41488</v>
      </c>
      <c r="C694" s="2">
        <v>41700.19</v>
      </c>
      <c r="D694" s="1196">
        <f t="shared" si="20"/>
        <v>104.69816435076386</v>
      </c>
      <c r="E694" s="2">
        <v>8508.99</v>
      </c>
      <c r="F694" s="1196">
        <f t="shared" si="21"/>
        <v>121.19997948899099</v>
      </c>
    </row>
    <row r="695" spans="2:6">
      <c r="B695" s="189">
        <v>41487</v>
      </c>
      <c r="C695" s="2">
        <v>41909.39</v>
      </c>
      <c r="D695" s="1196">
        <f t="shared" si="20"/>
        <v>105.2234103024533</v>
      </c>
      <c r="E695" s="2">
        <v>8421.27</v>
      </c>
      <c r="F695" s="1196">
        <f t="shared" si="21"/>
        <v>119.95051719078941</v>
      </c>
    </row>
    <row r="696" spans="2:6">
      <c r="B696" s="189">
        <v>41486</v>
      </c>
      <c r="C696" s="2">
        <v>41292.839999999997</v>
      </c>
      <c r="D696" s="1196">
        <f t="shared" si="20"/>
        <v>103.67541607915445</v>
      </c>
      <c r="E696" s="2">
        <v>8482.68</v>
      </c>
      <c r="F696" s="1196">
        <f t="shared" si="21"/>
        <v>120.82522626206801</v>
      </c>
    </row>
    <row r="697" spans="2:6">
      <c r="B697" s="189">
        <v>41485</v>
      </c>
      <c r="C697" s="2">
        <v>40991.300000000003</v>
      </c>
      <c r="D697" s="1196">
        <f t="shared" si="20"/>
        <v>102.91832877383693</v>
      </c>
      <c r="E697" s="2">
        <v>8201.9699999999993</v>
      </c>
      <c r="F697" s="1196">
        <f t="shared" si="21"/>
        <v>116.82686144528545</v>
      </c>
    </row>
    <row r="698" spans="2:6">
      <c r="B698" s="189">
        <v>41484</v>
      </c>
      <c r="C698" s="2">
        <v>40819.980000000003</v>
      </c>
      <c r="D698" s="1196">
        <f t="shared" si="20"/>
        <v>102.48818949829473</v>
      </c>
      <c r="E698" s="2">
        <v>8144.95</v>
      </c>
      <c r="F698" s="1196">
        <f t="shared" si="21"/>
        <v>116.01468246394194</v>
      </c>
    </row>
    <row r="699" spans="2:6">
      <c r="B699" s="189">
        <v>41481</v>
      </c>
      <c r="C699" s="2">
        <v>40497.81</v>
      </c>
      <c r="D699" s="1196">
        <f t="shared" si="20"/>
        <v>101.67930571122116</v>
      </c>
      <c r="E699" s="2">
        <v>8140.56</v>
      </c>
      <c r="F699" s="1196">
        <f t="shared" si="21"/>
        <v>115.95215237400687</v>
      </c>
    </row>
    <row r="700" spans="2:6">
      <c r="B700" s="189">
        <v>41480</v>
      </c>
      <c r="C700" s="2">
        <v>40739.949999999997</v>
      </c>
      <c r="D700" s="1196">
        <f t="shared" si="20"/>
        <v>102.28725530367852</v>
      </c>
      <c r="E700" s="2">
        <v>8194.07</v>
      </c>
      <c r="F700" s="1196">
        <f t="shared" si="21"/>
        <v>116.71433577091481</v>
      </c>
    </row>
    <row r="701" spans="2:6">
      <c r="B701" s="189">
        <v>41479</v>
      </c>
      <c r="C701" s="2">
        <v>40886.61</v>
      </c>
      <c r="D701" s="1196">
        <f t="shared" si="20"/>
        <v>102.65547983176062</v>
      </c>
      <c r="E701" s="2">
        <v>8123.02</v>
      </c>
      <c r="F701" s="1196">
        <f t="shared" si="21"/>
        <v>115.70231688939154</v>
      </c>
    </row>
    <row r="702" spans="2:6">
      <c r="B702" s="189">
        <v>41478</v>
      </c>
      <c r="C702" s="2">
        <v>41176.57</v>
      </c>
      <c r="D702" s="1196">
        <f t="shared" si="20"/>
        <v>103.38349281527812</v>
      </c>
      <c r="E702" s="2">
        <v>8114.24</v>
      </c>
      <c r="F702" s="1196">
        <f t="shared" si="21"/>
        <v>115.57725670952136</v>
      </c>
    </row>
    <row r="703" spans="2:6">
      <c r="B703" s="189">
        <v>41477</v>
      </c>
      <c r="C703" s="2">
        <v>40894.050000000003</v>
      </c>
      <c r="D703" s="1196">
        <f t="shared" si="20"/>
        <v>102.67415970690675</v>
      </c>
      <c r="E703" s="2">
        <v>8099.33</v>
      </c>
      <c r="F703" s="1196">
        <f t="shared" si="21"/>
        <v>115.36488230384212</v>
      </c>
    </row>
    <row r="704" spans="2:6">
      <c r="B704" s="189">
        <v>41474</v>
      </c>
      <c r="C704" s="2">
        <v>40549.4</v>
      </c>
      <c r="D704" s="1196">
        <f t="shared" si="20"/>
        <v>101.80883457664976</v>
      </c>
      <c r="E704" s="2">
        <v>8091.44</v>
      </c>
      <c r="F704" s="1196">
        <f t="shared" si="21"/>
        <v>115.25249906703397</v>
      </c>
    </row>
    <row r="705" spans="2:6">
      <c r="B705" s="189">
        <v>41473</v>
      </c>
      <c r="C705" s="2">
        <v>41147.599999999999</v>
      </c>
      <c r="D705" s="1196">
        <f t="shared" si="20"/>
        <v>103.31075679605995</v>
      </c>
      <c r="E705" s="2">
        <v>8026.52</v>
      </c>
      <c r="F705" s="1196">
        <f t="shared" si="21"/>
        <v>114.32779441131981</v>
      </c>
    </row>
    <row r="706" spans="2:6">
      <c r="B706" s="189">
        <v>41472</v>
      </c>
      <c r="C706" s="2">
        <v>40946.04</v>
      </c>
      <c r="D706" s="1196">
        <f t="shared" si="20"/>
        <v>102.80469286669801</v>
      </c>
      <c r="E706" s="2">
        <v>8008.98</v>
      </c>
      <c r="F706" s="1196">
        <f t="shared" si="21"/>
        <v>114.07795892670447</v>
      </c>
    </row>
    <row r="707" spans="2:6">
      <c r="B707" s="189">
        <v>41471</v>
      </c>
      <c r="C707" s="2">
        <v>40385.339999999997</v>
      </c>
      <c r="D707" s="1196">
        <f t="shared" si="20"/>
        <v>101.39692324379044</v>
      </c>
      <c r="E707" s="2">
        <v>7982.66</v>
      </c>
      <c r="F707" s="1196">
        <f t="shared" si="21"/>
        <v>113.70306326221899</v>
      </c>
    </row>
    <row r="708" spans="2:6">
      <c r="B708" s="189">
        <v>41470</v>
      </c>
      <c r="C708" s="2">
        <v>40740.14</v>
      </c>
      <c r="D708" s="1196">
        <f t="shared" si="20"/>
        <v>102.28773234350082</v>
      </c>
      <c r="E708" s="2">
        <v>8070.38</v>
      </c>
      <c r="F708" s="1196">
        <f t="shared" si="21"/>
        <v>114.9525255604206</v>
      </c>
    </row>
    <row r="709" spans="2:6">
      <c r="B709" s="189">
        <v>41467</v>
      </c>
      <c r="C709" s="2">
        <v>40734.89</v>
      </c>
      <c r="D709" s="1196">
        <f t="shared" si="20"/>
        <v>102.27455097999044</v>
      </c>
      <c r="E709" s="2">
        <v>8070.38</v>
      </c>
      <c r="F709" s="1196">
        <f t="shared" si="21"/>
        <v>114.9525255604206</v>
      </c>
    </row>
    <row r="710" spans="2:6">
      <c r="B710" s="189">
        <v>41466</v>
      </c>
      <c r="C710" s="2">
        <v>40543</v>
      </c>
      <c r="D710" s="1196">
        <f t="shared" si="20"/>
        <v>101.79276586684665</v>
      </c>
      <c r="E710" s="2">
        <v>8038.8</v>
      </c>
      <c r="F710" s="1196">
        <f t="shared" si="21"/>
        <v>114.50270773806301</v>
      </c>
    </row>
    <row r="711" spans="2:6">
      <c r="B711" s="189">
        <v>41465</v>
      </c>
      <c r="C711" s="2">
        <v>39638.54</v>
      </c>
      <c r="D711" s="1196">
        <f t="shared" si="20"/>
        <v>99.521905668639107</v>
      </c>
      <c r="E711" s="2">
        <v>8038.8</v>
      </c>
      <c r="F711" s="1196">
        <f t="shared" si="21"/>
        <v>114.50270773806301</v>
      </c>
    </row>
    <row r="712" spans="2:6">
      <c r="B712" s="189">
        <v>41464</v>
      </c>
      <c r="C712" s="2">
        <v>39769.08</v>
      </c>
      <c r="D712" s="1196">
        <f t="shared" si="20"/>
        <v>99.849657133904586</v>
      </c>
      <c r="E712" s="2">
        <v>8100.21</v>
      </c>
      <c r="F712" s="1196">
        <f t="shared" si="21"/>
        <v>115.37741680934164</v>
      </c>
    </row>
    <row r="713" spans="2:6">
      <c r="B713" s="189">
        <v>41463</v>
      </c>
      <c r="C713" s="2">
        <v>39795.17</v>
      </c>
      <c r="D713" s="1196">
        <f t="shared" si="20"/>
        <v>99.915162233711357</v>
      </c>
      <c r="E713" s="2">
        <v>8092.31</v>
      </c>
      <c r="F713" s="1196">
        <f t="shared" si="21"/>
        <v>115.26489113497101</v>
      </c>
    </row>
    <row r="714" spans="2:6">
      <c r="B714" s="189">
        <v>41460</v>
      </c>
      <c r="C714" s="2">
        <v>39169.83</v>
      </c>
      <c r="D714" s="1196">
        <f t="shared" ref="D714:D757" si="22">C714/$C$757*100</f>
        <v>98.345098641792305</v>
      </c>
      <c r="E714" s="2">
        <v>8061.61</v>
      </c>
      <c r="F714" s="1196">
        <f t="shared" ref="F714:F757" si="23">E714/$E$757*100</f>
        <v>114.82760781811292</v>
      </c>
    </row>
    <row r="715" spans="2:6">
      <c r="B715" s="189">
        <v>41459</v>
      </c>
      <c r="C715" s="2">
        <v>40030.19</v>
      </c>
      <c r="D715" s="1196">
        <f t="shared" si="22"/>
        <v>100.50523538651272</v>
      </c>
      <c r="E715" s="2">
        <v>7981.79</v>
      </c>
      <c r="F715" s="1196">
        <f t="shared" si="23"/>
        <v>113.69067119428198</v>
      </c>
    </row>
    <row r="716" spans="2:6">
      <c r="B716" s="189">
        <v>41458</v>
      </c>
      <c r="C716" s="2">
        <v>39343.31</v>
      </c>
      <c r="D716" s="1196">
        <f t="shared" si="22"/>
        <v>98.780661106893078</v>
      </c>
      <c r="E716" s="2">
        <v>7952.84</v>
      </c>
      <c r="F716" s="1196">
        <f t="shared" si="23"/>
        <v>113.27831445086048</v>
      </c>
    </row>
    <row r="717" spans="2:6">
      <c r="B717" s="189">
        <v>41457</v>
      </c>
      <c r="C717" s="2">
        <v>39844.699999999997</v>
      </c>
      <c r="D717" s="1196">
        <f t="shared" si="22"/>
        <v>100.03951898317204</v>
      </c>
      <c r="E717" s="2">
        <v>8070.38</v>
      </c>
      <c r="F717" s="1196">
        <f t="shared" si="23"/>
        <v>114.9525255604206</v>
      </c>
    </row>
    <row r="718" spans="2:6">
      <c r="B718" s="189">
        <v>41456</v>
      </c>
      <c r="C718" s="2">
        <v>39932.83</v>
      </c>
      <c r="D718" s="1196">
        <f t="shared" si="22"/>
        <v>100.2607901386328</v>
      </c>
      <c r="E718" s="2">
        <v>7890.55</v>
      </c>
      <c r="F718" s="1196">
        <f t="shared" si="23"/>
        <v>112.39107087408236</v>
      </c>
    </row>
    <row r="719" spans="2:6">
      <c r="B719" s="189">
        <v>41453</v>
      </c>
      <c r="C719" s="2">
        <v>39578.1</v>
      </c>
      <c r="D719" s="1196">
        <f t="shared" si="22"/>
        <v>99.3701567904359</v>
      </c>
      <c r="E719" s="2">
        <v>7386.16</v>
      </c>
      <c r="F719" s="1196">
        <f t="shared" si="23"/>
        <v>105.20666265942324</v>
      </c>
    </row>
    <row r="720" spans="2:6">
      <c r="B720" s="189">
        <v>41452</v>
      </c>
      <c r="C720" s="2">
        <v>39083.31</v>
      </c>
      <c r="D720" s="1196">
        <f t="shared" si="22"/>
        <v>98.127869771141391</v>
      </c>
      <c r="E720" s="2">
        <v>7194.05</v>
      </c>
      <c r="F720" s="1196">
        <f t="shared" si="23"/>
        <v>102.47029464634178</v>
      </c>
    </row>
    <row r="721" spans="2:6">
      <c r="B721" s="189">
        <v>41451</v>
      </c>
      <c r="C721" s="2">
        <v>38946.07</v>
      </c>
      <c r="D721" s="1196">
        <f t="shared" si="22"/>
        <v>97.783296375300793</v>
      </c>
      <c r="E721" s="2">
        <v>7017.73</v>
      </c>
      <c r="F721" s="1196">
        <f t="shared" si="23"/>
        <v>99.958835544439097</v>
      </c>
    </row>
    <row r="722" spans="2:6">
      <c r="B722" s="189">
        <v>41450</v>
      </c>
      <c r="C722" s="2">
        <v>38484.19</v>
      </c>
      <c r="D722" s="1196">
        <f t="shared" si="22"/>
        <v>96.623637674697022</v>
      </c>
      <c r="E722" s="2">
        <v>6973.86</v>
      </c>
      <c r="F722" s="1196">
        <f t="shared" si="23"/>
        <v>99.333961957775813</v>
      </c>
    </row>
    <row r="723" spans="2:6">
      <c r="B723" s="189">
        <v>41449</v>
      </c>
      <c r="C723" s="2">
        <v>38075.22</v>
      </c>
      <c r="D723" s="1196">
        <f t="shared" si="22"/>
        <v>95.596822010918686</v>
      </c>
      <c r="E723" s="2">
        <v>6979.13</v>
      </c>
      <c r="F723" s="1196">
        <f t="shared" si="23"/>
        <v>99.409026553210396</v>
      </c>
    </row>
    <row r="724" spans="2:6">
      <c r="B724" s="189">
        <v>41446</v>
      </c>
      <c r="C724" s="2">
        <v>39016.620000000003</v>
      </c>
      <c r="D724" s="1196">
        <f t="shared" si="22"/>
        <v>97.960428793521103</v>
      </c>
      <c r="E724" s="2">
        <v>7259.84</v>
      </c>
      <c r="F724" s="1196">
        <f t="shared" si="23"/>
        <v>103.40739136999298</v>
      </c>
    </row>
    <row r="725" spans="2:6">
      <c r="B725" s="189">
        <v>41445</v>
      </c>
      <c r="C725" s="2">
        <v>39536.080000000002</v>
      </c>
      <c r="D725" s="1196">
        <f t="shared" si="22"/>
        <v>99.264655667634813</v>
      </c>
      <c r="E725" s="2">
        <v>7453.12</v>
      </c>
      <c r="F725" s="1196">
        <f t="shared" si="23"/>
        <v>106.16042457788627</v>
      </c>
    </row>
    <row r="726" spans="2:6">
      <c r="B726" s="189">
        <v>41444</v>
      </c>
      <c r="C726" s="2">
        <v>40784.31</v>
      </c>
      <c r="D726" s="1196">
        <f t="shared" si="22"/>
        <v>102.3986315485014</v>
      </c>
      <c r="E726" s="2">
        <v>7280.64</v>
      </c>
      <c r="F726" s="1196">
        <f t="shared" si="23"/>
        <v>103.70366149998149</v>
      </c>
    </row>
    <row r="727" spans="2:6">
      <c r="B727" s="189">
        <v>41443</v>
      </c>
      <c r="C727" s="2">
        <v>41003.25</v>
      </c>
      <c r="D727" s="1196">
        <f t="shared" si="22"/>
        <v>102.94833206792245</v>
      </c>
      <c r="E727" s="2">
        <v>7349.98</v>
      </c>
      <c r="F727" s="1196">
        <f t="shared" si="23"/>
        <v>104.6913235583182</v>
      </c>
    </row>
    <row r="728" spans="2:6">
      <c r="B728" s="189">
        <v>41439</v>
      </c>
      <c r="C728" s="2">
        <v>40323.620000000003</v>
      </c>
      <c r="D728" s="1196">
        <f t="shared" si="22"/>
        <v>101.24196062362662</v>
      </c>
      <c r="E728" s="2">
        <v>7453.12</v>
      </c>
      <c r="F728" s="1196">
        <f t="shared" si="23"/>
        <v>106.16042457788627</v>
      </c>
    </row>
    <row r="729" spans="2:6">
      <c r="B729" s="189">
        <v>41438</v>
      </c>
      <c r="C729" s="2">
        <v>39811.78</v>
      </c>
      <c r="D729" s="1196">
        <f t="shared" si="22"/>
        <v>99.956865557122256</v>
      </c>
      <c r="E729" s="2">
        <v>7627.34</v>
      </c>
      <c r="F729" s="1196">
        <f t="shared" si="23"/>
        <v>108.64197179166513</v>
      </c>
    </row>
    <row r="730" spans="2:6">
      <c r="B730" s="189">
        <v>41437</v>
      </c>
      <c r="C730" s="2">
        <v>39766.53</v>
      </c>
      <c r="D730" s="1196">
        <f t="shared" si="22"/>
        <v>99.843254757342393</v>
      </c>
      <c r="E730" s="2">
        <v>7760.81</v>
      </c>
      <c r="F730" s="1196">
        <f t="shared" si="23"/>
        <v>110.54308593827898</v>
      </c>
    </row>
    <row r="731" spans="2:6">
      <c r="B731" s="189">
        <v>41436</v>
      </c>
      <c r="C731" s="2">
        <v>39621</v>
      </c>
      <c r="D731" s="1196">
        <f t="shared" si="22"/>
        <v>99.477867360834935</v>
      </c>
      <c r="E731" s="2">
        <v>7792.02</v>
      </c>
      <c r="F731" s="1196">
        <f t="shared" si="23"/>
        <v>110.98763357082424</v>
      </c>
    </row>
    <row r="732" spans="2:6">
      <c r="B732" s="189">
        <v>41435</v>
      </c>
      <c r="C732" s="2">
        <v>40933.879999999997</v>
      </c>
      <c r="D732" s="1196">
        <f t="shared" si="22"/>
        <v>102.77416231807209</v>
      </c>
      <c r="E732" s="2">
        <v>7974.03</v>
      </c>
      <c r="F732" s="1196">
        <f t="shared" si="23"/>
        <v>113.58013964578626</v>
      </c>
    </row>
    <row r="733" spans="2:6">
      <c r="B733" s="189">
        <v>41432</v>
      </c>
      <c r="C733" s="2">
        <v>40813.33</v>
      </c>
      <c r="D733" s="1196">
        <f t="shared" si="22"/>
        <v>102.47149310451491</v>
      </c>
      <c r="E733" s="2">
        <v>7864.82</v>
      </c>
      <c r="F733" s="1196">
        <f t="shared" si="23"/>
        <v>112.02457902578405</v>
      </c>
    </row>
    <row r="734" spans="2:6">
      <c r="B734" s="189">
        <v>41431</v>
      </c>
      <c r="C734" s="2">
        <v>40341.24</v>
      </c>
      <c r="D734" s="1196">
        <f t="shared" si="22"/>
        <v>101.28619979030333</v>
      </c>
      <c r="E734" s="2">
        <v>7913.36</v>
      </c>
      <c r="F734" s="1196">
        <f t="shared" si="23"/>
        <v>112.71597095413226</v>
      </c>
    </row>
    <row r="735" spans="2:6">
      <c r="B735" s="189">
        <v>41430</v>
      </c>
      <c r="C735" s="2">
        <v>40793.81</v>
      </c>
      <c r="D735" s="1196">
        <f t="shared" si="22"/>
        <v>102.42248353961538</v>
      </c>
      <c r="E735" s="2">
        <v>7887.36</v>
      </c>
      <c r="F735" s="1196">
        <f t="shared" si="23"/>
        <v>112.34563329164659</v>
      </c>
    </row>
    <row r="736" spans="2:6">
      <c r="B736" s="189">
        <v>41429</v>
      </c>
      <c r="C736" s="2">
        <v>40897.68</v>
      </c>
      <c r="D736" s="1196">
        <f t="shared" si="22"/>
        <v>102.68327367824818</v>
      </c>
      <c r="E736" s="2">
        <v>7714.01</v>
      </c>
      <c r="F736" s="1196">
        <f t="shared" si="23"/>
        <v>109.8764781458048</v>
      </c>
    </row>
    <row r="737" spans="2:6">
      <c r="B737" s="189">
        <v>41428</v>
      </c>
      <c r="C737" s="2">
        <v>40957.61</v>
      </c>
      <c r="D737" s="1196">
        <f t="shared" si="22"/>
        <v>102.83374208113895</v>
      </c>
      <c r="E737" s="2">
        <v>7453.99</v>
      </c>
      <c r="F737" s="1196">
        <f t="shared" si="23"/>
        <v>106.1728166458233</v>
      </c>
    </row>
    <row r="738" spans="2:6">
      <c r="B738" s="189">
        <v>41425</v>
      </c>
      <c r="C738" s="2">
        <v>42016.45</v>
      </c>
      <c r="D738" s="1196">
        <f t="shared" si="22"/>
        <v>105.49220968862858</v>
      </c>
      <c r="E738" s="2">
        <v>7453.99</v>
      </c>
      <c r="F738" s="1196">
        <f t="shared" si="23"/>
        <v>106.1728166458233</v>
      </c>
    </row>
    <row r="739" spans="2:6">
      <c r="B739" s="189">
        <v>41424</v>
      </c>
      <c r="C739" s="2">
        <v>41941.879999999997</v>
      </c>
      <c r="D739" s="1196">
        <f t="shared" si="22"/>
        <v>105.30498411206317</v>
      </c>
      <c r="E739" s="2">
        <v>7453.99</v>
      </c>
      <c r="F739" s="1196">
        <f t="shared" si="23"/>
        <v>106.1728166458233</v>
      </c>
    </row>
    <row r="740" spans="2:6">
      <c r="B740" s="189">
        <v>41423</v>
      </c>
      <c r="C740" s="2">
        <v>41233.07</v>
      </c>
      <c r="D740" s="1196">
        <f t="shared" si="22"/>
        <v>103.5253493940088</v>
      </c>
      <c r="E740" s="2">
        <v>7471.32</v>
      </c>
      <c r="F740" s="1196">
        <f t="shared" si="23"/>
        <v>106.41966094162623</v>
      </c>
    </row>
    <row r="741" spans="2:6">
      <c r="B741" s="189">
        <v>41422</v>
      </c>
      <c r="C741" s="2">
        <v>41971.17</v>
      </c>
      <c r="D741" s="1196">
        <f t="shared" si="22"/>
        <v>105.37852356677151</v>
      </c>
      <c r="E741" s="2">
        <v>7453.12</v>
      </c>
      <c r="F741" s="1196">
        <f t="shared" si="23"/>
        <v>106.16042457788627</v>
      </c>
    </row>
    <row r="742" spans="2:6">
      <c r="B742" s="189">
        <v>41421</v>
      </c>
      <c r="C742" s="2">
        <v>41432.46</v>
      </c>
      <c r="D742" s="1196">
        <f t="shared" si="22"/>
        <v>104.02596502645312</v>
      </c>
      <c r="E742" s="2">
        <v>7445.32</v>
      </c>
      <c r="F742" s="1196">
        <f t="shared" si="23"/>
        <v>106.04932327914058</v>
      </c>
    </row>
    <row r="743" spans="2:6">
      <c r="B743" s="189">
        <v>41418</v>
      </c>
      <c r="C743" s="2">
        <v>40998.58</v>
      </c>
      <c r="D743" s="1196">
        <f t="shared" si="22"/>
        <v>102.93660693123799</v>
      </c>
      <c r="E743" s="2">
        <v>7471.32</v>
      </c>
      <c r="F743" s="1196">
        <f t="shared" si="23"/>
        <v>106.41966094162623</v>
      </c>
    </row>
    <row r="744" spans="2:6">
      <c r="B744" s="189">
        <v>41417</v>
      </c>
      <c r="C744" s="2">
        <v>40855.89</v>
      </c>
      <c r="D744" s="1196">
        <f t="shared" si="22"/>
        <v>102.57835002470563</v>
      </c>
      <c r="E744" s="2">
        <v>7453.99</v>
      </c>
      <c r="F744" s="1196">
        <f t="shared" si="23"/>
        <v>106.1728166458233</v>
      </c>
    </row>
    <row r="745" spans="2:6">
      <c r="B745" s="189">
        <v>41416</v>
      </c>
      <c r="C745" s="2">
        <v>41836.019999999997</v>
      </c>
      <c r="D745" s="1196">
        <f t="shared" si="22"/>
        <v>105.03919760897598</v>
      </c>
      <c r="E745" s="2">
        <v>7453.99</v>
      </c>
      <c r="F745" s="1196">
        <f t="shared" si="23"/>
        <v>106.1728166458233</v>
      </c>
    </row>
    <row r="746" spans="2:6">
      <c r="B746" s="189">
        <v>41415</v>
      </c>
      <c r="C746" s="2">
        <v>41815.360000000001</v>
      </c>
      <c r="D746" s="1196">
        <f t="shared" si="22"/>
        <v>104.98732580514279</v>
      </c>
      <c r="E746" s="2">
        <v>7254.64</v>
      </c>
      <c r="F746" s="1196">
        <f t="shared" si="23"/>
        <v>103.33332383749585</v>
      </c>
    </row>
    <row r="747" spans="2:6">
      <c r="B747" s="189">
        <v>41414</v>
      </c>
      <c r="C747" s="2">
        <v>41079.550000000003</v>
      </c>
      <c r="D747" s="1196">
        <f t="shared" si="22"/>
        <v>103.13990121760651</v>
      </c>
      <c r="E747" s="2">
        <v>7258.97</v>
      </c>
      <c r="F747" s="1196">
        <f t="shared" si="23"/>
        <v>103.39499930205595</v>
      </c>
    </row>
    <row r="748" spans="2:6">
      <c r="B748" s="189">
        <v>41411</v>
      </c>
      <c r="C748" s="2">
        <v>41413.440000000002</v>
      </c>
      <c r="D748" s="1196">
        <f t="shared" si="22"/>
        <v>103.97821082950698</v>
      </c>
      <c r="E748" s="2">
        <v>7193.96</v>
      </c>
      <c r="F748" s="1196">
        <f t="shared" si="23"/>
        <v>102.46901270827932</v>
      </c>
    </row>
    <row r="749" spans="2:6">
      <c r="B749" s="189">
        <v>41410</v>
      </c>
      <c r="C749" s="2">
        <v>41427.760000000002</v>
      </c>
      <c r="D749" s="1196">
        <f t="shared" si="22"/>
        <v>104.01416456769145</v>
      </c>
      <c r="E749" s="2">
        <v>7193.96</v>
      </c>
      <c r="F749" s="1196">
        <f t="shared" si="23"/>
        <v>102.46901270827932</v>
      </c>
    </row>
    <row r="750" spans="2:6">
      <c r="B750" s="189">
        <v>41409</v>
      </c>
      <c r="C750" s="2">
        <v>41014.980000000003</v>
      </c>
      <c r="D750" s="1196">
        <f t="shared" si="22"/>
        <v>102.97778300010847</v>
      </c>
      <c r="E750" s="2">
        <v>7150.63</v>
      </c>
      <c r="F750" s="1196">
        <f t="shared" si="23"/>
        <v>101.85183074999074</v>
      </c>
    </row>
    <row r="751" spans="2:6">
      <c r="B751" s="189">
        <v>41408</v>
      </c>
      <c r="C751" s="2">
        <v>40711.32</v>
      </c>
      <c r="D751" s="1196">
        <f t="shared" si="22"/>
        <v>102.21537293466865</v>
      </c>
      <c r="E751" s="2">
        <v>7150.63</v>
      </c>
      <c r="F751" s="1196">
        <f t="shared" si="23"/>
        <v>101.85183074999074</v>
      </c>
    </row>
    <row r="752" spans="2:6">
      <c r="B752" s="189">
        <v>41407</v>
      </c>
      <c r="C752" s="2">
        <v>40407.269999999997</v>
      </c>
      <c r="D752" s="1196">
        <f t="shared" si="22"/>
        <v>101.45198368222519</v>
      </c>
      <c r="E752" s="2">
        <v>7160.16</v>
      </c>
      <c r="F752" s="1196">
        <f t="shared" si="23"/>
        <v>101.98757374704799</v>
      </c>
    </row>
    <row r="753" spans="2:6">
      <c r="B753" s="189">
        <v>41404</v>
      </c>
      <c r="C753" s="2">
        <v>40232.050000000003</v>
      </c>
      <c r="D753" s="1196">
        <f t="shared" si="22"/>
        <v>101.01205253664671</v>
      </c>
      <c r="E753" s="2">
        <v>7149.76</v>
      </c>
      <c r="F753" s="1196">
        <f t="shared" si="23"/>
        <v>101.83943868205372</v>
      </c>
    </row>
    <row r="754" spans="2:6">
      <c r="B754" s="189">
        <v>41403</v>
      </c>
      <c r="C754" s="2">
        <v>40337.81</v>
      </c>
      <c r="D754" s="1196">
        <f t="shared" si="22"/>
        <v>101.27758796614323</v>
      </c>
      <c r="E754" s="2">
        <v>7128.96</v>
      </c>
      <c r="F754" s="1196">
        <f t="shared" si="23"/>
        <v>101.5431685520652</v>
      </c>
    </row>
    <row r="755" spans="2:6">
      <c r="B755" s="189">
        <v>41402</v>
      </c>
      <c r="C755" s="2">
        <v>40456.620000000003</v>
      </c>
      <c r="D755" s="1196">
        <f t="shared" si="22"/>
        <v>101.57588849922267</v>
      </c>
      <c r="E755" s="2">
        <v>7107.29</v>
      </c>
      <c r="F755" s="1196">
        <f t="shared" si="23"/>
        <v>101.23450635413967</v>
      </c>
    </row>
    <row r="756" spans="2:6">
      <c r="B756" s="189">
        <v>41401</v>
      </c>
      <c r="C756" s="2">
        <v>39821.480000000003</v>
      </c>
      <c r="D756" s="1196">
        <f t="shared" si="22"/>
        <v>99.981219695417607</v>
      </c>
      <c r="E756" s="2">
        <v>7020.62</v>
      </c>
      <c r="F756" s="1196">
        <f t="shared" si="23"/>
        <v>100</v>
      </c>
    </row>
    <row r="757" spans="2:6">
      <c r="B757" s="189">
        <v>41400</v>
      </c>
      <c r="C757" s="2">
        <v>39828.959999999999</v>
      </c>
      <c r="D757" s="1196">
        <f t="shared" si="22"/>
        <v>100</v>
      </c>
      <c r="E757" s="2">
        <v>7020.62</v>
      </c>
      <c r="F757" s="1196">
        <f t="shared" si="23"/>
        <v>100</v>
      </c>
    </row>
    <row r="758" spans="2:6">
      <c r="B758" s="189"/>
      <c r="C758" s="2"/>
      <c r="D758" s="1196"/>
      <c r="E758" s="2"/>
      <c r="F758" s="1196"/>
    </row>
    <row r="759" spans="2:6">
      <c r="B759" s="189">
        <v>41397</v>
      </c>
      <c r="C759" s="2">
        <v>39592.28</v>
      </c>
      <c r="D759" s="1196">
        <f t="shared" ref="D759:D778" si="24">C759/$C$2759*100</f>
        <v>305.77557411676571</v>
      </c>
      <c r="E759" s="2">
        <v>7107.29</v>
      </c>
      <c r="F759" s="1196">
        <f t="shared" ref="F759:F778" si="25">E759/$E$2759*100</f>
        <v>1010.103464938461</v>
      </c>
    </row>
    <row r="760" spans="2:6">
      <c r="B760" s="189">
        <v>41396</v>
      </c>
      <c r="C760" s="2">
        <v>39082.85</v>
      </c>
      <c r="D760" s="1196">
        <f t="shared" si="24"/>
        <v>301.84118966802208</v>
      </c>
      <c r="E760" s="2">
        <v>7020.62</v>
      </c>
      <c r="F760" s="1196">
        <f t="shared" si="25"/>
        <v>997.78573661919779</v>
      </c>
    </row>
    <row r="761" spans="2:6">
      <c r="B761" s="189">
        <v>41394</v>
      </c>
      <c r="C761" s="2">
        <v>38735</v>
      </c>
      <c r="D761" s="1196">
        <f t="shared" si="24"/>
        <v>299.1547054984689</v>
      </c>
      <c r="E761" s="2">
        <v>6947.81</v>
      </c>
      <c r="F761" s="1196">
        <f t="shared" si="25"/>
        <v>987.4378215514057</v>
      </c>
    </row>
    <row r="762" spans="2:6">
      <c r="B762" s="189">
        <v>41393</v>
      </c>
      <c r="C762" s="2">
        <v>39025.64</v>
      </c>
      <c r="D762" s="1196">
        <f t="shared" si="24"/>
        <v>301.39935048636295</v>
      </c>
      <c r="E762" s="2">
        <v>6951.28</v>
      </c>
      <c r="F762" s="1196">
        <f t="shared" si="25"/>
        <v>987.93098547511443</v>
      </c>
    </row>
    <row r="763" spans="2:6">
      <c r="B763" s="189">
        <v>41390</v>
      </c>
      <c r="C763" s="2">
        <v>39082.42</v>
      </c>
      <c r="D763" s="1196">
        <f t="shared" si="24"/>
        <v>301.83786873028191</v>
      </c>
      <c r="E763" s="2">
        <v>7005.88</v>
      </c>
      <c r="F763" s="1196">
        <f t="shared" si="25"/>
        <v>995.69085585969697</v>
      </c>
    </row>
    <row r="764" spans="2:6">
      <c r="B764" s="189">
        <v>41389</v>
      </c>
      <c r="C764" s="2">
        <v>39128.870000000003</v>
      </c>
      <c r="D764" s="1196">
        <f t="shared" si="24"/>
        <v>302.19660723732733</v>
      </c>
      <c r="E764" s="2">
        <v>6959.94</v>
      </c>
      <c r="F764" s="1196">
        <f t="shared" si="25"/>
        <v>989.16176345186318</v>
      </c>
    </row>
    <row r="765" spans="2:6">
      <c r="B765" s="189">
        <v>41388</v>
      </c>
      <c r="C765" s="2">
        <v>38783.07</v>
      </c>
      <c r="D765" s="1196">
        <f t="shared" si="24"/>
        <v>299.52595544537252</v>
      </c>
      <c r="E765" s="2">
        <v>7020.62</v>
      </c>
      <c r="F765" s="1196">
        <f t="shared" si="25"/>
        <v>997.78573661919779</v>
      </c>
    </row>
    <row r="766" spans="2:6">
      <c r="B766" s="189">
        <v>41387</v>
      </c>
      <c r="C766" s="2">
        <v>38742.43</v>
      </c>
      <c r="D766" s="1196">
        <f t="shared" si="24"/>
        <v>299.2120882133741</v>
      </c>
      <c r="E766" s="2">
        <v>6990.28</v>
      </c>
      <c r="F766" s="1196">
        <f t="shared" si="25"/>
        <v>993.47375003553054</v>
      </c>
    </row>
    <row r="767" spans="2:6">
      <c r="B767" s="189">
        <v>41386</v>
      </c>
      <c r="C767" s="2">
        <v>38169.129999999997</v>
      </c>
      <c r="D767" s="1196">
        <f t="shared" si="24"/>
        <v>294.78442866355425</v>
      </c>
      <c r="E767" s="2">
        <v>6965.14</v>
      </c>
      <c r="F767" s="1196">
        <f t="shared" si="25"/>
        <v>989.90079872658544</v>
      </c>
    </row>
    <row r="768" spans="2:6">
      <c r="B768" s="189">
        <v>41383</v>
      </c>
      <c r="C768" s="2">
        <v>38422.21</v>
      </c>
      <c r="D768" s="1196">
        <f t="shared" si="24"/>
        <v>296.73899360140251</v>
      </c>
      <c r="E768" s="2">
        <v>6933.94</v>
      </c>
      <c r="F768" s="1196">
        <f t="shared" si="25"/>
        <v>985.46658707825236</v>
      </c>
    </row>
    <row r="769" spans="2:6">
      <c r="B769" s="189">
        <v>41382</v>
      </c>
      <c r="C769" s="2">
        <v>37852.620000000003</v>
      </c>
      <c r="D769" s="1196">
        <f t="shared" si="24"/>
        <v>292.33998679348019</v>
      </c>
      <c r="E769" s="2">
        <v>6891.47</v>
      </c>
      <c r="F769" s="1196">
        <f t="shared" si="25"/>
        <v>979.43065859412752</v>
      </c>
    </row>
    <row r="770" spans="2:6">
      <c r="B770" s="189">
        <v>41381</v>
      </c>
      <c r="C770" s="2">
        <v>37801.67</v>
      </c>
      <c r="D770" s="1196">
        <f t="shared" si="24"/>
        <v>291.94649428682862</v>
      </c>
      <c r="E770" s="2">
        <v>6933.94</v>
      </c>
      <c r="F770" s="1196">
        <f t="shared" si="25"/>
        <v>985.46658707825236</v>
      </c>
    </row>
    <row r="771" spans="2:6">
      <c r="B771" s="189">
        <v>41380</v>
      </c>
      <c r="C771" s="2">
        <v>38429.660000000003</v>
      </c>
      <c r="D771" s="1196">
        <f t="shared" si="24"/>
        <v>296.79653077852828</v>
      </c>
      <c r="E771" s="2">
        <v>6899.27</v>
      </c>
      <c r="F771" s="1196">
        <f t="shared" si="25"/>
        <v>980.5392115062109</v>
      </c>
    </row>
    <row r="772" spans="2:6">
      <c r="B772" s="189">
        <v>41379</v>
      </c>
      <c r="C772" s="2">
        <v>38003.699999999997</v>
      </c>
      <c r="D772" s="1196">
        <f t="shared" si="24"/>
        <v>293.50679440692301</v>
      </c>
      <c r="E772" s="2">
        <v>6933.94</v>
      </c>
      <c r="F772" s="1196">
        <f t="shared" si="25"/>
        <v>985.46658707825236</v>
      </c>
    </row>
    <row r="773" spans="2:6">
      <c r="B773" s="189">
        <v>41376</v>
      </c>
      <c r="C773" s="2">
        <v>38630.54</v>
      </c>
      <c r="D773" s="1196">
        <f t="shared" si="24"/>
        <v>298.34794932094547</v>
      </c>
      <c r="E773" s="2">
        <v>6864.6</v>
      </c>
      <c r="F773" s="1196">
        <f t="shared" si="25"/>
        <v>975.61183593416911</v>
      </c>
    </row>
    <row r="774" spans="2:6">
      <c r="B774" s="189">
        <v>41375</v>
      </c>
      <c r="C774" s="2">
        <v>39109.980000000003</v>
      </c>
      <c r="D774" s="1196">
        <f t="shared" si="24"/>
        <v>302.0507176700919</v>
      </c>
      <c r="E774" s="2">
        <v>6717.26</v>
      </c>
      <c r="F774" s="1196">
        <f t="shared" si="25"/>
        <v>954.67155566925328</v>
      </c>
    </row>
    <row r="775" spans="2:6">
      <c r="B775" s="189">
        <v>41374</v>
      </c>
      <c r="C775" s="2">
        <v>39070.57</v>
      </c>
      <c r="D775" s="1196">
        <f t="shared" si="24"/>
        <v>301.74634986465247</v>
      </c>
      <c r="E775" s="2">
        <v>6717.26</v>
      </c>
      <c r="F775" s="1196">
        <f t="shared" si="25"/>
        <v>954.67155566925328</v>
      </c>
    </row>
    <row r="776" spans="2:6">
      <c r="B776" s="189">
        <v>41373</v>
      </c>
      <c r="C776" s="2">
        <v>38540.81</v>
      </c>
      <c r="D776" s="1196">
        <f t="shared" si="24"/>
        <v>297.65495456879938</v>
      </c>
      <c r="E776" s="2">
        <v>6738.92</v>
      </c>
      <c r="F776" s="1196">
        <f t="shared" si="25"/>
        <v>957.74992183280756</v>
      </c>
    </row>
    <row r="777" spans="2:6">
      <c r="B777" s="189">
        <v>41372</v>
      </c>
      <c r="C777" s="2">
        <v>38582.949999999997</v>
      </c>
      <c r="D777" s="1196">
        <f t="shared" si="24"/>
        <v>297.98040646733318</v>
      </c>
      <c r="E777" s="2">
        <v>6770.13</v>
      </c>
      <c r="F777" s="1196">
        <f t="shared" si="25"/>
        <v>962.18555470282251</v>
      </c>
    </row>
    <row r="778" spans="2:6">
      <c r="B778" s="189">
        <v>41369</v>
      </c>
      <c r="C778" s="2">
        <v>38500.21</v>
      </c>
      <c r="D778" s="1196">
        <f t="shared" si="24"/>
        <v>297.34139626124193</v>
      </c>
      <c r="E778" s="2">
        <v>6803.93</v>
      </c>
      <c r="F778" s="1196">
        <f t="shared" si="25"/>
        <v>966.98928398851649</v>
      </c>
    </row>
    <row r="779" spans="2:6">
      <c r="B779" s="189">
        <v>41368</v>
      </c>
      <c r="C779" s="2">
        <v>39064.879999999997</v>
      </c>
      <c r="D779" s="1196">
        <f t="shared" ref="D779:D842" si="26">C779/$C$2759*100</f>
        <v>301.70240536292829</v>
      </c>
      <c r="E779" s="2">
        <v>6847.27</v>
      </c>
      <c r="F779" s="1196">
        <f t="shared" ref="F779:F842" si="27">E779/$E$2759*100</f>
        <v>973.14885875898915</v>
      </c>
    </row>
    <row r="780" spans="2:6">
      <c r="B780" s="189">
        <v>41367</v>
      </c>
      <c r="C780" s="2">
        <v>39414.339999999997</v>
      </c>
      <c r="D780" s="1196">
        <f t="shared" si="26"/>
        <v>304.40132374122942</v>
      </c>
      <c r="E780" s="2">
        <v>6808.26</v>
      </c>
      <c r="F780" s="1196">
        <f t="shared" si="27"/>
        <v>967.60467297689092</v>
      </c>
    </row>
    <row r="781" spans="2:6">
      <c r="B781" s="189">
        <v>41366</v>
      </c>
      <c r="C781" s="2">
        <v>40041.32</v>
      </c>
      <c r="D781" s="1196">
        <f t="shared" si="26"/>
        <v>309.24355989079521</v>
      </c>
      <c r="E781" s="2">
        <v>6757.99</v>
      </c>
      <c r="F781" s="1196">
        <f t="shared" si="27"/>
        <v>960.4601915806827</v>
      </c>
    </row>
    <row r="782" spans="2:6">
      <c r="B782" s="189">
        <v>41361</v>
      </c>
      <c r="C782" s="2">
        <v>39860.839999999997</v>
      </c>
      <c r="D782" s="1196">
        <f t="shared" si="26"/>
        <v>307.84969281325903</v>
      </c>
      <c r="E782" s="2">
        <v>6757.13</v>
      </c>
      <c r="F782" s="1196">
        <f t="shared" si="27"/>
        <v>960.33796651601722</v>
      </c>
    </row>
    <row r="783" spans="2:6">
      <c r="B783" s="189">
        <v>41360</v>
      </c>
      <c r="C783" s="2">
        <v>39882.44</v>
      </c>
      <c r="D783" s="1196">
        <f t="shared" si="26"/>
        <v>308.01651201136843</v>
      </c>
      <c r="E783" s="2">
        <v>6782.26</v>
      </c>
      <c r="F783" s="1196">
        <f t="shared" si="27"/>
        <v>963.90949660328022</v>
      </c>
    </row>
    <row r="784" spans="2:6">
      <c r="B784" s="189">
        <v>41359</v>
      </c>
      <c r="C784" s="2">
        <v>40253.25</v>
      </c>
      <c r="D784" s="1196">
        <f t="shared" si="26"/>
        <v>310.88031881002303</v>
      </c>
      <c r="E784" s="2">
        <v>6977.28</v>
      </c>
      <c r="F784" s="1196">
        <f t="shared" si="27"/>
        <v>991.62616184872513</v>
      </c>
    </row>
    <row r="785" spans="2:6">
      <c r="B785" s="189">
        <v>41358</v>
      </c>
      <c r="C785" s="2">
        <v>40008.699999999997</v>
      </c>
      <c r="D785" s="1196">
        <f t="shared" si="26"/>
        <v>308.99163200920594</v>
      </c>
      <c r="E785" s="2">
        <v>6920.07</v>
      </c>
      <c r="F785" s="1196">
        <f t="shared" si="27"/>
        <v>983.49535260509936</v>
      </c>
    </row>
    <row r="786" spans="2:6">
      <c r="B786" s="189">
        <v>41355</v>
      </c>
      <c r="C786" s="2">
        <v>40063.379999999997</v>
      </c>
      <c r="D786" s="1196">
        <f t="shared" si="26"/>
        <v>309.41393171997544</v>
      </c>
      <c r="E786" s="2">
        <v>6977.28</v>
      </c>
      <c r="F786" s="1196">
        <f t="shared" si="27"/>
        <v>991.62616184872513</v>
      </c>
    </row>
    <row r="787" spans="2:6">
      <c r="B787" s="189">
        <v>41353</v>
      </c>
      <c r="C787" s="2">
        <v>40318.79</v>
      </c>
      <c r="D787" s="1196">
        <f t="shared" si="26"/>
        <v>311.38649150650866</v>
      </c>
      <c r="E787" s="2">
        <v>7020.62</v>
      </c>
      <c r="F787" s="1196">
        <f t="shared" si="27"/>
        <v>997.78573661919779</v>
      </c>
    </row>
    <row r="788" spans="2:6">
      <c r="B788" s="189">
        <v>41352</v>
      </c>
      <c r="C788" s="2">
        <v>40346.17</v>
      </c>
      <c r="D788" s="1196">
        <f t="shared" si="26"/>
        <v>311.59795028633431</v>
      </c>
      <c r="E788" s="2">
        <v>7020.62</v>
      </c>
      <c r="F788" s="1196">
        <f t="shared" si="27"/>
        <v>997.78573661919779</v>
      </c>
    </row>
    <row r="789" spans="2:6">
      <c r="B789" s="189">
        <v>41351</v>
      </c>
      <c r="C789" s="2">
        <v>40470.65</v>
      </c>
      <c r="D789" s="1196">
        <f t="shared" si="26"/>
        <v>312.5593231465499</v>
      </c>
      <c r="E789" s="2">
        <v>7020.62</v>
      </c>
      <c r="F789" s="1196">
        <f t="shared" si="27"/>
        <v>997.78573661919779</v>
      </c>
    </row>
    <row r="790" spans="2:6">
      <c r="B790" s="189">
        <v>41348</v>
      </c>
      <c r="C790" s="2">
        <v>40757.94</v>
      </c>
      <c r="D790" s="1196">
        <f t="shared" si="26"/>
        <v>314.77809571251493</v>
      </c>
      <c r="E790" s="2">
        <v>7107.29</v>
      </c>
      <c r="F790" s="1196">
        <f t="shared" si="27"/>
        <v>1010.103464938461</v>
      </c>
    </row>
    <row r="791" spans="2:6">
      <c r="B791" s="189">
        <v>41347</v>
      </c>
      <c r="C791" s="2">
        <v>40908.58</v>
      </c>
      <c r="D791" s="1196">
        <f t="shared" si="26"/>
        <v>315.94150515710743</v>
      </c>
      <c r="E791" s="2">
        <v>7107.29</v>
      </c>
      <c r="F791" s="1196">
        <f t="shared" si="27"/>
        <v>1010.103464938461</v>
      </c>
    </row>
    <row r="792" spans="2:6">
      <c r="B792" s="189">
        <v>41346</v>
      </c>
      <c r="C792" s="2">
        <v>40876.1</v>
      </c>
      <c r="D792" s="1196">
        <f t="shared" si="26"/>
        <v>315.69065851106143</v>
      </c>
      <c r="E792" s="2">
        <v>6673.92</v>
      </c>
      <c r="F792" s="1196">
        <f t="shared" si="27"/>
        <v>948.51198089878062</v>
      </c>
    </row>
    <row r="793" spans="2:6">
      <c r="B793" s="189">
        <v>41345</v>
      </c>
      <c r="C793" s="2">
        <v>40952.46</v>
      </c>
      <c r="D793" s="1196">
        <f t="shared" si="26"/>
        <v>316.28039526882219</v>
      </c>
      <c r="E793" s="2">
        <v>6673.92</v>
      </c>
      <c r="F793" s="1196">
        <f t="shared" si="27"/>
        <v>948.51198089878062</v>
      </c>
    </row>
    <row r="794" spans="2:6">
      <c r="B794" s="189">
        <v>41344</v>
      </c>
      <c r="C794" s="2">
        <v>40984.22</v>
      </c>
      <c r="D794" s="1196">
        <f t="shared" si="26"/>
        <v>316.52568127493117</v>
      </c>
      <c r="E794" s="2">
        <v>6500.57</v>
      </c>
      <c r="F794" s="1196">
        <f t="shared" si="27"/>
        <v>923.87510303857198</v>
      </c>
    </row>
    <row r="795" spans="2:6">
      <c r="B795" s="189">
        <v>41341</v>
      </c>
      <c r="C795" s="2">
        <v>40732.81</v>
      </c>
      <c r="D795" s="1196">
        <f t="shared" si="26"/>
        <v>314.58401393249227</v>
      </c>
      <c r="E795" s="2">
        <v>6457.23</v>
      </c>
      <c r="F795" s="1196">
        <f t="shared" si="27"/>
        <v>917.71552826809921</v>
      </c>
    </row>
    <row r="796" spans="2:6">
      <c r="B796" s="189">
        <v>41340</v>
      </c>
      <c r="C796" s="2">
        <v>40719.68</v>
      </c>
      <c r="D796" s="1196">
        <f t="shared" si="26"/>
        <v>314.48260948475263</v>
      </c>
      <c r="E796" s="2">
        <v>6500.57</v>
      </c>
      <c r="F796" s="1196">
        <f t="shared" si="27"/>
        <v>923.87510303857198</v>
      </c>
    </row>
    <row r="797" spans="2:6">
      <c r="B797" s="189">
        <v>41339</v>
      </c>
      <c r="C797" s="2">
        <v>40437.25</v>
      </c>
      <c r="D797" s="1196">
        <f t="shared" si="26"/>
        <v>312.30137123836226</v>
      </c>
      <c r="E797" s="2">
        <v>6586.38</v>
      </c>
      <c r="F797" s="1196">
        <f t="shared" si="27"/>
        <v>936.07060629316959</v>
      </c>
    </row>
    <row r="798" spans="2:6">
      <c r="B798" s="189">
        <v>41338</v>
      </c>
      <c r="C798" s="2">
        <v>40546.239999999998</v>
      </c>
      <c r="D798" s="1196">
        <f t="shared" si="26"/>
        <v>313.14311310882249</v>
      </c>
      <c r="E798" s="2">
        <v>6409.56</v>
      </c>
      <c r="F798" s="1196">
        <f t="shared" si="27"/>
        <v>910.94056450925223</v>
      </c>
    </row>
    <row r="799" spans="2:6">
      <c r="B799" s="189">
        <v>41337</v>
      </c>
      <c r="C799" s="2">
        <v>39844.239999999998</v>
      </c>
      <c r="D799" s="1196">
        <f t="shared" si="26"/>
        <v>307.7214891702676</v>
      </c>
      <c r="E799" s="2">
        <v>6097.53</v>
      </c>
      <c r="F799" s="1196">
        <f t="shared" si="27"/>
        <v>866.59418436087651</v>
      </c>
    </row>
    <row r="800" spans="2:6">
      <c r="B800" s="189">
        <v>41334</v>
      </c>
      <c r="C800" s="2">
        <v>40134.97</v>
      </c>
      <c r="D800" s="1196">
        <f t="shared" si="26"/>
        <v>309.96682923815376</v>
      </c>
      <c r="E800" s="2">
        <v>5945.85</v>
      </c>
      <c r="F800" s="1196">
        <f t="shared" si="27"/>
        <v>845.03709388590437</v>
      </c>
    </row>
    <row r="801" spans="2:6">
      <c r="B801" s="189">
        <v>41333</v>
      </c>
      <c r="C801" s="2">
        <v>39709.56</v>
      </c>
      <c r="D801" s="1196">
        <f t="shared" si="26"/>
        <v>306.68134057761148</v>
      </c>
      <c r="E801" s="2">
        <v>5980.52</v>
      </c>
      <c r="F801" s="1196">
        <f t="shared" si="27"/>
        <v>849.96446945794605</v>
      </c>
    </row>
    <row r="802" spans="2:6">
      <c r="B802" s="189">
        <v>41332</v>
      </c>
      <c r="C802" s="2">
        <v>39275.370000000003</v>
      </c>
      <c r="D802" s="1196">
        <f t="shared" si="26"/>
        <v>303.32804300228224</v>
      </c>
      <c r="E802" s="2">
        <v>5978.79</v>
      </c>
      <c r="F802" s="1196">
        <f t="shared" si="27"/>
        <v>849.71859810693275</v>
      </c>
    </row>
    <row r="803" spans="2:6">
      <c r="B803" s="189">
        <v>41331</v>
      </c>
      <c r="C803" s="2">
        <v>39568.28</v>
      </c>
      <c r="D803" s="1196">
        <f t="shared" si="26"/>
        <v>305.59021945219973</v>
      </c>
      <c r="E803" s="2">
        <v>5893.85</v>
      </c>
      <c r="F803" s="1196">
        <f t="shared" si="27"/>
        <v>837.64674113868284</v>
      </c>
    </row>
    <row r="804" spans="2:6">
      <c r="B804" s="189">
        <v>41330</v>
      </c>
      <c r="C804" s="2">
        <v>39787.96</v>
      </c>
      <c r="D804" s="1196">
        <f t="shared" si="26"/>
        <v>307.2868324818603</v>
      </c>
      <c r="E804" s="2">
        <v>5937.19</v>
      </c>
      <c r="F804" s="1196">
        <f t="shared" si="27"/>
        <v>843.80631590915539</v>
      </c>
    </row>
    <row r="805" spans="2:6">
      <c r="B805" s="189">
        <v>41327</v>
      </c>
      <c r="C805" s="2">
        <v>39657.82</v>
      </c>
      <c r="D805" s="1196">
        <f t="shared" si="26"/>
        <v>306.28174681325129</v>
      </c>
      <c r="E805" s="2">
        <v>5980.52</v>
      </c>
      <c r="F805" s="1196">
        <f t="shared" si="27"/>
        <v>849.96446945794605</v>
      </c>
    </row>
    <row r="806" spans="2:6">
      <c r="B806" s="189">
        <v>41326</v>
      </c>
      <c r="C806" s="2">
        <v>39670.089999999997</v>
      </c>
      <c r="D806" s="1196">
        <f t="shared" si="26"/>
        <v>306.37650938551064</v>
      </c>
      <c r="E806" s="2">
        <v>5976.19</v>
      </c>
      <c r="F806" s="1196">
        <f t="shared" si="27"/>
        <v>849.34908046957162</v>
      </c>
    </row>
    <row r="807" spans="2:6">
      <c r="B807" s="189">
        <v>41325</v>
      </c>
      <c r="C807" s="2">
        <v>40428.28</v>
      </c>
      <c r="D807" s="1196">
        <f t="shared" si="26"/>
        <v>312.23209493248072</v>
      </c>
      <c r="E807" s="2">
        <v>5893.85</v>
      </c>
      <c r="F807" s="1196">
        <f t="shared" si="27"/>
        <v>837.64674113868284</v>
      </c>
    </row>
    <row r="808" spans="2:6">
      <c r="B808" s="189">
        <v>41324</v>
      </c>
      <c r="C808" s="2">
        <v>40732.519999999997</v>
      </c>
      <c r="D808" s="1196">
        <f t="shared" si="26"/>
        <v>314.58177423029542</v>
      </c>
      <c r="E808" s="2">
        <v>5947.59</v>
      </c>
      <c r="F808" s="1196">
        <f t="shared" si="27"/>
        <v>845.2843864585999</v>
      </c>
    </row>
    <row r="809" spans="2:6">
      <c r="B809" s="189">
        <v>41323</v>
      </c>
      <c r="C809" s="2">
        <v>40512.76</v>
      </c>
      <c r="D809" s="1196">
        <f t="shared" si="26"/>
        <v>312.884543351753</v>
      </c>
      <c r="E809" s="2">
        <v>5947.59</v>
      </c>
      <c r="F809" s="1196">
        <f t="shared" si="27"/>
        <v>845.2843864585999</v>
      </c>
    </row>
    <row r="810" spans="2:6">
      <c r="B810" s="189">
        <v>41320</v>
      </c>
      <c r="C810" s="2">
        <v>40681.339999999997</v>
      </c>
      <c r="D810" s="1196">
        <f t="shared" si="26"/>
        <v>314.18650540810847</v>
      </c>
      <c r="E810" s="2">
        <v>5962.32</v>
      </c>
      <c r="F810" s="1196">
        <f t="shared" si="27"/>
        <v>847.3778459964185</v>
      </c>
    </row>
    <row r="811" spans="2:6">
      <c r="B811" s="189">
        <v>41319</v>
      </c>
      <c r="C811" s="2">
        <v>40732.86</v>
      </c>
      <c r="D811" s="1196">
        <f t="shared" si="26"/>
        <v>314.58440008804348</v>
      </c>
      <c r="E811" s="2">
        <v>5939.79</v>
      </c>
      <c r="F811" s="1196">
        <f t="shared" si="27"/>
        <v>844.17583354651651</v>
      </c>
    </row>
    <row r="812" spans="2:6">
      <c r="B812" s="189">
        <v>41318</v>
      </c>
      <c r="C812" s="2">
        <v>40808.730000000003</v>
      </c>
      <c r="D812" s="1196">
        <f t="shared" si="26"/>
        <v>315.17035252140266</v>
      </c>
      <c r="E812" s="2">
        <v>5960.59</v>
      </c>
      <c r="F812" s="1196">
        <f t="shared" si="27"/>
        <v>847.13197464540519</v>
      </c>
    </row>
    <row r="813" spans="2:6">
      <c r="B813" s="189">
        <v>41317</v>
      </c>
      <c r="C813" s="2">
        <v>40700.449999999997</v>
      </c>
      <c r="D813" s="1196">
        <f t="shared" si="26"/>
        <v>314.33409405976914</v>
      </c>
      <c r="E813" s="2">
        <v>5963.19</v>
      </c>
      <c r="F813" s="1196">
        <f t="shared" si="27"/>
        <v>847.50149228276609</v>
      </c>
    </row>
    <row r="814" spans="2:6">
      <c r="B814" s="189">
        <v>41316</v>
      </c>
      <c r="C814" s="2">
        <v>40832.67</v>
      </c>
      <c r="D814" s="1196">
        <f t="shared" si="26"/>
        <v>315.35524379930723</v>
      </c>
      <c r="E814" s="2">
        <v>5965.79</v>
      </c>
      <c r="F814" s="1196">
        <f t="shared" si="27"/>
        <v>847.87100992012722</v>
      </c>
    </row>
    <row r="815" spans="2:6">
      <c r="B815" s="189">
        <v>41313</v>
      </c>
      <c r="C815" s="2">
        <v>40892.65</v>
      </c>
      <c r="D815" s="1196">
        <f t="shared" si="26"/>
        <v>315.81847599850175</v>
      </c>
      <c r="E815" s="2">
        <v>5915.52</v>
      </c>
      <c r="F815" s="1196">
        <f t="shared" si="27"/>
        <v>840.72652852391934</v>
      </c>
    </row>
    <row r="816" spans="2:6">
      <c r="B816" s="189">
        <v>41312</v>
      </c>
      <c r="C816" s="2">
        <v>40694.769999999997</v>
      </c>
      <c r="D816" s="1196">
        <f t="shared" si="26"/>
        <v>314.29022678915521</v>
      </c>
      <c r="E816" s="2">
        <v>5980.52</v>
      </c>
      <c r="F816" s="1196">
        <f t="shared" si="27"/>
        <v>849.96446945794605</v>
      </c>
    </row>
    <row r="817" spans="2:6">
      <c r="B817" s="189">
        <v>41311</v>
      </c>
      <c r="C817" s="2">
        <v>40559.67</v>
      </c>
      <c r="D817" s="1196">
        <f t="shared" si="26"/>
        <v>313.24683448986923</v>
      </c>
      <c r="E817" s="2">
        <v>5931.12</v>
      </c>
      <c r="F817" s="1196">
        <f t="shared" si="27"/>
        <v>842.94363434808554</v>
      </c>
    </row>
    <row r="818" spans="2:6">
      <c r="B818" s="189">
        <v>41310</v>
      </c>
      <c r="C818" s="2">
        <v>40663.339999999997</v>
      </c>
      <c r="D818" s="1196">
        <f t="shared" si="26"/>
        <v>314.04748940968398</v>
      </c>
      <c r="E818" s="2">
        <v>5925.92</v>
      </c>
      <c r="F818" s="1196">
        <f t="shared" si="27"/>
        <v>842.2045990733634</v>
      </c>
    </row>
    <row r="819" spans="2:6">
      <c r="B819" s="189">
        <v>41309</v>
      </c>
      <c r="C819" s="2">
        <v>40571.82</v>
      </c>
      <c r="D819" s="1196">
        <f t="shared" si="26"/>
        <v>313.34067028880577</v>
      </c>
      <c r="E819" s="2">
        <v>5901.65</v>
      </c>
      <c r="F819" s="1196">
        <f t="shared" si="27"/>
        <v>838.755294050766</v>
      </c>
    </row>
    <row r="820" spans="2:6">
      <c r="B820" s="189">
        <v>41306</v>
      </c>
      <c r="C820" s="2">
        <v>40601.089999999997</v>
      </c>
      <c r="D820" s="1196">
        <f t="shared" si="26"/>
        <v>313.56672574846596</v>
      </c>
      <c r="E820" s="2">
        <v>5954.52</v>
      </c>
      <c r="F820" s="1196">
        <f t="shared" si="27"/>
        <v>846.26929308433535</v>
      </c>
    </row>
    <row r="821" spans="2:6">
      <c r="B821" s="189">
        <v>41305</v>
      </c>
      <c r="C821" s="2">
        <v>40482.92</v>
      </c>
      <c r="D821" s="1196">
        <f t="shared" si="26"/>
        <v>312.65408571880926</v>
      </c>
      <c r="E821" s="2">
        <v>5937.19</v>
      </c>
      <c r="F821" s="1196">
        <f t="shared" si="27"/>
        <v>843.80631590915539</v>
      </c>
    </row>
    <row r="822" spans="2:6">
      <c r="B822" s="189">
        <v>41304</v>
      </c>
      <c r="C822" s="2">
        <v>40461.18</v>
      </c>
      <c r="D822" s="1196">
        <f t="shared" si="26"/>
        <v>312.48618528515658</v>
      </c>
      <c r="E822" s="2">
        <v>5980.52</v>
      </c>
      <c r="F822" s="1196">
        <f t="shared" si="27"/>
        <v>849.96446945794605</v>
      </c>
    </row>
    <row r="823" spans="2:6">
      <c r="B823" s="189">
        <v>41303</v>
      </c>
      <c r="C823" s="2">
        <v>40652.959999999999</v>
      </c>
      <c r="D823" s="1196">
        <f t="shared" si="26"/>
        <v>313.96732351725922</v>
      </c>
      <c r="E823" s="2">
        <v>5915.52</v>
      </c>
      <c r="F823" s="1196">
        <f t="shared" si="27"/>
        <v>840.72652852391934</v>
      </c>
    </row>
    <row r="824" spans="2:6">
      <c r="B824" s="189">
        <v>41302</v>
      </c>
      <c r="C824" s="2">
        <v>40618.32</v>
      </c>
      <c r="D824" s="1196">
        <f t="shared" si="26"/>
        <v>313.69979495140234</v>
      </c>
      <c r="E824" s="2">
        <v>5893.85</v>
      </c>
      <c r="F824" s="1196">
        <f t="shared" si="27"/>
        <v>837.64674113868284</v>
      </c>
    </row>
    <row r="825" spans="2:6">
      <c r="B825" s="189">
        <v>41299</v>
      </c>
      <c r="C825" s="2">
        <v>40538.959999999999</v>
      </c>
      <c r="D825" s="1196">
        <f t="shared" si="26"/>
        <v>313.08688886057081</v>
      </c>
      <c r="E825" s="2">
        <v>5892.98</v>
      </c>
      <c r="F825" s="1196">
        <f t="shared" si="27"/>
        <v>837.52309485233502</v>
      </c>
    </row>
    <row r="826" spans="2:6">
      <c r="B826" s="189">
        <v>41298</v>
      </c>
      <c r="C826" s="2">
        <v>40604.589999999997</v>
      </c>
      <c r="D826" s="1196">
        <f t="shared" si="26"/>
        <v>313.59375663704856</v>
      </c>
      <c r="E826" s="2">
        <v>5893.85</v>
      </c>
      <c r="F826" s="1196">
        <f t="shared" si="27"/>
        <v>837.64674113868284</v>
      </c>
    </row>
    <row r="827" spans="2:6">
      <c r="B827" s="189">
        <v>41297</v>
      </c>
      <c r="C827" s="2">
        <v>40185.19</v>
      </c>
      <c r="D827" s="1196">
        <f t="shared" si="26"/>
        <v>310.35468387375806</v>
      </c>
      <c r="E827" s="2">
        <v>5850.51</v>
      </c>
      <c r="F827" s="1196">
        <f t="shared" si="27"/>
        <v>831.48716636821018</v>
      </c>
    </row>
    <row r="828" spans="2:6">
      <c r="B828" s="189">
        <v>41296</v>
      </c>
      <c r="C828" s="2">
        <v>39912.449999999997</v>
      </c>
      <c r="D828" s="1196">
        <f t="shared" si="26"/>
        <v>308.24828257318615</v>
      </c>
      <c r="E828" s="2">
        <v>5771.64</v>
      </c>
      <c r="F828" s="1196">
        <f t="shared" si="27"/>
        <v>820.27799096103013</v>
      </c>
    </row>
    <row r="829" spans="2:6">
      <c r="B829" s="189">
        <v>41295</v>
      </c>
      <c r="C829" s="2">
        <v>39989.57</v>
      </c>
      <c r="D829" s="1196">
        <f t="shared" si="26"/>
        <v>308.84388889532482</v>
      </c>
      <c r="E829" s="2">
        <v>5742.17</v>
      </c>
      <c r="F829" s="1196">
        <f t="shared" si="27"/>
        <v>816.08965066371047</v>
      </c>
    </row>
    <row r="830" spans="2:6">
      <c r="B830" s="189">
        <v>41292</v>
      </c>
      <c r="C830" s="2">
        <v>40166.53</v>
      </c>
      <c r="D830" s="1196">
        <f t="shared" si="26"/>
        <v>310.21057062205796</v>
      </c>
      <c r="E830" s="2">
        <v>5730.04</v>
      </c>
      <c r="F830" s="1196">
        <f t="shared" si="27"/>
        <v>814.36570876325277</v>
      </c>
    </row>
    <row r="831" spans="2:6">
      <c r="B831" s="189">
        <v>41291</v>
      </c>
      <c r="C831" s="2">
        <v>39964.559999999998</v>
      </c>
      <c r="D831" s="1196">
        <f t="shared" si="26"/>
        <v>308.65073388862504</v>
      </c>
      <c r="E831" s="2">
        <v>5759.5</v>
      </c>
      <c r="F831" s="1196">
        <f t="shared" si="27"/>
        <v>818.5526278388902</v>
      </c>
    </row>
    <row r="832" spans="2:6">
      <c r="B832" s="189">
        <v>41290</v>
      </c>
      <c r="C832" s="2">
        <v>39879.760000000002</v>
      </c>
      <c r="D832" s="1196">
        <f t="shared" si="26"/>
        <v>307.99581407382527</v>
      </c>
      <c r="E832" s="2">
        <v>5728.3</v>
      </c>
      <c r="F832" s="1196">
        <f t="shared" si="27"/>
        <v>814.11841619055747</v>
      </c>
    </row>
    <row r="833" spans="2:6">
      <c r="B833" s="189">
        <v>41289</v>
      </c>
      <c r="C833" s="2">
        <v>39913.08</v>
      </c>
      <c r="D833" s="1196">
        <f t="shared" si="26"/>
        <v>308.25314813313105</v>
      </c>
      <c r="E833" s="2">
        <v>5807.18</v>
      </c>
      <c r="F833" s="1196">
        <f t="shared" si="27"/>
        <v>825.32901281941963</v>
      </c>
    </row>
    <row r="834" spans="2:6">
      <c r="B834" s="189">
        <v>41288</v>
      </c>
      <c r="C834" s="2">
        <v>40144.07</v>
      </c>
      <c r="D834" s="1196">
        <f t="shared" si="26"/>
        <v>310.03710954846832</v>
      </c>
      <c r="E834" s="2">
        <v>5807.18</v>
      </c>
      <c r="F834" s="1196">
        <f t="shared" si="27"/>
        <v>825.32901281941963</v>
      </c>
    </row>
    <row r="835" spans="2:6">
      <c r="B835" s="189">
        <v>41285</v>
      </c>
      <c r="C835" s="2">
        <v>40281.14</v>
      </c>
      <c r="D835" s="1196">
        <f t="shared" si="26"/>
        <v>311.09571637647076</v>
      </c>
      <c r="E835" s="2">
        <v>5807.18</v>
      </c>
      <c r="F835" s="1196">
        <f t="shared" si="27"/>
        <v>825.32901281941963</v>
      </c>
    </row>
    <row r="836" spans="2:6">
      <c r="B836" s="189">
        <v>41284</v>
      </c>
      <c r="C836" s="2">
        <v>40299.589999999997</v>
      </c>
      <c r="D836" s="1196">
        <f t="shared" si="26"/>
        <v>311.23820777485582</v>
      </c>
      <c r="E836" s="2">
        <v>5720.5</v>
      </c>
      <c r="F836" s="1196">
        <f t="shared" si="27"/>
        <v>813.0098632784742</v>
      </c>
    </row>
    <row r="837" spans="2:6">
      <c r="B837" s="189">
        <v>41283</v>
      </c>
      <c r="C837" s="2">
        <v>40330.44</v>
      </c>
      <c r="D837" s="1196">
        <f t="shared" si="26"/>
        <v>311.47646574993342</v>
      </c>
      <c r="E837" s="2">
        <v>5720.5</v>
      </c>
      <c r="F837" s="1196">
        <f t="shared" si="27"/>
        <v>813.0098632784742</v>
      </c>
    </row>
    <row r="838" spans="2:6">
      <c r="B838" s="189">
        <v>41282</v>
      </c>
      <c r="C838" s="2">
        <v>40155.620000000003</v>
      </c>
      <c r="D838" s="1196">
        <f t="shared" si="26"/>
        <v>310.12631148079072</v>
      </c>
      <c r="E838" s="2">
        <v>5720.5</v>
      </c>
      <c r="F838" s="1196">
        <f t="shared" si="27"/>
        <v>813.0098632784742</v>
      </c>
    </row>
    <row r="839" spans="2:6">
      <c r="B839" s="189">
        <v>41281</v>
      </c>
      <c r="C839" s="2">
        <v>40162.559999999998</v>
      </c>
      <c r="D839" s="1196">
        <f t="shared" si="26"/>
        <v>310.17990987129434</v>
      </c>
      <c r="E839" s="2">
        <v>5772.51</v>
      </c>
      <c r="F839" s="1196">
        <f t="shared" si="27"/>
        <v>820.40163724737795</v>
      </c>
    </row>
    <row r="840" spans="2:6">
      <c r="B840" s="189">
        <v>41278</v>
      </c>
      <c r="C840" s="2">
        <v>40274.79</v>
      </c>
      <c r="D840" s="1196">
        <f t="shared" si="26"/>
        <v>311.04667462147103</v>
      </c>
      <c r="E840" s="2">
        <v>5757.77</v>
      </c>
      <c r="F840" s="1196">
        <f t="shared" si="27"/>
        <v>818.30675648787712</v>
      </c>
    </row>
    <row r="841" spans="2:6">
      <c r="B841" s="189">
        <v>41277</v>
      </c>
      <c r="C841" s="2">
        <v>40245.01</v>
      </c>
      <c r="D841" s="1196">
        <f t="shared" si="26"/>
        <v>310.81668037518875</v>
      </c>
      <c r="E841" s="2">
        <v>5758.61</v>
      </c>
      <c r="F841" s="1196">
        <f t="shared" si="27"/>
        <v>818.42613910917828</v>
      </c>
    </row>
    <row r="842" spans="2:6">
      <c r="B842" s="189">
        <v>41276</v>
      </c>
      <c r="C842" s="2">
        <v>40061.75</v>
      </c>
      <c r="D842" s="1196">
        <f t="shared" si="26"/>
        <v>309.40134304900704</v>
      </c>
      <c r="E842" s="2">
        <v>5825.37</v>
      </c>
      <c r="F842" s="1196">
        <f t="shared" si="27"/>
        <v>827.91421505926496</v>
      </c>
    </row>
    <row r="843" spans="2:6">
      <c r="B843" s="189">
        <v>41274</v>
      </c>
      <c r="C843" s="2">
        <v>39250.239999999998</v>
      </c>
      <c r="D843" s="1196">
        <f t="shared" ref="D843:D906" si="28">C843/$C$2759*100</f>
        <v>303.13396122225953</v>
      </c>
      <c r="E843" s="2">
        <v>5827.04</v>
      </c>
      <c r="F843" s="1196">
        <f t="shared" ref="F843:F906" si="29">E843/$E$2759*100</f>
        <v>828.15155908018528</v>
      </c>
    </row>
    <row r="844" spans="2:6">
      <c r="B844" s="189">
        <v>41271</v>
      </c>
      <c r="C844" s="2">
        <v>39385.040000000001</v>
      </c>
      <c r="D844" s="1196">
        <f t="shared" si="28"/>
        <v>304.17503658823847</v>
      </c>
      <c r="E844" s="2">
        <v>5924.69</v>
      </c>
      <c r="F844" s="1196">
        <f t="shared" si="29"/>
        <v>842.02978880645799</v>
      </c>
    </row>
    <row r="845" spans="2:6">
      <c r="B845" s="189">
        <v>41270</v>
      </c>
      <c r="C845" s="2">
        <v>39427.129999999997</v>
      </c>
      <c r="D845" s="1196">
        <f t="shared" si="28"/>
        <v>304.50010233122106</v>
      </c>
      <c r="E845" s="2">
        <v>5925.52</v>
      </c>
      <c r="F845" s="1196">
        <f t="shared" si="29"/>
        <v>842.14775020607726</v>
      </c>
    </row>
    <row r="846" spans="2:6">
      <c r="B846" s="189">
        <v>41267</v>
      </c>
      <c r="C846" s="2">
        <v>39187.379999999997</v>
      </c>
      <c r="D846" s="1196">
        <f t="shared" si="28"/>
        <v>302.64848646331711</v>
      </c>
      <c r="E846" s="2">
        <v>5924.69</v>
      </c>
      <c r="F846" s="1196">
        <f t="shared" si="29"/>
        <v>842.02978880645799</v>
      </c>
    </row>
    <row r="847" spans="2:6">
      <c r="B847" s="189">
        <v>41264</v>
      </c>
      <c r="C847" s="2">
        <v>39124.58</v>
      </c>
      <c r="D847" s="1196">
        <f t="shared" si="28"/>
        <v>302.16347509103622</v>
      </c>
      <c r="E847" s="2">
        <v>5842.9</v>
      </c>
      <c r="F847" s="1196">
        <f t="shared" si="29"/>
        <v>830.40561666808776</v>
      </c>
    </row>
    <row r="848" spans="2:6">
      <c r="B848" s="189">
        <v>41263</v>
      </c>
      <c r="C848" s="2">
        <v>39220.959999999999</v>
      </c>
      <c r="D848" s="1196">
        <f t="shared" si="28"/>
        <v>302.90782853148903</v>
      </c>
      <c r="E848" s="2">
        <v>5925.52</v>
      </c>
      <c r="F848" s="1196">
        <f t="shared" si="29"/>
        <v>842.14775020607726</v>
      </c>
    </row>
    <row r="849" spans="2:6">
      <c r="B849" s="189">
        <v>41262</v>
      </c>
      <c r="C849" s="2">
        <v>39164.839999999997</v>
      </c>
      <c r="D849" s="1196">
        <f t="shared" si="28"/>
        <v>302.47440754084562</v>
      </c>
      <c r="E849" s="2">
        <v>5826.21</v>
      </c>
      <c r="F849" s="1196">
        <f t="shared" si="29"/>
        <v>828.03359768056634</v>
      </c>
    </row>
    <row r="850" spans="2:6">
      <c r="B850" s="189">
        <v>41261</v>
      </c>
      <c r="C850" s="2">
        <v>38879.699999999997</v>
      </c>
      <c r="D850" s="1196">
        <f t="shared" si="28"/>
        <v>300.27223966358127</v>
      </c>
      <c r="E850" s="2">
        <v>5825.37</v>
      </c>
      <c r="F850" s="1196">
        <f t="shared" si="29"/>
        <v>827.91421505926496</v>
      </c>
    </row>
    <row r="851" spans="2:6">
      <c r="B851" s="189">
        <v>41257</v>
      </c>
      <c r="C851" s="2">
        <v>38674.480000000003</v>
      </c>
      <c r="D851" s="1196">
        <f t="shared" si="28"/>
        <v>298.6873028193217</v>
      </c>
      <c r="E851" s="2">
        <v>5842.06</v>
      </c>
      <c r="F851" s="1196">
        <f t="shared" si="29"/>
        <v>830.2862340467866</v>
      </c>
    </row>
    <row r="852" spans="2:6">
      <c r="B852" s="189">
        <v>41256</v>
      </c>
      <c r="C852" s="2">
        <v>38676.699999999997</v>
      </c>
      <c r="D852" s="1196">
        <f t="shared" si="28"/>
        <v>298.70444812579404</v>
      </c>
      <c r="E852" s="2">
        <v>5800.34</v>
      </c>
      <c r="F852" s="1196">
        <f t="shared" si="29"/>
        <v>824.3568971888235</v>
      </c>
    </row>
    <row r="853" spans="2:6">
      <c r="B853" s="189">
        <v>41255</v>
      </c>
      <c r="C853" s="2">
        <v>38763.64</v>
      </c>
      <c r="D853" s="1196">
        <f t="shared" si="28"/>
        <v>299.3758953981843</v>
      </c>
      <c r="E853" s="2">
        <v>5902.15</v>
      </c>
      <c r="F853" s="1196">
        <f t="shared" si="29"/>
        <v>838.82635513487389</v>
      </c>
    </row>
    <row r="854" spans="2:6">
      <c r="B854" s="189">
        <v>41254</v>
      </c>
      <c r="C854" s="2">
        <v>38535.97</v>
      </c>
      <c r="D854" s="1196">
        <f t="shared" si="28"/>
        <v>297.61757471144529</v>
      </c>
      <c r="E854" s="2">
        <v>5925.52</v>
      </c>
      <c r="F854" s="1196">
        <f t="shared" si="29"/>
        <v>842.14775020607726</v>
      </c>
    </row>
    <row r="855" spans="2:6">
      <c r="B855" s="189">
        <v>41253</v>
      </c>
      <c r="C855" s="2">
        <v>38357.07</v>
      </c>
      <c r="D855" s="1196">
        <f t="shared" si="28"/>
        <v>296.2359101493264</v>
      </c>
      <c r="E855" s="2">
        <v>5925.52</v>
      </c>
      <c r="F855" s="1196">
        <f t="shared" si="29"/>
        <v>842.14775020607726</v>
      </c>
    </row>
    <row r="856" spans="2:6">
      <c r="B856" s="189">
        <v>41250</v>
      </c>
      <c r="C856" s="2">
        <v>38195.89</v>
      </c>
      <c r="D856" s="1196">
        <f t="shared" si="28"/>
        <v>294.99109911454531</v>
      </c>
      <c r="E856" s="2">
        <v>5800.34</v>
      </c>
      <c r="F856" s="1196">
        <f t="shared" si="29"/>
        <v>824.3568971888235</v>
      </c>
    </row>
    <row r="857" spans="2:6">
      <c r="B857" s="189">
        <v>41249</v>
      </c>
      <c r="C857" s="2">
        <v>38287.54</v>
      </c>
      <c r="D857" s="1196">
        <f t="shared" si="28"/>
        <v>295.6989222398567</v>
      </c>
      <c r="E857" s="2">
        <v>5758.61</v>
      </c>
      <c r="F857" s="1196">
        <f t="shared" si="29"/>
        <v>818.42613910917828</v>
      </c>
    </row>
    <row r="858" spans="2:6">
      <c r="B858" s="189">
        <v>41248</v>
      </c>
      <c r="C858" s="2">
        <v>38189.82</v>
      </c>
      <c r="D858" s="1196">
        <f t="shared" si="28"/>
        <v>294.94421983063216</v>
      </c>
      <c r="E858" s="2">
        <v>5883.79</v>
      </c>
      <c r="F858" s="1196">
        <f t="shared" si="29"/>
        <v>836.21699212643182</v>
      </c>
    </row>
    <row r="859" spans="2:6">
      <c r="B859" s="189">
        <v>41247</v>
      </c>
      <c r="C859" s="2">
        <v>37991.31</v>
      </c>
      <c r="D859" s="1196">
        <f t="shared" si="28"/>
        <v>293.41110506134078</v>
      </c>
      <c r="E859" s="2">
        <v>5872.11</v>
      </c>
      <c r="F859" s="1196">
        <f t="shared" si="29"/>
        <v>834.55700520167136</v>
      </c>
    </row>
    <row r="860" spans="2:6">
      <c r="B860" s="189">
        <v>41246</v>
      </c>
      <c r="C860" s="2">
        <v>38049.74</v>
      </c>
      <c r="D860" s="1196">
        <f t="shared" si="28"/>
        <v>293.8623664384487</v>
      </c>
      <c r="E860" s="2">
        <v>5926.36</v>
      </c>
      <c r="F860" s="1196">
        <f t="shared" si="29"/>
        <v>842.26713282737842</v>
      </c>
    </row>
    <row r="861" spans="2:6">
      <c r="B861" s="189">
        <v>41243</v>
      </c>
      <c r="C861" s="2">
        <v>38104.61</v>
      </c>
      <c r="D861" s="1196">
        <f t="shared" si="28"/>
        <v>294.28613354031273</v>
      </c>
      <c r="E861" s="2">
        <v>5708.53</v>
      </c>
      <c r="F861" s="1196">
        <f t="shared" si="29"/>
        <v>811.30866092493102</v>
      </c>
    </row>
    <row r="862" spans="2:6">
      <c r="B862" s="189">
        <v>41242</v>
      </c>
      <c r="C862" s="2">
        <v>37909.31</v>
      </c>
      <c r="D862" s="1196">
        <f t="shared" si="28"/>
        <v>292.77780995740704</v>
      </c>
      <c r="E862" s="2">
        <v>5722.72</v>
      </c>
      <c r="F862" s="1196">
        <f t="shared" si="29"/>
        <v>813.32537449191329</v>
      </c>
    </row>
    <row r="863" spans="2:6">
      <c r="B863" s="189">
        <v>41241</v>
      </c>
      <c r="C863" s="2">
        <v>37438.410000000003</v>
      </c>
      <c r="D863" s="1196">
        <f t="shared" si="28"/>
        <v>289.14099697640205</v>
      </c>
      <c r="E863" s="2">
        <v>5716.88</v>
      </c>
      <c r="F863" s="1196">
        <f t="shared" si="29"/>
        <v>812.49538102953295</v>
      </c>
    </row>
    <row r="864" spans="2:6">
      <c r="B864" s="189">
        <v>41240</v>
      </c>
      <c r="C864" s="2">
        <v>37805.800000000003</v>
      </c>
      <c r="D864" s="1196">
        <f t="shared" si="28"/>
        <v>291.97839073535607</v>
      </c>
      <c r="E864" s="2">
        <v>5704.36</v>
      </c>
      <c r="F864" s="1196">
        <f t="shared" si="29"/>
        <v>810.71601148347111</v>
      </c>
    </row>
    <row r="865" spans="2:6">
      <c r="B865" s="189">
        <v>41239</v>
      </c>
      <c r="C865" s="2">
        <v>37766.239999999998</v>
      </c>
      <c r="D865" s="1196">
        <f t="shared" si="28"/>
        <v>291.67286446326307</v>
      </c>
      <c r="E865" s="2">
        <v>5675.15</v>
      </c>
      <c r="F865" s="1196">
        <f t="shared" si="29"/>
        <v>806.56462294988762</v>
      </c>
    </row>
    <row r="866" spans="2:6">
      <c r="B866" s="189">
        <v>41236</v>
      </c>
      <c r="C866" s="2">
        <v>37865.589999999997</v>
      </c>
      <c r="D866" s="1196">
        <f t="shared" si="28"/>
        <v>292.440155543456</v>
      </c>
      <c r="E866" s="2">
        <v>5569.99</v>
      </c>
      <c r="F866" s="1196">
        <f t="shared" si="29"/>
        <v>791.61905574031437</v>
      </c>
    </row>
    <row r="867" spans="2:6">
      <c r="B867" s="189">
        <v>41235</v>
      </c>
      <c r="C867" s="2">
        <v>37844.550000000003</v>
      </c>
      <c r="D867" s="1196">
        <f t="shared" si="28"/>
        <v>292.27766128751989</v>
      </c>
      <c r="E867" s="2">
        <v>5512.4</v>
      </c>
      <c r="F867" s="1196">
        <f t="shared" si="29"/>
        <v>783.43424007276644</v>
      </c>
    </row>
    <row r="868" spans="2:6">
      <c r="B868" s="189">
        <v>41234</v>
      </c>
      <c r="C868" s="2">
        <v>37498.019999999997</v>
      </c>
      <c r="D868" s="1196">
        <f t="shared" si="28"/>
        <v>289.60137162451775</v>
      </c>
      <c r="E868" s="2">
        <v>5549.13</v>
      </c>
      <c r="F868" s="1196">
        <f t="shared" si="29"/>
        <v>788.65438731133281</v>
      </c>
    </row>
    <row r="869" spans="2:6">
      <c r="B869" s="189">
        <v>41233</v>
      </c>
      <c r="C869" s="2">
        <v>37306.6</v>
      </c>
      <c r="D869" s="1196">
        <f t="shared" si="28"/>
        <v>288.12301371238362</v>
      </c>
      <c r="E869" s="2">
        <v>5549.96</v>
      </c>
      <c r="F869" s="1196">
        <f t="shared" si="29"/>
        <v>788.77234871095197</v>
      </c>
    </row>
    <row r="870" spans="2:6">
      <c r="B870" s="189">
        <v>41232</v>
      </c>
      <c r="C870" s="2">
        <v>37229.64</v>
      </c>
      <c r="D870" s="1196">
        <f t="shared" si="28"/>
        <v>287.52864308800872</v>
      </c>
      <c r="E870" s="2">
        <v>5440.63</v>
      </c>
      <c r="F870" s="1196">
        <f t="shared" si="29"/>
        <v>773.23413205991869</v>
      </c>
    </row>
    <row r="871" spans="2:6">
      <c r="B871" s="189">
        <v>41229</v>
      </c>
      <c r="C871" s="2">
        <v>36818.76</v>
      </c>
      <c r="D871" s="1196">
        <f t="shared" si="28"/>
        <v>284.35537123063915</v>
      </c>
      <c r="E871" s="2">
        <v>5508.23</v>
      </c>
      <c r="F871" s="1196">
        <f t="shared" si="29"/>
        <v>782.84159063130664</v>
      </c>
    </row>
    <row r="872" spans="2:6">
      <c r="B872" s="189">
        <v>41228</v>
      </c>
      <c r="C872" s="2">
        <v>37026.720000000001</v>
      </c>
      <c r="D872" s="1196">
        <f t="shared" si="28"/>
        <v>285.96146939910335</v>
      </c>
      <c r="E872" s="2">
        <v>5424.77</v>
      </c>
      <c r="F872" s="1196">
        <f t="shared" si="29"/>
        <v>770.98007447201621</v>
      </c>
    </row>
    <row r="873" spans="2:6">
      <c r="B873" s="189">
        <v>41227</v>
      </c>
      <c r="C873" s="2">
        <v>37241.79</v>
      </c>
      <c r="D873" s="1196">
        <f t="shared" si="28"/>
        <v>287.62247888694526</v>
      </c>
      <c r="E873" s="2">
        <v>5341.32</v>
      </c>
      <c r="F873" s="1196">
        <f t="shared" si="29"/>
        <v>759.11997953440778</v>
      </c>
    </row>
    <row r="874" spans="2:6">
      <c r="B874" s="189">
        <v>41226</v>
      </c>
      <c r="C874" s="2">
        <v>37394.800000000003</v>
      </c>
      <c r="D874" s="1196">
        <f t="shared" si="28"/>
        <v>288.80419210466363</v>
      </c>
      <c r="E874" s="2">
        <v>5332.97</v>
      </c>
      <c r="F874" s="1196">
        <f t="shared" si="29"/>
        <v>757.93325942980584</v>
      </c>
    </row>
    <row r="875" spans="2:6">
      <c r="B875" s="189">
        <v>41225</v>
      </c>
      <c r="C875" s="2">
        <v>37463.199999999997</v>
      </c>
      <c r="D875" s="1196">
        <f t="shared" si="28"/>
        <v>289.33245289867659</v>
      </c>
      <c r="E875" s="2">
        <v>5090.1099999999997</v>
      </c>
      <c r="F875" s="1196">
        <f t="shared" si="29"/>
        <v>723.41746965691709</v>
      </c>
    </row>
    <row r="876" spans="2:6">
      <c r="B876" s="189">
        <v>41222</v>
      </c>
      <c r="C876" s="2">
        <v>37344.400000000001</v>
      </c>
      <c r="D876" s="1196">
        <f t="shared" si="28"/>
        <v>288.41494730907505</v>
      </c>
      <c r="E876" s="2">
        <v>5074.25</v>
      </c>
      <c r="F876" s="1196">
        <f t="shared" si="29"/>
        <v>721.1634120690145</v>
      </c>
    </row>
    <row r="877" spans="2:6">
      <c r="B877" s="189">
        <v>41221</v>
      </c>
      <c r="C877" s="2">
        <v>37592.86</v>
      </c>
      <c r="D877" s="1196">
        <f t="shared" si="28"/>
        <v>290.33383147399434</v>
      </c>
      <c r="E877" s="2">
        <v>5090.9399999999996</v>
      </c>
      <c r="F877" s="1196">
        <f t="shared" si="29"/>
        <v>723.53543105653614</v>
      </c>
    </row>
    <row r="878" spans="2:6">
      <c r="B878" s="189">
        <v>41220</v>
      </c>
      <c r="C878" s="2">
        <v>37471.69</v>
      </c>
      <c r="D878" s="1196">
        <f t="shared" si="28"/>
        <v>289.39802211126693</v>
      </c>
      <c r="E878" s="2">
        <v>5007.4799999999996</v>
      </c>
      <c r="F878" s="1196">
        <f t="shared" si="29"/>
        <v>711.6739148972456</v>
      </c>
    </row>
    <row r="879" spans="2:6">
      <c r="B879" s="189">
        <v>41219</v>
      </c>
      <c r="C879" s="2">
        <v>37597.68</v>
      </c>
      <c r="D879" s="1196">
        <f t="shared" si="28"/>
        <v>290.37105686912804</v>
      </c>
      <c r="E879" s="2">
        <v>5090.9399999999996</v>
      </c>
      <c r="F879" s="1196">
        <f t="shared" si="29"/>
        <v>723.53543105653614</v>
      </c>
    </row>
    <row r="880" spans="2:6">
      <c r="B880" s="189">
        <v>41218</v>
      </c>
      <c r="C880" s="2">
        <v>37579.379999999997</v>
      </c>
      <c r="D880" s="1196">
        <f t="shared" si="28"/>
        <v>290.22972393739644</v>
      </c>
      <c r="E880" s="2">
        <v>5090.9399999999996</v>
      </c>
      <c r="F880" s="1196">
        <f t="shared" si="29"/>
        <v>723.53543105653614</v>
      </c>
    </row>
    <row r="881" spans="2:6">
      <c r="B881" s="189">
        <v>41215</v>
      </c>
      <c r="C881" s="2">
        <v>37664.81</v>
      </c>
      <c r="D881" s="1196">
        <f t="shared" si="28"/>
        <v>290.88950931214112</v>
      </c>
      <c r="E881" s="2">
        <v>5090.9399999999996</v>
      </c>
      <c r="F881" s="1196">
        <f t="shared" si="29"/>
        <v>723.53543105653614</v>
      </c>
    </row>
    <row r="882" spans="2:6">
      <c r="B882" s="189">
        <v>41214</v>
      </c>
      <c r="C882" s="2">
        <v>37377.32</v>
      </c>
      <c r="D882" s="1196">
        <f t="shared" si="28"/>
        <v>288.66919212397136</v>
      </c>
      <c r="E882" s="2">
        <v>4840.57</v>
      </c>
      <c r="F882" s="1196">
        <f t="shared" si="29"/>
        <v>687.95230380034673</v>
      </c>
    </row>
    <row r="883" spans="2:6">
      <c r="B883" s="189">
        <v>41213</v>
      </c>
      <c r="C883" s="2">
        <v>37156.28</v>
      </c>
      <c r="D883" s="1196">
        <f t="shared" si="28"/>
        <v>286.96207566331873</v>
      </c>
      <c r="E883" s="2">
        <v>5007.4799999999996</v>
      </c>
      <c r="F883" s="1196">
        <f t="shared" si="29"/>
        <v>711.6739148972456</v>
      </c>
    </row>
    <row r="884" spans="2:6">
      <c r="B884" s="189">
        <v>41212</v>
      </c>
      <c r="C884" s="2">
        <v>37147.019999999997</v>
      </c>
      <c r="D884" s="1196">
        <f t="shared" si="28"/>
        <v>286.89055965524034</v>
      </c>
      <c r="E884" s="2">
        <v>4840.57</v>
      </c>
      <c r="F884" s="1196">
        <f t="shared" si="29"/>
        <v>687.95230380034673</v>
      </c>
    </row>
    <row r="885" spans="2:6">
      <c r="B885" s="189">
        <v>41211</v>
      </c>
      <c r="C885" s="2">
        <v>36993.06</v>
      </c>
      <c r="D885" s="1196">
        <f t="shared" si="28"/>
        <v>285.70150948204957</v>
      </c>
      <c r="E885" s="2">
        <v>4840.57</v>
      </c>
      <c r="F885" s="1196">
        <f t="shared" si="29"/>
        <v>687.95230380034673</v>
      </c>
    </row>
    <row r="886" spans="2:6">
      <c r="B886" s="189">
        <v>41208</v>
      </c>
      <c r="C886" s="2">
        <v>36871.71</v>
      </c>
      <c r="D886" s="1196">
        <f t="shared" si="28"/>
        <v>284.76430995933782</v>
      </c>
      <c r="E886" s="2">
        <v>4840.57</v>
      </c>
      <c r="F886" s="1196">
        <f t="shared" si="29"/>
        <v>687.95230380034673</v>
      </c>
    </row>
    <row r="887" spans="2:6">
      <c r="B887" s="189">
        <v>41207</v>
      </c>
      <c r="C887" s="2">
        <v>36995.65</v>
      </c>
      <c r="D887" s="1196">
        <f t="shared" si="28"/>
        <v>285.72151233960062</v>
      </c>
      <c r="E887" s="2">
        <v>4757.1099999999997</v>
      </c>
      <c r="F887" s="1196">
        <f t="shared" si="29"/>
        <v>676.09078764105618</v>
      </c>
    </row>
    <row r="888" spans="2:6">
      <c r="B888" s="189">
        <v>41206</v>
      </c>
      <c r="C888" s="2">
        <v>36951.53</v>
      </c>
      <c r="D888" s="1196">
        <f t="shared" si="28"/>
        <v>285.38076868124017</v>
      </c>
      <c r="E888" s="2">
        <v>4736.24</v>
      </c>
      <c r="F888" s="1196">
        <f t="shared" si="29"/>
        <v>673.12469799039252</v>
      </c>
    </row>
    <row r="889" spans="2:6">
      <c r="B889" s="189">
        <v>41205</v>
      </c>
      <c r="C889" s="2">
        <v>36678.03</v>
      </c>
      <c r="D889" s="1196">
        <f t="shared" si="28"/>
        <v>283.26849781629033</v>
      </c>
      <c r="E889" s="2">
        <v>4840.57</v>
      </c>
      <c r="F889" s="1196">
        <f t="shared" si="29"/>
        <v>687.95230380034673</v>
      </c>
    </row>
    <row r="890" spans="2:6">
      <c r="B890" s="189">
        <v>41204</v>
      </c>
      <c r="C890" s="2">
        <v>36968.5</v>
      </c>
      <c r="D890" s="1196">
        <f t="shared" si="28"/>
        <v>285.51182987531035</v>
      </c>
      <c r="E890" s="2">
        <v>4757.1099999999997</v>
      </c>
      <c r="F890" s="1196">
        <f t="shared" si="29"/>
        <v>676.09078764105618</v>
      </c>
    </row>
    <row r="891" spans="2:6">
      <c r="B891" s="189">
        <v>41201</v>
      </c>
      <c r="C891" s="2">
        <v>36783.120000000003</v>
      </c>
      <c r="D891" s="1196">
        <f t="shared" si="28"/>
        <v>284.08011955375866</v>
      </c>
      <c r="E891" s="2">
        <v>4700.3599999999997</v>
      </c>
      <c r="F891" s="1196">
        <f t="shared" si="29"/>
        <v>668.02535459480964</v>
      </c>
    </row>
    <row r="892" spans="2:6">
      <c r="B892" s="189">
        <v>41200</v>
      </c>
      <c r="C892" s="2">
        <v>37051.949999999997</v>
      </c>
      <c r="D892" s="1196">
        <f t="shared" si="28"/>
        <v>286.15632349022832</v>
      </c>
      <c r="E892" s="2">
        <v>4840.57</v>
      </c>
      <c r="F892" s="1196">
        <f t="shared" si="29"/>
        <v>687.95230380034673</v>
      </c>
    </row>
    <row r="893" spans="2:6">
      <c r="B893" s="189">
        <v>41199</v>
      </c>
      <c r="C893" s="2">
        <v>37274.68</v>
      </c>
      <c r="D893" s="1196">
        <f t="shared" si="28"/>
        <v>287.87649200851087</v>
      </c>
      <c r="E893" s="2">
        <v>4757.1099999999997</v>
      </c>
      <c r="F893" s="1196">
        <f t="shared" si="29"/>
        <v>676.09078764105618</v>
      </c>
    </row>
    <row r="894" spans="2:6">
      <c r="B894" s="189">
        <v>41198</v>
      </c>
      <c r="C894" s="2">
        <v>36974.239999999998</v>
      </c>
      <c r="D894" s="1196">
        <f t="shared" si="28"/>
        <v>285.55616053258575</v>
      </c>
      <c r="E894" s="2">
        <v>4840.57</v>
      </c>
      <c r="F894" s="1196">
        <f t="shared" si="29"/>
        <v>687.95230380034673</v>
      </c>
    </row>
    <row r="895" spans="2:6">
      <c r="B895" s="189">
        <v>41197</v>
      </c>
      <c r="C895" s="2">
        <v>36620.28</v>
      </c>
      <c r="D895" s="1196">
        <f t="shared" si="28"/>
        <v>282.82248815467847</v>
      </c>
      <c r="E895" s="2">
        <v>4698.6899999999996</v>
      </c>
      <c r="F895" s="1196">
        <f t="shared" si="29"/>
        <v>667.78801057388921</v>
      </c>
    </row>
    <row r="896" spans="2:6">
      <c r="B896" s="189">
        <v>41194</v>
      </c>
      <c r="C896" s="2">
        <v>36440.050000000003</v>
      </c>
      <c r="D896" s="1196">
        <f t="shared" si="28"/>
        <v>281.43055185489823</v>
      </c>
      <c r="E896" s="2">
        <v>4590.1899999999996</v>
      </c>
      <c r="F896" s="1196">
        <f t="shared" si="29"/>
        <v>652.3677553224752</v>
      </c>
    </row>
    <row r="897" spans="2:6">
      <c r="B897" s="189">
        <v>41193</v>
      </c>
      <c r="C897" s="2">
        <v>36498.44</v>
      </c>
      <c r="D897" s="1196">
        <f t="shared" si="28"/>
        <v>281.88150430756519</v>
      </c>
      <c r="E897" s="2">
        <v>4723.7299999999996</v>
      </c>
      <c r="F897" s="1196">
        <f t="shared" si="29"/>
        <v>671.3467496660129</v>
      </c>
    </row>
    <row r="898" spans="2:6">
      <c r="B898" s="189">
        <v>41192</v>
      </c>
      <c r="C898" s="2">
        <v>36147.620000000003</v>
      </c>
      <c r="D898" s="1196">
        <f t="shared" si="28"/>
        <v>279.17208249827195</v>
      </c>
      <c r="E898" s="2">
        <v>4552.6400000000003</v>
      </c>
      <c r="F898" s="1196">
        <f t="shared" si="29"/>
        <v>647.03106790597201</v>
      </c>
    </row>
    <row r="899" spans="2:6">
      <c r="B899" s="189">
        <v>41191</v>
      </c>
      <c r="C899" s="2">
        <v>36070.74</v>
      </c>
      <c r="D899" s="1196">
        <f t="shared" si="28"/>
        <v>278.57832972277896</v>
      </c>
      <c r="E899" s="2">
        <v>4548.46</v>
      </c>
      <c r="F899" s="1196">
        <f t="shared" si="29"/>
        <v>646.43699724282988</v>
      </c>
    </row>
    <row r="900" spans="2:6">
      <c r="B900" s="189">
        <v>41190</v>
      </c>
      <c r="C900" s="2">
        <v>36337.39</v>
      </c>
      <c r="D900" s="1196">
        <f t="shared" si="28"/>
        <v>280.63769727721717</v>
      </c>
      <c r="E900" s="2">
        <v>4506.74</v>
      </c>
      <c r="F900" s="1196">
        <f t="shared" si="29"/>
        <v>640.50766038486677</v>
      </c>
    </row>
    <row r="901" spans="2:6">
      <c r="B901" s="189">
        <v>41187</v>
      </c>
      <c r="C901" s="2">
        <v>36588.67</v>
      </c>
      <c r="D901" s="1196">
        <f t="shared" si="28"/>
        <v>282.578360615223</v>
      </c>
      <c r="E901" s="2">
        <v>4506.74</v>
      </c>
      <c r="F901" s="1196">
        <f t="shared" si="29"/>
        <v>640.50766038486677</v>
      </c>
    </row>
    <row r="902" spans="2:6">
      <c r="B902" s="189">
        <v>41186</v>
      </c>
      <c r="C902" s="2">
        <v>36268.959999999999</v>
      </c>
      <c r="D902" s="1196">
        <f t="shared" si="28"/>
        <v>280.10920478987344</v>
      </c>
      <c r="E902" s="2">
        <v>4590.1899999999996</v>
      </c>
      <c r="F902" s="1196">
        <f t="shared" si="29"/>
        <v>652.3677553224752</v>
      </c>
    </row>
    <row r="903" spans="2:6">
      <c r="B903" s="189">
        <v>41185</v>
      </c>
      <c r="C903" s="2">
        <v>36120.449999999997</v>
      </c>
      <c r="D903" s="1196">
        <f t="shared" si="28"/>
        <v>278.96224557176123</v>
      </c>
      <c r="E903" s="2">
        <v>4569.33</v>
      </c>
      <c r="F903" s="1196">
        <f t="shared" si="29"/>
        <v>649.40308689349365</v>
      </c>
    </row>
    <row r="904" spans="2:6">
      <c r="B904" s="189">
        <v>41184</v>
      </c>
      <c r="C904" s="2">
        <v>36247.910000000003</v>
      </c>
      <c r="D904" s="1196">
        <f t="shared" si="28"/>
        <v>279.94663330282708</v>
      </c>
      <c r="E904" s="2">
        <v>4581.8500000000004</v>
      </c>
      <c r="F904" s="1196">
        <f t="shared" si="29"/>
        <v>651.18245643955549</v>
      </c>
    </row>
    <row r="905" spans="2:6">
      <c r="B905" s="189">
        <v>41183</v>
      </c>
      <c r="C905" s="2">
        <v>36269.269999999997</v>
      </c>
      <c r="D905" s="1196">
        <f t="shared" si="28"/>
        <v>280.11159895429074</v>
      </c>
      <c r="E905" s="2">
        <v>4590.1899999999996</v>
      </c>
      <c r="F905" s="1196">
        <f t="shared" si="29"/>
        <v>652.3677553224752</v>
      </c>
    </row>
    <row r="906" spans="2:6">
      <c r="B906" s="189">
        <v>41180</v>
      </c>
      <c r="C906" s="2">
        <v>35757.980000000003</v>
      </c>
      <c r="D906" s="1196">
        <f t="shared" si="28"/>
        <v>276.16284951904333</v>
      </c>
      <c r="E906" s="2">
        <v>4506.74</v>
      </c>
      <c r="F906" s="1196">
        <f t="shared" si="29"/>
        <v>640.50766038486677</v>
      </c>
    </row>
    <row r="907" spans="2:6">
      <c r="B907" s="189">
        <v>41179</v>
      </c>
      <c r="C907" s="2">
        <v>35616.6</v>
      </c>
      <c r="D907" s="1196">
        <f t="shared" ref="D907:D970" si="30">C907/$C$2759*100</f>
        <v>275.07095608252916</v>
      </c>
      <c r="E907" s="2">
        <v>4506.74</v>
      </c>
      <c r="F907" s="1196">
        <f t="shared" ref="F907:F970" si="31">E907/$E$2759*100</f>
        <v>640.50766038486677</v>
      </c>
    </row>
    <row r="908" spans="2:6">
      <c r="B908" s="189">
        <v>41178</v>
      </c>
      <c r="C908" s="2">
        <v>35415.07</v>
      </c>
      <c r="D908" s="1196">
        <f t="shared" si="30"/>
        <v>273.51451751794656</v>
      </c>
      <c r="E908" s="2">
        <v>4506.74</v>
      </c>
      <c r="F908" s="1196">
        <f t="shared" si="31"/>
        <v>640.50766038486677</v>
      </c>
    </row>
    <row r="909" spans="2:6">
      <c r="B909" s="189">
        <v>41177</v>
      </c>
      <c r="C909" s="2">
        <v>36041.480000000003</v>
      </c>
      <c r="D909" s="1196">
        <f t="shared" si="30"/>
        <v>278.35235149422897</v>
      </c>
      <c r="E909" s="2">
        <v>4506.74</v>
      </c>
      <c r="F909" s="1196">
        <f t="shared" si="31"/>
        <v>640.50766038486677</v>
      </c>
    </row>
    <row r="910" spans="2:6">
      <c r="B910" s="189">
        <v>41173</v>
      </c>
      <c r="C910" s="2">
        <v>36206.33</v>
      </c>
      <c r="D910" s="1196">
        <f t="shared" si="30"/>
        <v>279.62550634646652</v>
      </c>
      <c r="E910" s="2">
        <v>4506.74</v>
      </c>
      <c r="F910" s="1196">
        <f t="shared" si="31"/>
        <v>640.50766038486677</v>
      </c>
    </row>
    <row r="911" spans="2:6">
      <c r="B911" s="189">
        <v>41172</v>
      </c>
      <c r="C911" s="2">
        <v>36359.980000000003</v>
      </c>
      <c r="D911" s="1196">
        <f t="shared" si="30"/>
        <v>280.81216235523999</v>
      </c>
      <c r="E911" s="2">
        <v>4506.74</v>
      </c>
      <c r="F911" s="1196">
        <f t="shared" si="31"/>
        <v>640.50766038486677</v>
      </c>
    </row>
    <row r="912" spans="2:6">
      <c r="B912" s="189">
        <v>41171</v>
      </c>
      <c r="C912" s="2">
        <v>36463.14</v>
      </c>
      <c r="D912" s="1196">
        <f t="shared" si="30"/>
        <v>281.60887848843271</v>
      </c>
      <c r="E912" s="2">
        <v>4506.74</v>
      </c>
      <c r="F912" s="1196">
        <f t="shared" si="31"/>
        <v>640.50766038486677</v>
      </c>
    </row>
    <row r="913" spans="2:6">
      <c r="B913" s="189">
        <v>41170</v>
      </c>
      <c r="C913" s="2">
        <v>36445.75</v>
      </c>
      <c r="D913" s="1196">
        <f t="shared" si="30"/>
        <v>281.47457358773261</v>
      </c>
      <c r="E913" s="2">
        <v>4590.1899999999996</v>
      </c>
      <c r="F913" s="1196">
        <f t="shared" si="31"/>
        <v>652.3677553224752</v>
      </c>
    </row>
    <row r="914" spans="2:6">
      <c r="B914" s="189">
        <v>41169</v>
      </c>
      <c r="C914" s="2">
        <v>36362.58</v>
      </c>
      <c r="D914" s="1196">
        <f t="shared" si="30"/>
        <v>280.83224244390129</v>
      </c>
      <c r="E914" s="2">
        <v>4590.1899999999996</v>
      </c>
      <c r="F914" s="1196">
        <f t="shared" si="31"/>
        <v>652.3677553224752</v>
      </c>
    </row>
    <row r="915" spans="2:6">
      <c r="B915" s="189">
        <v>41166</v>
      </c>
      <c r="C915" s="2">
        <v>36550.080000000002</v>
      </c>
      <c r="D915" s="1196">
        <f t="shared" si="30"/>
        <v>282.28032576082296</v>
      </c>
      <c r="E915" s="2">
        <v>4381.55</v>
      </c>
      <c r="F915" s="1196">
        <f t="shared" si="31"/>
        <v>622.71538614593101</v>
      </c>
    </row>
    <row r="916" spans="2:6">
      <c r="B916" s="189">
        <v>41165</v>
      </c>
      <c r="C916" s="2">
        <v>35885.230000000003</v>
      </c>
      <c r="D916" s="1196">
        <f t="shared" si="30"/>
        <v>277.14561539679414</v>
      </c>
      <c r="E916" s="2">
        <v>4381.55</v>
      </c>
      <c r="F916" s="1196">
        <f t="shared" si="31"/>
        <v>622.71538614593101</v>
      </c>
    </row>
    <row r="917" spans="2:6">
      <c r="B917" s="189">
        <v>41164</v>
      </c>
      <c r="C917" s="2">
        <v>35736.410000000003</v>
      </c>
      <c r="D917" s="1196">
        <f t="shared" si="30"/>
        <v>275.99626201426463</v>
      </c>
      <c r="E917" s="2">
        <v>4465.01</v>
      </c>
      <c r="F917" s="1196">
        <f t="shared" si="31"/>
        <v>634.57690230522155</v>
      </c>
    </row>
    <row r="918" spans="2:6">
      <c r="B918" s="189">
        <v>41163</v>
      </c>
      <c r="C918" s="2">
        <v>35446.660000000003</v>
      </c>
      <c r="D918" s="1196">
        <f t="shared" si="30"/>
        <v>273.75849059518157</v>
      </c>
      <c r="E918" s="2">
        <v>4423.28</v>
      </c>
      <c r="F918" s="1196">
        <f t="shared" si="31"/>
        <v>628.64614422557622</v>
      </c>
    </row>
    <row r="919" spans="2:6">
      <c r="B919" s="189">
        <v>41162</v>
      </c>
      <c r="C919" s="2">
        <v>35524.9</v>
      </c>
      <c r="D919" s="1196">
        <f t="shared" si="30"/>
        <v>274.36274680166667</v>
      </c>
      <c r="E919" s="2">
        <v>4381.55</v>
      </c>
      <c r="F919" s="1196">
        <f t="shared" si="31"/>
        <v>622.71538614593101</v>
      </c>
    </row>
    <row r="920" spans="2:6">
      <c r="B920" s="189">
        <v>41159</v>
      </c>
      <c r="C920" s="2">
        <v>35744.25</v>
      </c>
      <c r="D920" s="1196">
        <f t="shared" si="30"/>
        <v>276.0568112046895</v>
      </c>
      <c r="E920" s="2">
        <v>4423.28</v>
      </c>
      <c r="F920" s="1196">
        <f t="shared" si="31"/>
        <v>628.64614422557622</v>
      </c>
    </row>
    <row r="921" spans="2:6">
      <c r="B921" s="189">
        <v>41158</v>
      </c>
      <c r="C921" s="2">
        <v>35674.730000000003</v>
      </c>
      <c r="D921" s="1196">
        <f t="shared" si="30"/>
        <v>275.51990052633005</v>
      </c>
      <c r="E921" s="2">
        <v>4422.4399999999996</v>
      </c>
      <c r="F921" s="1196">
        <f t="shared" si="31"/>
        <v>628.52676160427495</v>
      </c>
    </row>
    <row r="922" spans="2:6">
      <c r="B922" s="189">
        <v>41157</v>
      </c>
      <c r="C922" s="2">
        <v>35045.550000000003</v>
      </c>
      <c r="D922" s="1196">
        <f t="shared" si="30"/>
        <v>270.66067353251236</v>
      </c>
      <c r="E922" s="2">
        <v>4429.95</v>
      </c>
      <c r="F922" s="1196">
        <f t="shared" si="31"/>
        <v>629.59409908757561</v>
      </c>
    </row>
    <row r="923" spans="2:6">
      <c r="B923" s="189">
        <v>41156</v>
      </c>
      <c r="C923" s="2">
        <v>35161.01</v>
      </c>
      <c r="D923" s="1196">
        <f t="shared" si="30"/>
        <v>271.5523839312952</v>
      </c>
      <c r="E923" s="2">
        <v>4505.8999999999996</v>
      </c>
      <c r="F923" s="1196">
        <f t="shared" si="31"/>
        <v>640.3882777635655</v>
      </c>
    </row>
    <row r="924" spans="2:6">
      <c r="B924" s="189">
        <v>41155</v>
      </c>
      <c r="C924" s="2">
        <v>35485.1</v>
      </c>
      <c r="D924" s="1196">
        <f t="shared" si="30"/>
        <v>274.05536698292809</v>
      </c>
      <c r="E924" s="2">
        <v>4506.74</v>
      </c>
      <c r="F924" s="1196">
        <f t="shared" si="31"/>
        <v>640.50766038486677</v>
      </c>
    </row>
    <row r="925" spans="2:6">
      <c r="B925" s="189">
        <v>41152</v>
      </c>
      <c r="C925" s="2">
        <v>35389.449999999997</v>
      </c>
      <c r="D925" s="1196">
        <f t="shared" si="30"/>
        <v>273.31665141352238</v>
      </c>
      <c r="E925" s="2">
        <v>4352.34</v>
      </c>
      <c r="F925" s="1196">
        <f t="shared" si="31"/>
        <v>618.56399761234752</v>
      </c>
    </row>
    <row r="926" spans="2:6">
      <c r="B926" s="189">
        <v>41151</v>
      </c>
      <c r="C926" s="2">
        <v>35307.35</v>
      </c>
      <c r="D926" s="1196">
        <f t="shared" si="30"/>
        <v>272.68258399848628</v>
      </c>
      <c r="E926" s="2">
        <v>4298.92</v>
      </c>
      <c r="F926" s="1196">
        <f t="shared" si="31"/>
        <v>610.97183138625962</v>
      </c>
    </row>
    <row r="927" spans="2:6">
      <c r="B927" s="189">
        <v>41150</v>
      </c>
      <c r="C927" s="2">
        <v>35737.18</v>
      </c>
      <c r="D927" s="1196">
        <f t="shared" si="30"/>
        <v>276.00220880975274</v>
      </c>
      <c r="E927" s="2">
        <v>4438.3</v>
      </c>
      <c r="F927" s="1196">
        <f t="shared" si="31"/>
        <v>630.78081919217755</v>
      </c>
    </row>
    <row r="928" spans="2:6">
      <c r="B928" s="189">
        <v>41149</v>
      </c>
      <c r="C928" s="2">
        <v>35767.699999999997</v>
      </c>
      <c r="D928" s="1196">
        <f t="shared" si="30"/>
        <v>276.23791815819249</v>
      </c>
      <c r="E928" s="2">
        <v>4406.59</v>
      </c>
      <c r="F928" s="1196">
        <f t="shared" si="31"/>
        <v>626.27412523805469</v>
      </c>
    </row>
    <row r="929" spans="2:6">
      <c r="B929" s="189">
        <v>41148</v>
      </c>
      <c r="C929" s="2">
        <v>35897.69</v>
      </c>
      <c r="D929" s="1196">
        <f t="shared" si="30"/>
        <v>277.24184536014798</v>
      </c>
      <c r="E929" s="2">
        <v>4456.66</v>
      </c>
      <c r="F929" s="1196">
        <f t="shared" si="31"/>
        <v>633.39018220061962</v>
      </c>
    </row>
    <row r="930" spans="2:6">
      <c r="B930" s="189">
        <v>41145</v>
      </c>
      <c r="C930" s="2">
        <v>35794.120000000003</v>
      </c>
      <c r="D930" s="1196">
        <f t="shared" si="30"/>
        <v>276.4419627514356</v>
      </c>
      <c r="E930" s="2">
        <v>4506.74</v>
      </c>
      <c r="F930" s="1196">
        <f t="shared" si="31"/>
        <v>640.50766038486677</v>
      </c>
    </row>
    <row r="931" spans="2:6">
      <c r="B931" s="189">
        <v>41144</v>
      </c>
      <c r="C931" s="2">
        <v>35843.919999999998</v>
      </c>
      <c r="D931" s="1196">
        <f t="shared" si="30"/>
        <v>276.82657368040992</v>
      </c>
      <c r="E931" s="2">
        <v>4544.29</v>
      </c>
      <c r="F931" s="1196">
        <f t="shared" si="31"/>
        <v>645.84434780137008</v>
      </c>
    </row>
    <row r="932" spans="2:6">
      <c r="B932" s="189">
        <v>41143</v>
      </c>
      <c r="C932" s="2">
        <v>35616.71</v>
      </c>
      <c r="D932" s="1196">
        <f t="shared" si="30"/>
        <v>275.07180562474173</v>
      </c>
      <c r="E932" s="2">
        <v>4548.46</v>
      </c>
      <c r="F932" s="1196">
        <f t="shared" si="31"/>
        <v>646.43699724282988</v>
      </c>
    </row>
    <row r="933" spans="2:6">
      <c r="B933" s="189">
        <v>41142</v>
      </c>
      <c r="C933" s="2">
        <v>35832.839999999997</v>
      </c>
      <c r="D933" s="1196">
        <f t="shared" si="30"/>
        <v>276.7410016102686</v>
      </c>
      <c r="E933" s="2">
        <v>4666.1400000000003</v>
      </c>
      <c r="F933" s="1196">
        <f t="shared" si="31"/>
        <v>663.16193399846509</v>
      </c>
    </row>
    <row r="934" spans="2:6">
      <c r="B934" s="189">
        <v>41141</v>
      </c>
      <c r="C934" s="2">
        <v>35471.07</v>
      </c>
      <c r="D934" s="1196">
        <f t="shared" si="30"/>
        <v>273.94701173526721</v>
      </c>
      <c r="E934" s="2">
        <v>4505.8999999999996</v>
      </c>
      <c r="F934" s="1196">
        <f t="shared" si="31"/>
        <v>640.3882777635655</v>
      </c>
    </row>
    <row r="935" spans="2:6">
      <c r="B935" s="189">
        <v>41138</v>
      </c>
      <c r="C935" s="2">
        <v>35547.33</v>
      </c>
      <c r="D935" s="1196">
        <f t="shared" si="30"/>
        <v>274.53597618192561</v>
      </c>
      <c r="E935" s="2">
        <v>4405.75</v>
      </c>
      <c r="F935" s="1196">
        <f t="shared" si="31"/>
        <v>626.15474261675331</v>
      </c>
    </row>
    <row r="936" spans="2:6">
      <c r="B936" s="189">
        <v>41137</v>
      </c>
      <c r="C936" s="2">
        <v>35743.230000000003</v>
      </c>
      <c r="D936" s="1196">
        <f t="shared" si="30"/>
        <v>276.04893363144549</v>
      </c>
      <c r="E936" s="2">
        <v>4348.16</v>
      </c>
      <c r="F936" s="1196">
        <f t="shared" si="31"/>
        <v>617.9699269492055</v>
      </c>
    </row>
    <row r="937" spans="2:6">
      <c r="B937" s="189">
        <v>41136</v>
      </c>
      <c r="C937" s="2">
        <v>35543.93</v>
      </c>
      <c r="D937" s="1196">
        <f t="shared" si="30"/>
        <v>274.50971760444543</v>
      </c>
      <c r="E937" s="2">
        <v>4548.46</v>
      </c>
      <c r="F937" s="1196">
        <f t="shared" si="31"/>
        <v>646.43699724282988</v>
      </c>
    </row>
    <row r="938" spans="2:6">
      <c r="B938" s="189">
        <v>41135</v>
      </c>
      <c r="C938" s="2">
        <v>35564.339999999997</v>
      </c>
      <c r="D938" s="1196">
        <f t="shared" si="30"/>
        <v>274.66734630043675</v>
      </c>
      <c r="E938" s="2">
        <v>4298.09</v>
      </c>
      <c r="F938" s="1196">
        <f t="shared" si="31"/>
        <v>610.85386998664046</v>
      </c>
    </row>
    <row r="939" spans="2:6">
      <c r="B939" s="189">
        <v>41134</v>
      </c>
      <c r="C939" s="2">
        <v>35417.94</v>
      </c>
      <c r="D939" s="1196">
        <f t="shared" si="30"/>
        <v>273.53668284658431</v>
      </c>
      <c r="E939" s="2">
        <v>4339.82</v>
      </c>
      <c r="F939" s="1196">
        <f t="shared" si="31"/>
        <v>616.78462806628568</v>
      </c>
    </row>
    <row r="940" spans="2:6">
      <c r="B940" s="189">
        <v>41131</v>
      </c>
      <c r="C940" s="2">
        <v>35574.51</v>
      </c>
      <c r="D940" s="1196">
        <f t="shared" si="30"/>
        <v>274.74589033954658</v>
      </c>
      <c r="E940" s="2">
        <v>4331.47</v>
      </c>
      <c r="F940" s="1196">
        <f t="shared" si="31"/>
        <v>615.59790796168386</v>
      </c>
    </row>
    <row r="941" spans="2:6">
      <c r="B941" s="189">
        <v>41129</v>
      </c>
      <c r="C941" s="2">
        <v>35494.639999999999</v>
      </c>
      <c r="D941" s="1196">
        <f t="shared" si="30"/>
        <v>274.12904546209302</v>
      </c>
      <c r="E941" s="2">
        <v>4338.9799999999996</v>
      </c>
      <c r="F941" s="1196">
        <f t="shared" si="31"/>
        <v>616.66524544498441</v>
      </c>
    </row>
    <row r="942" spans="2:6">
      <c r="B942" s="189">
        <v>41128</v>
      </c>
      <c r="C942" s="2">
        <v>35487.26</v>
      </c>
      <c r="D942" s="1196">
        <f t="shared" si="30"/>
        <v>274.07204890273903</v>
      </c>
      <c r="E942" s="2">
        <v>4097.79</v>
      </c>
      <c r="F942" s="1196">
        <f t="shared" si="31"/>
        <v>582.3867996930162</v>
      </c>
    </row>
    <row r="943" spans="2:6">
      <c r="B943" s="189">
        <v>41127</v>
      </c>
      <c r="C943" s="2">
        <v>35469.18</v>
      </c>
      <c r="D943" s="1196">
        <f t="shared" si="30"/>
        <v>273.93241505543261</v>
      </c>
      <c r="E943" s="2">
        <v>4047.72</v>
      </c>
      <c r="F943" s="1196">
        <f t="shared" si="31"/>
        <v>575.27074273045105</v>
      </c>
    </row>
    <row r="944" spans="2:6">
      <c r="B944" s="189">
        <v>41124</v>
      </c>
      <c r="C944" s="2">
        <v>35244.22</v>
      </c>
      <c r="D944" s="1196">
        <f t="shared" si="30"/>
        <v>272.19502399956752</v>
      </c>
      <c r="E944" s="2">
        <v>4089.44</v>
      </c>
      <c r="F944" s="1196">
        <f t="shared" si="31"/>
        <v>581.20007958841416</v>
      </c>
    </row>
    <row r="945" spans="2:6">
      <c r="B945" s="189">
        <v>41123</v>
      </c>
      <c r="C945" s="2">
        <v>35033.089999999997</v>
      </c>
      <c r="D945" s="1196">
        <f t="shared" si="30"/>
        <v>270.56444356915847</v>
      </c>
      <c r="E945" s="2">
        <v>4089.44</v>
      </c>
      <c r="F945" s="1196">
        <f t="shared" si="31"/>
        <v>581.20007958841416</v>
      </c>
    </row>
    <row r="946" spans="2:6">
      <c r="B946" s="189">
        <v>41122</v>
      </c>
      <c r="C946" s="2">
        <v>35070.660000000003</v>
      </c>
      <c r="D946" s="1196">
        <f t="shared" si="30"/>
        <v>270.85460085031457</v>
      </c>
      <c r="E946" s="2">
        <v>4089.44</v>
      </c>
      <c r="F946" s="1196">
        <f t="shared" si="31"/>
        <v>581.20007958841416</v>
      </c>
    </row>
    <row r="947" spans="2:6">
      <c r="B947" s="189">
        <v>41121</v>
      </c>
      <c r="C947" s="2">
        <v>34596.9</v>
      </c>
      <c r="D947" s="1196">
        <f t="shared" si="30"/>
        <v>267.19569977178207</v>
      </c>
      <c r="E947" s="2">
        <v>4047.72</v>
      </c>
      <c r="F947" s="1196">
        <f t="shared" si="31"/>
        <v>575.27074273045105</v>
      </c>
    </row>
    <row r="948" spans="2:6">
      <c r="B948" s="189">
        <v>41120</v>
      </c>
      <c r="C948" s="2">
        <v>34958.589999999997</v>
      </c>
      <c r="D948" s="1196">
        <f t="shared" si="30"/>
        <v>269.9890717979016</v>
      </c>
      <c r="E948" s="2">
        <v>4089.44</v>
      </c>
      <c r="F948" s="1196">
        <f t="shared" si="31"/>
        <v>581.20007958841416</v>
      </c>
    </row>
    <row r="949" spans="2:6">
      <c r="B949" s="189">
        <v>41117</v>
      </c>
      <c r="C949" s="2">
        <v>34671</v>
      </c>
      <c r="D949" s="1196">
        <f t="shared" si="30"/>
        <v>267.76798229862953</v>
      </c>
      <c r="E949" s="2">
        <v>4081.1</v>
      </c>
      <c r="F949" s="1196">
        <f t="shared" si="31"/>
        <v>580.01478070549445</v>
      </c>
    </row>
    <row r="950" spans="2:6">
      <c r="B950" s="189">
        <v>41116</v>
      </c>
      <c r="C950" s="2">
        <v>34288.980000000003</v>
      </c>
      <c r="D950" s="1196">
        <f t="shared" si="30"/>
        <v>264.81759942540054</v>
      </c>
      <c r="E950" s="2">
        <v>4047.72</v>
      </c>
      <c r="F950" s="1196">
        <f t="shared" si="31"/>
        <v>575.27074273045105</v>
      </c>
    </row>
    <row r="951" spans="2:6">
      <c r="B951" s="189">
        <v>41115</v>
      </c>
      <c r="C951" s="2">
        <v>34069.589999999997</v>
      </c>
      <c r="D951" s="1196">
        <f t="shared" si="30"/>
        <v>263.12322609793677</v>
      </c>
      <c r="E951" s="2">
        <v>4010.16</v>
      </c>
      <c r="F951" s="1196">
        <f t="shared" si="31"/>
        <v>569.93263409226563</v>
      </c>
    </row>
    <row r="952" spans="2:6">
      <c r="B952" s="189">
        <v>41114</v>
      </c>
      <c r="C952" s="2">
        <v>33998.449999999997</v>
      </c>
      <c r="D952" s="1196">
        <f t="shared" si="30"/>
        <v>262.57380397971912</v>
      </c>
      <c r="E952" s="2">
        <v>4110.3100000000004</v>
      </c>
      <c r="F952" s="1196">
        <f t="shared" si="31"/>
        <v>584.16616923907793</v>
      </c>
    </row>
    <row r="953" spans="2:6">
      <c r="B953" s="189">
        <v>41113</v>
      </c>
      <c r="C953" s="2">
        <v>33814.83</v>
      </c>
      <c r="D953" s="1196">
        <f t="shared" si="30"/>
        <v>261.15568633356889</v>
      </c>
      <c r="E953" s="2">
        <v>4131.17</v>
      </c>
      <c r="F953" s="1196">
        <f t="shared" si="31"/>
        <v>587.13083766805948</v>
      </c>
    </row>
    <row r="954" spans="2:6">
      <c r="B954" s="189">
        <v>41110</v>
      </c>
      <c r="C954" s="2">
        <v>34225.42</v>
      </c>
      <c r="D954" s="1196">
        <f t="shared" si="30"/>
        <v>264.32671848874162</v>
      </c>
      <c r="E954" s="2">
        <v>4156.21</v>
      </c>
      <c r="F954" s="1196">
        <f t="shared" si="31"/>
        <v>590.68957676018306</v>
      </c>
    </row>
    <row r="955" spans="2:6">
      <c r="B955" s="189">
        <v>41109</v>
      </c>
      <c r="C955" s="2">
        <v>34291.839999999997</v>
      </c>
      <c r="D955" s="1196">
        <f t="shared" si="30"/>
        <v>264.83968752292799</v>
      </c>
      <c r="E955" s="2">
        <v>4168.7299999999996</v>
      </c>
      <c r="F955" s="1196">
        <f t="shared" si="31"/>
        <v>592.46894630624479</v>
      </c>
    </row>
    <row r="956" spans="2:6">
      <c r="B956" s="189">
        <v>41108</v>
      </c>
      <c r="C956" s="2">
        <v>34035.06</v>
      </c>
      <c r="D956" s="1196">
        <f t="shared" si="30"/>
        <v>262.85654707429245</v>
      </c>
      <c r="E956" s="2">
        <v>4172.8999999999996</v>
      </c>
      <c r="F956" s="1196">
        <f t="shared" si="31"/>
        <v>593.0615957477047</v>
      </c>
    </row>
    <row r="957" spans="2:6">
      <c r="B957" s="189">
        <v>41107</v>
      </c>
      <c r="C957" s="2">
        <v>33706.57</v>
      </c>
      <c r="D957" s="1196">
        <f t="shared" si="30"/>
        <v>260.31958233415583</v>
      </c>
      <c r="E957" s="2">
        <v>4339.82</v>
      </c>
      <c r="F957" s="1196">
        <f t="shared" si="31"/>
        <v>616.78462806628568</v>
      </c>
    </row>
    <row r="958" spans="2:6">
      <c r="B958" s="189">
        <v>41106</v>
      </c>
      <c r="C958" s="2">
        <v>33728.14</v>
      </c>
      <c r="D958" s="1196">
        <f t="shared" si="30"/>
        <v>260.48616983893453</v>
      </c>
      <c r="E958" s="2">
        <v>4340.6499999999996</v>
      </c>
      <c r="F958" s="1196">
        <f t="shared" si="31"/>
        <v>616.90258946590484</v>
      </c>
    </row>
    <row r="959" spans="2:6">
      <c r="B959" s="189">
        <v>41103</v>
      </c>
      <c r="C959" s="2">
        <v>33792.75</v>
      </c>
      <c r="D959" s="1196">
        <f t="shared" si="30"/>
        <v>260.98516004216822</v>
      </c>
      <c r="E959" s="2">
        <v>4256.3599999999997</v>
      </c>
      <c r="F959" s="1196">
        <f t="shared" si="31"/>
        <v>604.92311190699525</v>
      </c>
    </row>
    <row r="960" spans="2:6">
      <c r="B960" s="189">
        <v>41102</v>
      </c>
      <c r="C960" s="2">
        <v>33390.519999999997</v>
      </c>
      <c r="D960" s="1196">
        <f t="shared" si="30"/>
        <v>257.87869309515258</v>
      </c>
      <c r="E960" s="2">
        <v>4022.68</v>
      </c>
      <c r="F960" s="1196">
        <f t="shared" si="31"/>
        <v>571.71200363832747</v>
      </c>
    </row>
    <row r="961" spans="2:6">
      <c r="B961" s="189">
        <v>41101</v>
      </c>
      <c r="C961" s="2">
        <v>33724.69</v>
      </c>
      <c r="D961" s="1196">
        <f t="shared" si="30"/>
        <v>260.4595251059032</v>
      </c>
      <c r="E961" s="2">
        <v>4005.99</v>
      </c>
      <c r="F961" s="1196">
        <f t="shared" si="31"/>
        <v>569.33998465080572</v>
      </c>
    </row>
    <row r="962" spans="2:6">
      <c r="B962" s="189">
        <v>41100</v>
      </c>
      <c r="C962" s="2">
        <v>33998.6</v>
      </c>
      <c r="D962" s="1196">
        <f t="shared" si="30"/>
        <v>262.57496244637264</v>
      </c>
      <c r="E962" s="2">
        <v>3924.2</v>
      </c>
      <c r="F962" s="1196">
        <f t="shared" si="31"/>
        <v>557.71581251243572</v>
      </c>
    </row>
    <row r="963" spans="2:6">
      <c r="B963" s="189">
        <v>41099</v>
      </c>
      <c r="C963" s="2">
        <v>33931.1</v>
      </c>
      <c r="D963" s="1196">
        <f t="shared" si="30"/>
        <v>262.0536524522808</v>
      </c>
      <c r="E963" s="2">
        <v>3989.3</v>
      </c>
      <c r="F963" s="1196">
        <f t="shared" si="31"/>
        <v>566.96796566328419</v>
      </c>
    </row>
    <row r="964" spans="2:6">
      <c r="B964" s="189">
        <v>41096</v>
      </c>
      <c r="C964" s="2">
        <v>34226.21</v>
      </c>
      <c r="D964" s="1196">
        <f t="shared" si="30"/>
        <v>264.3328197464503</v>
      </c>
      <c r="E964" s="2">
        <v>4005.99</v>
      </c>
      <c r="F964" s="1196">
        <f t="shared" si="31"/>
        <v>569.33998465080572</v>
      </c>
    </row>
    <row r="965" spans="2:6">
      <c r="B965" s="189">
        <v>41095</v>
      </c>
      <c r="C965" s="2">
        <v>34222.58</v>
      </c>
      <c r="D965" s="1196">
        <f t="shared" si="30"/>
        <v>264.30478485343468</v>
      </c>
      <c r="E965" s="2">
        <v>4089.44</v>
      </c>
      <c r="F965" s="1196">
        <f t="shared" si="31"/>
        <v>581.20007958841416</v>
      </c>
    </row>
    <row r="966" spans="2:6">
      <c r="B966" s="189">
        <v>41094</v>
      </c>
      <c r="C966" s="2">
        <v>34041.120000000003</v>
      </c>
      <c r="D966" s="1196">
        <f t="shared" si="30"/>
        <v>262.9033491270954</v>
      </c>
      <c r="E966" s="2">
        <v>4089.44</v>
      </c>
      <c r="F966" s="1196">
        <f t="shared" si="31"/>
        <v>581.20007958841416</v>
      </c>
    </row>
    <row r="967" spans="2:6">
      <c r="B967" s="189">
        <v>41093</v>
      </c>
      <c r="C967" s="2">
        <v>33985.71</v>
      </c>
      <c r="D967" s="1196">
        <f t="shared" si="30"/>
        <v>262.47541154527869</v>
      </c>
      <c r="E967" s="2">
        <v>4089.44</v>
      </c>
      <c r="F967" s="1196">
        <f t="shared" si="31"/>
        <v>581.20007958841416</v>
      </c>
    </row>
    <row r="968" spans="2:6">
      <c r="B968" s="189">
        <v>41092</v>
      </c>
      <c r="C968" s="2">
        <v>33652.69</v>
      </c>
      <c r="D968" s="1196">
        <f t="shared" si="30"/>
        <v>259.90346111220526</v>
      </c>
      <c r="E968" s="2">
        <v>4089.44</v>
      </c>
      <c r="F968" s="1196">
        <f t="shared" si="31"/>
        <v>581.20007958841416</v>
      </c>
    </row>
    <row r="969" spans="2:6">
      <c r="B969" s="189">
        <v>41089</v>
      </c>
      <c r="C969" s="2">
        <v>33708.31</v>
      </c>
      <c r="D969" s="1196">
        <f t="shared" si="30"/>
        <v>260.33302054733684</v>
      </c>
      <c r="E969" s="2">
        <v>4089.44</v>
      </c>
      <c r="F969" s="1196">
        <f t="shared" si="31"/>
        <v>581.20007958841416</v>
      </c>
    </row>
    <row r="970" spans="2:6">
      <c r="B970" s="189">
        <v>41088</v>
      </c>
      <c r="C970" s="2">
        <v>33252.550000000003</v>
      </c>
      <c r="D970" s="1196">
        <f t="shared" si="30"/>
        <v>256.81313546722896</v>
      </c>
      <c r="E970" s="2">
        <v>4005.99</v>
      </c>
      <c r="F970" s="1196">
        <f t="shared" si="31"/>
        <v>569.33998465080572</v>
      </c>
    </row>
    <row r="971" spans="2:6">
      <c r="B971" s="189">
        <v>41087</v>
      </c>
      <c r="C971" s="2">
        <v>33748.129999999997</v>
      </c>
      <c r="D971" s="1196">
        <f t="shared" ref="D971:D1034" si="32">C971/$C$2759*100</f>
        <v>260.64055482829593</v>
      </c>
      <c r="E971" s="2">
        <v>4022.68</v>
      </c>
      <c r="F971" s="1196">
        <f t="shared" ref="F971:F1034" si="33">E971/$E$2759*100</f>
        <v>571.71200363832747</v>
      </c>
    </row>
    <row r="972" spans="2:6">
      <c r="B972" s="189">
        <v>41086</v>
      </c>
      <c r="C972" s="2">
        <v>33851.370000000003</v>
      </c>
      <c r="D972" s="1196">
        <f t="shared" si="32"/>
        <v>261.43788881037062</v>
      </c>
      <c r="E972" s="2">
        <v>4047.72</v>
      </c>
      <c r="F972" s="1196">
        <f t="shared" si="33"/>
        <v>575.27074273045105</v>
      </c>
    </row>
    <row r="973" spans="2:6">
      <c r="B973" s="189">
        <v>41085</v>
      </c>
      <c r="C973" s="2">
        <v>33821.980000000003</v>
      </c>
      <c r="D973" s="1196">
        <f t="shared" si="32"/>
        <v>261.21090657738756</v>
      </c>
      <c r="E973" s="2">
        <v>4047.72</v>
      </c>
      <c r="F973" s="1196">
        <f t="shared" si="33"/>
        <v>575.27074273045105</v>
      </c>
    </row>
    <row r="974" spans="2:6">
      <c r="B974" s="189">
        <v>41082</v>
      </c>
      <c r="C974" s="2">
        <v>34118.870000000003</v>
      </c>
      <c r="D974" s="1196">
        <f t="shared" si="32"/>
        <v>263.50382100917898</v>
      </c>
      <c r="E974" s="2">
        <v>4135.3500000000004</v>
      </c>
      <c r="F974" s="1196">
        <f t="shared" si="33"/>
        <v>587.72490833120162</v>
      </c>
    </row>
    <row r="975" spans="2:6">
      <c r="B975" s="189">
        <v>41081</v>
      </c>
      <c r="C975" s="2">
        <v>34534.050000000003</v>
      </c>
      <c r="D975" s="1196">
        <f t="shared" si="32"/>
        <v>266.71030224394997</v>
      </c>
      <c r="E975" s="2">
        <v>4135.3500000000004</v>
      </c>
      <c r="F975" s="1196">
        <f t="shared" si="33"/>
        <v>587.72490833120162</v>
      </c>
    </row>
    <row r="976" spans="2:6">
      <c r="B976" s="189">
        <v>41080</v>
      </c>
      <c r="C976" s="2">
        <v>34788.370000000003</v>
      </c>
      <c r="D976" s="1196">
        <f t="shared" si="32"/>
        <v>268.67444383946741</v>
      </c>
      <c r="E976" s="2">
        <v>4052.64</v>
      </c>
      <c r="F976" s="1196">
        <f t="shared" si="33"/>
        <v>575.9699837980728</v>
      </c>
    </row>
    <row r="977" spans="2:6">
      <c r="B977" s="189">
        <v>41079</v>
      </c>
      <c r="C977" s="2">
        <v>34714.06</v>
      </c>
      <c r="D977" s="1196">
        <f t="shared" si="32"/>
        <v>268.10053945930497</v>
      </c>
      <c r="E977" s="2">
        <v>4135.3500000000004</v>
      </c>
      <c r="F977" s="1196">
        <f t="shared" si="33"/>
        <v>587.72490833120162</v>
      </c>
    </row>
    <row r="978" spans="2:6">
      <c r="B978" s="189">
        <v>41078</v>
      </c>
      <c r="C978" s="2">
        <v>34438.76</v>
      </c>
      <c r="D978" s="1196">
        <f t="shared" si="32"/>
        <v>265.97436699451276</v>
      </c>
      <c r="E978" s="2">
        <v>4052.64</v>
      </c>
      <c r="F978" s="1196">
        <f t="shared" si="33"/>
        <v>575.9699837980728</v>
      </c>
    </row>
    <row r="979" spans="2:6">
      <c r="B979" s="189">
        <v>41075</v>
      </c>
      <c r="C979" s="2">
        <v>33959.870000000003</v>
      </c>
      <c r="D979" s="1196">
        <f t="shared" si="32"/>
        <v>262.27584635642933</v>
      </c>
      <c r="E979" s="2">
        <v>4135.3500000000004</v>
      </c>
      <c r="F979" s="1196">
        <f t="shared" si="33"/>
        <v>587.72490833120162</v>
      </c>
    </row>
    <row r="980" spans="2:6">
      <c r="B980" s="189">
        <v>41074</v>
      </c>
      <c r="C980" s="2">
        <v>33826.01</v>
      </c>
      <c r="D980" s="1196">
        <f t="shared" si="32"/>
        <v>261.24203071481259</v>
      </c>
      <c r="E980" s="2">
        <v>4052.64</v>
      </c>
      <c r="F980" s="1196">
        <f t="shared" si="33"/>
        <v>575.9699837980728</v>
      </c>
    </row>
    <row r="981" spans="2:6">
      <c r="B981" s="189">
        <v>41073</v>
      </c>
      <c r="C981" s="2">
        <v>34037.83</v>
      </c>
      <c r="D981" s="1196">
        <f t="shared" si="32"/>
        <v>262.87794009182784</v>
      </c>
      <c r="E981" s="2">
        <v>4052.64</v>
      </c>
      <c r="F981" s="1196">
        <f t="shared" si="33"/>
        <v>575.9699837980728</v>
      </c>
    </row>
    <row r="982" spans="2:6">
      <c r="B982" s="189">
        <v>41072</v>
      </c>
      <c r="C982" s="2">
        <v>33855.46</v>
      </c>
      <c r="D982" s="1196">
        <f t="shared" si="32"/>
        <v>261.46947633445706</v>
      </c>
      <c r="E982" s="2">
        <v>4052.64</v>
      </c>
      <c r="F982" s="1196">
        <f t="shared" si="33"/>
        <v>575.9699837980728</v>
      </c>
    </row>
    <row r="983" spans="2:6">
      <c r="B983" s="189">
        <v>41071</v>
      </c>
      <c r="C983" s="2">
        <v>33616.57</v>
      </c>
      <c r="D983" s="1196">
        <f t="shared" si="32"/>
        <v>259.62450234203345</v>
      </c>
      <c r="E983" s="2">
        <v>3854.14</v>
      </c>
      <c r="F983" s="1196">
        <f t="shared" si="33"/>
        <v>547.75873340723683</v>
      </c>
    </row>
    <row r="984" spans="2:6">
      <c r="B984" s="189">
        <v>41068</v>
      </c>
      <c r="C984" s="2">
        <v>33665.71</v>
      </c>
      <c r="D984" s="1196">
        <f t="shared" si="32"/>
        <v>260.00401601773223</v>
      </c>
      <c r="E984" s="2">
        <v>4093.99</v>
      </c>
      <c r="F984" s="1196">
        <f t="shared" si="33"/>
        <v>581.8467354537961</v>
      </c>
    </row>
    <row r="985" spans="2:6">
      <c r="B985" s="189">
        <v>41067</v>
      </c>
      <c r="C985" s="2">
        <v>33904.86</v>
      </c>
      <c r="D985" s="1196">
        <f t="shared" si="32"/>
        <v>261.85099801902203</v>
      </c>
      <c r="E985" s="2">
        <v>4000.53</v>
      </c>
      <c r="F985" s="1196">
        <f t="shared" si="33"/>
        <v>568.56399761234763</v>
      </c>
    </row>
    <row r="986" spans="2:6">
      <c r="B986" s="189">
        <v>41066</v>
      </c>
      <c r="C986" s="2">
        <v>33603.35</v>
      </c>
      <c r="D986" s="1196">
        <f t="shared" si="32"/>
        <v>259.52240281430164</v>
      </c>
      <c r="E986" s="2">
        <v>4053.47</v>
      </c>
      <c r="F986" s="1196">
        <f t="shared" si="33"/>
        <v>576.08794519769185</v>
      </c>
    </row>
    <row r="987" spans="2:6">
      <c r="B987" s="189">
        <v>41065</v>
      </c>
      <c r="C987" s="2">
        <v>33117.85</v>
      </c>
      <c r="D987" s="1196">
        <f t="shared" si="32"/>
        <v>255.77283241235236</v>
      </c>
      <c r="E987" s="2">
        <v>3891.36</v>
      </c>
      <c r="F987" s="1196">
        <f t="shared" si="33"/>
        <v>553.04852050822888</v>
      </c>
    </row>
    <row r="988" spans="2:6">
      <c r="B988" s="189">
        <v>41064</v>
      </c>
      <c r="C988" s="2">
        <v>33076.300000000003</v>
      </c>
      <c r="D988" s="1196">
        <f t="shared" si="32"/>
        <v>255.4519371493225</v>
      </c>
      <c r="E988" s="2">
        <v>4102.26</v>
      </c>
      <c r="F988" s="1196">
        <f t="shared" si="33"/>
        <v>583.02208578494071</v>
      </c>
    </row>
    <row r="989" spans="2:6">
      <c r="B989" s="189">
        <v>41061</v>
      </c>
      <c r="C989" s="2">
        <v>33107.46</v>
      </c>
      <c r="D989" s="1196">
        <f t="shared" si="32"/>
        <v>255.69258928881732</v>
      </c>
      <c r="E989" s="2">
        <v>3808.65</v>
      </c>
      <c r="F989" s="1196">
        <f t="shared" si="33"/>
        <v>541.29359597510017</v>
      </c>
    </row>
    <row r="990" spans="2:6">
      <c r="B990" s="189">
        <v>41060</v>
      </c>
      <c r="C990" s="2">
        <v>33142.61</v>
      </c>
      <c r="D990" s="1196">
        <f t="shared" si="32"/>
        <v>255.96405664129628</v>
      </c>
      <c r="E990" s="2">
        <v>3804.52</v>
      </c>
      <c r="F990" s="1196">
        <f t="shared" si="33"/>
        <v>540.70663142036892</v>
      </c>
    </row>
    <row r="991" spans="2:6">
      <c r="B991" s="189">
        <v>41059</v>
      </c>
      <c r="C991" s="2">
        <v>32968.81</v>
      </c>
      <c r="D991" s="1196">
        <f t="shared" si="32"/>
        <v>254.62177994539758</v>
      </c>
      <c r="E991" s="2">
        <v>3804.52</v>
      </c>
      <c r="F991" s="1196">
        <f t="shared" si="33"/>
        <v>540.70663142036892</v>
      </c>
    </row>
    <row r="992" spans="2:6">
      <c r="B992" s="189">
        <v>41058</v>
      </c>
      <c r="C992" s="2">
        <v>33440.199999999997</v>
      </c>
      <c r="D992" s="1196">
        <f t="shared" si="32"/>
        <v>258.26237725080415</v>
      </c>
      <c r="E992" s="2">
        <v>3804.52</v>
      </c>
      <c r="F992" s="1196">
        <f t="shared" si="33"/>
        <v>540.70663142036892</v>
      </c>
    </row>
    <row r="993" spans="2:6">
      <c r="B993" s="189">
        <v>41057</v>
      </c>
      <c r="C993" s="2">
        <v>33104.06</v>
      </c>
      <c r="D993" s="1196">
        <f t="shared" si="32"/>
        <v>255.66633071133711</v>
      </c>
      <c r="E993" s="2">
        <v>3805.35</v>
      </c>
      <c r="F993" s="1196">
        <f t="shared" si="33"/>
        <v>540.82459281998808</v>
      </c>
    </row>
    <row r="994" spans="2:6">
      <c r="B994" s="189">
        <v>41054</v>
      </c>
      <c r="C994" s="2">
        <v>32992.25</v>
      </c>
      <c r="D994" s="1196">
        <f t="shared" si="32"/>
        <v>254.8028096677904</v>
      </c>
      <c r="E994" s="2">
        <v>4135.3500000000004</v>
      </c>
      <c r="F994" s="1196">
        <f t="shared" si="33"/>
        <v>587.72490833120162</v>
      </c>
    </row>
    <row r="995" spans="2:6">
      <c r="B995" s="189">
        <v>41053</v>
      </c>
      <c r="C995" s="2">
        <v>33046.129999999997</v>
      </c>
      <c r="D995" s="1196">
        <f t="shared" si="32"/>
        <v>255.21893088974102</v>
      </c>
      <c r="E995" s="2">
        <v>3804.52</v>
      </c>
      <c r="F995" s="1196">
        <f t="shared" si="33"/>
        <v>540.70663142036892</v>
      </c>
    </row>
    <row r="996" spans="2:6">
      <c r="B996" s="189">
        <v>41052</v>
      </c>
      <c r="C996" s="2">
        <v>32887.449999999997</v>
      </c>
      <c r="D996" s="1196">
        <f t="shared" si="32"/>
        <v>253.99342763251892</v>
      </c>
      <c r="E996" s="2">
        <v>3804.52</v>
      </c>
      <c r="F996" s="1196">
        <f t="shared" si="33"/>
        <v>540.70663142036892</v>
      </c>
    </row>
    <row r="997" spans="2:6">
      <c r="B997" s="189">
        <v>41051</v>
      </c>
      <c r="C997" s="2">
        <v>33488.14</v>
      </c>
      <c r="D997" s="1196">
        <f t="shared" si="32"/>
        <v>258.63262319327475</v>
      </c>
      <c r="E997" s="2">
        <v>3804.52</v>
      </c>
      <c r="F997" s="1196">
        <f t="shared" si="33"/>
        <v>540.70663142036892</v>
      </c>
    </row>
    <row r="998" spans="2:6">
      <c r="B998" s="189">
        <v>41050</v>
      </c>
      <c r="C998" s="2">
        <v>33086</v>
      </c>
      <c r="D998" s="1196">
        <f t="shared" si="32"/>
        <v>255.52685132625123</v>
      </c>
      <c r="E998" s="2">
        <v>3804.52</v>
      </c>
      <c r="F998" s="1196">
        <f t="shared" si="33"/>
        <v>540.70663142036892</v>
      </c>
    </row>
    <row r="999" spans="2:6">
      <c r="B999" s="189">
        <v>41047</v>
      </c>
      <c r="C999" s="2">
        <v>33148.39</v>
      </c>
      <c r="D999" s="1196">
        <f t="shared" si="32"/>
        <v>256.00869622301252</v>
      </c>
      <c r="E999" s="2">
        <v>3804.52</v>
      </c>
      <c r="F999" s="1196">
        <f t="shared" si="33"/>
        <v>540.70663142036892</v>
      </c>
    </row>
    <row r="1000" spans="2:6">
      <c r="B1000" s="189">
        <v>41046</v>
      </c>
      <c r="C1000" s="2">
        <v>33538.92</v>
      </c>
      <c r="D1000" s="1196">
        <f t="shared" si="32"/>
        <v>259.02480277105224</v>
      </c>
      <c r="E1000" s="2">
        <v>3816.93</v>
      </c>
      <c r="F1000" s="1196">
        <f t="shared" si="33"/>
        <v>542.47036752792701</v>
      </c>
    </row>
    <row r="1001" spans="2:6">
      <c r="B1001" s="189">
        <v>41045</v>
      </c>
      <c r="C1001" s="2">
        <v>33794.720000000001</v>
      </c>
      <c r="D1001" s="1196">
        <f t="shared" si="32"/>
        <v>261.00037457088467</v>
      </c>
      <c r="E1001" s="2">
        <v>3803.69</v>
      </c>
      <c r="F1001" s="1196">
        <f t="shared" si="33"/>
        <v>540.58867002074987</v>
      </c>
    </row>
    <row r="1002" spans="2:6">
      <c r="B1002" s="189">
        <v>41044</v>
      </c>
      <c r="C1002" s="2">
        <v>33486.080000000002</v>
      </c>
      <c r="D1002" s="1196">
        <f t="shared" si="32"/>
        <v>258.61671358456613</v>
      </c>
      <c r="E1002" s="2">
        <v>3802.04</v>
      </c>
      <c r="F1002" s="1196">
        <f t="shared" si="33"/>
        <v>540.35416844319377</v>
      </c>
    </row>
    <row r="1003" spans="2:6">
      <c r="B1003" s="189">
        <v>41043</v>
      </c>
      <c r="C1003" s="2">
        <v>33533.56</v>
      </c>
      <c r="D1003" s="1196">
        <f t="shared" si="32"/>
        <v>258.9834068959658</v>
      </c>
      <c r="E1003" s="2">
        <v>3680.46</v>
      </c>
      <c r="F1003" s="1196">
        <f t="shared" si="33"/>
        <v>523.07495523151704</v>
      </c>
    </row>
    <row r="1004" spans="2:6">
      <c r="B1004" s="189">
        <v>41040</v>
      </c>
      <c r="C1004" s="2">
        <v>34038.46</v>
      </c>
      <c r="D1004" s="1196">
        <f t="shared" si="32"/>
        <v>262.88280565177263</v>
      </c>
      <c r="E1004" s="2">
        <v>3680.46</v>
      </c>
      <c r="F1004" s="1196">
        <f t="shared" si="33"/>
        <v>523.07495523151704</v>
      </c>
    </row>
    <row r="1005" spans="2:6">
      <c r="B1005" s="189">
        <v>41039</v>
      </c>
      <c r="C1005" s="2">
        <v>33869.71</v>
      </c>
      <c r="D1005" s="1196">
        <f t="shared" si="32"/>
        <v>261.57953066654312</v>
      </c>
      <c r="E1005" s="2">
        <v>3680.46</v>
      </c>
      <c r="F1005" s="1196">
        <f t="shared" si="33"/>
        <v>523.07495523151704</v>
      </c>
    </row>
    <row r="1006" spans="2:6">
      <c r="B1006" s="189">
        <v>41038</v>
      </c>
      <c r="C1006" s="2">
        <v>33434.04</v>
      </c>
      <c r="D1006" s="1196">
        <f t="shared" si="32"/>
        <v>258.21480288689889</v>
      </c>
      <c r="E1006" s="2">
        <v>3713.54</v>
      </c>
      <c r="F1006" s="1196">
        <f t="shared" si="33"/>
        <v>527.77635655609561</v>
      </c>
    </row>
    <row r="1007" spans="2:6">
      <c r="B1007" s="189">
        <v>41037</v>
      </c>
      <c r="C1007" s="2">
        <v>33547.769999999997</v>
      </c>
      <c r="D1007" s="1196">
        <f t="shared" si="32"/>
        <v>259.09315230361096</v>
      </c>
      <c r="E1007" s="2">
        <v>3597.75</v>
      </c>
      <c r="F1007" s="1196">
        <f t="shared" si="33"/>
        <v>511.32003069838834</v>
      </c>
    </row>
    <row r="1008" spans="2:6">
      <c r="B1008" s="189">
        <v>41036</v>
      </c>
      <c r="C1008" s="2">
        <v>33956.080000000002</v>
      </c>
      <c r="D1008" s="1196">
        <f t="shared" si="32"/>
        <v>262.24657576564994</v>
      </c>
      <c r="E1008" s="2">
        <v>3639.11</v>
      </c>
      <c r="F1008" s="1196">
        <f t="shared" si="33"/>
        <v>517.19820357579374</v>
      </c>
    </row>
    <row r="1009" spans="2:6">
      <c r="B1009" s="189">
        <v>41033</v>
      </c>
      <c r="C1009" s="2">
        <v>34127.279999999999</v>
      </c>
      <c r="D1009" s="1196">
        <f t="shared" si="32"/>
        <v>263.56877237288722</v>
      </c>
      <c r="E1009" s="2">
        <v>3639.11</v>
      </c>
      <c r="F1009" s="1196">
        <f t="shared" si="33"/>
        <v>517.19820357579374</v>
      </c>
    </row>
    <row r="1010" spans="2:6">
      <c r="B1010" s="189">
        <v>41032</v>
      </c>
      <c r="C1010" s="2">
        <v>34375.51</v>
      </c>
      <c r="D1010" s="1196">
        <f t="shared" si="32"/>
        <v>265.48588022227119</v>
      </c>
      <c r="E1010" s="2">
        <v>3680.46</v>
      </c>
      <c r="F1010" s="1196">
        <f t="shared" si="33"/>
        <v>523.07495523151704</v>
      </c>
    </row>
    <row r="1011" spans="2:6">
      <c r="B1011" s="189">
        <v>41031</v>
      </c>
      <c r="C1011" s="2">
        <v>34482.43</v>
      </c>
      <c r="D1011" s="1196">
        <f t="shared" si="32"/>
        <v>266.31163525291259</v>
      </c>
      <c r="E1011" s="2">
        <v>3721.81</v>
      </c>
      <c r="F1011" s="1196">
        <f t="shared" si="33"/>
        <v>528.95170688724033</v>
      </c>
    </row>
    <row r="1012" spans="2:6">
      <c r="B1012" s="189">
        <v>41029</v>
      </c>
      <c r="C1012" s="2">
        <v>34399.040000000001</v>
      </c>
      <c r="D1012" s="1196">
        <f t="shared" si="32"/>
        <v>265.66760502465604</v>
      </c>
      <c r="E1012" s="2">
        <v>3721.81</v>
      </c>
      <c r="F1012" s="1196">
        <f t="shared" si="33"/>
        <v>528.95170688724033</v>
      </c>
    </row>
    <row r="1013" spans="2:6">
      <c r="B1013" s="189">
        <v>41025</v>
      </c>
      <c r="C1013" s="2">
        <v>34251.43</v>
      </c>
      <c r="D1013" s="1196">
        <f t="shared" si="32"/>
        <v>264.52759660646501</v>
      </c>
      <c r="E1013" s="2">
        <v>3721.81</v>
      </c>
      <c r="F1013" s="1196">
        <f t="shared" si="33"/>
        <v>528.95170688724033</v>
      </c>
    </row>
    <row r="1014" spans="2:6">
      <c r="B1014" s="189">
        <v>41024</v>
      </c>
      <c r="C1014" s="2">
        <v>34028.81</v>
      </c>
      <c r="D1014" s="1196">
        <f t="shared" si="32"/>
        <v>262.80827763039503</v>
      </c>
      <c r="E1014" s="2">
        <v>3721.81</v>
      </c>
      <c r="F1014" s="1196">
        <f t="shared" si="33"/>
        <v>528.95170688724033</v>
      </c>
    </row>
    <row r="1015" spans="2:6">
      <c r="B1015" s="189">
        <v>41023</v>
      </c>
      <c r="C1015" s="2">
        <v>33820.870000000003</v>
      </c>
      <c r="D1015" s="1196">
        <f t="shared" si="32"/>
        <v>261.20233392415139</v>
      </c>
      <c r="E1015" s="2">
        <v>3721.81</v>
      </c>
      <c r="F1015" s="1196">
        <f t="shared" si="33"/>
        <v>528.95170688724033</v>
      </c>
    </row>
    <row r="1016" spans="2:6">
      <c r="B1016" s="189">
        <v>41022</v>
      </c>
      <c r="C1016" s="2">
        <v>33703.21</v>
      </c>
      <c r="D1016" s="1196">
        <f t="shared" si="32"/>
        <v>260.29363268111661</v>
      </c>
      <c r="E1016" s="2">
        <v>3721.81</v>
      </c>
      <c r="F1016" s="1196">
        <f t="shared" si="33"/>
        <v>528.95170688724033</v>
      </c>
    </row>
    <row r="1017" spans="2:6">
      <c r="B1017" s="189">
        <v>41019</v>
      </c>
      <c r="C1017" s="2">
        <v>34216.550000000003</v>
      </c>
      <c r="D1017" s="1196">
        <f t="shared" si="32"/>
        <v>264.2582144939625</v>
      </c>
      <c r="E1017" s="2">
        <v>3730.08</v>
      </c>
      <c r="F1017" s="1196">
        <f t="shared" si="33"/>
        <v>530.12705721838495</v>
      </c>
    </row>
    <row r="1018" spans="2:6">
      <c r="B1018" s="189">
        <v>41018</v>
      </c>
      <c r="C1018" s="2">
        <v>34106.92</v>
      </c>
      <c r="D1018" s="1196">
        <f t="shared" si="32"/>
        <v>263.41152983244712</v>
      </c>
      <c r="E1018" s="2">
        <v>3800.38</v>
      </c>
      <c r="F1018" s="1196">
        <f t="shared" si="33"/>
        <v>540.11824564395556</v>
      </c>
    </row>
    <row r="1019" spans="2:6">
      <c r="B1019" s="189">
        <v>41017</v>
      </c>
      <c r="C1019" s="2">
        <v>34050.239999999998</v>
      </c>
      <c r="D1019" s="1196">
        <f t="shared" si="32"/>
        <v>262.97378389963046</v>
      </c>
      <c r="E1019" s="2">
        <v>3787.98</v>
      </c>
      <c r="F1019" s="1196">
        <f t="shared" si="33"/>
        <v>538.35593075807969</v>
      </c>
    </row>
    <row r="1020" spans="2:6">
      <c r="B1020" s="189">
        <v>41016</v>
      </c>
      <c r="C1020" s="2">
        <v>33777.97</v>
      </c>
      <c r="D1020" s="1196">
        <f t="shared" si="32"/>
        <v>260.87101246123967</v>
      </c>
      <c r="E1020" s="2">
        <v>3803.69</v>
      </c>
      <c r="F1020" s="1196">
        <f t="shared" si="33"/>
        <v>540.58867002074987</v>
      </c>
    </row>
    <row r="1021" spans="2:6">
      <c r="B1021" s="189">
        <v>41015</v>
      </c>
      <c r="C1021" s="2">
        <v>33661.21</v>
      </c>
      <c r="D1021" s="1196">
        <f t="shared" si="32"/>
        <v>259.96926201812613</v>
      </c>
      <c r="E1021" s="2">
        <v>3802.86</v>
      </c>
      <c r="F1021" s="1196">
        <f t="shared" si="33"/>
        <v>540.47070862113071</v>
      </c>
    </row>
    <row r="1022" spans="2:6">
      <c r="B1022" s="189">
        <v>41012</v>
      </c>
      <c r="C1022" s="2">
        <v>33705.03</v>
      </c>
      <c r="D1022" s="1196">
        <f t="shared" si="32"/>
        <v>260.30768874317954</v>
      </c>
      <c r="E1022" s="2">
        <v>3804.52</v>
      </c>
      <c r="F1022" s="1196">
        <f t="shared" si="33"/>
        <v>540.70663142036892</v>
      </c>
    </row>
    <row r="1023" spans="2:6">
      <c r="B1023" s="189">
        <v>41011</v>
      </c>
      <c r="C1023" s="2">
        <v>33816.959999999999</v>
      </c>
      <c r="D1023" s="1196">
        <f t="shared" si="32"/>
        <v>261.17213656004913</v>
      </c>
      <c r="E1023" s="2">
        <v>3735.87</v>
      </c>
      <c r="F1023" s="1196">
        <f t="shared" si="33"/>
        <v>530.94994457235441</v>
      </c>
    </row>
    <row r="1024" spans="2:6">
      <c r="B1024" s="189">
        <v>41010</v>
      </c>
      <c r="C1024" s="2">
        <v>33632.76</v>
      </c>
      <c r="D1024" s="1196">
        <f t="shared" si="32"/>
        <v>259.74953950950527</v>
      </c>
      <c r="E1024" s="2">
        <v>3886.4</v>
      </c>
      <c r="F1024" s="1196">
        <f t="shared" si="33"/>
        <v>552.34359455387846</v>
      </c>
    </row>
    <row r="1025" spans="2:6">
      <c r="B1025" s="189">
        <v>41009</v>
      </c>
      <c r="C1025" s="2">
        <v>33617.74</v>
      </c>
      <c r="D1025" s="1196">
        <f t="shared" si="32"/>
        <v>259.63353838193098</v>
      </c>
      <c r="E1025" s="2">
        <v>3886.4</v>
      </c>
      <c r="F1025" s="1196">
        <f t="shared" si="33"/>
        <v>552.34359455387846</v>
      </c>
    </row>
    <row r="1026" spans="2:6">
      <c r="B1026" s="189">
        <v>41004</v>
      </c>
      <c r="C1026" s="2">
        <v>33732.199999999997</v>
      </c>
      <c r="D1026" s="1196">
        <f t="shared" si="32"/>
        <v>260.51752566969026</v>
      </c>
      <c r="E1026" s="2">
        <v>3887.23</v>
      </c>
      <c r="F1026" s="1196">
        <f t="shared" si="33"/>
        <v>552.46155595349762</v>
      </c>
    </row>
    <row r="1027" spans="2:6">
      <c r="B1027" s="189">
        <v>41003</v>
      </c>
      <c r="C1027" s="2">
        <v>33404.32</v>
      </c>
      <c r="D1027" s="1196">
        <f t="shared" si="32"/>
        <v>257.98527202727803</v>
      </c>
      <c r="E1027" s="2">
        <v>3887.23</v>
      </c>
      <c r="F1027" s="1196">
        <f t="shared" si="33"/>
        <v>552.46155595349762</v>
      </c>
    </row>
    <row r="1028" spans="2:6">
      <c r="B1028" s="189">
        <v>41002</v>
      </c>
      <c r="C1028" s="2">
        <v>34192.19</v>
      </c>
      <c r="D1028" s="1196">
        <f t="shared" si="32"/>
        <v>264.07007950942801</v>
      </c>
      <c r="E1028" s="2">
        <v>4051.81</v>
      </c>
      <c r="F1028" s="1196">
        <f t="shared" si="33"/>
        <v>575.85202239845364</v>
      </c>
    </row>
    <row r="1029" spans="2:6">
      <c r="B1029" s="189">
        <v>41001</v>
      </c>
      <c r="C1029" s="2">
        <v>33974.629999999997</v>
      </c>
      <c r="D1029" s="1196">
        <f t="shared" si="32"/>
        <v>262.38983947513736</v>
      </c>
      <c r="E1029" s="2">
        <v>3969.93</v>
      </c>
      <c r="F1029" s="1196">
        <f t="shared" si="33"/>
        <v>564.2150592649441</v>
      </c>
    </row>
    <row r="1030" spans="2:6">
      <c r="B1030" s="189">
        <v>40998</v>
      </c>
      <c r="C1030" s="2">
        <v>33554.21</v>
      </c>
      <c r="D1030" s="1196">
        <f t="shared" si="32"/>
        <v>259.14288913860281</v>
      </c>
      <c r="E1030" s="2">
        <v>3888.88</v>
      </c>
      <c r="F1030" s="1196">
        <f t="shared" si="33"/>
        <v>552.69605753105373</v>
      </c>
    </row>
    <row r="1031" spans="2:6">
      <c r="B1031" s="189">
        <v>40997</v>
      </c>
      <c r="C1031" s="2">
        <v>33483.26</v>
      </c>
      <c r="D1031" s="1196">
        <f t="shared" si="32"/>
        <v>258.59493441147964</v>
      </c>
      <c r="E1031" s="2">
        <v>3887.23</v>
      </c>
      <c r="F1031" s="1196">
        <f t="shared" si="33"/>
        <v>552.46155595349762</v>
      </c>
    </row>
    <row r="1032" spans="2:6">
      <c r="B1032" s="189">
        <v>40996</v>
      </c>
      <c r="C1032" s="2">
        <v>33621.93</v>
      </c>
      <c r="D1032" s="1196">
        <f t="shared" si="32"/>
        <v>259.66589821711983</v>
      </c>
      <c r="E1032" s="2">
        <v>3887.23</v>
      </c>
      <c r="F1032" s="1196">
        <f t="shared" si="33"/>
        <v>552.46155595349762</v>
      </c>
    </row>
    <row r="1033" spans="2:6">
      <c r="B1033" s="189">
        <v>40995</v>
      </c>
      <c r="C1033" s="2">
        <v>33858.22</v>
      </c>
      <c r="D1033" s="1196">
        <f t="shared" si="32"/>
        <v>261.49079212088213</v>
      </c>
      <c r="E1033" s="2">
        <v>3887.23</v>
      </c>
      <c r="F1033" s="1196">
        <f t="shared" si="33"/>
        <v>552.46155595349762</v>
      </c>
    </row>
    <row r="1034" spans="2:6">
      <c r="B1034" s="189">
        <v>40994</v>
      </c>
      <c r="C1034" s="2">
        <v>33664.46</v>
      </c>
      <c r="D1034" s="1196">
        <f t="shared" si="32"/>
        <v>259.99436212895279</v>
      </c>
      <c r="E1034" s="2">
        <v>3887.23</v>
      </c>
      <c r="F1034" s="1196">
        <f t="shared" si="33"/>
        <v>552.46155595349762</v>
      </c>
    </row>
    <row r="1035" spans="2:6">
      <c r="B1035" s="189">
        <v>40991</v>
      </c>
      <c r="C1035" s="2">
        <v>33572.07</v>
      </c>
      <c r="D1035" s="1196">
        <f t="shared" ref="D1035:D1098" si="34">C1035/$C$2759*100</f>
        <v>259.28082390148404</v>
      </c>
      <c r="E1035" s="2">
        <v>3887.23</v>
      </c>
      <c r="F1035" s="1196">
        <f t="shared" ref="F1035:F1098" si="35">E1035/$E$2759*100</f>
        <v>552.46155595349762</v>
      </c>
    </row>
    <row r="1036" spans="2:6">
      <c r="B1036" s="189">
        <v>40990</v>
      </c>
      <c r="C1036" s="2">
        <v>33550.89</v>
      </c>
      <c r="D1036" s="1196">
        <f t="shared" si="34"/>
        <v>259.11724841000449</v>
      </c>
      <c r="E1036" s="2">
        <v>3887.23</v>
      </c>
      <c r="F1036" s="1196">
        <f t="shared" si="35"/>
        <v>552.46155595349762</v>
      </c>
    </row>
    <row r="1037" spans="2:6">
      <c r="B1037" s="189">
        <v>40988</v>
      </c>
      <c r="C1037" s="2">
        <v>33878.559999999998</v>
      </c>
      <c r="D1037" s="1196">
        <f t="shared" si="34"/>
        <v>261.64788019910179</v>
      </c>
      <c r="E1037" s="2">
        <v>3852.49</v>
      </c>
      <c r="F1037" s="1196">
        <f t="shared" si="35"/>
        <v>547.52423182968073</v>
      </c>
    </row>
    <row r="1038" spans="2:6">
      <c r="B1038" s="189">
        <v>40987</v>
      </c>
      <c r="C1038" s="2">
        <v>34214.07</v>
      </c>
      <c r="D1038" s="1196">
        <f t="shared" si="34"/>
        <v>264.23906117862396</v>
      </c>
      <c r="E1038" s="2">
        <v>3830.16</v>
      </c>
      <c r="F1038" s="1196">
        <f t="shared" si="35"/>
        <v>544.35064381342193</v>
      </c>
    </row>
    <row r="1039" spans="2:6">
      <c r="B1039" s="189">
        <v>40984</v>
      </c>
      <c r="C1039" s="2">
        <v>34221.620000000003</v>
      </c>
      <c r="D1039" s="1196">
        <f t="shared" si="34"/>
        <v>264.29737066685209</v>
      </c>
      <c r="E1039" s="2">
        <v>3826.02</v>
      </c>
      <c r="F1039" s="1196">
        <f t="shared" si="35"/>
        <v>543.76225803700868</v>
      </c>
    </row>
    <row r="1040" spans="2:6">
      <c r="B1040" s="189">
        <v>40983</v>
      </c>
      <c r="C1040" s="2">
        <v>34215.300000000003</v>
      </c>
      <c r="D1040" s="1196">
        <f t="shared" si="34"/>
        <v>264.248560605183</v>
      </c>
      <c r="E1040" s="2">
        <v>3734.22</v>
      </c>
      <c r="F1040" s="1196">
        <f t="shared" si="35"/>
        <v>530.71544299479831</v>
      </c>
    </row>
    <row r="1041" spans="2:6">
      <c r="B1041" s="189">
        <v>40982</v>
      </c>
      <c r="C1041" s="2">
        <v>34426.74</v>
      </c>
      <c r="D1041" s="1196">
        <f t="shared" si="34"/>
        <v>265.8815352000093</v>
      </c>
      <c r="E1041" s="2">
        <v>3812.79</v>
      </c>
      <c r="F1041" s="1196">
        <f t="shared" si="35"/>
        <v>541.88198175151354</v>
      </c>
    </row>
    <row r="1042" spans="2:6">
      <c r="B1042" s="189">
        <v>40981</v>
      </c>
      <c r="C1042" s="2">
        <v>34175.39</v>
      </c>
      <c r="D1042" s="1196">
        <f t="shared" si="34"/>
        <v>263.9403312442318</v>
      </c>
      <c r="E1042" s="2">
        <v>3804.52</v>
      </c>
      <c r="F1042" s="1196">
        <f t="shared" si="35"/>
        <v>540.70663142036892</v>
      </c>
    </row>
    <row r="1043" spans="2:6">
      <c r="B1043" s="189">
        <v>40980</v>
      </c>
      <c r="C1043" s="2">
        <v>33901.72</v>
      </c>
      <c r="D1043" s="1196">
        <f t="shared" si="34"/>
        <v>261.82674745040799</v>
      </c>
      <c r="E1043" s="2">
        <v>3811.96</v>
      </c>
      <c r="F1043" s="1196">
        <f t="shared" si="35"/>
        <v>541.76402035189449</v>
      </c>
    </row>
    <row r="1044" spans="2:6">
      <c r="B1044" s="189">
        <v>40977</v>
      </c>
      <c r="C1044" s="2">
        <v>33926.199999999997</v>
      </c>
      <c r="D1044" s="1196">
        <f t="shared" si="34"/>
        <v>262.01580920826524</v>
      </c>
      <c r="E1044" s="2">
        <v>3812.79</v>
      </c>
      <c r="F1044" s="1196">
        <f t="shared" si="35"/>
        <v>541.88198175151354</v>
      </c>
    </row>
    <row r="1045" spans="2:6">
      <c r="B1045" s="189">
        <v>40976</v>
      </c>
      <c r="C1045" s="2">
        <v>33758.620000000003</v>
      </c>
      <c r="D1045" s="1196">
        <f t="shared" si="34"/>
        <v>260.72157026293337</v>
      </c>
      <c r="E1045" s="2">
        <v>3680.46</v>
      </c>
      <c r="F1045" s="1196">
        <f t="shared" si="35"/>
        <v>523.07495523151704</v>
      </c>
    </row>
    <row r="1046" spans="2:6">
      <c r="B1046" s="189">
        <v>40975</v>
      </c>
      <c r="C1046" s="2">
        <v>33592.32</v>
      </c>
      <c r="D1046" s="1196">
        <f t="shared" si="34"/>
        <v>259.43721689971153</v>
      </c>
      <c r="E1046" s="2">
        <v>3730.08</v>
      </c>
      <c r="F1046" s="1196">
        <f t="shared" si="35"/>
        <v>530.12705721838495</v>
      </c>
    </row>
    <row r="1047" spans="2:6">
      <c r="B1047" s="189">
        <v>40974</v>
      </c>
      <c r="C1047" s="2">
        <v>33387.040000000001</v>
      </c>
      <c r="D1047" s="1196">
        <f t="shared" si="34"/>
        <v>257.85181666879055</v>
      </c>
      <c r="E1047" s="2">
        <v>3723.47</v>
      </c>
      <c r="F1047" s="1196">
        <f t="shared" si="35"/>
        <v>529.18762968647843</v>
      </c>
    </row>
    <row r="1048" spans="2:6">
      <c r="B1048" s="189">
        <v>40973</v>
      </c>
      <c r="C1048" s="2">
        <v>34031.769999999997</v>
      </c>
      <c r="D1048" s="1196">
        <f t="shared" si="34"/>
        <v>262.83113803902489</v>
      </c>
      <c r="E1048" s="2">
        <v>3721.81</v>
      </c>
      <c r="F1048" s="1196">
        <f t="shared" si="35"/>
        <v>528.95170688724033</v>
      </c>
    </row>
    <row r="1049" spans="2:6">
      <c r="B1049" s="189">
        <v>40970</v>
      </c>
      <c r="C1049" s="2">
        <v>34186.81</v>
      </c>
      <c r="D1049" s="1196">
        <f t="shared" si="34"/>
        <v>264.02852917212113</v>
      </c>
      <c r="E1049" s="2">
        <v>3721.81</v>
      </c>
      <c r="F1049" s="1196">
        <f t="shared" si="35"/>
        <v>528.95170688724033</v>
      </c>
    </row>
    <row r="1050" spans="2:6">
      <c r="B1050" s="189">
        <v>40969</v>
      </c>
      <c r="C1050" s="2">
        <v>34298.480000000003</v>
      </c>
      <c r="D1050" s="1196">
        <f t="shared" si="34"/>
        <v>264.89096898012463</v>
      </c>
      <c r="E1050" s="2">
        <v>3680.46</v>
      </c>
      <c r="F1050" s="1196">
        <f t="shared" si="35"/>
        <v>523.07495523151704</v>
      </c>
    </row>
    <row r="1051" spans="2:6">
      <c r="B1051" s="189">
        <v>40968</v>
      </c>
      <c r="C1051" s="2">
        <v>34296</v>
      </c>
      <c r="D1051" s="1196">
        <f t="shared" si="34"/>
        <v>264.87181566478608</v>
      </c>
      <c r="E1051" s="2">
        <v>3818.58</v>
      </c>
      <c r="F1051" s="1196">
        <f t="shared" si="35"/>
        <v>542.704869105483</v>
      </c>
    </row>
    <row r="1052" spans="2:6">
      <c r="B1052" s="189">
        <v>40967</v>
      </c>
      <c r="C1052" s="2">
        <v>34214.53</v>
      </c>
      <c r="D1052" s="1196">
        <f t="shared" si="34"/>
        <v>264.24261380969483</v>
      </c>
      <c r="E1052" s="2">
        <v>3721.81</v>
      </c>
      <c r="F1052" s="1196">
        <f t="shared" si="35"/>
        <v>528.95170688724033</v>
      </c>
    </row>
    <row r="1053" spans="2:6">
      <c r="B1053" s="189">
        <v>40966</v>
      </c>
      <c r="C1053" s="2">
        <v>33871.32</v>
      </c>
      <c r="D1053" s="1196">
        <f t="shared" si="34"/>
        <v>261.59196487529107</v>
      </c>
      <c r="E1053" s="2">
        <v>3639.11</v>
      </c>
      <c r="F1053" s="1196">
        <f t="shared" si="35"/>
        <v>517.19820357579374</v>
      </c>
    </row>
    <row r="1054" spans="2:6">
      <c r="B1054" s="189">
        <v>40963</v>
      </c>
      <c r="C1054" s="2">
        <v>34260.76</v>
      </c>
      <c r="D1054" s="1196">
        <f t="shared" si="34"/>
        <v>264.59965323231506</v>
      </c>
      <c r="E1054" s="2">
        <v>3680.46</v>
      </c>
      <c r="F1054" s="1196">
        <f t="shared" si="35"/>
        <v>523.07495523151704</v>
      </c>
    </row>
    <row r="1055" spans="2:6">
      <c r="B1055" s="189">
        <v>40962</v>
      </c>
      <c r="C1055" s="2">
        <v>34108.199999999997</v>
      </c>
      <c r="D1055" s="1196">
        <f t="shared" si="34"/>
        <v>263.42141541455726</v>
      </c>
      <c r="E1055" s="2">
        <v>3680.46</v>
      </c>
      <c r="F1055" s="1196">
        <f t="shared" si="35"/>
        <v>523.07495523151704</v>
      </c>
    </row>
    <row r="1056" spans="2:6">
      <c r="B1056" s="189">
        <v>40961</v>
      </c>
      <c r="C1056" s="2">
        <v>34006.519999999997</v>
      </c>
      <c r="D1056" s="1196">
        <f t="shared" si="34"/>
        <v>262.63612948567942</v>
      </c>
      <c r="E1056" s="2">
        <v>3680.46</v>
      </c>
      <c r="F1056" s="1196">
        <f t="shared" si="35"/>
        <v>523.07495523151704</v>
      </c>
    </row>
    <row r="1057" spans="2:6">
      <c r="B1057" s="189">
        <v>40960</v>
      </c>
      <c r="C1057" s="2">
        <v>34142.370000000003</v>
      </c>
      <c r="D1057" s="1196">
        <f t="shared" si="34"/>
        <v>263.68531411823312</v>
      </c>
      <c r="E1057" s="2">
        <v>3680.46</v>
      </c>
      <c r="F1057" s="1196">
        <f t="shared" si="35"/>
        <v>523.07495523151704</v>
      </c>
    </row>
    <row r="1058" spans="2:6">
      <c r="B1058" s="189">
        <v>40959</v>
      </c>
      <c r="C1058" s="2">
        <v>34106</v>
      </c>
      <c r="D1058" s="1196">
        <f t="shared" si="34"/>
        <v>263.40442457030542</v>
      </c>
      <c r="E1058" s="2">
        <v>3680.46</v>
      </c>
      <c r="F1058" s="1196">
        <f t="shared" si="35"/>
        <v>523.07495523151704</v>
      </c>
    </row>
    <row r="1059" spans="2:6">
      <c r="B1059" s="189">
        <v>40956</v>
      </c>
      <c r="C1059" s="2">
        <v>34082.78</v>
      </c>
      <c r="D1059" s="1196">
        <f t="shared" si="34"/>
        <v>263.22509393233781</v>
      </c>
      <c r="E1059" s="2">
        <v>3746.62</v>
      </c>
      <c r="F1059" s="1196">
        <f t="shared" si="35"/>
        <v>532.47775788067418</v>
      </c>
    </row>
    <row r="1060" spans="2:6">
      <c r="B1060" s="189">
        <v>40955</v>
      </c>
      <c r="C1060" s="2">
        <v>33801.64</v>
      </c>
      <c r="D1060" s="1196">
        <f t="shared" si="34"/>
        <v>261.05381849916785</v>
      </c>
      <c r="E1060" s="2">
        <v>3746.62</v>
      </c>
      <c r="F1060" s="1196">
        <f t="shared" si="35"/>
        <v>532.47775788067418</v>
      </c>
    </row>
    <row r="1061" spans="2:6">
      <c r="B1061" s="189">
        <v>40954</v>
      </c>
      <c r="C1061" s="2">
        <v>34089.870000000003</v>
      </c>
      <c r="D1061" s="1196">
        <f t="shared" si="34"/>
        <v>263.27985078949507</v>
      </c>
      <c r="E1061" s="2">
        <v>3746.62</v>
      </c>
      <c r="F1061" s="1196">
        <f t="shared" si="35"/>
        <v>532.47775788067418</v>
      </c>
    </row>
    <row r="1062" spans="2:6">
      <c r="B1062" s="189">
        <v>40953</v>
      </c>
      <c r="C1062" s="2">
        <v>34112.44</v>
      </c>
      <c r="D1062" s="1196">
        <f t="shared" si="34"/>
        <v>263.45416140529727</v>
      </c>
      <c r="E1062" s="2">
        <v>3722.64</v>
      </c>
      <c r="F1062" s="1196">
        <f t="shared" si="35"/>
        <v>529.06966828685938</v>
      </c>
    </row>
    <row r="1063" spans="2:6">
      <c r="B1063" s="189">
        <v>40952</v>
      </c>
      <c r="C1063" s="2">
        <v>34207.43</v>
      </c>
      <c r="D1063" s="1196">
        <f t="shared" si="34"/>
        <v>264.18777972142738</v>
      </c>
      <c r="E1063" s="2">
        <v>3736.7</v>
      </c>
      <c r="F1063" s="1196">
        <f t="shared" si="35"/>
        <v>531.06790597197346</v>
      </c>
    </row>
    <row r="1064" spans="2:6">
      <c r="B1064" s="189">
        <v>40949</v>
      </c>
      <c r="C1064" s="2">
        <v>33892.58</v>
      </c>
      <c r="D1064" s="1196">
        <f t="shared" si="34"/>
        <v>261.75615821565248</v>
      </c>
      <c r="E1064" s="2">
        <v>3730.91</v>
      </c>
      <c r="F1064" s="1196">
        <f t="shared" si="35"/>
        <v>530.245018618004</v>
      </c>
    </row>
    <row r="1065" spans="2:6">
      <c r="B1065" s="189">
        <v>40948</v>
      </c>
      <c r="C1065" s="2">
        <v>34268.14</v>
      </c>
      <c r="D1065" s="1196">
        <f t="shared" si="34"/>
        <v>264.65664979166911</v>
      </c>
      <c r="E1065" s="2">
        <v>3818.58</v>
      </c>
      <c r="F1065" s="1196">
        <f t="shared" si="35"/>
        <v>542.704869105483</v>
      </c>
    </row>
    <row r="1066" spans="2:6">
      <c r="B1066" s="189">
        <v>40947</v>
      </c>
      <c r="C1066" s="2">
        <v>34226.730000000003</v>
      </c>
      <c r="D1066" s="1196">
        <f t="shared" si="34"/>
        <v>264.33683576418258</v>
      </c>
      <c r="E1066" s="2">
        <v>3812.79</v>
      </c>
      <c r="F1066" s="1196">
        <f t="shared" si="35"/>
        <v>541.88198175151354</v>
      </c>
    </row>
    <row r="1067" spans="2:6">
      <c r="B1067" s="189">
        <v>40946</v>
      </c>
      <c r="C1067" s="2">
        <v>33974.449999999997</v>
      </c>
      <c r="D1067" s="1196">
        <f t="shared" si="34"/>
        <v>262.38844931515308</v>
      </c>
      <c r="E1067" s="2">
        <v>3816.93</v>
      </c>
      <c r="F1067" s="1196">
        <f t="shared" si="35"/>
        <v>542.47036752792701</v>
      </c>
    </row>
    <row r="1068" spans="2:6">
      <c r="B1068" s="189">
        <v>40945</v>
      </c>
      <c r="C1068" s="2">
        <v>34176.300000000003</v>
      </c>
      <c r="D1068" s="1196">
        <f t="shared" si="34"/>
        <v>263.9473592752633</v>
      </c>
      <c r="E1068" s="2">
        <v>3804.52</v>
      </c>
      <c r="F1068" s="1196">
        <f t="shared" si="35"/>
        <v>540.70663142036892</v>
      </c>
    </row>
    <row r="1069" spans="2:6">
      <c r="B1069" s="189">
        <v>40942</v>
      </c>
      <c r="C1069" s="2">
        <v>34386.97</v>
      </c>
      <c r="D1069" s="1196">
        <f t="shared" si="34"/>
        <v>265.57438707460142</v>
      </c>
      <c r="E1069" s="2">
        <v>3719.33</v>
      </c>
      <c r="F1069" s="1196">
        <f t="shared" si="35"/>
        <v>528.59924391006507</v>
      </c>
    </row>
    <row r="1070" spans="2:6">
      <c r="B1070" s="189">
        <v>40941</v>
      </c>
      <c r="C1070" s="2">
        <v>34371.5</v>
      </c>
      <c r="D1070" s="1196">
        <f t="shared" si="34"/>
        <v>265.45491054706656</v>
      </c>
      <c r="E1070" s="2">
        <v>3721.81</v>
      </c>
      <c r="F1070" s="1196">
        <f t="shared" si="35"/>
        <v>528.95170688724033</v>
      </c>
    </row>
    <row r="1071" spans="2:6">
      <c r="B1071" s="189">
        <v>40940</v>
      </c>
      <c r="C1071" s="2">
        <v>34139.519999999997</v>
      </c>
      <c r="D1071" s="1196">
        <f t="shared" si="34"/>
        <v>263.66330325181588</v>
      </c>
      <c r="E1071" s="2">
        <v>3589.48</v>
      </c>
      <c r="F1071" s="1196">
        <f t="shared" si="35"/>
        <v>510.14468036724372</v>
      </c>
    </row>
    <row r="1072" spans="2:6">
      <c r="B1072" s="189">
        <v>40939</v>
      </c>
      <c r="C1072" s="2">
        <v>33792.480000000003</v>
      </c>
      <c r="D1072" s="1196">
        <f t="shared" si="34"/>
        <v>260.98307480219188</v>
      </c>
      <c r="E1072" s="2">
        <v>3818.58</v>
      </c>
      <c r="F1072" s="1196">
        <f t="shared" si="35"/>
        <v>542.704869105483</v>
      </c>
    </row>
    <row r="1073" spans="2:6">
      <c r="B1073" s="189">
        <v>40938</v>
      </c>
      <c r="C1073" s="2">
        <v>33629.769999999997</v>
      </c>
      <c r="D1073" s="1196">
        <f t="shared" si="34"/>
        <v>259.7264474075447</v>
      </c>
      <c r="E1073" s="2">
        <v>3804.52</v>
      </c>
      <c r="F1073" s="1196">
        <f t="shared" si="35"/>
        <v>540.70663142036892</v>
      </c>
    </row>
    <row r="1074" spans="2:6">
      <c r="B1074" s="189">
        <v>40935</v>
      </c>
      <c r="C1074" s="2">
        <v>33895.019999999997</v>
      </c>
      <c r="D1074" s="1196">
        <f t="shared" si="34"/>
        <v>261.77500260654995</v>
      </c>
      <c r="E1074" s="2">
        <v>3804.52</v>
      </c>
      <c r="F1074" s="1196">
        <f t="shared" si="35"/>
        <v>540.70663142036892</v>
      </c>
    </row>
    <row r="1075" spans="2:6">
      <c r="B1075" s="189">
        <v>40934</v>
      </c>
      <c r="C1075" s="2">
        <v>34065.49</v>
      </c>
      <c r="D1075" s="1196">
        <f t="shared" si="34"/>
        <v>263.09156134274008</v>
      </c>
      <c r="E1075" s="2">
        <v>3721.81</v>
      </c>
      <c r="F1075" s="1196">
        <f t="shared" si="35"/>
        <v>528.95170688724033</v>
      </c>
    </row>
    <row r="1076" spans="2:6">
      <c r="B1076" s="189">
        <v>40933</v>
      </c>
      <c r="C1076" s="2">
        <v>33637.269999999997</v>
      </c>
      <c r="D1076" s="1196">
        <f t="shared" si="34"/>
        <v>259.78437074022156</v>
      </c>
      <c r="E1076" s="2">
        <v>3720.16</v>
      </c>
      <c r="F1076" s="1196">
        <f t="shared" si="35"/>
        <v>528.71720530968412</v>
      </c>
    </row>
    <row r="1077" spans="2:6">
      <c r="B1077" s="189">
        <v>40932</v>
      </c>
      <c r="C1077" s="2">
        <v>33733.46</v>
      </c>
      <c r="D1077" s="1196">
        <f t="shared" si="34"/>
        <v>260.52725678958001</v>
      </c>
      <c r="E1077" s="2">
        <v>3721.81</v>
      </c>
      <c r="F1077" s="1196">
        <f t="shared" si="35"/>
        <v>528.95170688724033</v>
      </c>
    </row>
    <row r="1078" spans="2:6">
      <c r="B1078" s="189">
        <v>40931</v>
      </c>
      <c r="C1078" s="2">
        <v>33940.480000000003</v>
      </c>
      <c r="D1078" s="1196">
        <f t="shared" si="34"/>
        <v>262.12609523368207</v>
      </c>
      <c r="E1078" s="2">
        <v>3672.19</v>
      </c>
      <c r="F1078" s="1196">
        <f t="shared" si="35"/>
        <v>521.89960490037231</v>
      </c>
    </row>
    <row r="1079" spans="2:6">
      <c r="B1079" s="189">
        <v>40928</v>
      </c>
      <c r="C1079" s="2">
        <v>33703.379999999997</v>
      </c>
      <c r="D1079" s="1196">
        <f t="shared" si="34"/>
        <v>260.29494560999058</v>
      </c>
      <c r="E1079" s="2">
        <v>3639.11</v>
      </c>
      <c r="F1079" s="1196">
        <f t="shared" si="35"/>
        <v>517.19820357579374</v>
      </c>
    </row>
    <row r="1080" spans="2:6">
      <c r="B1080" s="189">
        <v>40927</v>
      </c>
      <c r="C1080" s="2">
        <v>33586.15</v>
      </c>
      <c r="D1080" s="1196">
        <f t="shared" si="34"/>
        <v>259.38956530469602</v>
      </c>
      <c r="E1080" s="2">
        <v>3675.5</v>
      </c>
      <c r="F1080" s="1196">
        <f t="shared" si="35"/>
        <v>522.37002927716662</v>
      </c>
    </row>
    <row r="1081" spans="2:6">
      <c r="B1081" s="189">
        <v>40926</v>
      </c>
      <c r="C1081" s="2">
        <v>33550.089999999997</v>
      </c>
      <c r="D1081" s="1196">
        <f t="shared" si="34"/>
        <v>259.11106992118562</v>
      </c>
      <c r="E1081" s="2">
        <v>3721.81</v>
      </c>
      <c r="F1081" s="1196">
        <f t="shared" si="35"/>
        <v>528.95170688724033</v>
      </c>
    </row>
    <row r="1082" spans="2:6">
      <c r="B1082" s="189">
        <v>40925</v>
      </c>
      <c r="C1082" s="2">
        <v>33424.730000000003</v>
      </c>
      <c r="D1082" s="1196">
        <f t="shared" si="34"/>
        <v>258.14290072326941</v>
      </c>
      <c r="E1082" s="2">
        <v>3763.17</v>
      </c>
      <c r="F1082" s="1196">
        <f t="shared" si="35"/>
        <v>534.82987976464574</v>
      </c>
    </row>
    <row r="1083" spans="2:6">
      <c r="B1083" s="189">
        <v>40924</v>
      </c>
      <c r="C1083" s="2">
        <v>33205.01</v>
      </c>
      <c r="D1083" s="1196">
        <f t="shared" si="34"/>
        <v>256.44597876916782</v>
      </c>
      <c r="E1083" s="2">
        <v>3779.71</v>
      </c>
      <c r="F1083" s="1196">
        <f t="shared" si="35"/>
        <v>537.18058042693497</v>
      </c>
    </row>
    <row r="1084" spans="2:6">
      <c r="B1084" s="189">
        <v>40921</v>
      </c>
      <c r="C1084" s="2">
        <v>32927.360000000001</v>
      </c>
      <c r="D1084" s="1196">
        <f t="shared" si="34"/>
        <v>254.30165699347015</v>
      </c>
      <c r="E1084" s="2">
        <v>3783.84</v>
      </c>
      <c r="F1084" s="1196">
        <f t="shared" si="35"/>
        <v>537.76754498166633</v>
      </c>
    </row>
    <row r="1085" spans="2:6">
      <c r="B1085" s="189">
        <v>40920</v>
      </c>
      <c r="C1085" s="2">
        <v>33008.519999999997</v>
      </c>
      <c r="D1085" s="1196">
        <f t="shared" si="34"/>
        <v>254.92846468414405</v>
      </c>
      <c r="E1085" s="2">
        <v>3739.18</v>
      </c>
      <c r="F1085" s="1196">
        <f t="shared" si="35"/>
        <v>531.42036894914872</v>
      </c>
    </row>
    <row r="1086" spans="2:6">
      <c r="B1086" s="189">
        <v>40919</v>
      </c>
      <c r="C1086" s="2">
        <v>32827.050000000003</v>
      </c>
      <c r="D1086" s="1196">
        <f t="shared" si="34"/>
        <v>253.52695172669456</v>
      </c>
      <c r="E1086" s="2">
        <v>3804.52</v>
      </c>
      <c r="F1086" s="1196">
        <f t="shared" si="35"/>
        <v>540.70663142036892</v>
      </c>
    </row>
    <row r="1087" spans="2:6">
      <c r="B1087" s="189">
        <v>40918</v>
      </c>
      <c r="C1087" s="2">
        <v>33020.160000000003</v>
      </c>
      <c r="D1087" s="1196">
        <f t="shared" si="34"/>
        <v>255.01836169645861</v>
      </c>
      <c r="E1087" s="2">
        <v>3804.52</v>
      </c>
      <c r="F1087" s="1196">
        <f t="shared" si="35"/>
        <v>540.70663142036892</v>
      </c>
    </row>
    <row r="1088" spans="2:6">
      <c r="B1088" s="189">
        <v>40917</v>
      </c>
      <c r="C1088" s="2">
        <v>32774.83</v>
      </c>
      <c r="D1088" s="1196">
        <f t="shared" si="34"/>
        <v>253.1236508690431</v>
      </c>
      <c r="E1088" s="2">
        <v>3841.74</v>
      </c>
      <c r="F1088" s="1196">
        <f t="shared" si="35"/>
        <v>545.99641852136097</v>
      </c>
    </row>
    <row r="1089" spans="2:6">
      <c r="B1089" s="189">
        <v>40914</v>
      </c>
      <c r="C1089" s="2">
        <v>32749.57</v>
      </c>
      <c r="D1089" s="1196">
        <f t="shared" si="34"/>
        <v>252.92856508458738</v>
      </c>
      <c r="E1089" s="2">
        <v>3694.52</v>
      </c>
      <c r="F1089" s="1196">
        <f t="shared" si="35"/>
        <v>525.07319291663111</v>
      </c>
    </row>
    <row r="1090" spans="2:6">
      <c r="B1090" s="189">
        <v>40913</v>
      </c>
      <c r="C1090" s="2">
        <v>32599.06</v>
      </c>
      <c r="D1090" s="1196">
        <f t="shared" si="34"/>
        <v>251.76615964442797</v>
      </c>
      <c r="E1090" s="2">
        <v>3734.24</v>
      </c>
      <c r="F1090" s="1196">
        <f t="shared" si="35"/>
        <v>530.71828543816264</v>
      </c>
    </row>
    <row r="1091" spans="2:6">
      <c r="B1091" s="189">
        <v>40912</v>
      </c>
      <c r="C1091" s="2">
        <v>32899.68</v>
      </c>
      <c r="D1091" s="1196">
        <f t="shared" si="34"/>
        <v>254.08788128033737</v>
      </c>
      <c r="E1091" s="2">
        <v>3734.24</v>
      </c>
      <c r="F1091" s="1196">
        <f t="shared" si="35"/>
        <v>530.71828543816264</v>
      </c>
    </row>
    <row r="1092" spans="2:6">
      <c r="B1092" s="189">
        <v>40911</v>
      </c>
      <c r="C1092" s="2">
        <v>32768.35</v>
      </c>
      <c r="D1092" s="1196">
        <f t="shared" si="34"/>
        <v>253.07360510961024</v>
      </c>
      <c r="E1092" s="2">
        <v>3813.7</v>
      </c>
      <c r="F1092" s="1196">
        <f t="shared" si="35"/>
        <v>542.0113129245899</v>
      </c>
    </row>
    <row r="1093" spans="2:6">
      <c r="B1093" s="189">
        <v>40907</v>
      </c>
      <c r="C1093" s="2">
        <v>31985.67</v>
      </c>
      <c r="D1093" s="1196">
        <f t="shared" si="34"/>
        <v>247.02888057367267</v>
      </c>
      <c r="E1093" s="2">
        <v>3813.7</v>
      </c>
      <c r="F1093" s="1196">
        <f t="shared" si="35"/>
        <v>542.0113129245899</v>
      </c>
    </row>
    <row r="1094" spans="2:6">
      <c r="B1094" s="189">
        <v>40906</v>
      </c>
      <c r="C1094" s="2">
        <v>31995.87</v>
      </c>
      <c r="D1094" s="1196">
        <f t="shared" si="34"/>
        <v>247.10765630611326</v>
      </c>
      <c r="E1094" s="2">
        <v>3773.18</v>
      </c>
      <c r="F1094" s="1196">
        <f t="shared" si="35"/>
        <v>536.25252266848577</v>
      </c>
    </row>
    <row r="1095" spans="2:6">
      <c r="B1095" s="189">
        <v>40905</v>
      </c>
      <c r="C1095" s="2">
        <v>32092.87</v>
      </c>
      <c r="D1095" s="1196">
        <f t="shared" si="34"/>
        <v>247.85679807540072</v>
      </c>
      <c r="E1095" s="2">
        <v>3892.35</v>
      </c>
      <c r="F1095" s="1196">
        <f t="shared" si="35"/>
        <v>553.18922145476245</v>
      </c>
    </row>
    <row r="1096" spans="2:6">
      <c r="B1096" s="189">
        <v>40900</v>
      </c>
      <c r="C1096" s="2">
        <v>32127.25</v>
      </c>
      <c r="D1096" s="1196">
        <f t="shared" si="34"/>
        <v>248.12231863239148</v>
      </c>
      <c r="E1096" s="2">
        <v>3773.97</v>
      </c>
      <c r="F1096" s="1196">
        <f t="shared" si="35"/>
        <v>536.36479918137627</v>
      </c>
    </row>
    <row r="1097" spans="2:6">
      <c r="B1097" s="189">
        <v>40899</v>
      </c>
      <c r="C1097" s="2">
        <v>31904.14</v>
      </c>
      <c r="D1097" s="1196">
        <f t="shared" si="34"/>
        <v>246.39921533192</v>
      </c>
      <c r="E1097" s="2">
        <v>3734.24</v>
      </c>
      <c r="F1097" s="1196">
        <f t="shared" si="35"/>
        <v>530.71828543816264</v>
      </c>
    </row>
    <row r="1098" spans="2:6">
      <c r="B1098" s="189">
        <v>40898</v>
      </c>
      <c r="C1098" s="2">
        <v>31646.77</v>
      </c>
      <c r="D1098" s="1196">
        <f t="shared" si="34"/>
        <v>244.41151824778058</v>
      </c>
      <c r="E1098" s="2">
        <v>3654.79</v>
      </c>
      <c r="F1098" s="1196">
        <f t="shared" si="35"/>
        <v>519.42667917341748</v>
      </c>
    </row>
    <row r="1099" spans="2:6">
      <c r="B1099" s="189">
        <v>40897</v>
      </c>
      <c r="C1099" s="2">
        <v>31783.9</v>
      </c>
      <c r="D1099" s="1196">
        <f t="shared" ref="D1099:D1162" si="36">C1099/$C$2759*100</f>
        <v>245.47058846244445</v>
      </c>
      <c r="E1099" s="2">
        <v>3654.79</v>
      </c>
      <c r="F1099" s="1196">
        <f t="shared" ref="F1099:F1162" si="37">E1099/$E$2759*100</f>
        <v>519.42667917341748</v>
      </c>
    </row>
    <row r="1100" spans="2:6">
      <c r="B1100" s="189">
        <v>40896</v>
      </c>
      <c r="C1100" s="2">
        <v>31721.37</v>
      </c>
      <c r="D1100" s="1196">
        <f t="shared" si="36"/>
        <v>244.98766233013981</v>
      </c>
      <c r="E1100" s="2">
        <v>3575.34</v>
      </c>
      <c r="F1100" s="1196">
        <f t="shared" si="37"/>
        <v>508.13507290867233</v>
      </c>
    </row>
    <row r="1101" spans="2:6">
      <c r="B1101" s="189">
        <v>40892</v>
      </c>
      <c r="C1101" s="2">
        <v>32006.7</v>
      </c>
      <c r="D1101" s="1196">
        <f t="shared" si="36"/>
        <v>247.19129759849864</v>
      </c>
      <c r="E1101" s="2">
        <v>3575.34</v>
      </c>
      <c r="F1101" s="1196">
        <f t="shared" si="37"/>
        <v>508.13507290867233</v>
      </c>
    </row>
    <row r="1102" spans="2:6">
      <c r="B1102" s="189">
        <v>40891</v>
      </c>
      <c r="C1102" s="2">
        <v>31727.03</v>
      </c>
      <c r="D1102" s="1196">
        <f t="shared" si="36"/>
        <v>245.03137513853329</v>
      </c>
      <c r="E1102" s="2">
        <v>3686.57</v>
      </c>
      <c r="F1102" s="1196">
        <f t="shared" si="37"/>
        <v>523.94332167931555</v>
      </c>
    </row>
    <row r="1103" spans="2:6">
      <c r="B1103" s="189">
        <v>40890</v>
      </c>
      <c r="C1103" s="2">
        <v>32208.2</v>
      </c>
      <c r="D1103" s="1196">
        <f t="shared" si="36"/>
        <v>248.74750446975051</v>
      </c>
      <c r="E1103" s="2">
        <v>3607.12</v>
      </c>
      <c r="F1103" s="1196">
        <f t="shared" si="37"/>
        <v>512.65171541457028</v>
      </c>
    </row>
    <row r="1104" spans="2:6">
      <c r="B1104" s="189">
        <v>40889</v>
      </c>
      <c r="C1104" s="2">
        <v>32270.06</v>
      </c>
      <c r="D1104" s="1196">
        <f t="shared" si="36"/>
        <v>249.22525611766932</v>
      </c>
      <c r="E1104" s="2">
        <v>3607.12</v>
      </c>
      <c r="F1104" s="1196">
        <f t="shared" si="37"/>
        <v>512.65171541457028</v>
      </c>
    </row>
    <row r="1105" spans="2:6">
      <c r="B1105" s="189">
        <v>40886</v>
      </c>
      <c r="C1105" s="2">
        <v>32632.92</v>
      </c>
      <c r="D1105" s="1196">
        <f t="shared" si="36"/>
        <v>252.02766418368645</v>
      </c>
      <c r="E1105" s="2">
        <v>3587.26</v>
      </c>
      <c r="F1105" s="1196">
        <f t="shared" si="37"/>
        <v>509.82916915380463</v>
      </c>
    </row>
    <row r="1106" spans="2:6">
      <c r="B1106" s="189">
        <v>40885</v>
      </c>
      <c r="C1106" s="2">
        <v>32760.17</v>
      </c>
      <c r="D1106" s="1196">
        <f t="shared" si="36"/>
        <v>253.01043006143735</v>
      </c>
      <c r="E1106" s="2">
        <v>3595.2</v>
      </c>
      <c r="F1106" s="1196">
        <f t="shared" si="37"/>
        <v>510.95761916943798</v>
      </c>
    </row>
    <row r="1107" spans="2:6">
      <c r="B1107" s="189">
        <v>40884</v>
      </c>
      <c r="C1107" s="2">
        <v>32760.27</v>
      </c>
      <c r="D1107" s="1196">
        <f t="shared" si="36"/>
        <v>253.01120237253971</v>
      </c>
      <c r="E1107" s="2">
        <v>3694.52</v>
      </c>
      <c r="F1107" s="1196">
        <f t="shared" si="37"/>
        <v>525.07319291663111</v>
      </c>
    </row>
    <row r="1108" spans="2:6">
      <c r="B1108" s="189">
        <v>40883</v>
      </c>
      <c r="C1108" s="2">
        <v>32719.23</v>
      </c>
      <c r="D1108" s="1196">
        <f t="shared" si="36"/>
        <v>252.69424589613186</v>
      </c>
      <c r="E1108" s="2">
        <v>3417.23</v>
      </c>
      <c r="F1108" s="1196">
        <f t="shared" si="37"/>
        <v>485.66413689207241</v>
      </c>
    </row>
    <row r="1109" spans="2:6">
      <c r="B1109" s="189">
        <v>40882</v>
      </c>
      <c r="C1109" s="2">
        <v>32832.22</v>
      </c>
      <c r="D1109" s="1196">
        <f t="shared" si="36"/>
        <v>253.56688021068646</v>
      </c>
      <c r="E1109" s="2">
        <v>3417.23</v>
      </c>
      <c r="F1109" s="1196">
        <f t="shared" si="37"/>
        <v>485.66413689207241</v>
      </c>
    </row>
    <row r="1110" spans="2:6">
      <c r="B1110" s="189">
        <v>40879</v>
      </c>
      <c r="C1110" s="2">
        <v>32610.9</v>
      </c>
      <c r="D1110" s="1196">
        <f t="shared" si="36"/>
        <v>251.85760127894721</v>
      </c>
      <c r="E1110" s="2">
        <v>3376.71</v>
      </c>
      <c r="F1110" s="1196">
        <f t="shared" si="37"/>
        <v>479.90534663596833</v>
      </c>
    </row>
    <row r="1111" spans="2:6">
      <c r="B1111" s="189">
        <v>40878</v>
      </c>
      <c r="C1111" s="2">
        <v>32748.85</v>
      </c>
      <c r="D1111" s="1196">
        <f t="shared" si="36"/>
        <v>252.92300444465039</v>
      </c>
      <c r="E1111" s="2">
        <v>3336.98</v>
      </c>
      <c r="F1111" s="1196">
        <f t="shared" si="37"/>
        <v>474.25883289275464</v>
      </c>
    </row>
    <row r="1112" spans="2:6">
      <c r="B1112" s="189">
        <v>40877</v>
      </c>
      <c r="C1112" s="2">
        <v>32812.639999999999</v>
      </c>
      <c r="D1112" s="1196">
        <f t="shared" si="36"/>
        <v>253.41566169684472</v>
      </c>
      <c r="E1112" s="2">
        <v>3336.98</v>
      </c>
      <c r="F1112" s="1196">
        <f t="shared" si="37"/>
        <v>474.25883289275464</v>
      </c>
    </row>
    <row r="1113" spans="2:6">
      <c r="B1113" s="189">
        <v>40876</v>
      </c>
      <c r="C1113" s="2">
        <v>31636.36</v>
      </c>
      <c r="D1113" s="1196">
        <f t="shared" si="36"/>
        <v>244.33112066202506</v>
      </c>
      <c r="E1113" s="2">
        <v>3336.98</v>
      </c>
      <c r="F1113" s="1196">
        <f t="shared" si="37"/>
        <v>474.25883289275464</v>
      </c>
    </row>
    <row r="1114" spans="2:6">
      <c r="B1114" s="189">
        <v>40875</v>
      </c>
      <c r="C1114" s="2">
        <v>31829.34</v>
      </c>
      <c r="D1114" s="1196">
        <f t="shared" si="36"/>
        <v>245.82152662735606</v>
      </c>
      <c r="E1114" s="2">
        <v>3335.4</v>
      </c>
      <c r="F1114" s="1196">
        <f t="shared" si="37"/>
        <v>474.03427986697363</v>
      </c>
    </row>
    <row r="1115" spans="2:6">
      <c r="B1115" s="189">
        <v>40872</v>
      </c>
      <c r="C1115" s="2">
        <v>31123.96</v>
      </c>
      <c r="D1115" s="1196">
        <f t="shared" si="36"/>
        <v>240.37379857354136</v>
      </c>
      <c r="E1115" s="2">
        <v>3336.98</v>
      </c>
      <c r="F1115" s="1196">
        <f t="shared" si="37"/>
        <v>474.25883289275464</v>
      </c>
    </row>
    <row r="1116" spans="2:6">
      <c r="B1116" s="189">
        <v>40871</v>
      </c>
      <c r="C1116" s="2">
        <v>31201.82</v>
      </c>
      <c r="D1116" s="1196">
        <f t="shared" si="36"/>
        <v>240.97511999783751</v>
      </c>
      <c r="E1116" s="2">
        <v>3313.15</v>
      </c>
      <c r="F1116" s="1196">
        <f t="shared" si="37"/>
        <v>470.87206162417215</v>
      </c>
    </row>
    <row r="1117" spans="2:6">
      <c r="B1117" s="189">
        <v>40870</v>
      </c>
      <c r="C1117" s="2">
        <v>30956.19</v>
      </c>
      <c r="D1117" s="1196">
        <f t="shared" si="36"/>
        <v>239.07809223711496</v>
      </c>
      <c r="E1117" s="2">
        <v>3313.15</v>
      </c>
      <c r="F1117" s="1196">
        <f t="shared" si="37"/>
        <v>470.87206162417215</v>
      </c>
    </row>
    <row r="1118" spans="2:6">
      <c r="B1118" s="189">
        <v>40869</v>
      </c>
      <c r="C1118" s="2">
        <v>31369.74</v>
      </c>
      <c r="D1118" s="1196">
        <f t="shared" si="36"/>
        <v>242.27198480091752</v>
      </c>
      <c r="E1118" s="2">
        <v>3313.15</v>
      </c>
      <c r="F1118" s="1196">
        <f t="shared" si="37"/>
        <v>470.87206162417215</v>
      </c>
    </row>
    <row r="1119" spans="2:6">
      <c r="B1119" s="189">
        <v>40868</v>
      </c>
      <c r="C1119" s="2">
        <v>31116.01</v>
      </c>
      <c r="D1119" s="1196">
        <f t="shared" si="36"/>
        <v>240.31239984090388</v>
      </c>
      <c r="E1119" s="2">
        <v>3358.44</v>
      </c>
      <c r="F1119" s="1196">
        <f t="shared" si="37"/>
        <v>477.30877462266568</v>
      </c>
    </row>
    <row r="1120" spans="2:6">
      <c r="B1120" s="189">
        <v>40865</v>
      </c>
      <c r="C1120" s="2">
        <v>31812.66</v>
      </c>
      <c r="D1120" s="1196">
        <f t="shared" si="36"/>
        <v>245.6927051354827</v>
      </c>
      <c r="E1120" s="2">
        <v>3404.52</v>
      </c>
      <c r="F1120" s="1196">
        <f t="shared" si="37"/>
        <v>483.8577641340496</v>
      </c>
    </row>
    <row r="1121" spans="2:6">
      <c r="B1121" s="189">
        <v>40864</v>
      </c>
      <c r="C1121" s="2">
        <v>32438.05</v>
      </c>
      <c r="D1121" s="1196">
        <f t="shared" si="36"/>
        <v>250.52266153852094</v>
      </c>
      <c r="E1121" s="2">
        <v>3416.44</v>
      </c>
      <c r="F1121" s="1196">
        <f t="shared" si="37"/>
        <v>485.5518603791819</v>
      </c>
    </row>
    <row r="1122" spans="2:6">
      <c r="B1122" s="189">
        <v>40863</v>
      </c>
      <c r="C1122" s="2">
        <v>32672.67</v>
      </c>
      <c r="D1122" s="1196">
        <f t="shared" si="36"/>
        <v>252.33465784687388</v>
      </c>
      <c r="E1122" s="2">
        <v>3416.44</v>
      </c>
      <c r="F1122" s="1196">
        <f t="shared" si="37"/>
        <v>485.5518603791819</v>
      </c>
    </row>
    <row r="1123" spans="2:6">
      <c r="B1123" s="189">
        <v>40862</v>
      </c>
      <c r="C1123" s="2">
        <v>32674.18</v>
      </c>
      <c r="D1123" s="1196">
        <f t="shared" si="36"/>
        <v>252.34631974451949</v>
      </c>
      <c r="E1123" s="2">
        <v>3416.44</v>
      </c>
      <c r="F1123" s="1196">
        <f t="shared" si="37"/>
        <v>485.5518603791819</v>
      </c>
    </row>
    <row r="1124" spans="2:6">
      <c r="B1124" s="189">
        <v>40861</v>
      </c>
      <c r="C1124" s="2">
        <v>32343.89</v>
      </c>
      <c r="D1124" s="1196">
        <f t="shared" si="36"/>
        <v>249.79545340454044</v>
      </c>
      <c r="E1124" s="2">
        <v>3376.71</v>
      </c>
      <c r="F1124" s="1196">
        <f t="shared" si="37"/>
        <v>479.90534663596833</v>
      </c>
    </row>
    <row r="1125" spans="2:6">
      <c r="B1125" s="189">
        <v>40858</v>
      </c>
      <c r="C1125" s="2">
        <v>32261.65</v>
      </c>
      <c r="D1125" s="1196">
        <f t="shared" si="36"/>
        <v>249.16030475396101</v>
      </c>
      <c r="E1125" s="2">
        <v>3338.57</v>
      </c>
      <c r="F1125" s="1196">
        <f t="shared" si="37"/>
        <v>474.48480714021775</v>
      </c>
    </row>
    <row r="1126" spans="2:6">
      <c r="B1126" s="189">
        <v>40857</v>
      </c>
      <c r="C1126" s="2">
        <v>32216.61</v>
      </c>
      <c r="D1126" s="1196">
        <f t="shared" si="36"/>
        <v>248.81245583345884</v>
      </c>
      <c r="E1126" s="2">
        <v>3338.57</v>
      </c>
      <c r="F1126" s="1196">
        <f t="shared" si="37"/>
        <v>474.48480714021775</v>
      </c>
    </row>
    <row r="1127" spans="2:6">
      <c r="B1127" s="189">
        <v>40856</v>
      </c>
      <c r="C1127" s="2">
        <v>32017.01</v>
      </c>
      <c r="D1127" s="1196">
        <f t="shared" si="36"/>
        <v>247.27092287315179</v>
      </c>
      <c r="E1127" s="2">
        <v>3377.51</v>
      </c>
      <c r="F1127" s="1196">
        <f t="shared" si="37"/>
        <v>480.01904437054088</v>
      </c>
    </row>
    <row r="1128" spans="2:6">
      <c r="B1128" s="189">
        <v>40855</v>
      </c>
      <c r="C1128" s="2">
        <v>32670.42</v>
      </c>
      <c r="D1128" s="1196">
        <f t="shared" si="36"/>
        <v>252.31728084707078</v>
      </c>
      <c r="E1128" s="2">
        <v>3436.3</v>
      </c>
      <c r="F1128" s="1196">
        <f t="shared" si="37"/>
        <v>488.37440663994772</v>
      </c>
    </row>
    <row r="1129" spans="2:6">
      <c r="B1129" s="189">
        <v>40854</v>
      </c>
      <c r="C1129" s="2">
        <v>32514.38</v>
      </c>
      <c r="D1129" s="1196">
        <f t="shared" si="36"/>
        <v>251.11216660295105</v>
      </c>
      <c r="E1129" s="2">
        <v>3467.29</v>
      </c>
      <c r="F1129" s="1196">
        <f t="shared" si="37"/>
        <v>492.77877263295522</v>
      </c>
    </row>
    <row r="1130" spans="2:6">
      <c r="B1130" s="189">
        <v>40851</v>
      </c>
      <c r="C1130" s="2">
        <v>31917.02</v>
      </c>
      <c r="D1130" s="1196">
        <f t="shared" si="36"/>
        <v>246.49868900190376</v>
      </c>
      <c r="E1130" s="2">
        <v>3495.89</v>
      </c>
      <c r="F1130" s="1196">
        <f t="shared" si="37"/>
        <v>496.84346664392712</v>
      </c>
    </row>
    <row r="1131" spans="2:6">
      <c r="B1131" s="189">
        <v>40850</v>
      </c>
      <c r="C1131" s="2">
        <v>32211.88</v>
      </c>
      <c r="D1131" s="1196">
        <f t="shared" si="36"/>
        <v>248.77592551831728</v>
      </c>
      <c r="E1131" s="2">
        <v>3575.34</v>
      </c>
      <c r="F1131" s="1196">
        <f t="shared" si="37"/>
        <v>508.13507290867233</v>
      </c>
    </row>
    <row r="1132" spans="2:6">
      <c r="B1132" s="189">
        <v>40849</v>
      </c>
      <c r="C1132" s="2">
        <v>32196.560000000001</v>
      </c>
      <c r="D1132" s="1196">
        <f t="shared" si="36"/>
        <v>248.65760745743603</v>
      </c>
      <c r="E1132" s="2">
        <v>3444.24</v>
      </c>
      <c r="F1132" s="1196">
        <f t="shared" si="37"/>
        <v>489.50285665558113</v>
      </c>
    </row>
    <row r="1133" spans="2:6">
      <c r="B1133" s="189">
        <v>40848</v>
      </c>
      <c r="C1133" s="2">
        <v>31724.22</v>
      </c>
      <c r="D1133" s="1196">
        <f t="shared" si="36"/>
        <v>245.00967319655706</v>
      </c>
      <c r="E1133" s="2">
        <v>3456.16</v>
      </c>
      <c r="F1133" s="1196">
        <f t="shared" si="37"/>
        <v>491.19695290071343</v>
      </c>
    </row>
    <row r="1134" spans="2:6">
      <c r="B1134" s="189">
        <v>40847</v>
      </c>
      <c r="C1134" s="2">
        <v>32348.54</v>
      </c>
      <c r="D1134" s="1196">
        <f t="shared" si="36"/>
        <v>249.83136587080011</v>
      </c>
      <c r="E1134" s="2">
        <v>3384.66</v>
      </c>
      <c r="F1134" s="1196">
        <f t="shared" si="37"/>
        <v>481.03521787328384</v>
      </c>
    </row>
    <row r="1135" spans="2:6">
      <c r="B1135" s="189">
        <v>40844</v>
      </c>
      <c r="C1135" s="2">
        <v>32894.11</v>
      </c>
      <c r="D1135" s="1196">
        <f t="shared" si="36"/>
        <v>254.04486355193598</v>
      </c>
      <c r="E1135" s="2">
        <v>3416.44</v>
      </c>
      <c r="F1135" s="1196">
        <f t="shared" si="37"/>
        <v>485.5518603791819</v>
      </c>
    </row>
    <row r="1136" spans="2:6">
      <c r="B1136" s="189">
        <v>40843</v>
      </c>
      <c r="C1136" s="2">
        <v>32452.55</v>
      </c>
      <c r="D1136" s="1196">
        <f t="shared" si="36"/>
        <v>250.63464664836289</v>
      </c>
      <c r="E1136" s="2">
        <v>3358.44</v>
      </c>
      <c r="F1136" s="1196">
        <f t="shared" si="37"/>
        <v>477.30877462266568</v>
      </c>
    </row>
    <row r="1137" spans="2:6">
      <c r="B1137" s="189">
        <v>40842</v>
      </c>
      <c r="C1137" s="2">
        <v>31736.62</v>
      </c>
      <c r="D1137" s="1196">
        <f t="shared" si="36"/>
        <v>245.10543977324946</v>
      </c>
      <c r="E1137" s="2">
        <v>3337.78</v>
      </c>
      <c r="F1137" s="1196">
        <f t="shared" si="37"/>
        <v>474.37253062732731</v>
      </c>
    </row>
    <row r="1138" spans="2:6">
      <c r="B1138" s="189">
        <v>40841</v>
      </c>
      <c r="C1138" s="2">
        <v>31663.61</v>
      </c>
      <c r="D1138" s="1196">
        <f t="shared" si="36"/>
        <v>244.54157543741769</v>
      </c>
      <c r="E1138" s="2">
        <v>3336.98</v>
      </c>
      <c r="F1138" s="1196">
        <f t="shared" si="37"/>
        <v>474.25883289275464</v>
      </c>
    </row>
    <row r="1139" spans="2:6">
      <c r="B1139" s="189">
        <v>40840</v>
      </c>
      <c r="C1139" s="2">
        <v>31654.31</v>
      </c>
      <c r="D1139" s="1196">
        <f t="shared" si="36"/>
        <v>244.4697505048984</v>
      </c>
      <c r="E1139" s="2">
        <v>3336.98</v>
      </c>
      <c r="F1139" s="1196">
        <f t="shared" si="37"/>
        <v>474.25883289275464</v>
      </c>
    </row>
    <row r="1140" spans="2:6">
      <c r="B1140" s="189">
        <v>40837</v>
      </c>
      <c r="C1140" s="2">
        <v>31449.99</v>
      </c>
      <c r="D1140" s="1196">
        <f t="shared" si="36"/>
        <v>242.89176446056001</v>
      </c>
      <c r="E1140" s="2">
        <v>3336.98</v>
      </c>
      <c r="F1140" s="1196">
        <f t="shared" si="37"/>
        <v>474.25883289275464</v>
      </c>
    </row>
    <row r="1141" spans="2:6">
      <c r="B1141" s="189">
        <v>40836</v>
      </c>
      <c r="C1141" s="2">
        <v>30836.89</v>
      </c>
      <c r="D1141" s="1196">
        <f t="shared" si="36"/>
        <v>238.15672509200155</v>
      </c>
      <c r="E1141" s="2">
        <v>3178.08</v>
      </c>
      <c r="F1141" s="1196">
        <f t="shared" si="37"/>
        <v>451.67562036326422</v>
      </c>
    </row>
    <row r="1142" spans="2:6">
      <c r="B1142" s="189">
        <v>40835</v>
      </c>
      <c r="C1142" s="2">
        <v>31197.35</v>
      </c>
      <c r="D1142" s="1196">
        <f t="shared" si="36"/>
        <v>240.94059769156212</v>
      </c>
      <c r="E1142" s="2">
        <v>3138.35</v>
      </c>
      <c r="F1142" s="1196">
        <f t="shared" si="37"/>
        <v>446.02910662005064</v>
      </c>
    </row>
    <row r="1143" spans="2:6">
      <c r="B1143" s="189">
        <v>40834</v>
      </c>
      <c r="C1143" s="2">
        <v>31054.2</v>
      </c>
      <c r="D1143" s="1196">
        <f t="shared" si="36"/>
        <v>239.83503434853631</v>
      </c>
      <c r="E1143" s="2">
        <v>3138.35</v>
      </c>
      <c r="F1143" s="1196">
        <f t="shared" si="37"/>
        <v>446.02910662005064</v>
      </c>
    </row>
    <row r="1144" spans="2:6">
      <c r="B1144" s="189">
        <v>40833</v>
      </c>
      <c r="C1144" s="2">
        <v>31095.23</v>
      </c>
      <c r="D1144" s="1196">
        <f t="shared" si="36"/>
        <v>240.15191359383388</v>
      </c>
      <c r="E1144" s="2">
        <v>3139.94</v>
      </c>
      <c r="F1144" s="1196">
        <f t="shared" si="37"/>
        <v>446.2550808675137</v>
      </c>
    </row>
    <row r="1145" spans="2:6">
      <c r="B1145" s="189">
        <v>40830</v>
      </c>
      <c r="C1145" s="2">
        <v>31123.59</v>
      </c>
      <c r="D1145" s="1196">
        <f t="shared" si="36"/>
        <v>240.37094102246269</v>
      </c>
      <c r="E1145" s="2">
        <v>3027.12</v>
      </c>
      <c r="F1145" s="1196">
        <f t="shared" si="37"/>
        <v>430.22085784940731</v>
      </c>
    </row>
    <row r="1146" spans="2:6">
      <c r="B1146" s="189">
        <v>40829</v>
      </c>
      <c r="C1146" s="2">
        <v>30834.39</v>
      </c>
      <c r="D1146" s="1196">
        <f t="shared" si="36"/>
        <v>238.13741731444259</v>
      </c>
      <c r="E1146" s="2">
        <v>3019.18</v>
      </c>
      <c r="F1146" s="1196">
        <f t="shared" si="37"/>
        <v>429.09240783377385</v>
      </c>
    </row>
    <row r="1147" spans="2:6">
      <c r="B1147" s="189">
        <v>40828</v>
      </c>
      <c r="C1147" s="2">
        <v>31129.95</v>
      </c>
      <c r="D1147" s="1196">
        <f t="shared" si="36"/>
        <v>240.42006000857268</v>
      </c>
      <c r="E1147" s="2">
        <v>3027.12</v>
      </c>
      <c r="F1147" s="1196">
        <f t="shared" si="37"/>
        <v>430.22085784940731</v>
      </c>
    </row>
    <row r="1148" spans="2:6">
      <c r="B1148" s="189">
        <v>40827</v>
      </c>
      <c r="C1148" s="2">
        <v>30803.88</v>
      </c>
      <c r="D1148" s="1196">
        <f t="shared" si="36"/>
        <v>237.9017851971131</v>
      </c>
      <c r="E1148" s="2">
        <v>3019.18</v>
      </c>
      <c r="F1148" s="1196">
        <f t="shared" si="37"/>
        <v>429.09240783377385</v>
      </c>
    </row>
    <row r="1149" spans="2:6">
      <c r="B1149" s="189">
        <v>40826</v>
      </c>
      <c r="C1149" s="2">
        <v>30884.7</v>
      </c>
      <c r="D1149" s="1196">
        <f t="shared" si="36"/>
        <v>238.52596703003903</v>
      </c>
      <c r="E1149" s="2">
        <v>3018.38</v>
      </c>
      <c r="F1149" s="1196">
        <f t="shared" si="37"/>
        <v>428.97871009920124</v>
      </c>
    </row>
    <row r="1150" spans="2:6">
      <c r="B1150" s="189">
        <v>40823</v>
      </c>
      <c r="C1150" s="2">
        <v>30244.9</v>
      </c>
      <c r="D1150" s="1196">
        <f t="shared" si="36"/>
        <v>233.58472059715095</v>
      </c>
      <c r="E1150" s="2">
        <v>2947.67</v>
      </c>
      <c r="F1150" s="1196">
        <f t="shared" si="37"/>
        <v>418.92925158466215</v>
      </c>
    </row>
    <row r="1151" spans="2:6">
      <c r="B1151" s="189">
        <v>40822</v>
      </c>
      <c r="C1151" s="2">
        <v>29888.87</v>
      </c>
      <c r="D1151" s="1196">
        <f t="shared" si="36"/>
        <v>230.83506137942487</v>
      </c>
      <c r="E1151" s="2">
        <v>2963.56</v>
      </c>
      <c r="F1151" s="1196">
        <f t="shared" si="37"/>
        <v>421.18757283761124</v>
      </c>
    </row>
    <row r="1152" spans="2:6">
      <c r="B1152" s="189">
        <v>40821</v>
      </c>
      <c r="C1152" s="2">
        <v>29468.560000000001</v>
      </c>
      <c r="D1152" s="1196">
        <f t="shared" si="36"/>
        <v>227.58896058510291</v>
      </c>
      <c r="E1152" s="2">
        <v>2963.56</v>
      </c>
      <c r="F1152" s="1196">
        <f t="shared" si="37"/>
        <v>421.18757283761124</v>
      </c>
    </row>
    <row r="1153" spans="2:6">
      <c r="B1153" s="189">
        <v>40820</v>
      </c>
      <c r="C1153" s="2">
        <v>29178.27</v>
      </c>
      <c r="D1153" s="1196">
        <f t="shared" si="36"/>
        <v>225.34701868606714</v>
      </c>
      <c r="E1153" s="2">
        <v>2939.72</v>
      </c>
      <c r="F1153" s="1196">
        <f t="shared" si="37"/>
        <v>417.79938034734653</v>
      </c>
    </row>
    <row r="1154" spans="2:6">
      <c r="B1154" s="189">
        <v>40819</v>
      </c>
      <c r="C1154" s="2">
        <v>29877.9</v>
      </c>
      <c r="D1154" s="1196">
        <f t="shared" si="36"/>
        <v>230.75033885149617</v>
      </c>
      <c r="E1154" s="2">
        <v>2975.48</v>
      </c>
      <c r="F1154" s="1196">
        <f t="shared" si="37"/>
        <v>422.88166908274354</v>
      </c>
    </row>
    <row r="1155" spans="2:6">
      <c r="B1155" s="189">
        <v>40816</v>
      </c>
      <c r="C1155" s="2">
        <v>29674.2</v>
      </c>
      <c r="D1155" s="1196">
        <f t="shared" si="36"/>
        <v>229.1771411359924</v>
      </c>
      <c r="E1155" s="2">
        <v>2975.48</v>
      </c>
      <c r="F1155" s="1196">
        <f t="shared" si="37"/>
        <v>422.88166908274354</v>
      </c>
    </row>
    <row r="1156" spans="2:6">
      <c r="B1156" s="189">
        <v>40815</v>
      </c>
      <c r="C1156" s="2">
        <v>29688.89</v>
      </c>
      <c r="D1156" s="1196">
        <f t="shared" si="36"/>
        <v>229.2905936369288</v>
      </c>
      <c r="E1156" s="2">
        <v>2959.59</v>
      </c>
      <c r="F1156" s="1196">
        <f t="shared" si="37"/>
        <v>420.62334782979451</v>
      </c>
    </row>
    <row r="1157" spans="2:6">
      <c r="B1157" s="189">
        <v>40814</v>
      </c>
      <c r="C1157" s="2">
        <v>30339.03</v>
      </c>
      <c r="D1157" s="1196">
        <f t="shared" si="36"/>
        <v>234.31169703780074</v>
      </c>
      <c r="E1157" s="2">
        <v>2959.59</v>
      </c>
      <c r="F1157" s="1196">
        <f t="shared" si="37"/>
        <v>420.62334782979451</v>
      </c>
    </row>
    <row r="1158" spans="2:6">
      <c r="B1158" s="189">
        <v>40813</v>
      </c>
      <c r="C1158" s="2">
        <v>30752.400000000001</v>
      </c>
      <c r="D1158" s="1196">
        <f t="shared" si="36"/>
        <v>237.50419944161911</v>
      </c>
      <c r="E1158" s="2">
        <v>2963.56</v>
      </c>
      <c r="F1158" s="1196">
        <f t="shared" si="37"/>
        <v>421.18757283761124</v>
      </c>
    </row>
    <row r="1159" spans="2:6">
      <c r="B1159" s="189">
        <v>40812</v>
      </c>
      <c r="C1159" s="2">
        <v>29718.560000000001</v>
      </c>
      <c r="D1159" s="1196">
        <f t="shared" si="36"/>
        <v>229.51973834099854</v>
      </c>
      <c r="E1159" s="2">
        <v>2971.51</v>
      </c>
      <c r="F1159" s="1196">
        <f t="shared" si="37"/>
        <v>422.31744407492681</v>
      </c>
    </row>
    <row r="1160" spans="2:6">
      <c r="B1160" s="189">
        <v>40809</v>
      </c>
      <c r="C1160" s="2">
        <v>30061.21</v>
      </c>
      <c r="D1160" s="1196">
        <f t="shared" si="36"/>
        <v>232.16606233322906</v>
      </c>
      <c r="E1160" s="2">
        <v>2971.51</v>
      </c>
      <c r="F1160" s="1196">
        <f t="shared" si="37"/>
        <v>422.31744407492681</v>
      </c>
    </row>
    <row r="1161" spans="2:6">
      <c r="B1161" s="189">
        <v>40808</v>
      </c>
      <c r="C1161" s="2">
        <v>30323.040000000001</v>
      </c>
      <c r="D1161" s="1196">
        <f t="shared" si="36"/>
        <v>234.18820449253369</v>
      </c>
      <c r="E1161" s="2">
        <v>2979.45</v>
      </c>
      <c r="F1161" s="1196">
        <f t="shared" si="37"/>
        <v>423.44589409056022</v>
      </c>
    </row>
    <row r="1162" spans="2:6">
      <c r="B1162" s="189">
        <v>40807</v>
      </c>
      <c r="C1162" s="2">
        <v>31311.17</v>
      </c>
      <c r="D1162" s="1196">
        <f t="shared" si="36"/>
        <v>241.81964218826627</v>
      </c>
      <c r="E1162" s="2">
        <v>2979.45</v>
      </c>
      <c r="F1162" s="1196">
        <f t="shared" si="37"/>
        <v>423.44589409056022</v>
      </c>
    </row>
    <row r="1163" spans="2:6">
      <c r="B1163" s="189">
        <v>40806</v>
      </c>
      <c r="C1163" s="2">
        <v>31343.9</v>
      </c>
      <c r="D1163" s="1196">
        <f t="shared" ref="D1163:D1226" si="38">C1163/$C$2759*100</f>
        <v>242.07241961206813</v>
      </c>
      <c r="E1163" s="2">
        <v>3031.09</v>
      </c>
      <c r="F1163" s="1196">
        <f t="shared" ref="F1163:F1226" si="39">E1163/$E$2759*100</f>
        <v>430.7850828572241</v>
      </c>
    </row>
    <row r="1164" spans="2:6">
      <c r="B1164" s="189">
        <v>40805</v>
      </c>
      <c r="C1164" s="2">
        <v>30959.59</v>
      </c>
      <c r="D1164" s="1196">
        <f t="shared" si="38"/>
        <v>239.10435081459514</v>
      </c>
      <c r="E1164" s="2">
        <v>2995.34</v>
      </c>
      <c r="F1164" s="1196">
        <f t="shared" si="39"/>
        <v>425.7042153435093</v>
      </c>
    </row>
    <row r="1165" spans="2:6">
      <c r="B1165" s="189">
        <v>40802</v>
      </c>
      <c r="C1165" s="2">
        <v>31051.35</v>
      </c>
      <c r="D1165" s="1196">
        <f t="shared" si="38"/>
        <v>239.81302348211906</v>
      </c>
      <c r="E1165" s="2">
        <v>2939.72</v>
      </c>
      <c r="F1165" s="1196">
        <f t="shared" si="39"/>
        <v>417.79938034734653</v>
      </c>
    </row>
    <row r="1166" spans="2:6">
      <c r="B1166" s="189">
        <v>40801</v>
      </c>
      <c r="C1166" s="2">
        <v>30998.05</v>
      </c>
      <c r="D1166" s="1196">
        <f t="shared" si="38"/>
        <v>239.40138166456211</v>
      </c>
      <c r="E1166" s="2">
        <v>2860.27</v>
      </c>
      <c r="F1166" s="1196">
        <f t="shared" si="39"/>
        <v>406.50777408260143</v>
      </c>
    </row>
    <row r="1167" spans="2:6">
      <c r="B1167" s="189">
        <v>40800</v>
      </c>
      <c r="C1167" s="2">
        <v>30459.82</v>
      </c>
      <c r="D1167" s="1196">
        <f t="shared" si="38"/>
        <v>235.24457161833931</v>
      </c>
      <c r="E1167" s="2">
        <v>3000.9</v>
      </c>
      <c r="F1167" s="1196">
        <f t="shared" si="39"/>
        <v>426.49441459878909</v>
      </c>
    </row>
    <row r="1168" spans="2:6">
      <c r="B1168" s="189">
        <v>40799</v>
      </c>
      <c r="C1168" s="2">
        <v>30032.71</v>
      </c>
      <c r="D1168" s="1196">
        <f t="shared" si="38"/>
        <v>231.94595366905696</v>
      </c>
      <c r="E1168" s="2">
        <v>2980.25</v>
      </c>
      <c r="F1168" s="1196">
        <f t="shared" si="39"/>
        <v>423.55959182513294</v>
      </c>
    </row>
    <row r="1169" spans="2:6">
      <c r="B1169" s="189">
        <v>40798</v>
      </c>
      <c r="C1169" s="2">
        <v>29855.75</v>
      </c>
      <c r="D1169" s="1196">
        <f t="shared" si="38"/>
        <v>230.57927194232383</v>
      </c>
      <c r="E1169" s="2">
        <v>2939.72</v>
      </c>
      <c r="F1169" s="1196">
        <f t="shared" si="39"/>
        <v>417.79938034734653</v>
      </c>
    </row>
    <row r="1170" spans="2:6">
      <c r="B1170" s="189">
        <v>40795</v>
      </c>
      <c r="C1170" s="2">
        <v>30440.87</v>
      </c>
      <c r="D1170" s="1196">
        <f t="shared" si="38"/>
        <v>235.09821866444241</v>
      </c>
      <c r="E1170" s="2">
        <v>2943.7</v>
      </c>
      <c r="F1170" s="1196">
        <f t="shared" si="39"/>
        <v>418.36502657684542</v>
      </c>
    </row>
    <row r="1171" spans="2:6">
      <c r="B1171" s="189">
        <v>40794</v>
      </c>
      <c r="C1171" s="2">
        <v>30918</v>
      </c>
      <c r="D1171" s="1196">
        <f t="shared" si="38"/>
        <v>238.78314662712435</v>
      </c>
      <c r="E1171" s="2">
        <v>3019.18</v>
      </c>
      <c r="F1171" s="1196">
        <f t="shared" si="39"/>
        <v>429.09240783377385</v>
      </c>
    </row>
    <row r="1172" spans="2:6">
      <c r="B1172" s="189">
        <v>40793</v>
      </c>
      <c r="C1172" s="2">
        <v>30514.6</v>
      </c>
      <c r="D1172" s="1196">
        <f t="shared" si="38"/>
        <v>235.66764364021117</v>
      </c>
      <c r="E1172" s="2">
        <v>3011.23</v>
      </c>
      <c r="F1172" s="1196">
        <f t="shared" si="39"/>
        <v>427.96253659645834</v>
      </c>
    </row>
    <row r="1173" spans="2:6">
      <c r="B1173" s="189">
        <v>40792</v>
      </c>
      <c r="C1173" s="2">
        <v>29525.83</v>
      </c>
      <c r="D1173" s="1196">
        <f t="shared" si="38"/>
        <v>228.03126315342351</v>
      </c>
      <c r="E1173" s="2">
        <v>3008.85</v>
      </c>
      <c r="F1173" s="1196">
        <f t="shared" si="39"/>
        <v>427.62428583610472</v>
      </c>
    </row>
    <row r="1174" spans="2:6">
      <c r="B1174" s="189">
        <v>40791</v>
      </c>
      <c r="C1174" s="2">
        <v>29888.14</v>
      </c>
      <c r="D1174" s="1196">
        <f t="shared" si="38"/>
        <v>230.82942350837766</v>
      </c>
      <c r="E1174" s="2">
        <v>3008.85</v>
      </c>
      <c r="F1174" s="1196">
        <f t="shared" si="39"/>
        <v>427.62428583610472</v>
      </c>
    </row>
    <row r="1175" spans="2:6">
      <c r="B1175" s="189">
        <v>40788</v>
      </c>
      <c r="C1175" s="2">
        <v>30518.92</v>
      </c>
      <c r="D1175" s="1196">
        <f t="shared" si="38"/>
        <v>235.70100747983301</v>
      </c>
      <c r="E1175" s="2">
        <v>2861.07</v>
      </c>
      <c r="F1175" s="1196">
        <f t="shared" si="39"/>
        <v>406.62147181717404</v>
      </c>
    </row>
    <row r="1176" spans="2:6">
      <c r="B1176" s="189">
        <v>40787</v>
      </c>
      <c r="C1176" s="2">
        <v>31088.12</v>
      </c>
      <c r="D1176" s="1196">
        <f t="shared" si="38"/>
        <v>240.09700227445617</v>
      </c>
      <c r="E1176" s="2">
        <v>3019.18</v>
      </c>
      <c r="F1176" s="1196">
        <f t="shared" si="39"/>
        <v>429.09240783377385</v>
      </c>
    </row>
    <row r="1177" spans="2:6">
      <c r="B1177" s="189">
        <v>40786</v>
      </c>
      <c r="C1177" s="2">
        <v>31005.5</v>
      </c>
      <c r="D1177" s="1196">
        <f t="shared" si="38"/>
        <v>239.45891884168779</v>
      </c>
      <c r="E1177" s="2">
        <v>3019.18</v>
      </c>
      <c r="F1177" s="1196">
        <f t="shared" si="39"/>
        <v>429.09240783377385</v>
      </c>
    </row>
    <row r="1178" spans="2:6">
      <c r="B1178" s="189">
        <v>40785</v>
      </c>
      <c r="C1178" s="2">
        <v>30365.13</v>
      </c>
      <c r="D1178" s="1196">
        <f t="shared" si="38"/>
        <v>234.5132702355163</v>
      </c>
      <c r="E1178" s="2">
        <v>3011.23</v>
      </c>
      <c r="F1178" s="1196">
        <f t="shared" si="39"/>
        <v>427.96253659645834</v>
      </c>
    </row>
    <row r="1179" spans="2:6">
      <c r="B1179" s="189">
        <v>40784</v>
      </c>
      <c r="C1179" s="2">
        <v>30292.76</v>
      </c>
      <c r="D1179" s="1196">
        <f t="shared" si="38"/>
        <v>233.95434869073961</v>
      </c>
      <c r="E1179" s="2">
        <v>3018.38</v>
      </c>
      <c r="F1179" s="1196">
        <f t="shared" si="39"/>
        <v>428.97871009920124</v>
      </c>
    </row>
    <row r="1180" spans="2:6">
      <c r="B1180" s="189">
        <v>40781</v>
      </c>
      <c r="C1180" s="2">
        <v>29425.05</v>
      </c>
      <c r="D1180" s="1196">
        <f t="shared" si="38"/>
        <v>227.25292802446683</v>
      </c>
      <c r="E1180" s="2">
        <v>2979.45</v>
      </c>
      <c r="F1180" s="1196">
        <f t="shared" si="39"/>
        <v>423.44589409056022</v>
      </c>
    </row>
    <row r="1181" spans="2:6">
      <c r="B1181" s="189">
        <v>40780</v>
      </c>
      <c r="C1181" s="2">
        <v>29349.45</v>
      </c>
      <c r="D1181" s="1196">
        <f t="shared" si="38"/>
        <v>226.66906083108401</v>
      </c>
      <c r="E1181" s="2">
        <v>2979.45</v>
      </c>
      <c r="F1181" s="1196">
        <f t="shared" si="39"/>
        <v>423.44589409056022</v>
      </c>
    </row>
    <row r="1182" spans="2:6">
      <c r="B1182" s="189">
        <v>40779</v>
      </c>
      <c r="C1182" s="2">
        <v>29604.59</v>
      </c>
      <c r="D1182" s="1196">
        <f t="shared" si="38"/>
        <v>228.63953537764084</v>
      </c>
      <c r="E1182" s="2">
        <v>2919.86</v>
      </c>
      <c r="F1182" s="1196">
        <f t="shared" si="39"/>
        <v>414.97683408658082</v>
      </c>
    </row>
    <row r="1183" spans="2:6">
      <c r="B1183" s="189">
        <v>40778</v>
      </c>
      <c r="C1183" s="2">
        <v>29259.86</v>
      </c>
      <c r="D1183" s="1196">
        <f t="shared" si="38"/>
        <v>225.97714731448124</v>
      </c>
      <c r="E1183" s="2">
        <v>2979.45</v>
      </c>
      <c r="F1183" s="1196">
        <f t="shared" si="39"/>
        <v>423.44589409056022</v>
      </c>
    </row>
    <row r="1184" spans="2:6">
      <c r="B1184" s="189">
        <v>40777</v>
      </c>
      <c r="C1184" s="2">
        <v>29433.119999999999</v>
      </c>
      <c r="D1184" s="1196">
        <f t="shared" si="38"/>
        <v>227.31525353042713</v>
      </c>
      <c r="E1184" s="2">
        <v>2979.45</v>
      </c>
      <c r="F1184" s="1196">
        <f t="shared" si="39"/>
        <v>423.44589409056022</v>
      </c>
    </row>
    <row r="1185" spans="2:6">
      <c r="B1185" s="189">
        <v>40774</v>
      </c>
      <c r="C1185" s="2">
        <v>29378.69</v>
      </c>
      <c r="D1185" s="1196">
        <f t="shared" si="38"/>
        <v>226.89488459741352</v>
      </c>
      <c r="E1185" s="2">
        <v>2979.45</v>
      </c>
      <c r="F1185" s="1196">
        <f t="shared" si="39"/>
        <v>423.44589409056022</v>
      </c>
    </row>
    <row r="1186" spans="2:6">
      <c r="B1186" s="189">
        <v>40773</v>
      </c>
      <c r="C1186" s="2">
        <v>29288.86</v>
      </c>
      <c r="D1186" s="1196">
        <f t="shared" si="38"/>
        <v>226.20111753416512</v>
      </c>
      <c r="E1186" s="2">
        <v>2979.45</v>
      </c>
      <c r="F1186" s="1196">
        <f t="shared" si="39"/>
        <v>423.44589409056022</v>
      </c>
    </row>
    <row r="1187" spans="2:6">
      <c r="B1187" s="189">
        <v>40772</v>
      </c>
      <c r="C1187" s="2">
        <v>30178.720000000001</v>
      </c>
      <c r="D1187" s="1196">
        <f t="shared" si="38"/>
        <v>233.07360510961027</v>
      </c>
      <c r="E1187" s="2">
        <v>2979.45</v>
      </c>
      <c r="F1187" s="1196">
        <f t="shared" si="39"/>
        <v>423.44589409056022</v>
      </c>
    </row>
    <row r="1188" spans="2:6">
      <c r="B1188" s="189">
        <v>40771</v>
      </c>
      <c r="C1188" s="2">
        <v>29987.27</v>
      </c>
      <c r="D1188" s="1196">
        <f t="shared" si="38"/>
        <v>231.59501550414538</v>
      </c>
      <c r="E1188" s="2">
        <v>2919.86</v>
      </c>
      <c r="F1188" s="1196">
        <f t="shared" si="39"/>
        <v>414.97683408658082</v>
      </c>
    </row>
    <row r="1189" spans="2:6">
      <c r="B1189" s="189">
        <v>40770</v>
      </c>
      <c r="C1189" s="2">
        <v>30159.42</v>
      </c>
      <c r="D1189" s="1196">
        <f t="shared" si="38"/>
        <v>232.92454906685509</v>
      </c>
      <c r="E1189" s="2">
        <v>2919.86</v>
      </c>
      <c r="F1189" s="1196">
        <f t="shared" si="39"/>
        <v>414.97683408658082</v>
      </c>
    </row>
    <row r="1190" spans="2:6">
      <c r="B1190" s="189">
        <v>40767</v>
      </c>
      <c r="C1190" s="2">
        <v>29826.400000000001</v>
      </c>
      <c r="D1190" s="1196">
        <f t="shared" si="38"/>
        <v>230.35259863378167</v>
      </c>
      <c r="E1190" s="2">
        <v>2939.72</v>
      </c>
      <c r="F1190" s="1196">
        <f t="shared" si="39"/>
        <v>417.79938034734653</v>
      </c>
    </row>
    <row r="1191" spans="2:6">
      <c r="B1191" s="189">
        <v>40766</v>
      </c>
      <c r="C1191" s="2">
        <v>29490.2</v>
      </c>
      <c r="D1191" s="1196">
        <f t="shared" si="38"/>
        <v>227.75608870765325</v>
      </c>
      <c r="E1191" s="2">
        <v>2947.67</v>
      </c>
      <c r="F1191" s="1196">
        <f t="shared" si="39"/>
        <v>418.92925158466215</v>
      </c>
    </row>
    <row r="1192" spans="2:6">
      <c r="B1192" s="189">
        <v>40765</v>
      </c>
      <c r="C1192" s="2">
        <v>28658.57</v>
      </c>
      <c r="D1192" s="1196">
        <f t="shared" si="38"/>
        <v>221.33331788711129</v>
      </c>
      <c r="E1192" s="2">
        <v>2941.31</v>
      </c>
      <c r="F1192" s="1196">
        <f t="shared" si="39"/>
        <v>418.0253545948097</v>
      </c>
    </row>
    <row r="1193" spans="2:6">
      <c r="B1193" s="189">
        <v>40763</v>
      </c>
      <c r="C1193" s="2">
        <v>28391.18</v>
      </c>
      <c r="D1193" s="1196">
        <f t="shared" si="38"/>
        <v>219.26823523051559</v>
      </c>
      <c r="E1193" s="2">
        <v>2979.45</v>
      </c>
      <c r="F1193" s="1196">
        <f t="shared" si="39"/>
        <v>423.44589409056022</v>
      </c>
    </row>
    <row r="1194" spans="2:6">
      <c r="B1194" s="189">
        <v>40760</v>
      </c>
      <c r="C1194" s="2">
        <v>29256.75</v>
      </c>
      <c r="D1194" s="1196">
        <f t="shared" si="38"/>
        <v>225.95312843919788</v>
      </c>
      <c r="E1194" s="2">
        <v>2979.45</v>
      </c>
      <c r="F1194" s="1196">
        <f t="shared" si="39"/>
        <v>423.44589409056022</v>
      </c>
    </row>
    <row r="1195" spans="2:6">
      <c r="B1195" s="189">
        <v>40759</v>
      </c>
      <c r="C1195" s="2">
        <v>29601.61</v>
      </c>
      <c r="D1195" s="1196">
        <f t="shared" si="38"/>
        <v>228.61652050679058</v>
      </c>
      <c r="E1195" s="2">
        <v>2860.27</v>
      </c>
      <c r="F1195" s="1196">
        <f t="shared" si="39"/>
        <v>406.50777408260143</v>
      </c>
    </row>
    <row r="1196" spans="2:6">
      <c r="B1196" s="189">
        <v>40758</v>
      </c>
      <c r="C1196" s="2">
        <v>30520.43</v>
      </c>
      <c r="D1196" s="1196">
        <f t="shared" si="38"/>
        <v>235.71266937747865</v>
      </c>
      <c r="E1196" s="2">
        <v>2979.45</v>
      </c>
      <c r="F1196" s="1196">
        <f t="shared" si="39"/>
        <v>423.44589409056022</v>
      </c>
    </row>
    <row r="1197" spans="2:6">
      <c r="B1197" s="189">
        <v>40757</v>
      </c>
      <c r="C1197" s="2">
        <v>30871.78</v>
      </c>
      <c r="D1197" s="1196">
        <f t="shared" si="38"/>
        <v>238.42618443561437</v>
      </c>
      <c r="E1197" s="2">
        <v>2979.45</v>
      </c>
      <c r="F1197" s="1196">
        <f t="shared" si="39"/>
        <v>423.44589409056022</v>
      </c>
    </row>
    <row r="1198" spans="2:6">
      <c r="B1198" s="189">
        <v>40756</v>
      </c>
      <c r="C1198" s="2">
        <v>31257.31</v>
      </c>
      <c r="D1198" s="1196">
        <f t="shared" si="38"/>
        <v>241.40367542853616</v>
      </c>
      <c r="E1198" s="2">
        <v>3011.23</v>
      </c>
      <c r="F1198" s="1196">
        <f t="shared" si="39"/>
        <v>427.96253659645834</v>
      </c>
    </row>
    <row r="1199" spans="2:6">
      <c r="B1199" s="189">
        <v>40753</v>
      </c>
      <c r="C1199" s="2">
        <v>31208.04</v>
      </c>
      <c r="D1199" s="1196">
        <f t="shared" si="38"/>
        <v>241.02315774840423</v>
      </c>
      <c r="E1199" s="2">
        <v>3011.23</v>
      </c>
      <c r="F1199" s="1196">
        <f t="shared" si="39"/>
        <v>427.96253659645834</v>
      </c>
    </row>
    <row r="1200" spans="2:6">
      <c r="B1200" s="189">
        <v>40752</v>
      </c>
      <c r="C1200" s="2">
        <v>31446.39</v>
      </c>
      <c r="D1200" s="1196">
        <f t="shared" si="38"/>
        <v>242.86396126087513</v>
      </c>
      <c r="E1200" s="2">
        <v>3011.23</v>
      </c>
      <c r="F1200" s="1196">
        <f t="shared" si="39"/>
        <v>427.96253659645834</v>
      </c>
    </row>
    <row r="1201" spans="2:6">
      <c r="B1201" s="189">
        <v>40751</v>
      </c>
      <c r="C1201" s="2">
        <v>31593.99</v>
      </c>
      <c r="D1201" s="1196">
        <f t="shared" si="38"/>
        <v>244.00389244795591</v>
      </c>
      <c r="E1201" s="2">
        <v>3011.23</v>
      </c>
      <c r="F1201" s="1196">
        <f t="shared" si="39"/>
        <v>427.96253659645834</v>
      </c>
    </row>
    <row r="1202" spans="2:6">
      <c r="B1202" s="189">
        <v>40750</v>
      </c>
      <c r="C1202" s="2">
        <v>31868.73</v>
      </c>
      <c r="D1202" s="1196">
        <f t="shared" si="38"/>
        <v>246.12573997057495</v>
      </c>
      <c r="E1202" s="2">
        <v>3010.44</v>
      </c>
      <c r="F1202" s="1196">
        <f t="shared" si="39"/>
        <v>427.85026008356783</v>
      </c>
    </row>
    <row r="1203" spans="2:6">
      <c r="B1203" s="189">
        <v>40749</v>
      </c>
      <c r="C1203" s="2">
        <v>32065.84</v>
      </c>
      <c r="D1203" s="1196">
        <f t="shared" si="38"/>
        <v>247.6480423844333</v>
      </c>
      <c r="E1203" s="2">
        <v>3011.23</v>
      </c>
      <c r="F1203" s="1196">
        <f t="shared" si="39"/>
        <v>427.96253659645834</v>
      </c>
    </row>
    <row r="1204" spans="2:6">
      <c r="B1204" s="189">
        <v>40746</v>
      </c>
      <c r="C1204" s="2">
        <v>32016.3</v>
      </c>
      <c r="D1204" s="1196">
        <f t="shared" si="38"/>
        <v>247.265439464325</v>
      </c>
      <c r="E1204" s="2">
        <v>3007.26</v>
      </c>
      <c r="F1204" s="1196">
        <f t="shared" si="39"/>
        <v>427.3983115886416</v>
      </c>
    </row>
    <row r="1205" spans="2:6">
      <c r="B1205" s="189">
        <v>40745</v>
      </c>
      <c r="C1205" s="2">
        <v>32125.79</v>
      </c>
      <c r="D1205" s="1196">
        <f t="shared" si="38"/>
        <v>248.11104289029706</v>
      </c>
      <c r="E1205" s="2">
        <v>3011.23</v>
      </c>
      <c r="F1205" s="1196">
        <f t="shared" si="39"/>
        <v>427.96253659645834</v>
      </c>
    </row>
    <row r="1206" spans="2:6">
      <c r="B1206" s="189">
        <v>40744</v>
      </c>
      <c r="C1206" s="2">
        <v>32056.06</v>
      </c>
      <c r="D1206" s="1196">
        <f t="shared" si="38"/>
        <v>247.57251035862268</v>
      </c>
      <c r="E1206" s="2">
        <v>3019.18</v>
      </c>
      <c r="F1206" s="1196">
        <f t="shared" si="39"/>
        <v>429.09240783377385</v>
      </c>
    </row>
    <row r="1207" spans="2:6">
      <c r="B1207" s="189">
        <v>40743</v>
      </c>
      <c r="C1207" s="2">
        <v>32058.68</v>
      </c>
      <c r="D1207" s="1196">
        <f t="shared" si="38"/>
        <v>247.59274490950446</v>
      </c>
      <c r="E1207" s="2">
        <v>2939.72</v>
      </c>
      <c r="F1207" s="1196">
        <f t="shared" si="39"/>
        <v>417.79938034734653</v>
      </c>
    </row>
    <row r="1208" spans="2:6">
      <c r="B1208" s="189">
        <v>40742</v>
      </c>
      <c r="C1208" s="2">
        <v>31871.59</v>
      </c>
      <c r="D1208" s="1196">
        <f t="shared" si="38"/>
        <v>246.14782806810237</v>
      </c>
      <c r="E1208" s="2">
        <v>2939.72</v>
      </c>
      <c r="F1208" s="1196">
        <f t="shared" si="39"/>
        <v>417.79938034734653</v>
      </c>
    </row>
    <row r="1209" spans="2:6">
      <c r="B1209" s="189">
        <v>40739</v>
      </c>
      <c r="C1209" s="2">
        <v>32288.43</v>
      </c>
      <c r="D1209" s="1196">
        <f t="shared" si="38"/>
        <v>249.36712966717255</v>
      </c>
      <c r="E1209" s="2">
        <v>2939.72</v>
      </c>
      <c r="F1209" s="1196">
        <f t="shared" si="39"/>
        <v>417.79938034734653</v>
      </c>
    </row>
    <row r="1210" spans="2:6">
      <c r="B1210" s="189">
        <v>40738</v>
      </c>
      <c r="C1210" s="2">
        <v>32203.94</v>
      </c>
      <c r="D1210" s="1196">
        <f t="shared" si="38"/>
        <v>248.71460401679002</v>
      </c>
      <c r="E1210" s="2">
        <v>2939.72</v>
      </c>
      <c r="F1210" s="1196">
        <f t="shared" si="39"/>
        <v>417.79938034734653</v>
      </c>
    </row>
    <row r="1211" spans="2:6">
      <c r="B1211" s="189">
        <v>40737</v>
      </c>
      <c r="C1211" s="2">
        <v>32310.38</v>
      </c>
      <c r="D1211" s="1196">
        <f t="shared" si="38"/>
        <v>249.53665195414015</v>
      </c>
      <c r="E1211" s="2">
        <v>2939.72</v>
      </c>
      <c r="F1211" s="1196">
        <f t="shared" si="39"/>
        <v>417.79938034734653</v>
      </c>
    </row>
    <row r="1212" spans="2:6">
      <c r="B1212" s="189">
        <v>40736</v>
      </c>
      <c r="C1212" s="2">
        <v>31926.55</v>
      </c>
      <c r="D1212" s="1196">
        <f t="shared" si="38"/>
        <v>246.57229024995848</v>
      </c>
      <c r="E1212" s="2">
        <v>2939.72</v>
      </c>
      <c r="F1212" s="1196">
        <f t="shared" si="39"/>
        <v>417.79938034734653</v>
      </c>
    </row>
    <row r="1213" spans="2:6">
      <c r="B1213" s="189">
        <v>40735</v>
      </c>
      <c r="C1213" s="2">
        <v>31845.02</v>
      </c>
      <c r="D1213" s="1196">
        <f t="shared" si="38"/>
        <v>245.94262500820582</v>
      </c>
      <c r="E1213" s="2">
        <v>2939.72</v>
      </c>
      <c r="F1213" s="1196">
        <f t="shared" si="39"/>
        <v>417.79938034734653</v>
      </c>
    </row>
    <row r="1214" spans="2:6">
      <c r="B1214" s="189">
        <v>40732</v>
      </c>
      <c r="C1214" s="2">
        <v>32002.33</v>
      </c>
      <c r="D1214" s="1196">
        <f t="shared" si="38"/>
        <v>247.15754760332561</v>
      </c>
      <c r="E1214" s="2">
        <v>2939.72</v>
      </c>
      <c r="F1214" s="1196">
        <f t="shared" si="39"/>
        <v>417.79938034734653</v>
      </c>
    </row>
    <row r="1215" spans="2:6">
      <c r="B1215" s="189">
        <v>40731</v>
      </c>
      <c r="C1215" s="2">
        <v>32296.07</v>
      </c>
      <c r="D1215" s="1196">
        <f t="shared" si="38"/>
        <v>249.42613423539274</v>
      </c>
      <c r="E1215" s="2">
        <v>2880.14</v>
      </c>
      <c r="F1215" s="1196">
        <f t="shared" si="39"/>
        <v>409.33174156504924</v>
      </c>
    </row>
    <row r="1216" spans="2:6">
      <c r="B1216" s="189">
        <v>40730</v>
      </c>
      <c r="C1216" s="2">
        <v>32130.71</v>
      </c>
      <c r="D1216" s="1196">
        <f t="shared" si="38"/>
        <v>248.1490405965331</v>
      </c>
      <c r="E1216" s="2">
        <v>2879.34</v>
      </c>
      <c r="F1216" s="1196">
        <f t="shared" si="39"/>
        <v>409.21804383047669</v>
      </c>
    </row>
    <row r="1217" spans="2:6">
      <c r="B1217" s="189">
        <v>40729</v>
      </c>
      <c r="C1217" s="2">
        <v>32254.240000000002</v>
      </c>
      <c r="D1217" s="1196">
        <f t="shared" si="38"/>
        <v>249.10307650127629</v>
      </c>
      <c r="E1217" s="2">
        <v>2879.34</v>
      </c>
      <c r="F1217" s="1196">
        <f t="shared" si="39"/>
        <v>409.21804383047669</v>
      </c>
    </row>
    <row r="1218" spans="2:6">
      <c r="B1218" s="189">
        <v>40728</v>
      </c>
      <c r="C1218" s="2">
        <v>32077.79</v>
      </c>
      <c r="D1218" s="1196">
        <f t="shared" si="38"/>
        <v>247.74033356116513</v>
      </c>
      <c r="E1218" s="2">
        <v>2821.34</v>
      </c>
      <c r="F1218" s="1196">
        <f t="shared" si="39"/>
        <v>400.97495807396041</v>
      </c>
    </row>
    <row r="1219" spans="2:6">
      <c r="B1219" s="189">
        <v>40725</v>
      </c>
      <c r="C1219" s="2">
        <v>31925.47</v>
      </c>
      <c r="D1219" s="1196">
        <f t="shared" si="38"/>
        <v>246.56394929005305</v>
      </c>
      <c r="E1219" s="2">
        <v>2880.14</v>
      </c>
      <c r="F1219" s="1196">
        <f t="shared" si="39"/>
        <v>409.33174156504924</v>
      </c>
    </row>
    <row r="1220" spans="2:6">
      <c r="B1220" s="189">
        <v>40724</v>
      </c>
      <c r="C1220" s="2">
        <v>31864.54</v>
      </c>
      <c r="D1220" s="1196">
        <f t="shared" si="38"/>
        <v>246.09338013538613</v>
      </c>
      <c r="E1220" s="2">
        <v>2876.96</v>
      </c>
      <c r="F1220" s="1196">
        <f t="shared" si="39"/>
        <v>408.87979307012313</v>
      </c>
    </row>
    <row r="1221" spans="2:6">
      <c r="B1221" s="189">
        <v>40723</v>
      </c>
      <c r="C1221" s="2">
        <v>31726.3</v>
      </c>
      <c r="D1221" s="1196">
        <f t="shared" si="38"/>
        <v>245.02573726748608</v>
      </c>
      <c r="E1221" s="2">
        <v>2923.83</v>
      </c>
      <c r="F1221" s="1196">
        <f t="shared" si="39"/>
        <v>415.54105909439755</v>
      </c>
    </row>
    <row r="1222" spans="2:6">
      <c r="B1222" s="189">
        <v>40722</v>
      </c>
      <c r="C1222" s="2">
        <v>31291.65</v>
      </c>
      <c r="D1222" s="1196">
        <f t="shared" si="38"/>
        <v>241.66888706108597</v>
      </c>
      <c r="E1222" s="2">
        <v>2931.78</v>
      </c>
      <c r="F1222" s="1196">
        <f t="shared" si="39"/>
        <v>416.67093033171312</v>
      </c>
    </row>
    <row r="1223" spans="2:6">
      <c r="B1223" s="189">
        <v>40721</v>
      </c>
      <c r="C1223" s="2">
        <v>30897.05</v>
      </c>
      <c r="D1223" s="1196">
        <f t="shared" si="38"/>
        <v>238.6213474511803</v>
      </c>
      <c r="E1223" s="2">
        <v>2938.93</v>
      </c>
      <c r="F1223" s="1196">
        <f t="shared" si="39"/>
        <v>417.68710383445608</v>
      </c>
    </row>
    <row r="1224" spans="2:6">
      <c r="B1224" s="189">
        <v>40718</v>
      </c>
      <c r="C1224" s="2">
        <v>30680.23</v>
      </c>
      <c r="D1224" s="1196">
        <f t="shared" si="38"/>
        <v>236.94682251904712</v>
      </c>
      <c r="E1224" s="2">
        <v>2910.33</v>
      </c>
      <c r="F1224" s="1196">
        <f t="shared" si="39"/>
        <v>413.6224098234843</v>
      </c>
    </row>
    <row r="1225" spans="2:6">
      <c r="B1225" s="189">
        <v>40717</v>
      </c>
      <c r="C1225" s="2">
        <v>30326.54</v>
      </c>
      <c r="D1225" s="1196">
        <f t="shared" si="38"/>
        <v>234.2152353811162</v>
      </c>
      <c r="E1225" s="2">
        <v>2988.98</v>
      </c>
      <c r="F1225" s="1196">
        <f t="shared" si="39"/>
        <v>424.80031835365679</v>
      </c>
    </row>
    <row r="1226" spans="2:6">
      <c r="B1226" s="189">
        <v>40716</v>
      </c>
      <c r="C1226" s="2">
        <v>30792.87</v>
      </c>
      <c r="D1226" s="1196">
        <f t="shared" si="38"/>
        <v>237.81675374474344</v>
      </c>
      <c r="E1226" s="2">
        <v>2910.33</v>
      </c>
      <c r="F1226" s="1196">
        <f t="shared" si="39"/>
        <v>413.6224098234843</v>
      </c>
    </row>
    <row r="1227" spans="2:6">
      <c r="B1227" s="189">
        <v>40715</v>
      </c>
      <c r="C1227" s="2">
        <v>30971.88</v>
      </c>
      <c r="D1227" s="1196">
        <f t="shared" ref="D1227:D1290" si="40">C1227/$C$2759*100</f>
        <v>239.199267849075</v>
      </c>
      <c r="E1227" s="2">
        <v>2980.33</v>
      </c>
      <c r="F1227" s="1196">
        <f t="shared" ref="F1227:F1290" si="41">E1227/$E$2759*100</f>
        <v>423.57096159859015</v>
      </c>
    </row>
    <row r="1228" spans="2:6">
      <c r="B1228" s="189">
        <v>40714</v>
      </c>
      <c r="C1228" s="2">
        <v>30627.65</v>
      </c>
      <c r="D1228" s="1196">
        <f t="shared" si="40"/>
        <v>236.54074134142715</v>
      </c>
      <c r="E1228" s="2">
        <v>2988.98</v>
      </c>
      <c r="F1228" s="1196">
        <f t="shared" si="41"/>
        <v>424.80031835365679</v>
      </c>
    </row>
    <row r="1229" spans="2:6">
      <c r="B1229" s="189">
        <v>40711</v>
      </c>
      <c r="C1229" s="2">
        <v>30669.26</v>
      </c>
      <c r="D1229" s="1196">
        <f t="shared" si="40"/>
        <v>236.86209999111841</v>
      </c>
      <c r="E1229" s="2">
        <v>2988.98</v>
      </c>
      <c r="F1229" s="1196">
        <f t="shared" si="41"/>
        <v>424.80031835365679</v>
      </c>
    </row>
    <row r="1230" spans="2:6">
      <c r="B1230" s="189">
        <v>40709</v>
      </c>
      <c r="C1230" s="2">
        <v>31000.52</v>
      </c>
      <c r="D1230" s="1196">
        <f t="shared" si="40"/>
        <v>239.4204577487904</v>
      </c>
      <c r="E1230" s="2">
        <v>2988.98</v>
      </c>
      <c r="F1230" s="1196">
        <f t="shared" si="41"/>
        <v>424.80031835365679</v>
      </c>
    </row>
    <row r="1231" spans="2:6">
      <c r="B1231" s="189">
        <v>40708</v>
      </c>
      <c r="C1231" s="2">
        <v>31229.360000000001</v>
      </c>
      <c r="D1231" s="1196">
        <f t="shared" si="40"/>
        <v>241.18781447542702</v>
      </c>
      <c r="E1231" s="2">
        <v>2933.92</v>
      </c>
      <c r="F1231" s="1196">
        <f t="shared" si="41"/>
        <v>416.97507177169496</v>
      </c>
    </row>
    <row r="1232" spans="2:6">
      <c r="B1232" s="189">
        <v>40707</v>
      </c>
      <c r="C1232" s="2">
        <v>31176.58</v>
      </c>
      <c r="D1232" s="1196">
        <f t="shared" si="40"/>
        <v>240.78018867560235</v>
      </c>
      <c r="E1232" s="2">
        <v>2949.66</v>
      </c>
      <c r="F1232" s="1196">
        <f t="shared" si="41"/>
        <v>419.21207469941157</v>
      </c>
    </row>
    <row r="1233" spans="2:6">
      <c r="B1233" s="189">
        <v>40704</v>
      </c>
      <c r="C1233" s="2">
        <v>31164.35</v>
      </c>
      <c r="D1233" s="1196">
        <f t="shared" si="40"/>
        <v>240.68573502778386</v>
      </c>
      <c r="E1233" s="2">
        <v>2988.98</v>
      </c>
      <c r="F1233" s="1196">
        <f t="shared" si="41"/>
        <v>424.80031835365679</v>
      </c>
    </row>
    <row r="1234" spans="2:6">
      <c r="B1234" s="189">
        <v>40703</v>
      </c>
      <c r="C1234" s="2">
        <v>31634.17</v>
      </c>
      <c r="D1234" s="1196">
        <f t="shared" si="40"/>
        <v>244.31420704888342</v>
      </c>
      <c r="E1234" s="2">
        <v>2929.99</v>
      </c>
      <c r="F1234" s="1196">
        <f t="shared" si="41"/>
        <v>416.41653165060683</v>
      </c>
    </row>
    <row r="1235" spans="2:6">
      <c r="B1235" s="189">
        <v>40702</v>
      </c>
      <c r="C1235" s="2">
        <v>31521.33</v>
      </c>
      <c r="D1235" s="1196">
        <f t="shared" si="40"/>
        <v>243.44273120098242</v>
      </c>
      <c r="E1235" s="2">
        <v>2941.79</v>
      </c>
      <c r="F1235" s="1196">
        <f t="shared" si="41"/>
        <v>418.09357323555327</v>
      </c>
    </row>
    <row r="1236" spans="2:6">
      <c r="B1236" s="189">
        <v>40701</v>
      </c>
      <c r="C1236" s="2">
        <v>31818.3</v>
      </c>
      <c r="D1236" s="1196">
        <f t="shared" si="40"/>
        <v>245.7362634816557</v>
      </c>
      <c r="E1236" s="2">
        <v>2949.66</v>
      </c>
      <c r="F1236" s="1196">
        <f t="shared" si="41"/>
        <v>419.21207469941157</v>
      </c>
    </row>
    <row r="1237" spans="2:6">
      <c r="B1237" s="189">
        <v>40700</v>
      </c>
      <c r="C1237" s="2">
        <v>31578.03</v>
      </c>
      <c r="D1237" s="1196">
        <f t="shared" si="40"/>
        <v>243.8806315960195</v>
      </c>
      <c r="E1237" s="2">
        <v>2949.66</v>
      </c>
      <c r="F1237" s="1196">
        <f t="shared" si="41"/>
        <v>419.21207469941157</v>
      </c>
    </row>
    <row r="1238" spans="2:6">
      <c r="B1238" s="189">
        <v>40697</v>
      </c>
      <c r="C1238" s="2">
        <v>31575.65</v>
      </c>
      <c r="D1238" s="1196">
        <f t="shared" si="40"/>
        <v>243.86225059178338</v>
      </c>
      <c r="E1238" s="2">
        <v>2949.66</v>
      </c>
      <c r="F1238" s="1196">
        <f t="shared" si="41"/>
        <v>419.21207469941157</v>
      </c>
    </row>
    <row r="1239" spans="2:6">
      <c r="B1239" s="189">
        <v>40696</v>
      </c>
      <c r="C1239" s="2">
        <v>31877.77</v>
      </c>
      <c r="D1239" s="1196">
        <f t="shared" si="40"/>
        <v>246.19555689422813</v>
      </c>
      <c r="E1239" s="2">
        <v>2949.66</v>
      </c>
      <c r="F1239" s="1196">
        <f t="shared" si="41"/>
        <v>419.21207469941157</v>
      </c>
    </row>
    <row r="1240" spans="2:6">
      <c r="B1240" s="189">
        <v>40695</v>
      </c>
      <c r="C1240" s="2">
        <v>32322.1</v>
      </c>
      <c r="D1240" s="1196">
        <f t="shared" si="40"/>
        <v>249.62716681533658</v>
      </c>
      <c r="E1240" s="2">
        <v>2949.66</v>
      </c>
      <c r="F1240" s="1196">
        <f t="shared" si="41"/>
        <v>419.21207469941157</v>
      </c>
    </row>
    <row r="1241" spans="2:6">
      <c r="B1241" s="189">
        <v>40694</v>
      </c>
      <c r="C1241" s="2">
        <v>32565.73</v>
      </c>
      <c r="D1241" s="1196">
        <f t="shared" si="40"/>
        <v>251.50874835401197</v>
      </c>
      <c r="E1241" s="2">
        <v>2949.66</v>
      </c>
      <c r="F1241" s="1196">
        <f t="shared" si="41"/>
        <v>419.21207469941157</v>
      </c>
    </row>
    <row r="1242" spans="2:6">
      <c r="B1242" s="189">
        <v>40693</v>
      </c>
      <c r="C1242" s="2">
        <v>32389.91</v>
      </c>
      <c r="D1242" s="1196">
        <f t="shared" si="40"/>
        <v>250.15087097384568</v>
      </c>
      <c r="E1242" s="2">
        <v>2886.73</v>
      </c>
      <c r="F1242" s="1196">
        <f t="shared" si="41"/>
        <v>410.26832665359143</v>
      </c>
    </row>
    <row r="1243" spans="2:6">
      <c r="B1243" s="189">
        <v>40690</v>
      </c>
      <c r="C1243" s="2">
        <v>32384.41</v>
      </c>
      <c r="D1243" s="1196">
        <f t="shared" si="40"/>
        <v>250.10839386321601</v>
      </c>
      <c r="E1243" s="2">
        <v>2910.33</v>
      </c>
      <c r="F1243" s="1196">
        <f t="shared" si="41"/>
        <v>413.6224098234843</v>
      </c>
    </row>
    <row r="1244" spans="2:6">
      <c r="B1244" s="189">
        <v>40689</v>
      </c>
      <c r="C1244" s="2">
        <v>31980.11</v>
      </c>
      <c r="D1244" s="1196">
        <f t="shared" si="40"/>
        <v>246.98594007638158</v>
      </c>
      <c r="E1244" s="2">
        <v>2900.1</v>
      </c>
      <c r="F1244" s="1196">
        <f t="shared" si="41"/>
        <v>412.16850004263665</v>
      </c>
    </row>
    <row r="1245" spans="2:6">
      <c r="B1245" s="189">
        <v>40688</v>
      </c>
      <c r="C1245" s="2">
        <v>31793.59</v>
      </c>
      <c r="D1245" s="1196">
        <f t="shared" si="40"/>
        <v>245.54542540826296</v>
      </c>
      <c r="E1245" s="2">
        <v>2910.33</v>
      </c>
      <c r="F1245" s="1196">
        <f t="shared" si="41"/>
        <v>413.6224098234843</v>
      </c>
    </row>
    <row r="1246" spans="2:6">
      <c r="B1246" s="189">
        <v>40687</v>
      </c>
      <c r="C1246" s="2">
        <v>31731.05</v>
      </c>
      <c r="D1246" s="1196">
        <f t="shared" si="40"/>
        <v>245.06242204484812</v>
      </c>
      <c r="E1246" s="2">
        <v>2879.65</v>
      </c>
      <c r="F1246" s="1196">
        <f t="shared" si="41"/>
        <v>409.26210170262357</v>
      </c>
    </row>
    <row r="1247" spans="2:6">
      <c r="B1247" s="189">
        <v>40686</v>
      </c>
      <c r="C1247" s="2">
        <v>31344.53</v>
      </c>
      <c r="D1247" s="1196">
        <f t="shared" si="40"/>
        <v>242.07728517201298</v>
      </c>
      <c r="E1247" s="2">
        <v>2879.65</v>
      </c>
      <c r="F1247" s="1196">
        <f t="shared" si="41"/>
        <v>409.26210170262357</v>
      </c>
    </row>
    <row r="1248" spans="2:6">
      <c r="B1248" s="189">
        <v>40683</v>
      </c>
      <c r="C1248" s="2">
        <v>31794.13</v>
      </c>
      <c r="D1248" s="1196">
        <f t="shared" si="40"/>
        <v>245.54959588821572</v>
      </c>
      <c r="E1248" s="2">
        <v>2910.33</v>
      </c>
      <c r="F1248" s="1196">
        <f t="shared" si="41"/>
        <v>413.6224098234843</v>
      </c>
    </row>
    <row r="1249" spans="2:6">
      <c r="B1249" s="189">
        <v>40682</v>
      </c>
      <c r="C1249" s="2">
        <v>31918.93</v>
      </c>
      <c r="D1249" s="1196">
        <f t="shared" si="40"/>
        <v>246.5134401439588</v>
      </c>
      <c r="E1249" s="2">
        <v>2949.66</v>
      </c>
      <c r="F1249" s="1196">
        <f t="shared" si="41"/>
        <v>419.21207469941157</v>
      </c>
    </row>
    <row r="1250" spans="2:6">
      <c r="B1250" s="189">
        <v>40680</v>
      </c>
      <c r="C1250" s="2">
        <v>31843.91</v>
      </c>
      <c r="D1250" s="1196">
        <f t="shared" si="40"/>
        <v>245.93405235496965</v>
      </c>
      <c r="E1250" s="2">
        <v>3012.58</v>
      </c>
      <c r="F1250" s="1196">
        <f t="shared" si="41"/>
        <v>428.15440152354967</v>
      </c>
    </row>
    <row r="1251" spans="2:6">
      <c r="B1251" s="189">
        <v>40679</v>
      </c>
      <c r="C1251" s="2">
        <v>32156.01</v>
      </c>
      <c r="D1251" s="1196">
        <f t="shared" si="40"/>
        <v>248.34443530542973</v>
      </c>
      <c r="E1251" s="2">
        <v>3028.31</v>
      </c>
      <c r="F1251" s="1196">
        <f t="shared" si="41"/>
        <v>430.38998322958417</v>
      </c>
    </row>
    <row r="1252" spans="2:6">
      <c r="B1252" s="189">
        <v>40676</v>
      </c>
      <c r="C1252" s="2">
        <v>31959.93</v>
      </c>
      <c r="D1252" s="1196">
        <f t="shared" si="40"/>
        <v>246.8300876959257</v>
      </c>
      <c r="E1252" s="2">
        <v>3044.05</v>
      </c>
      <c r="F1252" s="1196">
        <f t="shared" si="41"/>
        <v>432.62698615730085</v>
      </c>
    </row>
    <row r="1253" spans="2:6">
      <c r="B1253" s="189">
        <v>40675</v>
      </c>
      <c r="C1253" s="2">
        <v>31681.83</v>
      </c>
      <c r="D1253" s="1196">
        <f t="shared" si="40"/>
        <v>244.68229052026737</v>
      </c>
      <c r="E1253" s="2">
        <v>3067.64</v>
      </c>
      <c r="F1253" s="1196">
        <f t="shared" si="41"/>
        <v>435.9796481055115</v>
      </c>
    </row>
    <row r="1254" spans="2:6">
      <c r="B1254" s="189">
        <v>40674</v>
      </c>
      <c r="C1254" s="2">
        <v>32051.35</v>
      </c>
      <c r="D1254" s="1196">
        <f t="shared" si="40"/>
        <v>247.53613450570157</v>
      </c>
      <c r="E1254" s="2">
        <v>3087.31</v>
      </c>
      <c r="F1254" s="1196">
        <f t="shared" si="41"/>
        <v>438.77519115431625</v>
      </c>
    </row>
    <row r="1255" spans="2:6">
      <c r="B1255" s="189">
        <v>40673</v>
      </c>
      <c r="C1255" s="2">
        <v>32085.56</v>
      </c>
      <c r="D1255" s="1196">
        <f t="shared" si="40"/>
        <v>247.80034213381836</v>
      </c>
      <c r="E1255" s="2">
        <v>3087.31</v>
      </c>
      <c r="F1255" s="1196">
        <f t="shared" si="41"/>
        <v>438.77519115431625</v>
      </c>
    </row>
    <row r="1256" spans="2:6">
      <c r="B1256" s="189">
        <v>40672</v>
      </c>
      <c r="C1256" s="2">
        <v>31609.78</v>
      </c>
      <c r="D1256" s="1196">
        <f t="shared" si="40"/>
        <v>244.12584037101826</v>
      </c>
      <c r="E1256" s="2">
        <v>3146.3</v>
      </c>
      <c r="F1256" s="1196">
        <f t="shared" si="41"/>
        <v>447.15897785736621</v>
      </c>
    </row>
    <row r="1257" spans="2:6">
      <c r="B1257" s="189">
        <v>40669</v>
      </c>
      <c r="C1257" s="2">
        <v>31878.83</v>
      </c>
      <c r="D1257" s="1196">
        <f t="shared" si="40"/>
        <v>246.20374339191312</v>
      </c>
      <c r="E1257" s="2">
        <v>3146.3</v>
      </c>
      <c r="F1257" s="1196">
        <f t="shared" si="41"/>
        <v>447.15897785736621</v>
      </c>
    </row>
    <row r="1258" spans="2:6">
      <c r="B1258" s="189">
        <v>40668</v>
      </c>
      <c r="C1258" s="2">
        <v>31582.14</v>
      </c>
      <c r="D1258" s="1196">
        <f t="shared" si="40"/>
        <v>243.91237358232644</v>
      </c>
      <c r="E1258" s="2">
        <v>3138.43</v>
      </c>
      <c r="F1258" s="1196">
        <f t="shared" si="41"/>
        <v>446.04047639350784</v>
      </c>
    </row>
    <row r="1259" spans="2:6">
      <c r="B1259" s="189">
        <v>40667</v>
      </c>
      <c r="C1259" s="2">
        <v>31856.639999999999</v>
      </c>
      <c r="D1259" s="1196">
        <f t="shared" si="40"/>
        <v>246.03236755829982</v>
      </c>
      <c r="E1259" s="2">
        <v>3165.96</v>
      </c>
      <c r="F1259" s="1196">
        <f t="shared" si="41"/>
        <v>449.95309968448873</v>
      </c>
    </row>
    <row r="1260" spans="2:6">
      <c r="B1260" s="189">
        <v>40666</v>
      </c>
      <c r="C1260" s="2">
        <v>32325.83</v>
      </c>
      <c r="D1260" s="1196">
        <f t="shared" si="40"/>
        <v>249.6559740194545</v>
      </c>
      <c r="E1260" s="2">
        <v>3146.3</v>
      </c>
      <c r="F1260" s="1196">
        <f t="shared" si="41"/>
        <v>447.15897785736621</v>
      </c>
    </row>
    <row r="1261" spans="2:6">
      <c r="B1261" s="189">
        <v>40662</v>
      </c>
      <c r="C1261" s="2">
        <v>32836.230000000003</v>
      </c>
      <c r="D1261" s="1196">
        <f t="shared" si="40"/>
        <v>253.59784988589107</v>
      </c>
      <c r="E1261" s="2">
        <v>3067.64</v>
      </c>
      <c r="F1261" s="1196">
        <f t="shared" si="41"/>
        <v>435.9796481055115</v>
      </c>
    </row>
    <row r="1262" spans="2:6">
      <c r="B1262" s="189">
        <v>40661</v>
      </c>
      <c r="C1262" s="2">
        <v>32659.95</v>
      </c>
      <c r="D1262" s="1196">
        <f t="shared" si="40"/>
        <v>252.23641987465393</v>
      </c>
      <c r="E1262" s="2">
        <v>3067.64</v>
      </c>
      <c r="F1262" s="1196">
        <f t="shared" si="41"/>
        <v>435.9796481055115</v>
      </c>
    </row>
    <row r="1263" spans="2:6">
      <c r="B1263" s="189">
        <v>40659</v>
      </c>
      <c r="C1263" s="2">
        <v>32668.15</v>
      </c>
      <c r="D1263" s="1196">
        <f t="shared" si="40"/>
        <v>252.29974938504731</v>
      </c>
      <c r="E1263" s="2">
        <v>3067.64</v>
      </c>
      <c r="F1263" s="1196">
        <f t="shared" si="41"/>
        <v>435.9796481055115</v>
      </c>
    </row>
    <row r="1264" spans="2:6">
      <c r="B1264" s="189">
        <v>40654</v>
      </c>
      <c r="C1264" s="2">
        <v>32658.86</v>
      </c>
      <c r="D1264" s="1196">
        <f t="shared" si="40"/>
        <v>252.22800168363824</v>
      </c>
      <c r="E1264" s="2">
        <v>2996.85</v>
      </c>
      <c r="F1264" s="1196">
        <f t="shared" si="41"/>
        <v>425.9188198175151</v>
      </c>
    </row>
    <row r="1265" spans="2:6">
      <c r="B1265" s="189">
        <v>40653</v>
      </c>
      <c r="C1265" s="2">
        <v>32526.3</v>
      </c>
      <c r="D1265" s="1196">
        <f t="shared" si="40"/>
        <v>251.20422608635212</v>
      </c>
      <c r="E1265" s="2">
        <v>3028.31</v>
      </c>
      <c r="F1265" s="1196">
        <f t="shared" si="41"/>
        <v>430.38998322958417</v>
      </c>
    </row>
    <row r="1266" spans="2:6">
      <c r="B1266" s="189">
        <v>40652</v>
      </c>
      <c r="C1266" s="2">
        <v>31837.06</v>
      </c>
      <c r="D1266" s="1196">
        <f t="shared" si="40"/>
        <v>245.88114904445811</v>
      </c>
      <c r="E1266" s="2">
        <v>2988.98</v>
      </c>
      <c r="F1266" s="1196">
        <f t="shared" si="41"/>
        <v>424.80031835365679</v>
      </c>
    </row>
    <row r="1267" spans="2:6">
      <c r="B1267" s="189">
        <v>40651</v>
      </c>
      <c r="C1267" s="2">
        <v>31388.63</v>
      </c>
      <c r="D1267" s="1196">
        <f t="shared" si="40"/>
        <v>242.41787436815301</v>
      </c>
      <c r="E1267" s="2">
        <v>2988.98</v>
      </c>
      <c r="F1267" s="1196">
        <f t="shared" si="41"/>
        <v>424.80031835365679</v>
      </c>
    </row>
    <row r="1268" spans="2:6">
      <c r="B1268" s="189">
        <v>40648</v>
      </c>
      <c r="C1268" s="2">
        <v>32227.66</v>
      </c>
      <c r="D1268" s="1196">
        <f t="shared" si="40"/>
        <v>248.89779621026941</v>
      </c>
      <c r="E1268" s="2">
        <v>3008.65</v>
      </c>
      <c r="F1268" s="1196">
        <f t="shared" si="41"/>
        <v>427.59586140246154</v>
      </c>
    </row>
    <row r="1269" spans="2:6">
      <c r="B1269" s="189">
        <v>40647</v>
      </c>
      <c r="C1269" s="2">
        <v>32418.33</v>
      </c>
      <c r="D1269" s="1196">
        <f t="shared" si="40"/>
        <v>250.37036178913593</v>
      </c>
      <c r="E1269" s="2">
        <v>3028.31</v>
      </c>
      <c r="F1269" s="1196">
        <f t="shared" si="41"/>
        <v>430.38998322958417</v>
      </c>
    </row>
    <row r="1270" spans="2:6">
      <c r="B1270" s="189">
        <v>40646</v>
      </c>
      <c r="C1270" s="2">
        <v>32353.79</v>
      </c>
      <c r="D1270" s="1196">
        <f t="shared" si="40"/>
        <v>249.87191220367387</v>
      </c>
      <c r="E1270" s="2">
        <v>3028.31</v>
      </c>
      <c r="F1270" s="1196">
        <f t="shared" si="41"/>
        <v>430.38998322958417</v>
      </c>
    </row>
    <row r="1271" spans="2:6">
      <c r="B1271" s="189">
        <v>40645</v>
      </c>
      <c r="C1271" s="2">
        <v>32239.87</v>
      </c>
      <c r="D1271" s="1196">
        <f t="shared" si="40"/>
        <v>248.99209539586735</v>
      </c>
      <c r="E1271" s="2">
        <v>3028.31</v>
      </c>
      <c r="F1271" s="1196">
        <f t="shared" si="41"/>
        <v>430.38998322958417</v>
      </c>
    </row>
    <row r="1272" spans="2:6">
      <c r="B1272" s="189">
        <v>40644</v>
      </c>
      <c r="C1272" s="2">
        <v>32814.43</v>
      </c>
      <c r="D1272" s="1196">
        <f t="shared" si="40"/>
        <v>253.42948606557692</v>
      </c>
      <c r="E1272" s="2">
        <v>3028.31</v>
      </c>
      <c r="F1272" s="1196">
        <f t="shared" si="41"/>
        <v>430.38998322958417</v>
      </c>
    </row>
    <row r="1273" spans="2:6">
      <c r="B1273" s="189">
        <v>40641</v>
      </c>
      <c r="C1273" s="2">
        <v>32806.269999999997</v>
      </c>
      <c r="D1273" s="1196">
        <f t="shared" si="40"/>
        <v>253.36646547962448</v>
      </c>
      <c r="E1273" s="2">
        <v>3020.45</v>
      </c>
      <c r="F1273" s="1196">
        <f t="shared" si="41"/>
        <v>429.27290298740797</v>
      </c>
    </row>
    <row r="1274" spans="2:6">
      <c r="B1274" s="189">
        <v>40640</v>
      </c>
      <c r="C1274" s="2">
        <v>32633.25</v>
      </c>
      <c r="D1274" s="1196">
        <f t="shared" si="40"/>
        <v>252.03021281032426</v>
      </c>
      <c r="E1274" s="2">
        <v>3028.31</v>
      </c>
      <c r="F1274" s="1196">
        <f t="shared" si="41"/>
        <v>430.38998322958417</v>
      </c>
    </row>
    <row r="1275" spans="2:6">
      <c r="B1275" s="189">
        <v>40639</v>
      </c>
      <c r="C1275" s="2">
        <v>32887.47</v>
      </c>
      <c r="D1275" s="1196">
        <f t="shared" si="40"/>
        <v>253.99358209473942</v>
      </c>
      <c r="E1275" s="2">
        <v>3059.78</v>
      </c>
      <c r="F1275" s="1196">
        <f t="shared" si="41"/>
        <v>434.8625678633353</v>
      </c>
    </row>
    <row r="1276" spans="2:6">
      <c r="B1276" s="189">
        <v>40638</v>
      </c>
      <c r="C1276" s="2">
        <v>32630.86</v>
      </c>
      <c r="D1276" s="1196">
        <f t="shared" si="40"/>
        <v>252.01175457497791</v>
      </c>
      <c r="E1276" s="2">
        <v>3059.78</v>
      </c>
      <c r="F1276" s="1196">
        <f t="shared" si="41"/>
        <v>434.8625678633353</v>
      </c>
    </row>
    <row r="1277" spans="2:6">
      <c r="B1277" s="189">
        <v>40637</v>
      </c>
      <c r="C1277" s="2">
        <v>32437.77</v>
      </c>
      <c r="D1277" s="1196">
        <f t="shared" si="40"/>
        <v>250.52049906743434</v>
      </c>
      <c r="E1277" s="2">
        <v>3067.64</v>
      </c>
      <c r="F1277" s="1196">
        <f t="shared" si="41"/>
        <v>435.9796481055115</v>
      </c>
    </row>
    <row r="1278" spans="2:6">
      <c r="B1278" s="189">
        <v>40634</v>
      </c>
      <c r="C1278" s="2">
        <v>32385.32</v>
      </c>
      <c r="D1278" s="1196">
        <f t="shared" si="40"/>
        <v>250.11542189424745</v>
      </c>
      <c r="E1278" s="2">
        <v>3067.64</v>
      </c>
      <c r="F1278" s="1196">
        <f t="shared" si="41"/>
        <v>435.9796481055115</v>
      </c>
    </row>
    <row r="1279" spans="2:6">
      <c r="B1279" s="189">
        <v>40633</v>
      </c>
      <c r="C1279" s="2">
        <v>32204.06</v>
      </c>
      <c r="D1279" s="1196">
        <f t="shared" si="40"/>
        <v>248.71553079011289</v>
      </c>
      <c r="E1279" s="2">
        <v>3067.64</v>
      </c>
      <c r="F1279" s="1196">
        <f t="shared" si="41"/>
        <v>435.9796481055115</v>
      </c>
    </row>
    <row r="1280" spans="2:6">
      <c r="B1280" s="189">
        <v>40632</v>
      </c>
      <c r="C1280" s="2">
        <v>32274.61</v>
      </c>
      <c r="D1280" s="1196">
        <f t="shared" si="40"/>
        <v>249.26039627282663</v>
      </c>
      <c r="E1280" s="2">
        <v>3067.64</v>
      </c>
      <c r="F1280" s="1196">
        <f t="shared" si="41"/>
        <v>435.9796481055115</v>
      </c>
    </row>
    <row r="1281" spans="2:6">
      <c r="B1281" s="189">
        <v>40631</v>
      </c>
      <c r="C1281" s="2">
        <v>31718.01</v>
      </c>
      <c r="D1281" s="1196">
        <f t="shared" si="40"/>
        <v>244.96171267710056</v>
      </c>
      <c r="E1281" s="2">
        <v>3036.18</v>
      </c>
      <c r="F1281" s="1196">
        <f t="shared" si="41"/>
        <v>431.50848469344243</v>
      </c>
    </row>
    <row r="1282" spans="2:6">
      <c r="B1282" s="189">
        <v>40630</v>
      </c>
      <c r="C1282" s="2">
        <v>31377.119999999999</v>
      </c>
      <c r="D1282" s="1196">
        <f t="shared" si="40"/>
        <v>242.32898136027154</v>
      </c>
      <c r="E1282" s="2">
        <v>3042.47</v>
      </c>
      <c r="F1282" s="1196">
        <f t="shared" si="41"/>
        <v>432.40243313151979</v>
      </c>
    </row>
    <row r="1283" spans="2:6">
      <c r="B1283" s="189">
        <v>40627</v>
      </c>
      <c r="C1283" s="2">
        <v>31595.89</v>
      </c>
      <c r="D1283" s="1196">
        <f t="shared" si="40"/>
        <v>244.0185663589007</v>
      </c>
      <c r="E1283" s="2">
        <v>2988.98</v>
      </c>
      <c r="F1283" s="1196">
        <f t="shared" si="41"/>
        <v>424.80031835365679</v>
      </c>
    </row>
    <row r="1284" spans="2:6">
      <c r="B1284" s="189">
        <v>40626</v>
      </c>
      <c r="C1284" s="2">
        <v>31647.69</v>
      </c>
      <c r="D1284" s="1196">
        <f t="shared" si="40"/>
        <v>244.41862350992224</v>
      </c>
      <c r="E1284" s="2">
        <v>2988.98</v>
      </c>
      <c r="F1284" s="1196">
        <f t="shared" si="41"/>
        <v>424.80031835365679</v>
      </c>
    </row>
    <row r="1285" spans="2:6">
      <c r="B1285" s="189">
        <v>40625</v>
      </c>
      <c r="C1285" s="2">
        <v>31215.55</v>
      </c>
      <c r="D1285" s="1196">
        <f t="shared" si="40"/>
        <v>241.08115831219132</v>
      </c>
      <c r="E1285" s="2">
        <v>2988.98</v>
      </c>
      <c r="F1285" s="1196">
        <f t="shared" si="41"/>
        <v>424.80031835365679</v>
      </c>
    </row>
    <row r="1286" spans="2:6">
      <c r="B1286" s="189">
        <v>40624</v>
      </c>
      <c r="C1286" s="2">
        <v>30868.31</v>
      </c>
      <c r="D1286" s="1196">
        <f t="shared" si="40"/>
        <v>238.39938524036253</v>
      </c>
      <c r="E1286" s="2">
        <v>2988.98</v>
      </c>
      <c r="F1286" s="1196">
        <f t="shared" si="41"/>
        <v>424.80031835365679</v>
      </c>
    </row>
    <row r="1287" spans="2:6">
      <c r="B1287" s="189">
        <v>40620</v>
      </c>
      <c r="C1287" s="2">
        <v>30677.08</v>
      </c>
      <c r="D1287" s="1196">
        <f t="shared" si="40"/>
        <v>236.92249471932288</v>
      </c>
      <c r="E1287" s="2">
        <v>2949.66</v>
      </c>
      <c r="F1287" s="1196">
        <f t="shared" si="41"/>
        <v>419.21207469941157</v>
      </c>
    </row>
    <row r="1288" spans="2:6">
      <c r="B1288" s="189">
        <v>40619</v>
      </c>
      <c r="C1288" s="2">
        <v>30718.55</v>
      </c>
      <c r="D1288" s="1196">
        <f t="shared" si="40"/>
        <v>237.24277213347079</v>
      </c>
      <c r="E1288" s="2">
        <v>2988.98</v>
      </c>
      <c r="F1288" s="1196">
        <f t="shared" si="41"/>
        <v>424.80031835365679</v>
      </c>
    </row>
    <row r="1289" spans="2:6">
      <c r="B1289" s="189">
        <v>40618</v>
      </c>
      <c r="C1289" s="2">
        <v>30612.41</v>
      </c>
      <c r="D1289" s="1196">
        <f t="shared" si="40"/>
        <v>236.42304112942779</v>
      </c>
      <c r="E1289" s="2">
        <v>3044.05</v>
      </c>
      <c r="F1289" s="1196">
        <f t="shared" si="41"/>
        <v>432.62698615730085</v>
      </c>
    </row>
    <row r="1290" spans="2:6">
      <c r="B1290" s="189">
        <v>40617</v>
      </c>
      <c r="C1290" s="2">
        <v>30193.95</v>
      </c>
      <c r="D1290" s="1196">
        <f t="shared" si="40"/>
        <v>233.19122809049944</v>
      </c>
      <c r="E1290" s="2">
        <v>3044.05</v>
      </c>
      <c r="F1290" s="1196">
        <f t="shared" si="41"/>
        <v>432.62698615730085</v>
      </c>
    </row>
    <row r="1291" spans="2:6">
      <c r="B1291" s="189">
        <v>40616</v>
      </c>
      <c r="C1291" s="2">
        <v>30878.58</v>
      </c>
      <c r="D1291" s="1196">
        <f t="shared" ref="D1291:D1354" si="42">C1291/$C$2759*100</f>
        <v>238.4787015905747</v>
      </c>
      <c r="E1291" s="2">
        <v>2949.66</v>
      </c>
      <c r="F1291" s="1196">
        <f t="shared" ref="F1291:F1354" si="43">E1291/$E$2759*100</f>
        <v>419.21207469941157</v>
      </c>
    </row>
    <row r="1292" spans="2:6">
      <c r="B1292" s="189">
        <v>40613</v>
      </c>
      <c r="C1292" s="2">
        <v>31173.86</v>
      </c>
      <c r="D1292" s="1196">
        <f t="shared" si="42"/>
        <v>240.7591818136182</v>
      </c>
      <c r="E1292" s="2">
        <v>2985.05</v>
      </c>
      <c r="F1292" s="1196">
        <f t="shared" si="43"/>
        <v>424.24177823256872</v>
      </c>
    </row>
    <row r="1293" spans="2:6">
      <c r="B1293" s="189">
        <v>40612</v>
      </c>
      <c r="C1293" s="2">
        <v>30898.94</v>
      </c>
      <c r="D1293" s="1196">
        <f t="shared" si="42"/>
        <v>238.63594413101487</v>
      </c>
      <c r="E1293" s="2">
        <v>2949.66</v>
      </c>
      <c r="F1293" s="1196">
        <f t="shared" si="43"/>
        <v>419.21207469941157</v>
      </c>
    </row>
    <row r="1294" spans="2:6">
      <c r="B1294" s="189">
        <v>40611</v>
      </c>
      <c r="C1294" s="2">
        <v>31820.37</v>
      </c>
      <c r="D1294" s="1196">
        <f t="shared" si="42"/>
        <v>245.75225032147449</v>
      </c>
      <c r="E1294" s="2">
        <v>2988.98</v>
      </c>
      <c r="F1294" s="1196">
        <f t="shared" si="43"/>
        <v>424.80031835365679</v>
      </c>
    </row>
    <row r="1295" spans="2:6">
      <c r="B1295" s="189">
        <v>40610</v>
      </c>
      <c r="C1295" s="2">
        <v>31827.42</v>
      </c>
      <c r="D1295" s="1196">
        <f t="shared" si="42"/>
        <v>245.80669825419074</v>
      </c>
      <c r="E1295" s="2">
        <v>2988.98</v>
      </c>
      <c r="F1295" s="1196">
        <f t="shared" si="43"/>
        <v>424.80031835365679</v>
      </c>
    </row>
    <row r="1296" spans="2:6">
      <c r="B1296" s="189">
        <v>40609</v>
      </c>
      <c r="C1296" s="2">
        <v>32298.21</v>
      </c>
      <c r="D1296" s="1196">
        <f t="shared" si="42"/>
        <v>249.44266169298314</v>
      </c>
      <c r="E1296" s="2">
        <v>2914.26</v>
      </c>
      <c r="F1296" s="1196">
        <f t="shared" si="43"/>
        <v>414.18094994457243</v>
      </c>
    </row>
    <row r="1297" spans="2:6">
      <c r="B1297" s="189">
        <v>40606</v>
      </c>
      <c r="C1297" s="2">
        <v>32337.06</v>
      </c>
      <c r="D1297" s="1196">
        <f t="shared" si="42"/>
        <v>249.74270455624938</v>
      </c>
      <c r="E1297" s="2">
        <v>2988.98</v>
      </c>
      <c r="F1297" s="1196">
        <f t="shared" si="43"/>
        <v>424.80031835365679</v>
      </c>
    </row>
    <row r="1298" spans="2:6">
      <c r="B1298" s="189">
        <v>40605</v>
      </c>
      <c r="C1298" s="2">
        <v>32350.12</v>
      </c>
      <c r="D1298" s="1196">
        <f t="shared" si="42"/>
        <v>249.84356838621733</v>
      </c>
      <c r="E1298" s="2">
        <v>2911.11</v>
      </c>
      <c r="F1298" s="1196">
        <f t="shared" si="43"/>
        <v>413.73326511469264</v>
      </c>
    </row>
    <row r="1299" spans="2:6">
      <c r="B1299" s="189">
        <v>40604</v>
      </c>
      <c r="C1299" s="2">
        <v>31973.09</v>
      </c>
      <c r="D1299" s="1196">
        <f t="shared" si="42"/>
        <v>246.93172383699604</v>
      </c>
      <c r="E1299" s="2">
        <v>2911.11</v>
      </c>
      <c r="F1299" s="1196">
        <f t="shared" si="43"/>
        <v>413.73326511469264</v>
      </c>
    </row>
    <row r="1300" spans="2:6">
      <c r="B1300" s="189">
        <v>40603</v>
      </c>
      <c r="C1300" s="2">
        <v>32050.73</v>
      </c>
      <c r="D1300" s="1196">
        <f t="shared" si="42"/>
        <v>247.53134617686698</v>
      </c>
      <c r="E1300" s="2">
        <v>2949.66</v>
      </c>
      <c r="F1300" s="1196">
        <f t="shared" si="43"/>
        <v>419.21207469941157</v>
      </c>
    </row>
    <row r="1301" spans="2:6">
      <c r="B1301" s="189">
        <v>40602</v>
      </c>
      <c r="C1301" s="2">
        <v>32272.09</v>
      </c>
      <c r="D1301" s="1196">
        <f t="shared" si="42"/>
        <v>249.24093403304721</v>
      </c>
      <c r="E1301" s="2">
        <v>2988.2</v>
      </c>
      <c r="F1301" s="1196">
        <f t="shared" si="43"/>
        <v>424.68946306244845</v>
      </c>
    </row>
    <row r="1302" spans="2:6">
      <c r="B1302" s="189">
        <v>40599</v>
      </c>
      <c r="C1302" s="2">
        <v>31965.59</v>
      </c>
      <c r="D1302" s="1196">
        <f t="shared" si="42"/>
        <v>246.87380050431918</v>
      </c>
      <c r="E1302" s="2">
        <v>2949.66</v>
      </c>
      <c r="F1302" s="1196">
        <f t="shared" si="43"/>
        <v>419.21207469941157</v>
      </c>
    </row>
    <row r="1303" spans="2:6">
      <c r="B1303" s="189">
        <v>40598</v>
      </c>
      <c r="C1303" s="2">
        <v>31706.47</v>
      </c>
      <c r="D1303" s="1196">
        <f t="shared" si="42"/>
        <v>244.87258797588845</v>
      </c>
      <c r="E1303" s="2">
        <v>2910.33</v>
      </c>
      <c r="F1303" s="1196">
        <f t="shared" si="43"/>
        <v>413.6224098234843</v>
      </c>
    </row>
    <row r="1304" spans="2:6">
      <c r="B1304" s="189">
        <v>40597</v>
      </c>
      <c r="C1304" s="2">
        <v>31932.07</v>
      </c>
      <c r="D1304" s="1196">
        <f t="shared" si="42"/>
        <v>246.6149218228087</v>
      </c>
      <c r="E1304" s="2">
        <v>2958.31</v>
      </c>
      <c r="F1304" s="1196">
        <f t="shared" si="43"/>
        <v>420.44143145447828</v>
      </c>
    </row>
    <row r="1305" spans="2:6">
      <c r="B1305" s="189">
        <v>40596</v>
      </c>
      <c r="C1305" s="2">
        <v>32444.2</v>
      </c>
      <c r="D1305" s="1196">
        <f t="shared" si="42"/>
        <v>250.57015867131599</v>
      </c>
      <c r="E1305" s="2">
        <v>2974.04</v>
      </c>
      <c r="F1305" s="1196">
        <f t="shared" si="43"/>
        <v>422.67701316051279</v>
      </c>
    </row>
    <row r="1306" spans="2:6">
      <c r="B1306" s="189">
        <v>40595</v>
      </c>
      <c r="C1306" s="2">
        <v>32806.67</v>
      </c>
      <c r="D1306" s="1196">
        <f t="shared" si="42"/>
        <v>253.36955472403392</v>
      </c>
      <c r="E1306" s="2">
        <v>3036.18</v>
      </c>
      <c r="F1306" s="1196">
        <f t="shared" si="43"/>
        <v>431.50848469344243</v>
      </c>
    </row>
    <row r="1307" spans="2:6">
      <c r="B1307" s="189">
        <v>40592</v>
      </c>
      <c r="C1307" s="2">
        <v>32514.03</v>
      </c>
      <c r="D1307" s="1196">
        <f t="shared" si="42"/>
        <v>251.10946351409274</v>
      </c>
      <c r="E1307" s="2">
        <v>2988.98</v>
      </c>
      <c r="F1307" s="1196">
        <f t="shared" si="43"/>
        <v>424.80031835365679</v>
      </c>
    </row>
    <row r="1308" spans="2:6">
      <c r="B1308" s="189">
        <v>40591</v>
      </c>
      <c r="C1308" s="2">
        <v>32722.91</v>
      </c>
      <c r="D1308" s="1196">
        <f t="shared" si="42"/>
        <v>252.72266694469866</v>
      </c>
      <c r="E1308" s="2">
        <v>2987.41</v>
      </c>
      <c r="F1308" s="1196">
        <f t="shared" si="43"/>
        <v>424.57718654955795</v>
      </c>
    </row>
    <row r="1309" spans="2:6">
      <c r="B1309" s="189">
        <v>40590</v>
      </c>
      <c r="C1309" s="2">
        <v>32778.120000000003</v>
      </c>
      <c r="D1309" s="1196">
        <f t="shared" si="42"/>
        <v>253.14905990431069</v>
      </c>
      <c r="E1309" s="2">
        <v>2831.67</v>
      </c>
      <c r="F1309" s="1196">
        <f t="shared" si="43"/>
        <v>402.44308007162954</v>
      </c>
    </row>
    <row r="1310" spans="2:6">
      <c r="B1310" s="189">
        <v>40589</v>
      </c>
      <c r="C1310" s="2">
        <v>33060.28</v>
      </c>
      <c r="D1310" s="1196">
        <f t="shared" si="42"/>
        <v>255.32821291072469</v>
      </c>
      <c r="E1310" s="2">
        <v>2800.21</v>
      </c>
      <c r="F1310" s="1196">
        <f t="shared" si="43"/>
        <v>397.97191665956058</v>
      </c>
    </row>
    <row r="1311" spans="2:6">
      <c r="B1311" s="189">
        <v>40588</v>
      </c>
      <c r="C1311" s="2">
        <v>33094.06</v>
      </c>
      <c r="D1311" s="1196">
        <f t="shared" si="42"/>
        <v>255.58909960110131</v>
      </c>
      <c r="E1311" s="2">
        <v>2833.24</v>
      </c>
      <c r="F1311" s="1196">
        <f t="shared" si="43"/>
        <v>402.66621187572832</v>
      </c>
    </row>
    <row r="1312" spans="2:6">
      <c r="B1312" s="189">
        <v>40585</v>
      </c>
      <c r="C1312" s="2">
        <v>32954.33</v>
      </c>
      <c r="D1312" s="1196">
        <f t="shared" si="42"/>
        <v>254.50994929777616</v>
      </c>
      <c r="E1312" s="2">
        <v>2871</v>
      </c>
      <c r="F1312" s="1196">
        <f t="shared" si="43"/>
        <v>408.03274494755692</v>
      </c>
    </row>
    <row r="1313" spans="2:6">
      <c r="B1313" s="189">
        <v>40584</v>
      </c>
      <c r="C1313" s="2">
        <v>32409.48</v>
      </c>
      <c r="D1313" s="1196">
        <f t="shared" si="42"/>
        <v>250.3020122565772</v>
      </c>
      <c r="E1313" s="2">
        <v>2910.33</v>
      </c>
      <c r="F1313" s="1196">
        <f t="shared" si="43"/>
        <v>413.6224098234843</v>
      </c>
    </row>
    <row r="1314" spans="2:6">
      <c r="B1314" s="189">
        <v>40583</v>
      </c>
      <c r="C1314" s="2">
        <v>32677.56</v>
      </c>
      <c r="D1314" s="1196">
        <f t="shared" si="42"/>
        <v>252.37242385977922</v>
      </c>
      <c r="E1314" s="2">
        <v>2910.33</v>
      </c>
      <c r="F1314" s="1196">
        <f t="shared" si="43"/>
        <v>413.6224098234843</v>
      </c>
    </row>
    <row r="1315" spans="2:6">
      <c r="B1315" s="189">
        <v>40582</v>
      </c>
      <c r="C1315" s="2">
        <v>32788.86</v>
      </c>
      <c r="D1315" s="1196">
        <f t="shared" si="42"/>
        <v>253.23200611670393</v>
      </c>
      <c r="E1315" s="2">
        <v>2910.33</v>
      </c>
      <c r="F1315" s="1196">
        <f t="shared" si="43"/>
        <v>413.6224098234843</v>
      </c>
    </row>
    <row r="1316" spans="2:6">
      <c r="B1316" s="189">
        <v>40581</v>
      </c>
      <c r="C1316" s="2">
        <v>32800.230000000003</v>
      </c>
      <c r="D1316" s="1196">
        <f t="shared" si="42"/>
        <v>253.31981788904207</v>
      </c>
      <c r="E1316" s="2">
        <v>2910.33</v>
      </c>
      <c r="F1316" s="1196">
        <f t="shared" si="43"/>
        <v>413.6224098234843</v>
      </c>
    </row>
    <row r="1317" spans="2:6">
      <c r="B1317" s="189">
        <v>40578</v>
      </c>
      <c r="C1317" s="2">
        <v>32902.519999999997</v>
      </c>
      <c r="D1317" s="1196">
        <f t="shared" si="42"/>
        <v>254.10981491564431</v>
      </c>
      <c r="E1317" s="2">
        <v>2918.19</v>
      </c>
      <c r="F1317" s="1196">
        <f t="shared" si="43"/>
        <v>414.73949006566045</v>
      </c>
    </row>
    <row r="1318" spans="2:6">
      <c r="B1318" s="189">
        <v>40577</v>
      </c>
      <c r="C1318" s="2">
        <v>32794.839999999997</v>
      </c>
      <c r="D1318" s="1196">
        <f t="shared" si="42"/>
        <v>253.27819032062493</v>
      </c>
      <c r="E1318" s="2">
        <v>2910.33</v>
      </c>
      <c r="F1318" s="1196">
        <f t="shared" si="43"/>
        <v>413.6224098234843</v>
      </c>
    </row>
    <row r="1319" spans="2:6">
      <c r="B1319" s="189">
        <v>40576</v>
      </c>
      <c r="C1319" s="2">
        <v>32487.61</v>
      </c>
      <c r="D1319" s="1196">
        <f t="shared" si="42"/>
        <v>250.90541892084971</v>
      </c>
      <c r="E1319" s="2">
        <v>2890.66</v>
      </c>
      <c r="F1319" s="1196">
        <f t="shared" si="43"/>
        <v>410.82686677467944</v>
      </c>
    </row>
    <row r="1320" spans="2:6">
      <c r="B1320" s="189">
        <v>40575</v>
      </c>
      <c r="C1320" s="2">
        <v>31838.16</v>
      </c>
      <c r="D1320" s="1196">
        <f t="shared" si="42"/>
        <v>245.88964446658403</v>
      </c>
      <c r="E1320" s="2">
        <v>2800.21</v>
      </c>
      <c r="F1320" s="1196">
        <f t="shared" si="43"/>
        <v>397.97191665956058</v>
      </c>
    </row>
    <row r="1321" spans="2:6">
      <c r="B1321" s="189">
        <v>40574</v>
      </c>
      <c r="C1321" s="2">
        <v>31398.75</v>
      </c>
      <c r="D1321" s="1196">
        <f t="shared" si="42"/>
        <v>242.49603225171165</v>
      </c>
      <c r="E1321" s="2">
        <v>2878.08</v>
      </c>
      <c r="F1321" s="1196">
        <f t="shared" si="43"/>
        <v>409.03896989852473</v>
      </c>
    </row>
    <row r="1322" spans="2:6">
      <c r="B1322" s="189">
        <v>40571</v>
      </c>
      <c r="C1322" s="2">
        <v>31543.05</v>
      </c>
      <c r="D1322" s="1196">
        <f t="shared" si="42"/>
        <v>243.61047717241456</v>
      </c>
      <c r="E1322" s="2">
        <v>2886.73</v>
      </c>
      <c r="F1322" s="1196">
        <f t="shared" si="43"/>
        <v>410.26832665359143</v>
      </c>
    </row>
    <row r="1323" spans="2:6">
      <c r="B1323" s="189">
        <v>40570</v>
      </c>
      <c r="C1323" s="2">
        <v>32138.54</v>
      </c>
      <c r="D1323" s="1196">
        <f t="shared" si="42"/>
        <v>248.20951255584777</v>
      </c>
      <c r="E1323" s="2">
        <v>2910.33</v>
      </c>
      <c r="F1323" s="1196">
        <f t="shared" si="43"/>
        <v>413.6224098234843</v>
      </c>
    </row>
    <row r="1324" spans="2:6">
      <c r="B1324" s="189">
        <v>40569</v>
      </c>
      <c r="C1324" s="2">
        <v>31965.24</v>
      </c>
      <c r="D1324" s="1196">
        <f t="shared" si="42"/>
        <v>246.87109741546092</v>
      </c>
      <c r="E1324" s="2">
        <v>2902.46</v>
      </c>
      <c r="F1324" s="1196">
        <f t="shared" si="43"/>
        <v>412.50390835962588</v>
      </c>
    </row>
    <row r="1325" spans="2:6">
      <c r="B1325" s="189">
        <v>40568</v>
      </c>
      <c r="C1325" s="2">
        <v>31656.63</v>
      </c>
      <c r="D1325" s="1196">
        <f t="shared" si="42"/>
        <v>244.48766812247311</v>
      </c>
      <c r="E1325" s="2">
        <v>2949.66</v>
      </c>
      <c r="F1325" s="1196">
        <f t="shared" si="43"/>
        <v>419.21207469941157</v>
      </c>
    </row>
    <row r="1326" spans="2:6">
      <c r="B1326" s="189">
        <v>40567</v>
      </c>
      <c r="C1326" s="2">
        <v>31869.06</v>
      </c>
      <c r="D1326" s="1196">
        <f t="shared" si="42"/>
        <v>246.12828859721273</v>
      </c>
      <c r="E1326" s="2">
        <v>2949.66</v>
      </c>
      <c r="F1326" s="1196">
        <f t="shared" si="43"/>
        <v>419.21207469941157</v>
      </c>
    </row>
    <row r="1327" spans="2:6">
      <c r="B1327" s="189">
        <v>40564</v>
      </c>
      <c r="C1327" s="2">
        <v>32140.01</v>
      </c>
      <c r="D1327" s="1196">
        <f t="shared" si="42"/>
        <v>248.22086552905239</v>
      </c>
      <c r="E1327" s="2">
        <v>2910.33</v>
      </c>
      <c r="F1327" s="1196">
        <f t="shared" si="43"/>
        <v>413.6224098234843</v>
      </c>
    </row>
    <row r="1328" spans="2:6">
      <c r="B1328" s="189">
        <v>40563</v>
      </c>
      <c r="C1328" s="2">
        <v>31837.14</v>
      </c>
      <c r="D1328" s="1196">
        <f t="shared" si="42"/>
        <v>245.88176689333997</v>
      </c>
      <c r="E1328" s="2">
        <v>2910.33</v>
      </c>
      <c r="F1328" s="1196">
        <f t="shared" si="43"/>
        <v>413.6224098234843</v>
      </c>
    </row>
    <row r="1329" spans="2:6">
      <c r="B1329" s="189">
        <v>40562</v>
      </c>
      <c r="C1329" s="2">
        <v>32363.75</v>
      </c>
      <c r="D1329" s="1196">
        <f t="shared" si="42"/>
        <v>249.94883438946877</v>
      </c>
      <c r="E1329" s="2">
        <v>2910.33</v>
      </c>
      <c r="F1329" s="1196">
        <f t="shared" si="43"/>
        <v>413.6224098234843</v>
      </c>
    </row>
    <row r="1330" spans="2:6">
      <c r="B1330" s="189">
        <v>40561</v>
      </c>
      <c r="C1330" s="2">
        <v>32559.72</v>
      </c>
      <c r="D1330" s="1196">
        <f t="shared" si="42"/>
        <v>251.46233245676024</v>
      </c>
      <c r="E1330" s="2">
        <v>2949.66</v>
      </c>
      <c r="F1330" s="1196">
        <f t="shared" si="43"/>
        <v>419.21207469941157</v>
      </c>
    </row>
    <row r="1331" spans="2:6">
      <c r="B1331" s="189">
        <v>40560</v>
      </c>
      <c r="C1331" s="2">
        <v>32316.2</v>
      </c>
      <c r="D1331" s="1196">
        <f t="shared" si="42"/>
        <v>249.58160046029744</v>
      </c>
      <c r="E1331" s="2">
        <v>2949.66</v>
      </c>
      <c r="F1331" s="1196">
        <f t="shared" si="43"/>
        <v>419.21207469941157</v>
      </c>
    </row>
    <row r="1332" spans="2:6">
      <c r="B1332" s="189">
        <v>40557</v>
      </c>
      <c r="C1332" s="2">
        <v>32661.06</v>
      </c>
      <c r="D1332" s="1196">
        <f t="shared" si="42"/>
        <v>252.2449925278901</v>
      </c>
      <c r="E1332" s="2">
        <v>2949.66</v>
      </c>
      <c r="F1332" s="1196">
        <f t="shared" si="43"/>
        <v>419.21207469941157</v>
      </c>
    </row>
    <row r="1333" spans="2:6">
      <c r="B1333" s="189">
        <v>40556</v>
      </c>
      <c r="C1333" s="2">
        <v>32632.15</v>
      </c>
      <c r="D1333" s="1196">
        <f t="shared" si="42"/>
        <v>252.02171738819831</v>
      </c>
      <c r="E1333" s="2">
        <v>2930.78</v>
      </c>
      <c r="F1333" s="1196">
        <f t="shared" si="43"/>
        <v>416.52880816349739</v>
      </c>
    </row>
    <row r="1334" spans="2:6">
      <c r="B1334" s="189">
        <v>40555</v>
      </c>
      <c r="C1334" s="2">
        <v>32483.94</v>
      </c>
      <c r="D1334" s="1196">
        <f t="shared" si="42"/>
        <v>250.87707510339317</v>
      </c>
      <c r="E1334" s="2">
        <v>2915.05</v>
      </c>
      <c r="F1334" s="1196">
        <f t="shared" si="43"/>
        <v>414.29322645746288</v>
      </c>
    </row>
    <row r="1335" spans="2:6">
      <c r="B1335" s="189">
        <v>40554</v>
      </c>
      <c r="C1335" s="2">
        <v>32162.15</v>
      </c>
      <c r="D1335" s="1196">
        <f t="shared" si="42"/>
        <v>248.39185520711453</v>
      </c>
      <c r="E1335" s="2">
        <v>2988.98</v>
      </c>
      <c r="F1335" s="1196">
        <f t="shared" si="43"/>
        <v>424.80031835365679</v>
      </c>
    </row>
    <row r="1336" spans="2:6">
      <c r="B1336" s="189">
        <v>40553</v>
      </c>
      <c r="C1336" s="2">
        <v>31698.49</v>
      </c>
      <c r="D1336" s="1196">
        <f t="shared" si="42"/>
        <v>244.81095754992026</v>
      </c>
      <c r="E1336" s="2">
        <v>2988.98</v>
      </c>
      <c r="F1336" s="1196">
        <f t="shared" si="43"/>
        <v>424.80031835365679</v>
      </c>
    </row>
    <row r="1337" spans="2:6">
      <c r="B1337" s="189">
        <v>40550</v>
      </c>
      <c r="C1337" s="2">
        <v>31929.72</v>
      </c>
      <c r="D1337" s="1196">
        <f t="shared" si="42"/>
        <v>246.59677251190323</v>
      </c>
      <c r="E1337" s="2">
        <v>2933.92</v>
      </c>
      <c r="F1337" s="1196">
        <f t="shared" si="43"/>
        <v>416.97507177169496</v>
      </c>
    </row>
    <row r="1338" spans="2:6">
      <c r="B1338" s="189">
        <v>40549</v>
      </c>
      <c r="C1338" s="2">
        <v>32115.88</v>
      </c>
      <c r="D1338" s="1196">
        <f t="shared" si="42"/>
        <v>248.0345068600534</v>
      </c>
      <c r="E1338" s="2">
        <v>3005.3</v>
      </c>
      <c r="F1338" s="1196">
        <f t="shared" si="43"/>
        <v>427.11975213893868</v>
      </c>
    </row>
    <row r="1339" spans="2:6">
      <c r="B1339" s="189">
        <v>40548</v>
      </c>
      <c r="C1339" s="2">
        <v>32010.53</v>
      </c>
      <c r="D1339" s="1196">
        <f t="shared" si="42"/>
        <v>247.22087711371893</v>
      </c>
      <c r="E1339" s="2">
        <v>3005.3</v>
      </c>
      <c r="F1339" s="1196">
        <f t="shared" si="43"/>
        <v>427.11975213893868</v>
      </c>
    </row>
    <row r="1340" spans="2:6">
      <c r="B1340" s="189">
        <v>40547</v>
      </c>
      <c r="C1340" s="2">
        <v>32427.4</v>
      </c>
      <c r="D1340" s="1196">
        <f t="shared" si="42"/>
        <v>250.44041040611978</v>
      </c>
      <c r="E1340" s="2">
        <v>3005.3</v>
      </c>
      <c r="F1340" s="1196">
        <f t="shared" si="43"/>
        <v>427.11975213893868</v>
      </c>
    </row>
    <row r="1341" spans="2:6">
      <c r="B1341" s="189">
        <v>40546</v>
      </c>
      <c r="C1341" s="2">
        <v>32308.11</v>
      </c>
      <c r="D1341" s="1196">
        <f t="shared" si="42"/>
        <v>249.51912049211666</v>
      </c>
      <c r="E1341" s="2">
        <v>3005.3</v>
      </c>
      <c r="F1341" s="1196">
        <f t="shared" si="43"/>
        <v>427.11975213893868</v>
      </c>
    </row>
    <row r="1342" spans="2:6">
      <c r="B1342" s="189">
        <v>40543</v>
      </c>
      <c r="C1342" s="2">
        <v>32118.89</v>
      </c>
      <c r="D1342" s="1196">
        <f t="shared" si="42"/>
        <v>248.05775342423436</v>
      </c>
      <c r="E1342" s="2">
        <v>2892.6</v>
      </c>
      <c r="F1342" s="1196">
        <f t="shared" si="43"/>
        <v>411.10258378101821</v>
      </c>
    </row>
    <row r="1343" spans="2:6">
      <c r="B1343" s="189">
        <v>40542</v>
      </c>
      <c r="C1343" s="2">
        <v>32210.04</v>
      </c>
      <c r="D1343" s="1196">
        <f t="shared" si="42"/>
        <v>248.76171499403389</v>
      </c>
      <c r="E1343" s="2">
        <v>2892.6</v>
      </c>
      <c r="F1343" s="1196">
        <f t="shared" si="43"/>
        <v>411.10258378101821</v>
      </c>
    </row>
    <row r="1344" spans="2:6">
      <c r="B1344" s="189">
        <v>40541</v>
      </c>
      <c r="C1344" s="2">
        <v>32123.4</v>
      </c>
      <c r="D1344" s="1196">
        <f t="shared" si="42"/>
        <v>248.09258465495074</v>
      </c>
      <c r="E1344" s="2">
        <v>2888.85</v>
      </c>
      <c r="F1344" s="1196">
        <f t="shared" si="43"/>
        <v>410.56962565020888</v>
      </c>
    </row>
    <row r="1345" spans="2:6">
      <c r="B1345" s="189">
        <v>40540</v>
      </c>
      <c r="C1345" s="2">
        <v>32012.31</v>
      </c>
      <c r="D1345" s="1196">
        <f t="shared" si="42"/>
        <v>247.23462425134093</v>
      </c>
      <c r="E1345" s="2">
        <v>2892.6</v>
      </c>
      <c r="F1345" s="1196">
        <f t="shared" si="43"/>
        <v>411.10258378101821</v>
      </c>
    </row>
    <row r="1346" spans="2:6">
      <c r="B1346" s="189">
        <v>40536</v>
      </c>
      <c r="C1346" s="2">
        <v>32037.06</v>
      </c>
      <c r="D1346" s="1196">
        <f t="shared" si="42"/>
        <v>247.42577124917463</v>
      </c>
      <c r="E1346" s="2">
        <v>2817.47</v>
      </c>
      <c r="F1346" s="1196">
        <f t="shared" si="43"/>
        <v>400.42494528296515</v>
      </c>
    </row>
    <row r="1347" spans="2:6">
      <c r="B1347" s="189">
        <v>40535</v>
      </c>
      <c r="C1347" s="2">
        <v>32127.31</v>
      </c>
      <c r="D1347" s="1196">
        <f t="shared" si="42"/>
        <v>248.12278201905292</v>
      </c>
      <c r="E1347" s="2">
        <v>2817.47</v>
      </c>
      <c r="F1347" s="1196">
        <f t="shared" si="43"/>
        <v>400.42494528296515</v>
      </c>
    </row>
    <row r="1348" spans="2:6">
      <c r="B1348" s="189">
        <v>40534</v>
      </c>
      <c r="C1348" s="2">
        <v>32058.97</v>
      </c>
      <c r="D1348" s="1196">
        <f t="shared" si="42"/>
        <v>247.59498461170128</v>
      </c>
      <c r="E1348" s="2">
        <v>2818.22</v>
      </c>
      <c r="F1348" s="1196">
        <f t="shared" si="43"/>
        <v>400.53153690912711</v>
      </c>
    </row>
    <row r="1349" spans="2:6">
      <c r="B1349" s="189">
        <v>40533</v>
      </c>
      <c r="C1349" s="2">
        <v>32063.81</v>
      </c>
      <c r="D1349" s="1196">
        <f t="shared" si="42"/>
        <v>247.63236446905546</v>
      </c>
      <c r="E1349" s="2">
        <v>2817.47</v>
      </c>
      <c r="F1349" s="1196">
        <f t="shared" si="43"/>
        <v>400.42494528296515</v>
      </c>
    </row>
    <row r="1350" spans="2:6">
      <c r="B1350" s="189">
        <v>40532</v>
      </c>
      <c r="C1350" s="2">
        <v>31732.52</v>
      </c>
      <c r="D1350" s="1196">
        <f t="shared" si="42"/>
        <v>245.07377501805277</v>
      </c>
      <c r="E1350" s="2">
        <v>2779.9</v>
      </c>
      <c r="F1350" s="1196">
        <f t="shared" si="43"/>
        <v>395.08541542309769</v>
      </c>
    </row>
    <row r="1351" spans="2:6">
      <c r="B1351" s="189">
        <v>40529</v>
      </c>
      <c r="C1351" s="2">
        <v>31631.07</v>
      </c>
      <c r="D1351" s="1196">
        <f t="shared" si="42"/>
        <v>244.29026540471034</v>
      </c>
      <c r="E1351" s="2">
        <v>2705.52</v>
      </c>
      <c r="F1351" s="1196">
        <f t="shared" si="43"/>
        <v>384.51436855120659</v>
      </c>
    </row>
    <row r="1352" spans="2:6">
      <c r="B1352" s="189">
        <v>40527</v>
      </c>
      <c r="C1352" s="2">
        <v>31703.61</v>
      </c>
      <c r="D1352" s="1196">
        <f t="shared" si="42"/>
        <v>244.85049987836103</v>
      </c>
      <c r="E1352" s="2">
        <v>2877.58</v>
      </c>
      <c r="F1352" s="1196">
        <f t="shared" si="43"/>
        <v>408.96790881441689</v>
      </c>
    </row>
    <row r="1353" spans="2:6">
      <c r="B1353" s="189">
        <v>40526</v>
      </c>
      <c r="C1353" s="2">
        <v>31666.639999999999</v>
      </c>
      <c r="D1353" s="1196">
        <f t="shared" si="42"/>
        <v>244.56497646381914</v>
      </c>
      <c r="E1353" s="2">
        <v>2846.77</v>
      </c>
      <c r="F1353" s="1196">
        <f t="shared" si="43"/>
        <v>404.58912481168807</v>
      </c>
    </row>
    <row r="1354" spans="2:6">
      <c r="B1354" s="189">
        <v>40525</v>
      </c>
      <c r="C1354" s="2">
        <v>31565.18</v>
      </c>
      <c r="D1354" s="1196">
        <f t="shared" si="42"/>
        <v>243.78138961936648</v>
      </c>
      <c r="E1354" s="2">
        <v>2794.93</v>
      </c>
      <c r="F1354" s="1196">
        <f t="shared" si="43"/>
        <v>397.22151161138112</v>
      </c>
    </row>
    <row r="1355" spans="2:6">
      <c r="B1355" s="189">
        <v>40522</v>
      </c>
      <c r="C1355" s="2">
        <v>31488.81</v>
      </c>
      <c r="D1355" s="1196">
        <f t="shared" ref="D1355:D1418" si="44">C1355/$C$2759*100</f>
        <v>243.19157563049546</v>
      </c>
      <c r="E1355" s="2">
        <v>2779.9</v>
      </c>
      <c r="F1355" s="1196">
        <f t="shared" ref="F1355:F1418" si="45">E1355/$E$2759*100</f>
        <v>395.08541542309769</v>
      </c>
    </row>
    <row r="1356" spans="2:6">
      <c r="B1356" s="189">
        <v>40521</v>
      </c>
      <c r="C1356" s="2">
        <v>31617.66</v>
      </c>
      <c r="D1356" s="1196">
        <f t="shared" si="44"/>
        <v>244.18669848588408</v>
      </c>
      <c r="E1356" s="2">
        <v>2708.53</v>
      </c>
      <c r="F1356" s="1196">
        <f t="shared" si="45"/>
        <v>384.94215627753618</v>
      </c>
    </row>
    <row r="1357" spans="2:6">
      <c r="B1357" s="189">
        <v>40520</v>
      </c>
      <c r="C1357" s="2">
        <v>31769.88</v>
      </c>
      <c r="D1357" s="1196">
        <f t="shared" si="44"/>
        <v>245.36231044589383</v>
      </c>
      <c r="E1357" s="2">
        <v>2706.27</v>
      </c>
      <c r="F1357" s="1196">
        <f t="shared" si="45"/>
        <v>384.62096017736849</v>
      </c>
    </row>
    <row r="1358" spans="2:6">
      <c r="B1358" s="189">
        <v>40519</v>
      </c>
      <c r="C1358" s="2">
        <v>31764.37</v>
      </c>
      <c r="D1358" s="1196">
        <f t="shared" si="44"/>
        <v>245.3197561041539</v>
      </c>
      <c r="E1358" s="2">
        <v>2704.77</v>
      </c>
      <c r="F1358" s="1196">
        <f t="shared" si="45"/>
        <v>384.4077769250448</v>
      </c>
    </row>
    <row r="1359" spans="2:6">
      <c r="B1359" s="189">
        <v>40518</v>
      </c>
      <c r="C1359" s="2">
        <v>31655.93</v>
      </c>
      <c r="D1359" s="1196">
        <f t="shared" si="44"/>
        <v>244.4822619447566</v>
      </c>
      <c r="E1359" s="2">
        <v>2779.9</v>
      </c>
      <c r="F1359" s="1196">
        <f t="shared" si="45"/>
        <v>395.08541542309769</v>
      </c>
    </row>
    <row r="1360" spans="2:6">
      <c r="B1360" s="189">
        <v>40515</v>
      </c>
      <c r="C1360" s="2">
        <v>31376.93</v>
      </c>
      <c r="D1360" s="1196">
        <f t="shared" si="44"/>
        <v>242.32751396917709</v>
      </c>
      <c r="E1360" s="2">
        <v>2784.41</v>
      </c>
      <c r="F1360" s="1196">
        <f t="shared" si="45"/>
        <v>395.72638640175091</v>
      </c>
    </row>
    <row r="1361" spans="2:6">
      <c r="B1361" s="189">
        <v>40514</v>
      </c>
      <c r="C1361" s="2">
        <v>31145.18</v>
      </c>
      <c r="D1361" s="1196">
        <f t="shared" si="44"/>
        <v>240.53768298946184</v>
      </c>
      <c r="E1361" s="2">
        <v>2817.47</v>
      </c>
      <c r="F1361" s="1196">
        <f t="shared" si="45"/>
        <v>400.42494528296515</v>
      </c>
    </row>
    <row r="1362" spans="2:6">
      <c r="B1362" s="189">
        <v>40513</v>
      </c>
      <c r="C1362" s="2">
        <v>30787.32</v>
      </c>
      <c r="D1362" s="1196">
        <f t="shared" si="44"/>
        <v>237.77389047856258</v>
      </c>
      <c r="E1362" s="2">
        <v>2817.47</v>
      </c>
      <c r="F1362" s="1196">
        <f t="shared" si="45"/>
        <v>400.42494528296515</v>
      </c>
    </row>
    <row r="1363" spans="2:6">
      <c r="B1363" s="189">
        <v>40512</v>
      </c>
      <c r="C1363" s="2">
        <v>30266.400000000001</v>
      </c>
      <c r="D1363" s="1196">
        <f t="shared" si="44"/>
        <v>233.75076748415799</v>
      </c>
      <c r="E1363" s="2">
        <v>2817.47</v>
      </c>
      <c r="F1363" s="1196">
        <f t="shared" si="45"/>
        <v>400.42494528296515</v>
      </c>
    </row>
    <row r="1364" spans="2:6">
      <c r="B1364" s="189">
        <v>40511</v>
      </c>
      <c r="C1364" s="2">
        <v>30716.240000000002</v>
      </c>
      <c r="D1364" s="1196">
        <f t="shared" si="44"/>
        <v>237.22493174700637</v>
      </c>
      <c r="E1364" s="2">
        <v>2779.9</v>
      </c>
      <c r="F1364" s="1196">
        <f t="shared" si="45"/>
        <v>395.08541542309769</v>
      </c>
    </row>
    <row r="1365" spans="2:6">
      <c r="B1365" s="189">
        <v>40508</v>
      </c>
      <c r="C1365" s="2">
        <v>31181.38</v>
      </c>
      <c r="D1365" s="1196">
        <f t="shared" si="44"/>
        <v>240.81725960851549</v>
      </c>
      <c r="E1365" s="2">
        <v>2704.77</v>
      </c>
      <c r="F1365" s="1196">
        <f t="shared" si="45"/>
        <v>384.4077769250448</v>
      </c>
    </row>
    <row r="1366" spans="2:6">
      <c r="B1366" s="189">
        <v>40507</v>
      </c>
      <c r="C1366" s="2">
        <v>31298.22</v>
      </c>
      <c r="D1366" s="1196">
        <f t="shared" si="44"/>
        <v>241.71962790051089</v>
      </c>
      <c r="E1366" s="2">
        <v>2704.77</v>
      </c>
      <c r="F1366" s="1196">
        <f t="shared" si="45"/>
        <v>384.4077769250448</v>
      </c>
    </row>
    <row r="1367" spans="2:6">
      <c r="B1367" s="189">
        <v>40506</v>
      </c>
      <c r="C1367" s="2">
        <v>31112.49</v>
      </c>
      <c r="D1367" s="1196">
        <f t="shared" si="44"/>
        <v>240.28521449010091</v>
      </c>
      <c r="E1367" s="2">
        <v>2704.77</v>
      </c>
      <c r="F1367" s="1196">
        <f t="shared" si="45"/>
        <v>384.4077769250448</v>
      </c>
    </row>
    <row r="1368" spans="2:6">
      <c r="B1368" s="189">
        <v>40505</v>
      </c>
      <c r="C1368" s="2">
        <v>30895.07</v>
      </c>
      <c r="D1368" s="1196">
        <f t="shared" si="44"/>
        <v>238.60605569135359</v>
      </c>
      <c r="E1368" s="2">
        <v>2704.77</v>
      </c>
      <c r="F1368" s="1196">
        <f t="shared" si="45"/>
        <v>384.4077769250448</v>
      </c>
    </row>
    <row r="1369" spans="2:6">
      <c r="B1369" s="189">
        <v>40504</v>
      </c>
      <c r="C1369" s="2">
        <v>31403.81</v>
      </c>
      <c r="D1369" s="1196">
        <f t="shared" si="44"/>
        <v>242.53511119349099</v>
      </c>
      <c r="E1369" s="2">
        <v>2704.77</v>
      </c>
      <c r="F1369" s="1196">
        <f t="shared" si="45"/>
        <v>384.4077769250448</v>
      </c>
    </row>
    <row r="1370" spans="2:6">
      <c r="B1370" s="189">
        <v>40501</v>
      </c>
      <c r="C1370" s="2">
        <v>31398.82</v>
      </c>
      <c r="D1370" s="1196">
        <f t="shared" si="44"/>
        <v>242.49657286948326</v>
      </c>
      <c r="E1370" s="2">
        <v>2779.9</v>
      </c>
      <c r="F1370" s="1196">
        <f t="shared" si="45"/>
        <v>395.08541542309769</v>
      </c>
    </row>
    <row r="1371" spans="2:6">
      <c r="B1371" s="189">
        <v>40500</v>
      </c>
      <c r="C1371" s="2">
        <v>31574</v>
      </c>
      <c r="D1371" s="1196">
        <f t="shared" si="44"/>
        <v>243.84950745859447</v>
      </c>
      <c r="E1371" s="2">
        <v>2704.77</v>
      </c>
      <c r="F1371" s="1196">
        <f t="shared" si="45"/>
        <v>384.4077769250448</v>
      </c>
    </row>
    <row r="1372" spans="2:6">
      <c r="B1372" s="189">
        <v>40499</v>
      </c>
      <c r="C1372" s="2">
        <v>31345.17</v>
      </c>
      <c r="D1372" s="1196">
        <f t="shared" si="44"/>
        <v>242.08222796306808</v>
      </c>
      <c r="E1372" s="2">
        <v>2667.2</v>
      </c>
      <c r="F1372" s="1196">
        <f t="shared" si="45"/>
        <v>379.06824706517722</v>
      </c>
    </row>
    <row r="1373" spans="2:6">
      <c r="B1373" s="189">
        <v>40498</v>
      </c>
      <c r="C1373" s="2">
        <v>31419.68</v>
      </c>
      <c r="D1373" s="1196">
        <f t="shared" si="44"/>
        <v>242.6576769654352</v>
      </c>
      <c r="E1373" s="2">
        <v>2742.34</v>
      </c>
      <c r="F1373" s="1196">
        <f t="shared" si="45"/>
        <v>389.74730678491233</v>
      </c>
    </row>
    <row r="1374" spans="2:6">
      <c r="B1374" s="189">
        <v>40497</v>
      </c>
      <c r="C1374" s="2">
        <v>31816.61</v>
      </c>
      <c r="D1374" s="1196">
        <f t="shared" si="44"/>
        <v>245.72321142402583</v>
      </c>
      <c r="E1374" s="2">
        <v>2794.93</v>
      </c>
      <c r="F1374" s="1196">
        <f t="shared" si="45"/>
        <v>397.22151161138112</v>
      </c>
    </row>
    <row r="1375" spans="2:6">
      <c r="B1375" s="189">
        <v>40494</v>
      </c>
      <c r="C1375" s="2">
        <v>31692.799999999999</v>
      </c>
      <c r="D1375" s="1196">
        <f t="shared" si="44"/>
        <v>244.76701304819608</v>
      </c>
      <c r="E1375" s="2">
        <v>2704.02</v>
      </c>
      <c r="F1375" s="1196">
        <f t="shared" si="45"/>
        <v>384.3011852988829</v>
      </c>
    </row>
    <row r="1376" spans="2:6">
      <c r="B1376" s="189">
        <v>40493</v>
      </c>
      <c r="C1376" s="2">
        <v>31560.07</v>
      </c>
      <c r="D1376" s="1196">
        <f t="shared" si="44"/>
        <v>243.74192452203599</v>
      </c>
      <c r="E1376" s="2">
        <v>2710.03</v>
      </c>
      <c r="F1376" s="1196">
        <f t="shared" si="45"/>
        <v>385.15533952985987</v>
      </c>
    </row>
    <row r="1377" spans="2:6">
      <c r="B1377" s="189">
        <v>40492</v>
      </c>
      <c r="C1377" s="2">
        <v>31517.83</v>
      </c>
      <c r="D1377" s="1196">
        <f t="shared" si="44"/>
        <v>243.41570031239988</v>
      </c>
      <c r="E1377" s="2">
        <v>2629.64</v>
      </c>
      <c r="F1377" s="1196">
        <f t="shared" si="45"/>
        <v>373.7301384269918</v>
      </c>
    </row>
    <row r="1378" spans="2:6">
      <c r="B1378" s="189">
        <v>40491</v>
      </c>
      <c r="C1378" s="2">
        <v>31662.14</v>
      </c>
      <c r="D1378" s="1196">
        <f t="shared" si="44"/>
        <v>244.53022246421307</v>
      </c>
      <c r="E1378" s="2">
        <v>2704.77</v>
      </c>
      <c r="F1378" s="1196">
        <f t="shared" si="45"/>
        <v>384.4077769250448</v>
      </c>
    </row>
    <row r="1379" spans="2:6">
      <c r="B1379" s="189">
        <v>40490</v>
      </c>
      <c r="C1379" s="2">
        <v>31388.98</v>
      </c>
      <c r="D1379" s="1196">
        <f t="shared" si="44"/>
        <v>242.42057745701123</v>
      </c>
      <c r="E1379" s="2">
        <v>2523.6999999999998</v>
      </c>
      <c r="F1379" s="1196">
        <f t="shared" si="45"/>
        <v>358.67371592621015</v>
      </c>
    </row>
    <row r="1380" spans="2:6">
      <c r="B1380" s="189">
        <v>40487</v>
      </c>
      <c r="C1380" s="2">
        <v>31456.46</v>
      </c>
      <c r="D1380" s="1196">
        <f t="shared" si="44"/>
        <v>242.94173298888259</v>
      </c>
      <c r="E1380" s="2">
        <v>2441.81</v>
      </c>
      <c r="F1380" s="1196">
        <f t="shared" si="45"/>
        <v>347.03533157101845</v>
      </c>
    </row>
    <row r="1381" spans="2:6">
      <c r="B1381" s="189">
        <v>40486</v>
      </c>
      <c r="C1381" s="2">
        <v>31327.9</v>
      </c>
      <c r="D1381" s="1196">
        <f t="shared" si="44"/>
        <v>241.94884983569085</v>
      </c>
      <c r="E1381" s="2">
        <v>2498.16</v>
      </c>
      <c r="F1381" s="1196">
        <f t="shared" si="45"/>
        <v>355.04391574997862</v>
      </c>
    </row>
    <row r="1382" spans="2:6">
      <c r="B1382" s="189">
        <v>40485</v>
      </c>
      <c r="C1382" s="2">
        <v>30817.97</v>
      </c>
      <c r="D1382" s="1196">
        <f t="shared" si="44"/>
        <v>238.01060383143539</v>
      </c>
      <c r="E1382" s="2">
        <v>2498.16</v>
      </c>
      <c r="F1382" s="1196">
        <f t="shared" si="45"/>
        <v>355.04391574997862</v>
      </c>
    </row>
    <row r="1383" spans="2:6">
      <c r="B1383" s="189">
        <v>40484</v>
      </c>
      <c r="C1383" s="2">
        <v>30609.63</v>
      </c>
      <c r="D1383" s="1196">
        <f t="shared" si="44"/>
        <v>236.4015708807822</v>
      </c>
      <c r="E1383" s="2">
        <v>2498.16</v>
      </c>
      <c r="F1383" s="1196">
        <f t="shared" si="45"/>
        <v>355.04391574997862</v>
      </c>
    </row>
    <row r="1384" spans="2:6">
      <c r="B1384" s="189">
        <v>40483</v>
      </c>
      <c r="C1384" s="2">
        <v>30637.96</v>
      </c>
      <c r="D1384" s="1196">
        <f t="shared" si="44"/>
        <v>236.6203666160803</v>
      </c>
      <c r="E1384" s="2">
        <v>2479.37</v>
      </c>
      <c r="F1384" s="1196">
        <f t="shared" si="45"/>
        <v>352.37344020920381</v>
      </c>
    </row>
    <row r="1385" spans="2:6">
      <c r="B1385" s="189">
        <v>40480</v>
      </c>
      <c r="C1385" s="2">
        <v>30430.9</v>
      </c>
      <c r="D1385" s="1196">
        <f t="shared" si="44"/>
        <v>235.02121924753729</v>
      </c>
      <c r="E1385" s="2">
        <v>2479.37</v>
      </c>
      <c r="F1385" s="1196">
        <f t="shared" si="45"/>
        <v>352.37344020920381</v>
      </c>
    </row>
    <row r="1386" spans="2:6">
      <c r="B1386" s="189">
        <v>40479</v>
      </c>
      <c r="C1386" s="2">
        <v>30186.58</v>
      </c>
      <c r="D1386" s="1196">
        <f t="shared" si="44"/>
        <v>233.13430876225561</v>
      </c>
      <c r="E1386" s="2">
        <v>2479.37</v>
      </c>
      <c r="F1386" s="1196">
        <f t="shared" si="45"/>
        <v>352.37344020920381</v>
      </c>
    </row>
    <row r="1387" spans="2:6">
      <c r="B1387" s="189">
        <v>40478</v>
      </c>
      <c r="C1387" s="2">
        <v>29955.84</v>
      </c>
      <c r="D1387" s="1196">
        <f t="shared" si="44"/>
        <v>231.35227812467417</v>
      </c>
      <c r="E1387" s="2">
        <v>2479.37</v>
      </c>
      <c r="F1387" s="1196">
        <f t="shared" si="45"/>
        <v>352.37344020920381</v>
      </c>
    </row>
    <row r="1388" spans="2:6">
      <c r="B1388" s="189">
        <v>40477</v>
      </c>
      <c r="C1388" s="2">
        <v>30133.78</v>
      </c>
      <c r="D1388" s="1196">
        <f t="shared" si="44"/>
        <v>232.72652850021046</v>
      </c>
      <c r="E1388" s="2">
        <v>2479.37</v>
      </c>
      <c r="F1388" s="1196">
        <f t="shared" si="45"/>
        <v>352.37344020920381</v>
      </c>
    </row>
    <row r="1389" spans="2:6">
      <c r="B1389" s="189">
        <v>40476</v>
      </c>
      <c r="C1389" s="2">
        <v>30262.639999999999</v>
      </c>
      <c r="D1389" s="1196">
        <f t="shared" si="44"/>
        <v>233.7217285867093</v>
      </c>
      <c r="E1389" s="2">
        <v>2479.37</v>
      </c>
      <c r="F1389" s="1196">
        <f t="shared" si="45"/>
        <v>352.37344020920381</v>
      </c>
    </row>
    <row r="1390" spans="2:6">
      <c r="B1390" s="189">
        <v>40473</v>
      </c>
      <c r="C1390" s="2">
        <v>30118.16</v>
      </c>
      <c r="D1390" s="1196">
        <f t="shared" si="44"/>
        <v>232.60589350602208</v>
      </c>
      <c r="E1390" s="2">
        <v>2478.62</v>
      </c>
      <c r="F1390" s="1196">
        <f t="shared" si="45"/>
        <v>352.26684858304196</v>
      </c>
    </row>
    <row r="1391" spans="2:6">
      <c r="B1391" s="189">
        <v>40472</v>
      </c>
      <c r="C1391" s="2">
        <v>30439.46</v>
      </c>
      <c r="D1391" s="1196">
        <f t="shared" si="44"/>
        <v>235.08732907789914</v>
      </c>
      <c r="E1391" s="2">
        <v>2464.35</v>
      </c>
      <c r="F1391" s="1196">
        <f t="shared" si="45"/>
        <v>350.23876524260254</v>
      </c>
    </row>
    <row r="1392" spans="2:6">
      <c r="B1392" s="189">
        <v>40471</v>
      </c>
      <c r="C1392" s="2">
        <v>30080.5</v>
      </c>
      <c r="D1392" s="1196">
        <f t="shared" si="44"/>
        <v>232.31504114487399</v>
      </c>
      <c r="E1392" s="2">
        <v>2471.11</v>
      </c>
      <c r="F1392" s="1196">
        <f t="shared" si="45"/>
        <v>351.19951109974136</v>
      </c>
    </row>
    <row r="1393" spans="2:6">
      <c r="B1393" s="189">
        <v>40470</v>
      </c>
      <c r="C1393" s="2">
        <v>30003.08</v>
      </c>
      <c r="D1393" s="1196">
        <f t="shared" si="44"/>
        <v>231.71711788942827</v>
      </c>
      <c r="E1393" s="2">
        <v>2478.62</v>
      </c>
      <c r="F1393" s="1196">
        <f t="shared" si="45"/>
        <v>352.26684858304196</v>
      </c>
    </row>
    <row r="1394" spans="2:6">
      <c r="B1394" s="189">
        <v>40469</v>
      </c>
      <c r="C1394" s="2">
        <v>30177.05</v>
      </c>
      <c r="D1394" s="1196">
        <f t="shared" si="44"/>
        <v>233.06070751420089</v>
      </c>
      <c r="E1394" s="2">
        <v>2478.62</v>
      </c>
      <c r="F1394" s="1196">
        <f t="shared" si="45"/>
        <v>352.26684858304196</v>
      </c>
    </row>
    <row r="1395" spans="2:6">
      <c r="B1395" s="189">
        <v>40466</v>
      </c>
      <c r="C1395" s="2">
        <v>30065.99</v>
      </c>
      <c r="D1395" s="1196">
        <f t="shared" si="44"/>
        <v>232.20297880392181</v>
      </c>
      <c r="E1395" s="2">
        <v>2479.37</v>
      </c>
      <c r="F1395" s="1196">
        <f t="shared" si="45"/>
        <v>352.37344020920381</v>
      </c>
    </row>
    <row r="1396" spans="2:6">
      <c r="B1396" s="189">
        <v>40465</v>
      </c>
      <c r="C1396" s="2">
        <v>30251.34</v>
      </c>
      <c r="D1396" s="1196">
        <f t="shared" si="44"/>
        <v>233.63445743214282</v>
      </c>
      <c r="E1396" s="2">
        <v>2479.37</v>
      </c>
      <c r="F1396" s="1196">
        <f t="shared" si="45"/>
        <v>352.37344020920381</v>
      </c>
    </row>
    <row r="1397" spans="2:6">
      <c r="B1397" s="189">
        <v>40464</v>
      </c>
      <c r="C1397" s="2">
        <v>30267.46</v>
      </c>
      <c r="D1397" s="1196">
        <f t="shared" si="44"/>
        <v>233.75895398184298</v>
      </c>
      <c r="E1397" s="2">
        <v>2479.37</v>
      </c>
      <c r="F1397" s="1196">
        <f t="shared" si="45"/>
        <v>352.37344020920381</v>
      </c>
    </row>
    <row r="1398" spans="2:6">
      <c r="B1398" s="189">
        <v>40463</v>
      </c>
      <c r="C1398" s="2">
        <v>29779.15</v>
      </c>
      <c r="D1398" s="1196">
        <f t="shared" si="44"/>
        <v>229.98768163791738</v>
      </c>
      <c r="E1398" s="2">
        <v>2516.94</v>
      </c>
      <c r="F1398" s="1196">
        <f t="shared" si="45"/>
        <v>357.71297006907139</v>
      </c>
    </row>
    <row r="1399" spans="2:6">
      <c r="B1399" s="189">
        <v>40462</v>
      </c>
      <c r="C1399" s="2">
        <v>29747.11</v>
      </c>
      <c r="D1399" s="1196">
        <f t="shared" si="44"/>
        <v>229.7402331607218</v>
      </c>
      <c r="E1399" s="2">
        <v>2550.75</v>
      </c>
      <c r="F1399" s="1196">
        <f t="shared" si="45"/>
        <v>362.51812057644753</v>
      </c>
    </row>
    <row r="1400" spans="2:6">
      <c r="B1400" s="189">
        <v>40459</v>
      </c>
      <c r="C1400" s="2">
        <v>29647.99</v>
      </c>
      <c r="D1400" s="1196">
        <f t="shared" si="44"/>
        <v>228.97471839606433</v>
      </c>
      <c r="E1400" s="2">
        <v>2592.0700000000002</v>
      </c>
      <c r="F1400" s="1196">
        <f t="shared" si="45"/>
        <v>368.39060856712433</v>
      </c>
    </row>
    <row r="1401" spans="2:6">
      <c r="B1401" s="189">
        <v>40458</v>
      </c>
      <c r="C1401" s="2">
        <v>29524.11</v>
      </c>
      <c r="D1401" s="1196">
        <f t="shared" si="44"/>
        <v>228.01797940246291</v>
      </c>
      <c r="E1401" s="2">
        <v>2592.0700000000002</v>
      </c>
      <c r="F1401" s="1196">
        <f t="shared" si="45"/>
        <v>368.39060856712433</v>
      </c>
    </row>
    <row r="1402" spans="2:6">
      <c r="B1402" s="189">
        <v>40457</v>
      </c>
      <c r="C1402" s="2">
        <v>29697.98</v>
      </c>
      <c r="D1402" s="1196">
        <f t="shared" si="44"/>
        <v>229.36079671613322</v>
      </c>
      <c r="E1402" s="2">
        <v>2629.64</v>
      </c>
      <c r="F1402" s="1196">
        <f t="shared" si="45"/>
        <v>373.7301384269918</v>
      </c>
    </row>
    <row r="1403" spans="2:6">
      <c r="B1403" s="189">
        <v>40456</v>
      </c>
      <c r="C1403" s="2">
        <v>29569.040000000001</v>
      </c>
      <c r="D1403" s="1196">
        <f t="shared" si="44"/>
        <v>228.36497878075247</v>
      </c>
      <c r="E1403" s="2">
        <v>2492.9</v>
      </c>
      <c r="F1403" s="1196">
        <f t="shared" si="45"/>
        <v>354.29635314516361</v>
      </c>
    </row>
    <row r="1404" spans="2:6">
      <c r="B1404" s="189">
        <v>40455</v>
      </c>
      <c r="C1404" s="2">
        <v>29294.97</v>
      </c>
      <c r="D1404" s="1196">
        <f t="shared" si="44"/>
        <v>226.24830574251922</v>
      </c>
      <c r="E1404" s="2">
        <v>2479.37</v>
      </c>
      <c r="F1404" s="1196">
        <f t="shared" si="45"/>
        <v>352.37344020920381</v>
      </c>
    </row>
    <row r="1405" spans="2:6">
      <c r="B1405" s="189">
        <v>40452</v>
      </c>
      <c r="C1405" s="2">
        <v>29266.73</v>
      </c>
      <c r="D1405" s="1196">
        <f t="shared" si="44"/>
        <v>226.03020508721326</v>
      </c>
      <c r="E1405" s="2">
        <v>2415.5100000000002</v>
      </c>
      <c r="F1405" s="1196">
        <f t="shared" si="45"/>
        <v>343.29751854694297</v>
      </c>
    </row>
    <row r="1406" spans="2:6">
      <c r="B1406" s="189">
        <v>40451</v>
      </c>
      <c r="C1406" s="2">
        <v>29456.04</v>
      </c>
      <c r="D1406" s="1196">
        <f t="shared" si="44"/>
        <v>227.49226723508764</v>
      </c>
      <c r="E1406" s="2">
        <v>2404.2399999999998</v>
      </c>
      <c r="F1406" s="1196">
        <f t="shared" si="45"/>
        <v>341.69580171115086</v>
      </c>
    </row>
    <row r="1407" spans="2:6">
      <c r="B1407" s="189">
        <v>40450</v>
      </c>
      <c r="C1407" s="2">
        <v>29069.83</v>
      </c>
      <c r="D1407" s="1196">
        <f t="shared" si="44"/>
        <v>224.50952452666985</v>
      </c>
      <c r="E1407" s="2">
        <v>2404.2399999999998</v>
      </c>
      <c r="F1407" s="1196">
        <f t="shared" si="45"/>
        <v>341.69580171115086</v>
      </c>
    </row>
    <row r="1408" spans="2:6">
      <c r="B1408" s="189">
        <v>40449</v>
      </c>
      <c r="C1408" s="2">
        <v>28972.47</v>
      </c>
      <c r="D1408" s="1196">
        <f t="shared" si="44"/>
        <v>223.75760243741385</v>
      </c>
      <c r="E1408" s="2">
        <v>2329.11</v>
      </c>
      <c r="F1408" s="1196">
        <f t="shared" si="45"/>
        <v>331.01816321309798</v>
      </c>
    </row>
    <row r="1409" spans="2:6">
      <c r="B1409" s="189">
        <v>40448</v>
      </c>
      <c r="C1409" s="2">
        <v>28959.42</v>
      </c>
      <c r="D1409" s="1196">
        <f t="shared" si="44"/>
        <v>223.65681583855607</v>
      </c>
      <c r="E1409" s="2">
        <v>2366.67</v>
      </c>
      <c r="F1409" s="1196">
        <f t="shared" si="45"/>
        <v>336.35627185128334</v>
      </c>
    </row>
    <row r="1410" spans="2:6">
      <c r="B1410" s="189">
        <v>40444</v>
      </c>
      <c r="C1410" s="2">
        <v>28714.77</v>
      </c>
      <c r="D1410" s="1196">
        <f t="shared" si="44"/>
        <v>221.76735672663662</v>
      </c>
      <c r="E1410" s="2">
        <v>2366.67</v>
      </c>
      <c r="F1410" s="1196">
        <f t="shared" si="45"/>
        <v>336.35627185128334</v>
      </c>
    </row>
    <row r="1411" spans="2:6">
      <c r="B1411" s="189">
        <v>40443</v>
      </c>
      <c r="C1411" s="2">
        <v>28722.720000000001</v>
      </c>
      <c r="D1411" s="1196">
        <f t="shared" si="44"/>
        <v>221.82875545927411</v>
      </c>
      <c r="E1411" s="2">
        <v>2366.67</v>
      </c>
      <c r="F1411" s="1196">
        <f t="shared" si="45"/>
        <v>336.35627185128334</v>
      </c>
    </row>
    <row r="1412" spans="2:6">
      <c r="B1412" s="189">
        <v>40442</v>
      </c>
      <c r="C1412" s="2">
        <v>28724.74</v>
      </c>
      <c r="D1412" s="1196">
        <f t="shared" si="44"/>
        <v>221.84435614354175</v>
      </c>
      <c r="E1412" s="2">
        <v>2329.11</v>
      </c>
      <c r="F1412" s="1196">
        <f t="shared" si="45"/>
        <v>331.01816321309798</v>
      </c>
    </row>
    <row r="1413" spans="2:6">
      <c r="B1413" s="189">
        <v>40441</v>
      </c>
      <c r="C1413" s="2">
        <v>28710.93</v>
      </c>
      <c r="D1413" s="1196">
        <f t="shared" si="44"/>
        <v>221.73769998030605</v>
      </c>
      <c r="E1413" s="2">
        <v>2329.11</v>
      </c>
      <c r="F1413" s="1196">
        <f t="shared" si="45"/>
        <v>331.01816321309798</v>
      </c>
    </row>
    <row r="1414" spans="2:6">
      <c r="B1414" s="189">
        <v>40438</v>
      </c>
      <c r="C1414" s="2">
        <v>28413.56</v>
      </c>
      <c r="D1414" s="1196">
        <f t="shared" si="44"/>
        <v>219.44107845522333</v>
      </c>
      <c r="E1414" s="2">
        <v>2329.11</v>
      </c>
      <c r="F1414" s="1196">
        <f t="shared" si="45"/>
        <v>331.01816321309798</v>
      </c>
    </row>
    <row r="1415" spans="2:6">
      <c r="B1415" s="189">
        <v>40437</v>
      </c>
      <c r="C1415" s="2">
        <v>28464.93</v>
      </c>
      <c r="D1415" s="1196">
        <f t="shared" si="44"/>
        <v>219.83781466850476</v>
      </c>
      <c r="E1415" s="2">
        <v>2329.11</v>
      </c>
      <c r="F1415" s="1196">
        <f t="shared" si="45"/>
        <v>331.01816321309798</v>
      </c>
    </row>
    <row r="1416" spans="2:6">
      <c r="B1416" s="189">
        <v>40436</v>
      </c>
      <c r="C1416" s="2">
        <v>28502.080000000002</v>
      </c>
      <c r="D1416" s="1196">
        <f t="shared" si="44"/>
        <v>220.12472824303089</v>
      </c>
      <c r="E1416" s="2">
        <v>2329.11</v>
      </c>
      <c r="F1416" s="1196">
        <f t="shared" si="45"/>
        <v>331.01816321309798</v>
      </c>
    </row>
    <row r="1417" spans="2:6">
      <c r="B1417" s="189">
        <v>40435</v>
      </c>
      <c r="C1417" s="2">
        <v>28502.19</v>
      </c>
      <c r="D1417" s="1196">
        <f t="shared" si="44"/>
        <v>220.12557778524348</v>
      </c>
      <c r="E1417" s="2">
        <v>2329.11</v>
      </c>
      <c r="F1417" s="1196">
        <f t="shared" si="45"/>
        <v>331.01816321309798</v>
      </c>
    </row>
    <row r="1418" spans="2:6">
      <c r="B1418" s="189">
        <v>40434</v>
      </c>
      <c r="C1418" s="2">
        <v>28491.34</v>
      </c>
      <c r="D1418" s="1196">
        <f t="shared" si="44"/>
        <v>220.04178203063759</v>
      </c>
      <c r="E1418" s="2">
        <v>2328.36</v>
      </c>
      <c r="F1418" s="1196">
        <f t="shared" si="45"/>
        <v>330.91157158693613</v>
      </c>
    </row>
    <row r="1419" spans="2:6">
      <c r="B1419" s="189">
        <v>40431</v>
      </c>
      <c r="C1419" s="2">
        <v>28087.1</v>
      </c>
      <c r="D1419" s="1196">
        <f t="shared" ref="D1419:D1482" si="46">C1419/$C$2759*100</f>
        <v>216.9197916304646</v>
      </c>
      <c r="E1419" s="2">
        <v>2329.11</v>
      </c>
      <c r="F1419" s="1196">
        <f t="shared" ref="F1419:F1482" si="47">E1419/$E$2759*100</f>
        <v>331.01816321309798</v>
      </c>
    </row>
    <row r="1420" spans="2:6">
      <c r="B1420" s="189">
        <v>40430</v>
      </c>
      <c r="C1420" s="2">
        <v>27984.93</v>
      </c>
      <c r="D1420" s="1196">
        <f t="shared" si="46"/>
        <v>216.13072137718515</v>
      </c>
      <c r="E1420" s="2">
        <v>2329.11</v>
      </c>
      <c r="F1420" s="1196">
        <f t="shared" si="47"/>
        <v>331.01816321309798</v>
      </c>
    </row>
    <row r="1421" spans="2:6">
      <c r="B1421" s="189">
        <v>40429</v>
      </c>
      <c r="C1421" s="2">
        <v>27911.14</v>
      </c>
      <c r="D1421" s="1196">
        <f t="shared" si="46"/>
        <v>215.56083301475502</v>
      </c>
      <c r="E1421" s="2">
        <v>2329.11</v>
      </c>
      <c r="F1421" s="1196">
        <f t="shared" si="47"/>
        <v>331.01816321309798</v>
      </c>
    </row>
    <row r="1422" spans="2:6">
      <c r="B1422" s="189">
        <v>40428</v>
      </c>
      <c r="C1422" s="2">
        <v>27665.29</v>
      </c>
      <c r="D1422" s="1196">
        <f t="shared" si="46"/>
        <v>213.66210616960726</v>
      </c>
      <c r="E1422" s="2">
        <v>2404.2399999999998</v>
      </c>
      <c r="F1422" s="1196">
        <f t="shared" si="47"/>
        <v>341.69580171115086</v>
      </c>
    </row>
    <row r="1423" spans="2:6">
      <c r="B1423" s="189">
        <v>40427</v>
      </c>
      <c r="C1423" s="2">
        <v>27980.6</v>
      </c>
      <c r="D1423" s="1196">
        <f t="shared" si="46"/>
        <v>216.09728030645306</v>
      </c>
      <c r="E1423" s="2">
        <v>2404.2399999999998</v>
      </c>
      <c r="F1423" s="1196">
        <f t="shared" si="47"/>
        <v>341.69580171115086</v>
      </c>
    </row>
    <row r="1424" spans="2:6">
      <c r="B1424" s="189">
        <v>40424</v>
      </c>
      <c r="C1424" s="2">
        <v>27942.89</v>
      </c>
      <c r="D1424" s="1196">
        <f t="shared" si="46"/>
        <v>215.80604178975372</v>
      </c>
      <c r="E1424" s="2">
        <v>2329.11</v>
      </c>
      <c r="F1424" s="1196">
        <f t="shared" si="47"/>
        <v>331.01816321309798</v>
      </c>
    </row>
    <row r="1425" spans="2:6">
      <c r="B1425" s="189">
        <v>40423</v>
      </c>
      <c r="C1425" s="2">
        <v>27840.98</v>
      </c>
      <c r="D1425" s="1196">
        <f t="shared" si="46"/>
        <v>215.01897954534047</v>
      </c>
      <c r="E1425" s="2">
        <v>2329.11</v>
      </c>
      <c r="F1425" s="1196">
        <f t="shared" si="47"/>
        <v>331.01816321309798</v>
      </c>
    </row>
    <row r="1426" spans="2:6">
      <c r="B1426" s="189">
        <v>40422</v>
      </c>
      <c r="C1426" s="2">
        <v>27979.26</v>
      </c>
      <c r="D1426" s="1196">
        <f t="shared" si="46"/>
        <v>216.08693133768142</v>
      </c>
      <c r="E1426" s="2">
        <v>2327.61</v>
      </c>
      <c r="F1426" s="1196">
        <f t="shared" si="47"/>
        <v>330.80497996077429</v>
      </c>
    </row>
    <row r="1427" spans="2:6">
      <c r="B1427" s="189">
        <v>40421</v>
      </c>
      <c r="C1427" s="2">
        <v>27253.87</v>
      </c>
      <c r="D1427" s="1196">
        <f t="shared" si="46"/>
        <v>210.48466383228489</v>
      </c>
      <c r="E1427" s="2">
        <v>2329.11</v>
      </c>
      <c r="F1427" s="1196">
        <f t="shared" si="47"/>
        <v>331.01816321309798</v>
      </c>
    </row>
    <row r="1428" spans="2:6">
      <c r="B1428" s="189">
        <v>40420</v>
      </c>
      <c r="C1428" s="2">
        <v>27142</v>
      </c>
      <c r="D1428" s="1196">
        <f t="shared" si="46"/>
        <v>209.62067940207675</v>
      </c>
      <c r="E1428" s="2">
        <v>2321.59</v>
      </c>
      <c r="F1428" s="1196">
        <f t="shared" si="47"/>
        <v>329.94940450811521</v>
      </c>
    </row>
    <row r="1429" spans="2:6">
      <c r="B1429" s="189">
        <v>40417</v>
      </c>
      <c r="C1429" s="2">
        <v>26738.91</v>
      </c>
      <c r="D1429" s="1196">
        <f t="shared" si="46"/>
        <v>206.50757057958086</v>
      </c>
      <c r="E1429" s="2">
        <v>2321.59</v>
      </c>
      <c r="F1429" s="1196">
        <f t="shared" si="47"/>
        <v>329.94940450811521</v>
      </c>
    </row>
    <row r="1430" spans="2:6">
      <c r="B1430" s="189">
        <v>40416</v>
      </c>
      <c r="C1430" s="2">
        <v>26873.08</v>
      </c>
      <c r="D1430" s="1196">
        <f t="shared" si="46"/>
        <v>207.54378038561495</v>
      </c>
      <c r="E1430" s="2">
        <v>2328.36</v>
      </c>
      <c r="F1430" s="1196">
        <f t="shared" si="47"/>
        <v>330.91157158693613</v>
      </c>
    </row>
    <row r="1431" spans="2:6">
      <c r="B1431" s="189">
        <v>40415</v>
      </c>
      <c r="C1431" s="2">
        <v>26470.47</v>
      </c>
      <c r="D1431" s="1196">
        <f t="shared" si="46"/>
        <v>204.43437865641042</v>
      </c>
      <c r="E1431" s="2">
        <v>2329.11</v>
      </c>
      <c r="F1431" s="1196">
        <f t="shared" si="47"/>
        <v>331.01816321309798</v>
      </c>
    </row>
    <row r="1432" spans="2:6">
      <c r="B1432" s="189">
        <v>40414</v>
      </c>
      <c r="C1432" s="2">
        <v>27069.73</v>
      </c>
      <c r="D1432" s="1196">
        <f t="shared" si="46"/>
        <v>209.06253016840242</v>
      </c>
      <c r="E1432" s="2">
        <v>2329.11</v>
      </c>
      <c r="F1432" s="1196">
        <f t="shared" si="47"/>
        <v>331.01816321309798</v>
      </c>
    </row>
    <row r="1433" spans="2:6">
      <c r="B1433" s="189">
        <v>40413</v>
      </c>
      <c r="C1433" s="2">
        <v>27361.7</v>
      </c>
      <c r="D1433" s="1196">
        <f t="shared" si="46"/>
        <v>211.31744689395782</v>
      </c>
      <c r="E1433" s="2">
        <v>2367.4299999999998</v>
      </c>
      <c r="F1433" s="1196">
        <f t="shared" si="47"/>
        <v>336.46428469912735</v>
      </c>
    </row>
    <row r="1434" spans="2:6">
      <c r="B1434" s="189">
        <v>40410</v>
      </c>
      <c r="C1434" s="2">
        <v>26989.63</v>
      </c>
      <c r="D1434" s="1196">
        <f t="shared" si="46"/>
        <v>208.44390897541351</v>
      </c>
      <c r="E1434" s="2">
        <v>2329.11</v>
      </c>
      <c r="F1434" s="1196">
        <f t="shared" si="47"/>
        <v>331.01816321309798</v>
      </c>
    </row>
    <row r="1435" spans="2:6">
      <c r="B1435" s="189">
        <v>40409</v>
      </c>
      <c r="C1435" s="2">
        <v>27148.75</v>
      </c>
      <c r="D1435" s="1196">
        <f t="shared" si="46"/>
        <v>209.67281040148595</v>
      </c>
      <c r="E1435" s="2">
        <v>2269</v>
      </c>
      <c r="F1435" s="1196">
        <f t="shared" si="47"/>
        <v>322.47519968164636</v>
      </c>
    </row>
    <row r="1436" spans="2:6">
      <c r="B1436" s="189">
        <v>40408</v>
      </c>
      <c r="C1436" s="2">
        <v>27287.09</v>
      </c>
      <c r="D1436" s="1196">
        <f t="shared" si="46"/>
        <v>210.74122558048836</v>
      </c>
      <c r="E1436" s="2">
        <v>2253.98</v>
      </c>
      <c r="F1436" s="1196">
        <f t="shared" si="47"/>
        <v>320.34052471504504</v>
      </c>
    </row>
    <row r="1437" spans="2:6">
      <c r="B1437" s="189">
        <v>40407</v>
      </c>
      <c r="C1437" s="2">
        <v>27680.73</v>
      </c>
      <c r="D1437" s="1196">
        <f t="shared" si="46"/>
        <v>213.78135100381135</v>
      </c>
      <c r="E1437" s="2">
        <v>2253.98</v>
      </c>
      <c r="F1437" s="1196">
        <f t="shared" si="47"/>
        <v>320.34052471504504</v>
      </c>
    </row>
    <row r="1438" spans="2:6">
      <c r="B1438" s="189">
        <v>40406</v>
      </c>
      <c r="C1438" s="2">
        <v>27583.09</v>
      </c>
      <c r="D1438" s="1196">
        <f t="shared" si="46"/>
        <v>213.02726644346873</v>
      </c>
      <c r="E1438" s="2">
        <v>2253.98</v>
      </c>
      <c r="F1438" s="1196">
        <f t="shared" si="47"/>
        <v>320.34052471504504</v>
      </c>
    </row>
    <row r="1439" spans="2:6">
      <c r="B1439" s="189">
        <v>40403</v>
      </c>
      <c r="C1439" s="2">
        <v>27526.23</v>
      </c>
      <c r="D1439" s="1196">
        <f t="shared" si="46"/>
        <v>212.58813035066785</v>
      </c>
      <c r="E1439" s="2">
        <v>2253.98</v>
      </c>
      <c r="F1439" s="1196">
        <f t="shared" si="47"/>
        <v>320.34052471504504</v>
      </c>
    </row>
    <row r="1440" spans="2:6">
      <c r="B1440" s="189">
        <v>40402</v>
      </c>
      <c r="C1440" s="2">
        <v>27467.15</v>
      </c>
      <c r="D1440" s="1196">
        <f t="shared" si="46"/>
        <v>212.13184895139463</v>
      </c>
      <c r="E1440" s="2">
        <v>2253.98</v>
      </c>
      <c r="F1440" s="1196">
        <f t="shared" si="47"/>
        <v>320.34052471504504</v>
      </c>
    </row>
    <row r="1441" spans="2:6">
      <c r="B1441" s="189">
        <v>40401</v>
      </c>
      <c r="C1441" s="2">
        <v>27461.759999999998</v>
      </c>
      <c r="D1441" s="1196">
        <f t="shared" si="46"/>
        <v>212.09022138297749</v>
      </c>
      <c r="E1441" s="2">
        <v>2160.06</v>
      </c>
      <c r="F1441" s="1196">
        <f t="shared" si="47"/>
        <v>306.99241067621728</v>
      </c>
    </row>
    <row r="1442" spans="2:6">
      <c r="B1442" s="189">
        <v>40400</v>
      </c>
      <c r="C1442" s="2">
        <v>27917.7</v>
      </c>
      <c r="D1442" s="1196">
        <f t="shared" si="46"/>
        <v>215.61149662306974</v>
      </c>
      <c r="E1442" s="2">
        <v>2160.06</v>
      </c>
      <c r="F1442" s="1196">
        <f t="shared" si="47"/>
        <v>306.99241067621728</v>
      </c>
    </row>
    <row r="1443" spans="2:6">
      <c r="B1443" s="189">
        <v>40396</v>
      </c>
      <c r="C1443" s="2">
        <v>28282.12</v>
      </c>
      <c r="D1443" s="1196">
        <f t="shared" si="46"/>
        <v>218.42595274228364</v>
      </c>
      <c r="E1443" s="2">
        <v>2216.41</v>
      </c>
      <c r="F1443" s="1196">
        <f t="shared" si="47"/>
        <v>315.00099485517745</v>
      </c>
    </row>
    <row r="1444" spans="2:6">
      <c r="B1444" s="189">
        <v>40395</v>
      </c>
      <c r="C1444" s="2">
        <v>28527.88</v>
      </c>
      <c r="D1444" s="1196">
        <f t="shared" si="46"/>
        <v>220.32398450743932</v>
      </c>
      <c r="E1444" s="2">
        <v>2216.41</v>
      </c>
      <c r="F1444" s="1196">
        <f t="shared" si="47"/>
        <v>315.00099485517745</v>
      </c>
    </row>
    <row r="1445" spans="2:6">
      <c r="B1445" s="189">
        <v>40394</v>
      </c>
      <c r="C1445" s="2">
        <v>28540.46</v>
      </c>
      <c r="D1445" s="1196">
        <f t="shared" si="46"/>
        <v>220.42114124411594</v>
      </c>
      <c r="E1445" s="2">
        <v>2182.6</v>
      </c>
      <c r="F1445" s="1196">
        <f t="shared" si="47"/>
        <v>310.19584434780137</v>
      </c>
    </row>
    <row r="1446" spans="2:6">
      <c r="B1446" s="189">
        <v>40393</v>
      </c>
      <c r="C1446" s="2">
        <v>28627.17</v>
      </c>
      <c r="D1446" s="1196">
        <f t="shared" si="46"/>
        <v>221.09081220097079</v>
      </c>
      <c r="E1446" s="2">
        <v>2205.14</v>
      </c>
      <c r="F1446" s="1196">
        <f t="shared" si="47"/>
        <v>313.39927801938546</v>
      </c>
    </row>
    <row r="1447" spans="2:6">
      <c r="B1447" s="189">
        <v>40392</v>
      </c>
      <c r="C1447" s="2">
        <v>28883.19</v>
      </c>
      <c r="D1447" s="1196">
        <f t="shared" si="46"/>
        <v>223.06808308522838</v>
      </c>
      <c r="E1447" s="2">
        <v>2205.14</v>
      </c>
      <c r="F1447" s="1196">
        <f t="shared" si="47"/>
        <v>313.39927801938546</v>
      </c>
    </row>
    <row r="1448" spans="2:6">
      <c r="B1448" s="189">
        <v>40389</v>
      </c>
      <c r="C1448" s="2">
        <v>28355.21</v>
      </c>
      <c r="D1448" s="1196">
        <f t="shared" si="46"/>
        <v>218.99043492699727</v>
      </c>
      <c r="E1448" s="2">
        <v>2193.87</v>
      </c>
      <c r="F1448" s="1196">
        <f t="shared" si="47"/>
        <v>311.79756118359336</v>
      </c>
    </row>
    <row r="1449" spans="2:6">
      <c r="B1449" s="189">
        <v>40388</v>
      </c>
      <c r="C1449" s="2">
        <v>28550.07</v>
      </c>
      <c r="D1449" s="1196">
        <f t="shared" si="46"/>
        <v>220.49536034105256</v>
      </c>
      <c r="E1449" s="2">
        <v>2141.2800000000002</v>
      </c>
      <c r="F1449" s="1196">
        <f t="shared" si="47"/>
        <v>304.32335635712462</v>
      </c>
    </row>
    <row r="1450" spans="2:6">
      <c r="B1450" s="189">
        <v>40387</v>
      </c>
      <c r="C1450" s="2">
        <v>28367.26</v>
      </c>
      <c r="D1450" s="1196">
        <f t="shared" si="46"/>
        <v>219.08349841483147</v>
      </c>
      <c r="E1450" s="2">
        <v>2141.2800000000002</v>
      </c>
      <c r="F1450" s="1196">
        <f t="shared" si="47"/>
        <v>304.32335635712462</v>
      </c>
    </row>
    <row r="1451" spans="2:6">
      <c r="B1451" s="189">
        <v>40386</v>
      </c>
      <c r="C1451" s="2">
        <v>28461.48</v>
      </c>
      <c r="D1451" s="1196">
        <f t="shared" si="46"/>
        <v>219.8111699354734</v>
      </c>
      <c r="E1451" s="2">
        <v>2178.84</v>
      </c>
      <c r="F1451" s="1196">
        <f t="shared" si="47"/>
        <v>309.66146499530998</v>
      </c>
    </row>
    <row r="1452" spans="2:6">
      <c r="B1452" s="189">
        <v>40385</v>
      </c>
      <c r="C1452" s="2">
        <v>28499</v>
      </c>
      <c r="D1452" s="1196">
        <f t="shared" si="46"/>
        <v>220.10094106107823</v>
      </c>
      <c r="E1452" s="2">
        <v>2178.84</v>
      </c>
      <c r="F1452" s="1196">
        <f t="shared" si="47"/>
        <v>309.66146499530998</v>
      </c>
    </row>
    <row r="1453" spans="2:6">
      <c r="B1453" s="189">
        <v>40382</v>
      </c>
      <c r="C1453" s="2">
        <v>28424.17</v>
      </c>
      <c r="D1453" s="1196">
        <f t="shared" si="46"/>
        <v>219.52302066318353</v>
      </c>
      <c r="E1453" s="2">
        <v>2193.87</v>
      </c>
      <c r="F1453" s="1196">
        <f t="shared" si="47"/>
        <v>311.79756118359336</v>
      </c>
    </row>
    <row r="1454" spans="2:6">
      <c r="B1454" s="189">
        <v>40381</v>
      </c>
      <c r="C1454" s="2">
        <v>28274.03</v>
      </c>
      <c r="D1454" s="1196">
        <f t="shared" si="46"/>
        <v>218.36347277410283</v>
      </c>
      <c r="E1454" s="2">
        <v>2193.87</v>
      </c>
      <c r="F1454" s="1196">
        <f t="shared" si="47"/>
        <v>311.79756118359336</v>
      </c>
    </row>
    <row r="1455" spans="2:6">
      <c r="B1455" s="189">
        <v>40380</v>
      </c>
      <c r="C1455" s="2">
        <v>27833.52</v>
      </c>
      <c r="D1455" s="1196">
        <f t="shared" si="46"/>
        <v>214.96136513710456</v>
      </c>
      <c r="E1455" s="2">
        <v>2193.12</v>
      </c>
      <c r="F1455" s="1196">
        <f t="shared" si="47"/>
        <v>311.69096955743157</v>
      </c>
    </row>
    <row r="1456" spans="2:6">
      <c r="B1456" s="189">
        <v>40379</v>
      </c>
      <c r="C1456" s="2">
        <v>27349.61</v>
      </c>
      <c r="D1456" s="1196">
        <f t="shared" si="46"/>
        <v>211.22407448168272</v>
      </c>
      <c r="E1456" s="2">
        <v>2193.12</v>
      </c>
      <c r="F1456" s="1196">
        <f t="shared" si="47"/>
        <v>311.69096955743157</v>
      </c>
    </row>
    <row r="1457" spans="2:6">
      <c r="B1457" s="189">
        <v>40378</v>
      </c>
      <c r="C1457" s="2">
        <v>27329.75</v>
      </c>
      <c r="D1457" s="1196">
        <f t="shared" si="46"/>
        <v>211.07069349675439</v>
      </c>
      <c r="E1457" s="2">
        <v>2207.39</v>
      </c>
      <c r="F1457" s="1196">
        <f t="shared" si="47"/>
        <v>313.71905289787099</v>
      </c>
    </row>
    <row r="1458" spans="2:6">
      <c r="B1458" s="189">
        <v>40375</v>
      </c>
      <c r="C1458" s="2">
        <v>27529.83</v>
      </c>
      <c r="D1458" s="1196">
        <f t="shared" si="46"/>
        <v>212.61593355035276</v>
      </c>
      <c r="E1458" s="2">
        <v>2253.2199999999998</v>
      </c>
      <c r="F1458" s="1196">
        <f t="shared" si="47"/>
        <v>320.23251186720103</v>
      </c>
    </row>
    <row r="1459" spans="2:6">
      <c r="B1459" s="189">
        <v>40374</v>
      </c>
      <c r="C1459" s="2">
        <v>27474.68</v>
      </c>
      <c r="D1459" s="1196">
        <f t="shared" si="46"/>
        <v>212.1900039774022</v>
      </c>
      <c r="E1459" s="2">
        <v>2253.2199999999998</v>
      </c>
      <c r="F1459" s="1196">
        <f t="shared" si="47"/>
        <v>320.23251186720103</v>
      </c>
    </row>
    <row r="1460" spans="2:6">
      <c r="B1460" s="189">
        <v>40373</v>
      </c>
      <c r="C1460" s="2">
        <v>27443.67</v>
      </c>
      <c r="D1460" s="1196">
        <f t="shared" si="46"/>
        <v>211.95051030456088</v>
      </c>
      <c r="E1460" s="2">
        <v>2280.27</v>
      </c>
      <c r="F1460" s="1196">
        <f t="shared" si="47"/>
        <v>324.07691651743835</v>
      </c>
    </row>
    <row r="1461" spans="2:6">
      <c r="B1461" s="189">
        <v>40372</v>
      </c>
      <c r="C1461" s="2">
        <v>27495.94</v>
      </c>
      <c r="D1461" s="1196">
        <f t="shared" si="46"/>
        <v>212.35419731776352</v>
      </c>
      <c r="E1461" s="2">
        <v>2280.27</v>
      </c>
      <c r="F1461" s="1196">
        <f t="shared" si="47"/>
        <v>324.07691651743835</v>
      </c>
    </row>
    <row r="1462" spans="2:6">
      <c r="B1462" s="189">
        <v>40371</v>
      </c>
      <c r="C1462" s="2">
        <v>27192.31</v>
      </c>
      <c r="D1462" s="1196">
        <f t="shared" si="46"/>
        <v>210.00922911767321</v>
      </c>
      <c r="E1462" s="2">
        <v>2269</v>
      </c>
      <c r="F1462" s="1196">
        <f t="shared" si="47"/>
        <v>322.47519968164636</v>
      </c>
    </row>
    <row r="1463" spans="2:6">
      <c r="B1463" s="189">
        <v>40368</v>
      </c>
      <c r="C1463" s="2">
        <v>27272.31</v>
      </c>
      <c r="D1463" s="1196">
        <f t="shared" si="46"/>
        <v>210.62707799955982</v>
      </c>
      <c r="E1463" s="2">
        <v>2329.11</v>
      </c>
      <c r="F1463" s="1196">
        <f t="shared" si="47"/>
        <v>331.01816321309798</v>
      </c>
    </row>
    <row r="1464" spans="2:6">
      <c r="B1464" s="189">
        <v>40367</v>
      </c>
      <c r="C1464" s="2">
        <v>27061.19</v>
      </c>
      <c r="D1464" s="1196">
        <f t="shared" si="46"/>
        <v>208.99657480026104</v>
      </c>
      <c r="E1464" s="2">
        <v>2253.98</v>
      </c>
      <c r="F1464" s="1196">
        <f t="shared" si="47"/>
        <v>320.34052471504504</v>
      </c>
    </row>
    <row r="1465" spans="2:6">
      <c r="B1465" s="189">
        <v>40366</v>
      </c>
      <c r="C1465" s="2">
        <v>26854.92</v>
      </c>
      <c r="D1465" s="1196">
        <f t="shared" si="46"/>
        <v>207.40352868942668</v>
      </c>
      <c r="E1465" s="2">
        <v>2178.84</v>
      </c>
      <c r="F1465" s="1196">
        <f t="shared" si="47"/>
        <v>309.66146499530998</v>
      </c>
    </row>
    <row r="1466" spans="2:6">
      <c r="B1466" s="189">
        <v>40365</v>
      </c>
      <c r="C1466" s="2">
        <v>26723.87</v>
      </c>
      <c r="D1466" s="1196">
        <f t="shared" si="46"/>
        <v>206.39141498978617</v>
      </c>
      <c r="E1466" s="2">
        <v>2178.84</v>
      </c>
      <c r="F1466" s="1196">
        <f t="shared" si="47"/>
        <v>309.66146499530998</v>
      </c>
    </row>
    <row r="1467" spans="2:6">
      <c r="B1467" s="189">
        <v>40364</v>
      </c>
      <c r="C1467" s="2">
        <v>26182.67</v>
      </c>
      <c r="D1467" s="1196">
        <f t="shared" si="46"/>
        <v>202.2116673038233</v>
      </c>
      <c r="E1467" s="2">
        <v>2178.84</v>
      </c>
      <c r="F1467" s="1196">
        <f t="shared" si="47"/>
        <v>309.66146499530998</v>
      </c>
    </row>
    <row r="1468" spans="2:6">
      <c r="B1468" s="189">
        <v>40361</v>
      </c>
      <c r="C1468" s="2">
        <v>26314.560000000001</v>
      </c>
      <c r="D1468" s="1196">
        <f t="shared" si="46"/>
        <v>203.23026841672362</v>
      </c>
      <c r="E1468" s="2">
        <v>2178.84</v>
      </c>
      <c r="F1468" s="1196">
        <f t="shared" si="47"/>
        <v>309.66146499530998</v>
      </c>
    </row>
    <row r="1469" spans="2:6">
      <c r="B1469" s="189">
        <v>40360</v>
      </c>
      <c r="C1469" s="2">
        <v>26009.53</v>
      </c>
      <c r="D1469" s="1196">
        <f t="shared" si="46"/>
        <v>200.87448786120024</v>
      </c>
      <c r="E1469" s="2">
        <v>2175.09</v>
      </c>
      <c r="F1469" s="1196">
        <f t="shared" si="47"/>
        <v>309.12850686450076</v>
      </c>
    </row>
    <row r="1470" spans="2:6">
      <c r="B1470" s="189">
        <v>40359</v>
      </c>
      <c r="C1470" s="2">
        <v>26258.82</v>
      </c>
      <c r="D1470" s="1196">
        <f t="shared" si="46"/>
        <v>202.79978220826914</v>
      </c>
      <c r="E1470" s="2">
        <v>2175.09</v>
      </c>
      <c r="F1470" s="1196">
        <f t="shared" si="47"/>
        <v>309.12850686450076</v>
      </c>
    </row>
    <row r="1471" spans="2:6">
      <c r="B1471" s="189">
        <v>40358</v>
      </c>
      <c r="C1471" s="2">
        <v>26698.7</v>
      </c>
      <c r="D1471" s="1196">
        <f t="shared" si="46"/>
        <v>206.19702428532261</v>
      </c>
      <c r="E1471" s="2">
        <v>2156.3000000000002</v>
      </c>
      <c r="F1471" s="1196">
        <f t="shared" si="47"/>
        <v>306.45803132372589</v>
      </c>
    </row>
    <row r="1472" spans="2:6">
      <c r="B1472" s="189">
        <v>40357</v>
      </c>
      <c r="C1472" s="2">
        <v>27289.72</v>
      </c>
      <c r="D1472" s="1196">
        <f t="shared" si="46"/>
        <v>210.76153736248037</v>
      </c>
      <c r="E1472" s="2">
        <v>2160.06</v>
      </c>
      <c r="F1472" s="1196">
        <f t="shared" si="47"/>
        <v>306.99241067621728</v>
      </c>
    </row>
    <row r="1473" spans="2:6">
      <c r="B1473" s="189">
        <v>40354</v>
      </c>
      <c r="C1473" s="2">
        <v>27258.07</v>
      </c>
      <c r="D1473" s="1196">
        <f t="shared" si="46"/>
        <v>210.51710089858395</v>
      </c>
      <c r="E1473" s="2">
        <v>2153.3000000000002</v>
      </c>
      <c r="F1473" s="1196">
        <f t="shared" si="47"/>
        <v>306.03166481907851</v>
      </c>
    </row>
    <row r="1474" spans="2:6">
      <c r="B1474" s="189">
        <v>40353</v>
      </c>
      <c r="C1474" s="2">
        <v>27413.65</v>
      </c>
      <c r="D1474" s="1196">
        <f t="shared" si="46"/>
        <v>211.71866251163297</v>
      </c>
      <c r="E1474" s="2">
        <v>2078.2800000000002</v>
      </c>
      <c r="F1474" s="1196">
        <f t="shared" si="47"/>
        <v>295.36965975952933</v>
      </c>
    </row>
    <row r="1475" spans="2:6">
      <c r="B1475" s="189">
        <v>40352</v>
      </c>
      <c r="C1475" s="2">
        <v>27617.91</v>
      </c>
      <c r="D1475" s="1196">
        <f t="shared" si="46"/>
        <v>213.29618516930989</v>
      </c>
      <c r="E1475" s="2">
        <v>2078.2800000000002</v>
      </c>
      <c r="F1475" s="1196">
        <f t="shared" si="47"/>
        <v>295.36965975952933</v>
      </c>
    </row>
    <row r="1476" spans="2:6">
      <c r="B1476" s="189">
        <v>40351</v>
      </c>
      <c r="C1476" s="2">
        <v>27917.51</v>
      </c>
      <c r="D1476" s="1196">
        <f t="shared" si="46"/>
        <v>215.61002923197523</v>
      </c>
      <c r="E1476" s="2">
        <v>2079.7600000000002</v>
      </c>
      <c r="F1476" s="1196">
        <f t="shared" si="47"/>
        <v>295.58000056848874</v>
      </c>
    </row>
    <row r="1477" spans="2:6">
      <c r="B1477" s="189">
        <v>40350</v>
      </c>
      <c r="C1477" s="2">
        <v>28029.33</v>
      </c>
      <c r="D1477" s="1196">
        <f t="shared" si="46"/>
        <v>216.47362750663225</v>
      </c>
      <c r="E1477" s="2">
        <v>2116.9</v>
      </c>
      <c r="F1477" s="1196">
        <f t="shared" si="47"/>
        <v>300.85841789602341</v>
      </c>
    </row>
    <row r="1478" spans="2:6">
      <c r="B1478" s="189">
        <v>40347</v>
      </c>
      <c r="C1478" s="2">
        <v>27761.7</v>
      </c>
      <c r="D1478" s="1196">
        <f t="shared" si="46"/>
        <v>214.40669130339086</v>
      </c>
      <c r="E1478" s="2">
        <v>2042.62</v>
      </c>
      <c r="F1478" s="1196">
        <f t="shared" si="47"/>
        <v>290.3015832409539</v>
      </c>
    </row>
    <row r="1479" spans="2:6">
      <c r="B1479" s="189">
        <v>40346</v>
      </c>
      <c r="C1479" s="2">
        <v>27799.03</v>
      </c>
      <c r="D1479" s="1196">
        <f t="shared" si="46"/>
        <v>214.69499503790118</v>
      </c>
      <c r="E1479" s="2">
        <v>2190.44</v>
      </c>
      <c r="F1479" s="1196">
        <f t="shared" si="47"/>
        <v>311.31008214661324</v>
      </c>
    </row>
    <row r="1480" spans="2:6">
      <c r="B1480" s="189">
        <v>40344</v>
      </c>
      <c r="C1480" s="2">
        <v>27682.720000000001</v>
      </c>
      <c r="D1480" s="1196">
        <f t="shared" si="46"/>
        <v>213.79671999474832</v>
      </c>
      <c r="E1480" s="2">
        <v>2228.3200000000002</v>
      </c>
      <c r="F1480" s="1196">
        <f t="shared" si="47"/>
        <v>316.6936698786277</v>
      </c>
    </row>
    <row r="1481" spans="2:6">
      <c r="B1481" s="189">
        <v>40343</v>
      </c>
      <c r="C1481" s="2">
        <v>27446.09</v>
      </c>
      <c r="D1481" s="1196">
        <f t="shared" si="46"/>
        <v>211.96920023323798</v>
      </c>
      <c r="E1481" s="2">
        <v>2259.5100000000002</v>
      </c>
      <c r="F1481" s="1196">
        <f t="shared" si="47"/>
        <v>321.12646030527844</v>
      </c>
    </row>
    <row r="1482" spans="2:6">
      <c r="B1482" s="189">
        <v>40340</v>
      </c>
      <c r="C1482" s="2">
        <v>26849.17</v>
      </c>
      <c r="D1482" s="1196">
        <f t="shared" si="46"/>
        <v>207.35912080104106</v>
      </c>
      <c r="E1482" s="2">
        <v>2259.5100000000002</v>
      </c>
      <c r="F1482" s="1196">
        <f t="shared" si="47"/>
        <v>321.12646030527844</v>
      </c>
    </row>
    <row r="1483" spans="2:6">
      <c r="B1483" s="189">
        <v>40339</v>
      </c>
      <c r="C1483" s="2">
        <v>27133.87</v>
      </c>
      <c r="D1483" s="1196">
        <f t="shared" ref="D1483:D1547" si="48">C1483/$C$2759*100</f>
        <v>209.55789050945501</v>
      </c>
      <c r="E1483" s="2">
        <v>2265.46</v>
      </c>
      <c r="F1483" s="1196">
        <f t="shared" ref="F1483:F1547" si="49">E1483/$E$2759*100</f>
        <v>321.97208720616243</v>
      </c>
    </row>
    <row r="1484" spans="2:6">
      <c r="B1484" s="189">
        <v>40338</v>
      </c>
      <c r="C1484" s="2">
        <v>26650.86</v>
      </c>
      <c r="D1484" s="1196">
        <f t="shared" si="48"/>
        <v>205.8275506539544</v>
      </c>
      <c r="E1484" s="2">
        <v>2209.75</v>
      </c>
      <c r="F1484" s="1196">
        <f t="shared" si="49"/>
        <v>314.05446121486028</v>
      </c>
    </row>
    <row r="1485" spans="2:6">
      <c r="B1485" s="189">
        <v>40337</v>
      </c>
      <c r="C1485" s="2">
        <v>26019.71</v>
      </c>
      <c r="D1485" s="1196">
        <f t="shared" si="48"/>
        <v>200.95310913142032</v>
      </c>
      <c r="E1485" s="2">
        <v>2209.75</v>
      </c>
      <c r="F1485" s="1196">
        <f t="shared" si="49"/>
        <v>314.05446121486028</v>
      </c>
    </row>
    <row r="1486" spans="2:6">
      <c r="B1486" s="189">
        <v>40336</v>
      </c>
      <c r="C1486" s="2">
        <v>26193.37</v>
      </c>
      <c r="D1486" s="1196">
        <f t="shared" si="48"/>
        <v>202.29430459177564</v>
      </c>
      <c r="E1486" s="2">
        <v>2338.9899999999998</v>
      </c>
      <c r="F1486" s="1196">
        <f t="shared" si="49"/>
        <v>332.42233023507004</v>
      </c>
    </row>
    <row r="1487" spans="2:6">
      <c r="B1487" s="189">
        <v>40333</v>
      </c>
      <c r="C1487" s="2">
        <v>26558.14</v>
      </c>
      <c r="D1487" s="1196">
        <f t="shared" si="48"/>
        <v>205.11146379984785</v>
      </c>
      <c r="E1487" s="2">
        <v>2338.9899999999998</v>
      </c>
      <c r="F1487" s="1196">
        <f t="shared" si="49"/>
        <v>332.42233023507004</v>
      </c>
    </row>
    <row r="1488" spans="2:6">
      <c r="B1488" s="189">
        <v>40332</v>
      </c>
      <c r="C1488" s="2">
        <v>27135.78</v>
      </c>
      <c r="D1488" s="1196">
        <f t="shared" si="48"/>
        <v>209.57264165151005</v>
      </c>
      <c r="E1488" s="2">
        <v>2338.9899999999998</v>
      </c>
      <c r="F1488" s="1196">
        <f t="shared" si="49"/>
        <v>332.42233023507004</v>
      </c>
    </row>
    <row r="1489" spans="2:6">
      <c r="B1489" s="189">
        <v>40331</v>
      </c>
      <c r="C1489" s="2">
        <v>27248.11</v>
      </c>
      <c r="D1489" s="1196">
        <f t="shared" si="48"/>
        <v>210.44017871278911</v>
      </c>
      <c r="E1489" s="2">
        <v>2228.3200000000002</v>
      </c>
      <c r="F1489" s="1196">
        <f t="shared" si="49"/>
        <v>316.6936698786277</v>
      </c>
    </row>
    <row r="1490" spans="2:6">
      <c r="B1490" s="189">
        <v>40330</v>
      </c>
      <c r="C1490" s="2">
        <v>27309.06</v>
      </c>
      <c r="D1490" s="1196">
        <f t="shared" si="48"/>
        <v>210.91090232967647</v>
      </c>
      <c r="E1490" s="2">
        <v>2205.29</v>
      </c>
      <c r="F1490" s="1196">
        <f t="shared" si="49"/>
        <v>313.42059634461782</v>
      </c>
    </row>
    <row r="1491" spans="2:6">
      <c r="B1491" s="189">
        <v>40329</v>
      </c>
      <c r="C1491" s="2">
        <v>27145.360000000001</v>
      </c>
      <c r="D1491" s="1196">
        <f t="shared" si="48"/>
        <v>209.64662905511599</v>
      </c>
      <c r="E1491" s="2">
        <v>2217.1799999999998</v>
      </c>
      <c r="F1491" s="1196">
        <f t="shared" si="49"/>
        <v>315.11042892470368</v>
      </c>
    </row>
    <row r="1492" spans="2:6">
      <c r="B1492" s="189">
        <v>40326</v>
      </c>
      <c r="C1492" s="2">
        <v>27202.720000000001</v>
      </c>
      <c r="D1492" s="1196">
        <f t="shared" si="48"/>
        <v>210.08962670342868</v>
      </c>
      <c r="E1492" s="2">
        <v>2217.1799999999998</v>
      </c>
      <c r="F1492" s="1196">
        <f t="shared" si="49"/>
        <v>315.11042892470368</v>
      </c>
    </row>
    <row r="1493" spans="2:6">
      <c r="B1493" s="189">
        <v>40325</v>
      </c>
      <c r="C1493" s="2">
        <v>27449.74</v>
      </c>
      <c r="D1493" s="1196">
        <f t="shared" si="48"/>
        <v>211.99738958847405</v>
      </c>
      <c r="E1493" s="2">
        <v>2228.3200000000002</v>
      </c>
      <c r="F1493" s="1196">
        <f t="shared" si="49"/>
        <v>316.6936698786277</v>
      </c>
    </row>
    <row r="1494" spans="2:6">
      <c r="B1494" s="189">
        <v>40324</v>
      </c>
      <c r="C1494" s="2">
        <v>27047.51</v>
      </c>
      <c r="D1494" s="1196">
        <f t="shared" si="48"/>
        <v>208.89092264145842</v>
      </c>
      <c r="E1494" s="2">
        <v>2220.89</v>
      </c>
      <c r="F1494" s="1196">
        <f t="shared" si="49"/>
        <v>315.63770216878424</v>
      </c>
    </row>
    <row r="1495" spans="2:6">
      <c r="B1495" s="189">
        <v>40323</v>
      </c>
      <c r="C1495" s="2">
        <v>26179.84</v>
      </c>
      <c r="D1495" s="1196">
        <f t="shared" si="48"/>
        <v>202.18981089962659</v>
      </c>
      <c r="E1495" s="2">
        <v>2124.33</v>
      </c>
      <c r="F1495" s="1196">
        <f t="shared" si="49"/>
        <v>301.91438560586681</v>
      </c>
    </row>
    <row r="1496" spans="2:6">
      <c r="B1496" s="189">
        <v>40322</v>
      </c>
      <c r="C1496" s="2">
        <v>26777.79</v>
      </c>
      <c r="D1496" s="1196">
        <f t="shared" si="48"/>
        <v>206.80784513617775</v>
      </c>
      <c r="E1496" s="2">
        <v>2124.33</v>
      </c>
      <c r="F1496" s="1196">
        <f t="shared" si="49"/>
        <v>301.91438560586681</v>
      </c>
    </row>
    <row r="1497" spans="2:6">
      <c r="B1497" s="189">
        <v>40319</v>
      </c>
      <c r="C1497" s="2">
        <v>26258.21</v>
      </c>
      <c r="D1497" s="1196">
        <f t="shared" si="48"/>
        <v>202.79507111054477</v>
      </c>
      <c r="E1497" s="2">
        <v>2154.04</v>
      </c>
      <c r="F1497" s="1196">
        <f t="shared" si="49"/>
        <v>306.13683522355814</v>
      </c>
    </row>
    <row r="1498" spans="2:6">
      <c r="B1498" s="189">
        <v>40318</v>
      </c>
      <c r="C1498" s="2">
        <v>26337.51</v>
      </c>
      <c r="D1498" s="1196">
        <f t="shared" si="48"/>
        <v>203.40751381471483</v>
      </c>
      <c r="E1498" s="2">
        <v>2154.04</v>
      </c>
      <c r="F1498" s="1196">
        <f t="shared" si="49"/>
        <v>306.13683522355814</v>
      </c>
    </row>
    <row r="1499" spans="2:6">
      <c r="B1499" s="189">
        <v>40317</v>
      </c>
      <c r="C1499" s="2">
        <v>27175.040000000001</v>
      </c>
      <c r="D1499" s="1196">
        <f t="shared" si="48"/>
        <v>209.8758509902959</v>
      </c>
      <c r="E1499" s="2">
        <v>2157.75</v>
      </c>
      <c r="F1499" s="1196">
        <f t="shared" si="49"/>
        <v>306.66410846763881</v>
      </c>
    </row>
    <row r="1500" spans="2:6">
      <c r="B1500" s="189">
        <v>40316</v>
      </c>
      <c r="C1500" s="2">
        <v>27573.83</v>
      </c>
      <c r="D1500" s="1196">
        <f t="shared" si="48"/>
        <v>212.9557504353904</v>
      </c>
      <c r="E1500" s="2">
        <v>2332.31</v>
      </c>
      <c r="F1500" s="1196">
        <f t="shared" si="49"/>
        <v>331.47295415138854</v>
      </c>
    </row>
    <row r="1501" spans="2:6">
      <c r="B1501" s="189">
        <v>40315</v>
      </c>
      <c r="C1501" s="2">
        <v>27306.74</v>
      </c>
      <c r="D1501" s="1196">
        <f t="shared" si="48"/>
        <v>210.89298471210176</v>
      </c>
      <c r="E1501" s="2">
        <v>2336.02</v>
      </c>
      <c r="F1501" s="1196">
        <f t="shared" si="49"/>
        <v>332.00022739546915</v>
      </c>
    </row>
    <row r="1502" spans="2:6">
      <c r="B1502" s="189">
        <v>40312</v>
      </c>
      <c r="C1502" s="2">
        <v>27342.35</v>
      </c>
      <c r="D1502" s="1196">
        <f t="shared" si="48"/>
        <v>211.16800469565149</v>
      </c>
      <c r="E1502" s="2">
        <v>2229.06</v>
      </c>
      <c r="F1502" s="1196">
        <f t="shared" si="49"/>
        <v>316.79884028310738</v>
      </c>
    </row>
    <row r="1503" spans="2:6">
      <c r="B1503" s="189">
        <v>40311</v>
      </c>
      <c r="C1503" s="2">
        <v>28041.85</v>
      </c>
      <c r="D1503" s="1196">
        <f t="shared" si="48"/>
        <v>216.5703208566475</v>
      </c>
      <c r="E1503" s="2">
        <v>2339.73</v>
      </c>
      <c r="F1503" s="1196">
        <f t="shared" si="49"/>
        <v>332.52750063954977</v>
      </c>
    </row>
    <row r="1504" spans="2:6">
      <c r="B1504" s="189">
        <v>40310</v>
      </c>
      <c r="C1504" s="2">
        <v>28178.23</v>
      </c>
      <c r="D1504" s="1196">
        <f t="shared" si="48"/>
        <v>217.62359873804365</v>
      </c>
      <c r="E1504" s="2">
        <v>2339.73</v>
      </c>
      <c r="F1504" s="1196">
        <f t="shared" si="49"/>
        <v>332.52750063954977</v>
      </c>
    </row>
    <row r="1505" spans="2:6">
      <c r="B1505" s="189">
        <v>40309</v>
      </c>
      <c r="C1505" s="2">
        <v>27513.98</v>
      </c>
      <c r="D1505" s="1196">
        <f t="shared" si="48"/>
        <v>212.49352224062898</v>
      </c>
      <c r="E1505" s="2">
        <v>2339.73</v>
      </c>
      <c r="F1505" s="1196">
        <f t="shared" si="49"/>
        <v>332.52750063954977</v>
      </c>
    </row>
    <row r="1506" spans="2:6">
      <c r="B1506" s="189">
        <v>40308</v>
      </c>
      <c r="C1506" s="2">
        <v>27661.61</v>
      </c>
      <c r="D1506" s="1196">
        <f t="shared" si="48"/>
        <v>213.63368512104049</v>
      </c>
      <c r="E1506" s="2">
        <v>2339.73</v>
      </c>
      <c r="F1506" s="1196">
        <f t="shared" si="49"/>
        <v>332.52750063954977</v>
      </c>
    </row>
    <row r="1507" spans="2:6">
      <c r="B1507" s="189">
        <v>40305</v>
      </c>
      <c r="C1507" s="2">
        <v>26515.07</v>
      </c>
      <c r="D1507" s="1196">
        <f t="shared" si="48"/>
        <v>204.77882940806217</v>
      </c>
      <c r="E1507" s="2">
        <v>2339.73</v>
      </c>
      <c r="F1507" s="1196">
        <f t="shared" si="49"/>
        <v>332.52750063954977</v>
      </c>
    </row>
    <row r="1508" spans="2:6">
      <c r="B1508" s="189">
        <v>40304</v>
      </c>
      <c r="C1508" s="2">
        <v>27512.83</v>
      </c>
      <c r="D1508" s="1196">
        <f t="shared" si="48"/>
        <v>212.48464066295188</v>
      </c>
      <c r="E1508" s="2">
        <v>2339.73</v>
      </c>
      <c r="F1508" s="1196">
        <f t="shared" si="49"/>
        <v>332.52750063954977</v>
      </c>
    </row>
    <row r="1509" spans="2:6">
      <c r="B1509" s="189">
        <v>40303</v>
      </c>
      <c r="C1509" s="2">
        <v>27616.68</v>
      </c>
      <c r="D1509" s="1196">
        <f t="shared" si="48"/>
        <v>213.2866857427509</v>
      </c>
      <c r="E1509" s="2">
        <v>2339.73</v>
      </c>
      <c r="F1509" s="1196">
        <f t="shared" si="49"/>
        <v>332.52750063954977</v>
      </c>
    </row>
    <row r="1510" spans="2:6">
      <c r="B1510" s="189">
        <v>40302</v>
      </c>
      <c r="C1510" s="2">
        <v>27935.85</v>
      </c>
      <c r="D1510" s="1196">
        <f t="shared" si="48"/>
        <v>215.7516710881477</v>
      </c>
      <c r="E1510" s="2">
        <v>2376.87</v>
      </c>
      <c r="F1510" s="1196">
        <f t="shared" si="49"/>
        <v>337.8059179670845</v>
      </c>
    </row>
    <row r="1511" spans="2:6">
      <c r="B1511" s="189"/>
      <c r="C1511" s="2"/>
      <c r="D1511" s="1196"/>
      <c r="E1511" s="2"/>
      <c r="F1511" s="1196"/>
    </row>
    <row r="1512" spans="2:6">
      <c r="B1512" s="189">
        <v>40301</v>
      </c>
      <c r="C1512" s="2">
        <v>28630.82</v>
      </c>
      <c r="D1512" s="1196">
        <f t="shared" si="48"/>
        <v>221.11900155620688</v>
      </c>
      <c r="E1512" s="2">
        <v>2339.73</v>
      </c>
      <c r="F1512" s="1196">
        <f t="shared" si="49"/>
        <v>332.52750063954977</v>
      </c>
    </row>
    <row r="1513" spans="2:6">
      <c r="B1513" s="189">
        <v>40298</v>
      </c>
      <c r="C1513" s="2">
        <v>28635.759999999998</v>
      </c>
      <c r="D1513" s="1196">
        <f t="shared" si="48"/>
        <v>221.15715372466335</v>
      </c>
      <c r="E1513" s="2">
        <v>2376.13</v>
      </c>
      <c r="F1513" s="1196">
        <f t="shared" si="49"/>
        <v>337.70074756260482</v>
      </c>
    </row>
    <row r="1514" spans="2:6">
      <c r="B1514" s="189">
        <v>40297</v>
      </c>
      <c r="C1514" s="2">
        <v>28716.27</v>
      </c>
      <c r="D1514" s="1196">
        <f t="shared" si="48"/>
        <v>221.77894139317203</v>
      </c>
      <c r="E1514" s="2">
        <v>2302.6</v>
      </c>
      <c r="F1514" s="1196">
        <f t="shared" si="49"/>
        <v>327.25050453369715</v>
      </c>
    </row>
    <row r="1515" spans="2:6">
      <c r="B1515" s="189">
        <v>40296</v>
      </c>
      <c r="C1515" s="2">
        <v>28524.78</v>
      </c>
      <c r="D1515" s="1196">
        <f t="shared" si="48"/>
        <v>220.30004286326616</v>
      </c>
      <c r="E1515" s="2">
        <v>2347.16</v>
      </c>
      <c r="F1515" s="1196">
        <f t="shared" si="49"/>
        <v>333.58346834939312</v>
      </c>
    </row>
    <row r="1516" spans="2:6">
      <c r="B1516" s="189">
        <v>40294</v>
      </c>
      <c r="C1516" s="2">
        <v>29309.47</v>
      </c>
      <c r="D1516" s="1196">
        <f t="shared" si="48"/>
        <v>226.36029085236115</v>
      </c>
      <c r="E1516" s="2">
        <v>2376.87</v>
      </c>
      <c r="F1516" s="1196">
        <f t="shared" si="49"/>
        <v>337.8059179670845</v>
      </c>
    </row>
    <row r="1517" spans="2:6">
      <c r="B1517" s="189">
        <v>40291</v>
      </c>
      <c r="C1517" s="2">
        <v>28931.4</v>
      </c>
      <c r="D1517" s="1196">
        <f t="shared" si="48"/>
        <v>223.44041426767532</v>
      </c>
      <c r="E1517" s="2">
        <v>2376.87</v>
      </c>
      <c r="F1517" s="1196">
        <f t="shared" si="49"/>
        <v>337.8059179670845</v>
      </c>
    </row>
    <row r="1518" spans="2:6">
      <c r="B1518" s="189">
        <v>40290</v>
      </c>
      <c r="C1518" s="2">
        <v>28822.34</v>
      </c>
      <c r="D1518" s="1196">
        <f t="shared" si="48"/>
        <v>222.59813177944338</v>
      </c>
      <c r="E1518" s="2">
        <v>2339.73</v>
      </c>
      <c r="F1518" s="1196">
        <f t="shared" si="49"/>
        <v>332.52750063954977</v>
      </c>
    </row>
    <row r="1519" spans="2:6">
      <c r="B1519" s="189">
        <v>40289</v>
      </c>
      <c r="C1519" s="2">
        <v>28938.78</v>
      </c>
      <c r="D1519" s="1196">
        <f t="shared" si="48"/>
        <v>223.49741082702934</v>
      </c>
      <c r="E1519" s="2">
        <v>2339.73</v>
      </c>
      <c r="F1519" s="1196">
        <f t="shared" si="49"/>
        <v>332.52750063954977</v>
      </c>
    </row>
    <row r="1520" spans="2:6">
      <c r="B1520" s="189">
        <v>40288</v>
      </c>
      <c r="C1520" s="2">
        <v>29012.46</v>
      </c>
      <c r="D1520" s="1196">
        <f t="shared" si="48"/>
        <v>224.06644964724691</v>
      </c>
      <c r="E1520" s="2">
        <v>2339.73</v>
      </c>
      <c r="F1520" s="1196">
        <f t="shared" si="49"/>
        <v>332.52750063954977</v>
      </c>
    </row>
    <row r="1521" spans="2:6">
      <c r="B1521" s="189">
        <v>40287</v>
      </c>
      <c r="C1521" s="2">
        <v>28731.02</v>
      </c>
      <c r="D1521" s="1196">
        <f t="shared" si="48"/>
        <v>221.89285728076987</v>
      </c>
      <c r="E1521" s="2">
        <v>2368.6999999999998</v>
      </c>
      <c r="F1521" s="1196">
        <f t="shared" si="49"/>
        <v>336.64477985276142</v>
      </c>
    </row>
    <row r="1522" spans="2:6">
      <c r="B1522" s="189">
        <v>40284</v>
      </c>
      <c r="C1522" s="2">
        <v>29054.400000000001</v>
      </c>
      <c r="D1522" s="1196">
        <f t="shared" si="48"/>
        <v>224.39035692357598</v>
      </c>
      <c r="E1522" s="2">
        <v>2369.44</v>
      </c>
      <c r="F1522" s="1196">
        <f t="shared" si="49"/>
        <v>336.74995025724115</v>
      </c>
    </row>
    <row r="1523" spans="2:6">
      <c r="B1523" s="189">
        <v>40283</v>
      </c>
      <c r="C1523" s="2">
        <v>29565.1</v>
      </c>
      <c r="D1523" s="1196">
        <f t="shared" si="48"/>
        <v>228.33454972331953</v>
      </c>
      <c r="E1523" s="2">
        <v>2369.44</v>
      </c>
      <c r="F1523" s="1196">
        <f t="shared" si="49"/>
        <v>336.74995025724115</v>
      </c>
    </row>
    <row r="1524" spans="2:6">
      <c r="B1524" s="189">
        <v>40282</v>
      </c>
      <c r="C1524" s="2">
        <v>29499.7</v>
      </c>
      <c r="D1524" s="1196">
        <f t="shared" si="48"/>
        <v>227.82945826237727</v>
      </c>
      <c r="E1524" s="2">
        <v>2362.02</v>
      </c>
      <c r="F1524" s="1196">
        <f t="shared" si="49"/>
        <v>335.69540376907992</v>
      </c>
    </row>
    <row r="1525" spans="2:6">
      <c r="B1525" s="189">
        <v>40281</v>
      </c>
      <c r="C1525" s="2">
        <v>28941.83</v>
      </c>
      <c r="D1525" s="1196">
        <f t="shared" si="48"/>
        <v>223.52096631565129</v>
      </c>
      <c r="E1525" s="2">
        <v>2265.46</v>
      </c>
      <c r="F1525" s="1196">
        <f t="shared" si="49"/>
        <v>321.97208720616243</v>
      </c>
    </row>
    <row r="1526" spans="2:6">
      <c r="B1526" s="189">
        <v>40280</v>
      </c>
      <c r="C1526" s="2">
        <v>29210.09</v>
      </c>
      <c r="D1526" s="1196">
        <f t="shared" si="48"/>
        <v>225.59276807883754</v>
      </c>
      <c r="E1526" s="2">
        <v>2228.3200000000002</v>
      </c>
      <c r="F1526" s="1196">
        <f t="shared" si="49"/>
        <v>316.6936698786277</v>
      </c>
    </row>
    <row r="1527" spans="2:6">
      <c r="B1527" s="189">
        <v>40277</v>
      </c>
      <c r="C1527" s="2">
        <v>29357.5</v>
      </c>
      <c r="D1527" s="1196">
        <f t="shared" si="48"/>
        <v>226.73123187482381</v>
      </c>
      <c r="E1527" s="2">
        <v>2228.3200000000002</v>
      </c>
      <c r="F1527" s="1196">
        <f t="shared" si="49"/>
        <v>316.6936698786277</v>
      </c>
    </row>
    <row r="1528" spans="2:6">
      <c r="B1528" s="189">
        <v>40276</v>
      </c>
      <c r="C1528" s="2">
        <v>29030.38</v>
      </c>
      <c r="D1528" s="1196">
        <f t="shared" si="48"/>
        <v>224.20484779678952</v>
      </c>
      <c r="E1528" s="2">
        <v>2228.3200000000002</v>
      </c>
      <c r="F1528" s="1196">
        <f t="shared" si="49"/>
        <v>316.6936698786277</v>
      </c>
    </row>
    <row r="1529" spans="2:6">
      <c r="B1529" s="189">
        <v>40275</v>
      </c>
      <c r="C1529" s="2">
        <v>29265.17</v>
      </c>
      <c r="D1529" s="1196">
        <f t="shared" si="48"/>
        <v>226.01815703401641</v>
      </c>
      <c r="E1529" s="2">
        <v>2228.3200000000002</v>
      </c>
      <c r="F1529" s="1196">
        <f t="shared" si="49"/>
        <v>316.6936698786277</v>
      </c>
    </row>
    <row r="1530" spans="2:6">
      <c r="B1530" s="189">
        <v>40274</v>
      </c>
      <c r="C1530" s="2">
        <v>29367.74</v>
      </c>
      <c r="D1530" s="1196">
        <f t="shared" si="48"/>
        <v>226.81031653170533</v>
      </c>
      <c r="E1530" s="2">
        <v>2213.46</v>
      </c>
      <c r="F1530" s="1196">
        <f t="shared" si="49"/>
        <v>314.5817344589409</v>
      </c>
    </row>
    <row r="1531" spans="2:6">
      <c r="B1531" s="189">
        <v>40269</v>
      </c>
      <c r="C1531" s="2">
        <v>29020.02</v>
      </c>
      <c r="D1531" s="1196">
        <f t="shared" si="48"/>
        <v>224.12483636658519</v>
      </c>
      <c r="E1531" s="2">
        <v>2210.4899999999998</v>
      </c>
      <c r="F1531" s="1196">
        <f t="shared" si="49"/>
        <v>314.1596316193399</v>
      </c>
    </row>
    <row r="1532" spans="2:6">
      <c r="B1532" s="189">
        <v>40268</v>
      </c>
      <c r="C1532" s="2">
        <v>28747.56</v>
      </c>
      <c r="D1532" s="1196">
        <f t="shared" si="48"/>
        <v>222.02059753709992</v>
      </c>
      <c r="E1532" s="2">
        <v>2228.3200000000002</v>
      </c>
      <c r="F1532" s="1196">
        <f t="shared" si="49"/>
        <v>316.6936698786277</v>
      </c>
    </row>
    <row r="1533" spans="2:6">
      <c r="B1533" s="189">
        <v>40267</v>
      </c>
      <c r="C1533" s="2">
        <v>28735.26</v>
      </c>
      <c r="D1533" s="1196">
        <f t="shared" si="48"/>
        <v>221.92560327150983</v>
      </c>
      <c r="E1533" s="2">
        <v>2217.1799999999998</v>
      </c>
      <c r="F1533" s="1196">
        <f t="shared" si="49"/>
        <v>315.11042892470368</v>
      </c>
    </row>
    <row r="1534" spans="2:6">
      <c r="B1534" s="189">
        <v>40266</v>
      </c>
      <c r="C1534" s="2">
        <v>28705.82</v>
      </c>
      <c r="D1534" s="1196">
        <f t="shared" si="48"/>
        <v>221.69823488297556</v>
      </c>
      <c r="E1534" s="2">
        <v>2228.3200000000002</v>
      </c>
      <c r="F1534" s="1196">
        <f t="shared" si="49"/>
        <v>316.6936698786277</v>
      </c>
    </row>
    <row r="1535" spans="2:6">
      <c r="B1535" s="189">
        <v>40263</v>
      </c>
      <c r="C1535" s="2">
        <v>28583.45</v>
      </c>
      <c r="D1535" s="1196">
        <f t="shared" si="48"/>
        <v>220.75315778701977</v>
      </c>
      <c r="E1535" s="2">
        <v>2228.3200000000002</v>
      </c>
      <c r="F1535" s="1196">
        <f t="shared" si="49"/>
        <v>316.6936698786277</v>
      </c>
    </row>
    <row r="1536" spans="2:6">
      <c r="B1536" s="189">
        <v>40262</v>
      </c>
      <c r="C1536" s="2">
        <v>28555.53</v>
      </c>
      <c r="D1536" s="1196">
        <f t="shared" si="48"/>
        <v>220.53752852724134</v>
      </c>
      <c r="E1536" s="2">
        <v>2228.3200000000002</v>
      </c>
      <c r="F1536" s="1196">
        <f t="shared" si="49"/>
        <v>316.6936698786277</v>
      </c>
    </row>
    <row r="1537" spans="2:6">
      <c r="B1537" s="189">
        <v>40261</v>
      </c>
      <c r="C1537" s="2">
        <v>28401.68</v>
      </c>
      <c r="D1537" s="1196">
        <f t="shared" si="48"/>
        <v>219.34932789626319</v>
      </c>
      <c r="E1537" s="2">
        <v>2249.86</v>
      </c>
      <c r="F1537" s="1196">
        <f t="shared" si="49"/>
        <v>319.754981381996</v>
      </c>
    </row>
    <row r="1538" spans="2:6">
      <c r="B1538" s="189">
        <v>40260</v>
      </c>
      <c r="C1538" s="2">
        <v>28451.01</v>
      </c>
      <c r="D1538" s="1196">
        <f t="shared" si="48"/>
        <v>219.7303089630565</v>
      </c>
      <c r="E1538" s="2">
        <v>2250.6</v>
      </c>
      <c r="F1538" s="1196">
        <f t="shared" si="49"/>
        <v>319.86015178647563</v>
      </c>
    </row>
    <row r="1539" spans="2:6">
      <c r="B1539" s="189">
        <v>40256</v>
      </c>
      <c r="C1539" s="2">
        <v>28544.15</v>
      </c>
      <c r="D1539" s="1196">
        <f t="shared" si="48"/>
        <v>220.44963952379297</v>
      </c>
      <c r="E1539" s="2">
        <v>2250.6</v>
      </c>
      <c r="F1539" s="1196">
        <f t="shared" si="49"/>
        <v>319.86015178647563</v>
      </c>
    </row>
    <row r="1540" spans="2:6">
      <c r="B1540" s="189">
        <v>40255</v>
      </c>
      <c r="C1540" s="2">
        <v>28806.14</v>
      </c>
      <c r="D1540" s="1196">
        <f t="shared" si="48"/>
        <v>222.47301738086139</v>
      </c>
      <c r="E1540" s="2">
        <v>2291.4499999999998</v>
      </c>
      <c r="F1540" s="1196">
        <f t="shared" si="49"/>
        <v>325.66584235809097</v>
      </c>
    </row>
    <row r="1541" spans="2:6">
      <c r="B1541" s="189">
        <v>40254</v>
      </c>
      <c r="C1541" s="2">
        <v>28530.94</v>
      </c>
      <c r="D1541" s="1196">
        <f t="shared" si="48"/>
        <v>220.34761722717144</v>
      </c>
      <c r="E1541" s="2">
        <v>2302.6</v>
      </c>
      <c r="F1541" s="1196">
        <f t="shared" si="49"/>
        <v>327.25050453369715</v>
      </c>
    </row>
    <row r="1542" spans="2:6">
      <c r="B1542" s="189">
        <v>40253</v>
      </c>
      <c r="C1542" s="2">
        <v>28252.59</v>
      </c>
      <c r="D1542" s="1196">
        <f t="shared" si="48"/>
        <v>218.19788927375728</v>
      </c>
      <c r="E1542" s="2">
        <v>2302.6</v>
      </c>
      <c r="F1542" s="1196">
        <f t="shared" si="49"/>
        <v>327.25050453369715</v>
      </c>
    </row>
    <row r="1543" spans="2:6">
      <c r="B1543" s="189">
        <v>40252</v>
      </c>
      <c r="C1543" s="2">
        <v>28032.87</v>
      </c>
      <c r="D1543" s="1196">
        <f t="shared" si="48"/>
        <v>216.5009673196557</v>
      </c>
      <c r="E1543" s="2">
        <v>2346.42</v>
      </c>
      <c r="F1543" s="1196">
        <f t="shared" si="49"/>
        <v>333.47829794491344</v>
      </c>
    </row>
    <row r="1544" spans="2:6">
      <c r="B1544" s="189">
        <v>40249</v>
      </c>
      <c r="C1544" s="2">
        <v>28262.400000000001</v>
      </c>
      <c r="D1544" s="1196">
        <f t="shared" si="48"/>
        <v>218.27365299289863</v>
      </c>
      <c r="E1544" s="2">
        <v>2346.42</v>
      </c>
      <c r="F1544" s="1196">
        <f t="shared" si="49"/>
        <v>333.47829794491344</v>
      </c>
    </row>
    <row r="1545" spans="2:6">
      <c r="B1545" s="189">
        <v>40248</v>
      </c>
      <c r="C1545" s="2">
        <v>27911.43</v>
      </c>
      <c r="D1545" s="1196">
        <f t="shared" si="48"/>
        <v>215.56307271695184</v>
      </c>
      <c r="E1545" s="2">
        <v>2362.02</v>
      </c>
      <c r="F1545" s="1196">
        <f t="shared" si="49"/>
        <v>335.69540376907992</v>
      </c>
    </row>
    <row r="1546" spans="2:6">
      <c r="B1546" s="189">
        <v>40247</v>
      </c>
      <c r="C1546" s="2">
        <v>28087.67</v>
      </c>
      <c r="D1546" s="1196">
        <f t="shared" si="48"/>
        <v>216.92419380374801</v>
      </c>
      <c r="E1546" s="2">
        <v>2362.02</v>
      </c>
      <c r="F1546" s="1196">
        <f t="shared" si="49"/>
        <v>335.69540376907992</v>
      </c>
    </row>
    <row r="1547" spans="2:6">
      <c r="B1547" s="189">
        <v>40246</v>
      </c>
      <c r="C1547" s="2">
        <v>27898.14</v>
      </c>
      <c r="D1547" s="1196">
        <f t="shared" si="48"/>
        <v>215.46043257144842</v>
      </c>
      <c r="E1547" s="2">
        <v>2374.64</v>
      </c>
      <c r="F1547" s="1196">
        <f t="shared" si="49"/>
        <v>337.48898553196324</v>
      </c>
    </row>
    <row r="1548" spans="2:6">
      <c r="B1548" s="189">
        <v>40245</v>
      </c>
      <c r="C1548" s="2">
        <v>28116.69</v>
      </c>
      <c r="D1548" s="1196">
        <f t="shared" ref="D1548:D1611" si="50">C1548/$C$2759*100</f>
        <v>217.14831848565237</v>
      </c>
      <c r="E1548" s="2">
        <v>2374.64</v>
      </c>
      <c r="F1548" s="1196">
        <f t="shared" ref="F1548:F1611" si="51">E1548/$E$2759*100</f>
        <v>337.48898553196324</v>
      </c>
    </row>
    <row r="1549" spans="2:6">
      <c r="B1549" s="189">
        <v>40242</v>
      </c>
      <c r="C1549" s="2">
        <v>27904.65</v>
      </c>
      <c r="D1549" s="1196">
        <f t="shared" si="50"/>
        <v>215.51071002421196</v>
      </c>
      <c r="E1549" s="2">
        <v>2376.87</v>
      </c>
      <c r="F1549" s="1196">
        <f t="shared" si="51"/>
        <v>337.8059179670845</v>
      </c>
    </row>
    <row r="1550" spans="2:6">
      <c r="B1550" s="189">
        <v>40241</v>
      </c>
      <c r="C1550" s="2">
        <v>27774.1</v>
      </c>
      <c r="D1550" s="1196">
        <f t="shared" si="50"/>
        <v>214.50245788008323</v>
      </c>
      <c r="E1550" s="2">
        <v>2376.87</v>
      </c>
      <c r="F1550" s="1196">
        <f t="shared" si="51"/>
        <v>337.8059179670845</v>
      </c>
    </row>
    <row r="1551" spans="2:6">
      <c r="B1551" s="189">
        <v>40240</v>
      </c>
      <c r="C1551" s="2">
        <v>27683.65</v>
      </c>
      <c r="D1551" s="1196">
        <f t="shared" si="50"/>
        <v>213.80390248800026</v>
      </c>
      <c r="E1551" s="2">
        <v>2376.87</v>
      </c>
      <c r="F1551" s="1196">
        <f t="shared" si="51"/>
        <v>337.8059179670845</v>
      </c>
    </row>
    <row r="1552" spans="2:6">
      <c r="B1552" s="189">
        <v>40239</v>
      </c>
      <c r="C1552" s="2">
        <v>27371.919999999998</v>
      </c>
      <c r="D1552" s="1196">
        <f t="shared" si="50"/>
        <v>211.39637708861883</v>
      </c>
      <c r="E1552" s="2">
        <v>2376.87</v>
      </c>
      <c r="F1552" s="1196">
        <f t="shared" si="51"/>
        <v>337.8059179670845</v>
      </c>
    </row>
    <row r="1553" spans="2:6">
      <c r="B1553" s="189">
        <v>40238</v>
      </c>
      <c r="C1553" s="2">
        <v>27026.02</v>
      </c>
      <c r="D1553" s="1196">
        <f t="shared" si="50"/>
        <v>208.72495298556166</v>
      </c>
      <c r="E1553" s="2">
        <v>2228.3200000000002</v>
      </c>
      <c r="F1553" s="1196">
        <f t="shared" si="51"/>
        <v>316.6936698786277</v>
      </c>
    </row>
    <row r="1554" spans="2:6">
      <c r="B1554" s="189">
        <v>40235</v>
      </c>
      <c r="C1554" s="2">
        <v>26764.61</v>
      </c>
      <c r="D1554" s="1196">
        <f t="shared" si="50"/>
        <v>206.70605453288692</v>
      </c>
      <c r="E1554" s="2">
        <v>2376.87</v>
      </c>
      <c r="F1554" s="1196">
        <f t="shared" si="51"/>
        <v>337.8059179670845</v>
      </c>
    </row>
    <row r="1555" spans="2:6">
      <c r="B1555" s="189">
        <v>40234</v>
      </c>
      <c r="C1555" s="2">
        <v>26731.85</v>
      </c>
      <c r="D1555" s="1196">
        <f t="shared" si="50"/>
        <v>206.45304541575436</v>
      </c>
      <c r="E1555" s="2">
        <v>2376.87</v>
      </c>
      <c r="F1555" s="1196">
        <f t="shared" si="51"/>
        <v>337.8059179670845</v>
      </c>
    </row>
    <row r="1556" spans="2:6">
      <c r="B1556" s="189">
        <v>40233</v>
      </c>
      <c r="C1556" s="2">
        <v>26933.08</v>
      </c>
      <c r="D1556" s="1196">
        <f t="shared" si="50"/>
        <v>208.0071670470299</v>
      </c>
      <c r="E1556" s="2">
        <v>2376.87</v>
      </c>
      <c r="F1556" s="1196">
        <f t="shared" si="51"/>
        <v>337.8059179670845</v>
      </c>
    </row>
    <row r="1557" spans="2:6">
      <c r="B1557" s="189">
        <v>40232</v>
      </c>
      <c r="C1557" s="2">
        <v>27055.5</v>
      </c>
      <c r="D1557" s="1196">
        <f t="shared" si="50"/>
        <v>208.95263029853686</v>
      </c>
      <c r="E1557" s="2">
        <v>2376.87</v>
      </c>
      <c r="F1557" s="1196">
        <f t="shared" si="51"/>
        <v>337.8059179670845</v>
      </c>
    </row>
    <row r="1558" spans="2:6">
      <c r="B1558" s="189">
        <v>40231</v>
      </c>
      <c r="C1558" s="2">
        <v>27284.16</v>
      </c>
      <c r="D1558" s="1196">
        <f t="shared" si="50"/>
        <v>210.71859686518923</v>
      </c>
      <c r="E1558" s="2">
        <v>2376.87</v>
      </c>
      <c r="F1558" s="1196">
        <f t="shared" si="51"/>
        <v>337.8059179670845</v>
      </c>
    </row>
    <row r="1559" spans="2:6">
      <c r="B1559" s="189">
        <v>40228</v>
      </c>
      <c r="C1559" s="2">
        <v>27069.13</v>
      </c>
      <c r="D1559" s="1196">
        <f t="shared" si="50"/>
        <v>209.0578963017883</v>
      </c>
      <c r="E1559" s="2">
        <v>2317.4499999999998</v>
      </c>
      <c r="F1559" s="1196">
        <f t="shared" si="51"/>
        <v>329.36101873170173</v>
      </c>
    </row>
    <row r="1560" spans="2:6">
      <c r="B1560" s="189">
        <v>40227</v>
      </c>
      <c r="C1560" s="2">
        <v>27280.58</v>
      </c>
      <c r="D1560" s="1196">
        <f t="shared" si="50"/>
        <v>210.69094812772482</v>
      </c>
      <c r="E1560" s="2">
        <v>2302.6</v>
      </c>
      <c r="F1560" s="1196">
        <f t="shared" si="51"/>
        <v>327.25050453369715</v>
      </c>
    </row>
    <row r="1561" spans="2:6">
      <c r="B1561" s="189">
        <v>40226</v>
      </c>
      <c r="C1561" s="2">
        <v>27192.58</v>
      </c>
      <c r="D1561" s="1196">
        <f t="shared" si="50"/>
        <v>210.01131435764955</v>
      </c>
      <c r="E1561" s="2">
        <v>2443.7199999999998</v>
      </c>
      <c r="F1561" s="1196">
        <f t="shared" si="51"/>
        <v>347.3067849123106</v>
      </c>
    </row>
    <row r="1562" spans="2:6">
      <c r="B1562" s="189">
        <v>40225</v>
      </c>
      <c r="C1562" s="2">
        <v>26939.8</v>
      </c>
      <c r="D1562" s="1196">
        <f t="shared" si="50"/>
        <v>208.05906635310839</v>
      </c>
      <c r="E1562" s="2">
        <v>2306.31</v>
      </c>
      <c r="F1562" s="1196">
        <f t="shared" si="51"/>
        <v>327.77777777777777</v>
      </c>
    </row>
    <row r="1563" spans="2:6">
      <c r="B1563" s="189">
        <v>40224</v>
      </c>
      <c r="C1563" s="2">
        <v>26701.360000000001</v>
      </c>
      <c r="D1563" s="1196">
        <f t="shared" si="50"/>
        <v>206.21756776064535</v>
      </c>
      <c r="E1563" s="2">
        <v>2405.84</v>
      </c>
      <c r="F1563" s="1196">
        <f t="shared" si="51"/>
        <v>341.9231971802962</v>
      </c>
    </row>
    <row r="1564" spans="2:6">
      <c r="B1564" s="189">
        <v>40221</v>
      </c>
      <c r="C1564" s="2">
        <v>26262.41</v>
      </c>
      <c r="D1564" s="1196">
        <f t="shared" si="50"/>
        <v>202.82750817684382</v>
      </c>
      <c r="E1564" s="2">
        <v>2228.3200000000002</v>
      </c>
      <c r="F1564" s="1196">
        <f t="shared" si="51"/>
        <v>316.6936698786277</v>
      </c>
    </row>
    <row r="1565" spans="2:6">
      <c r="B1565" s="189">
        <v>40220</v>
      </c>
      <c r="C1565" s="2">
        <v>26350.6</v>
      </c>
      <c r="D1565" s="1196">
        <f t="shared" si="50"/>
        <v>203.50860933801354</v>
      </c>
      <c r="E1565" s="2">
        <v>2284.0300000000002</v>
      </c>
      <c r="F1565" s="1196">
        <f t="shared" si="51"/>
        <v>324.61129586992985</v>
      </c>
    </row>
    <row r="1566" spans="2:6">
      <c r="B1566" s="189">
        <v>40219</v>
      </c>
      <c r="C1566" s="2">
        <v>26359.17</v>
      </c>
      <c r="D1566" s="1196">
        <f t="shared" si="50"/>
        <v>203.57479639948562</v>
      </c>
      <c r="E1566" s="2">
        <v>2228.3200000000002</v>
      </c>
      <c r="F1566" s="1196">
        <f t="shared" si="51"/>
        <v>316.6936698786277</v>
      </c>
    </row>
    <row r="1567" spans="2:6">
      <c r="B1567" s="189">
        <v>40218</v>
      </c>
      <c r="C1567" s="2">
        <v>26455.1</v>
      </c>
      <c r="D1567" s="1196">
        <f t="shared" si="50"/>
        <v>204.3156744399779</v>
      </c>
      <c r="E1567" s="2">
        <v>2206.0300000000002</v>
      </c>
      <c r="F1567" s="1196">
        <f t="shared" si="51"/>
        <v>313.52576674909756</v>
      </c>
    </row>
    <row r="1568" spans="2:6">
      <c r="B1568" s="189">
        <v>40217</v>
      </c>
      <c r="C1568" s="2">
        <v>26041.96</v>
      </c>
      <c r="D1568" s="1196">
        <f t="shared" si="50"/>
        <v>201.12494835169502</v>
      </c>
      <c r="E1568" s="2">
        <v>2198.61</v>
      </c>
      <c r="F1568" s="1196">
        <f t="shared" si="51"/>
        <v>312.47122026093632</v>
      </c>
    </row>
    <row r="1569" spans="2:6">
      <c r="B1569" s="189">
        <v>40214</v>
      </c>
      <c r="C1569" s="2">
        <v>25793.06</v>
      </c>
      <c r="D1569" s="1196">
        <f t="shared" si="50"/>
        <v>199.20266601792537</v>
      </c>
      <c r="E1569" s="2">
        <v>2302.6</v>
      </c>
      <c r="F1569" s="1196">
        <f t="shared" si="51"/>
        <v>327.25050453369715</v>
      </c>
    </row>
    <row r="1570" spans="2:6">
      <c r="B1570" s="189">
        <v>40213</v>
      </c>
      <c r="C1570" s="2">
        <v>26318.36</v>
      </c>
      <c r="D1570" s="1196">
        <f t="shared" si="50"/>
        <v>203.25961623861323</v>
      </c>
      <c r="E1570" s="2">
        <v>2183.75</v>
      </c>
      <c r="F1570" s="1196">
        <f t="shared" si="51"/>
        <v>310.35928484124952</v>
      </c>
    </row>
    <row r="1571" spans="2:6">
      <c r="B1571" s="189">
        <v>40212</v>
      </c>
      <c r="C1571" s="2">
        <v>26926.46</v>
      </c>
      <c r="D1571" s="1196">
        <f t="shared" si="50"/>
        <v>207.95604005205374</v>
      </c>
      <c r="E1571" s="2">
        <v>2191.1799999999998</v>
      </c>
      <c r="F1571" s="1196">
        <f t="shared" si="51"/>
        <v>311.41525255109286</v>
      </c>
    </row>
    <row r="1572" spans="2:6">
      <c r="B1572" s="189">
        <v>40211</v>
      </c>
      <c r="C1572" s="2">
        <v>26812.25</v>
      </c>
      <c r="D1572" s="1196">
        <f t="shared" si="50"/>
        <v>207.0739835420504</v>
      </c>
      <c r="E1572" s="2">
        <v>2154.04</v>
      </c>
      <c r="F1572" s="1196">
        <f t="shared" si="51"/>
        <v>306.13683522355814</v>
      </c>
    </row>
    <row r="1573" spans="2:6">
      <c r="B1573" s="189">
        <v>40210</v>
      </c>
      <c r="C1573" s="2">
        <v>26487.48</v>
      </c>
      <c r="D1573" s="1196">
        <f t="shared" si="50"/>
        <v>204.5657487749215</v>
      </c>
      <c r="E1573" s="2">
        <v>2154.04</v>
      </c>
      <c r="F1573" s="1196">
        <f t="shared" si="51"/>
        <v>306.13683522355814</v>
      </c>
    </row>
    <row r="1574" spans="2:6">
      <c r="B1574" s="189">
        <v>40207</v>
      </c>
      <c r="C1574" s="2">
        <v>26675.95</v>
      </c>
      <c r="D1574" s="1196">
        <f t="shared" si="50"/>
        <v>206.0213235095361</v>
      </c>
      <c r="E1574" s="2">
        <v>2191.1799999999998</v>
      </c>
      <c r="F1574" s="1196">
        <f t="shared" si="51"/>
        <v>311.41525255109286</v>
      </c>
    </row>
    <row r="1575" spans="2:6">
      <c r="B1575" s="189">
        <v>40206</v>
      </c>
      <c r="C1575" s="2">
        <v>26795.3</v>
      </c>
      <c r="D1575" s="1196">
        <f t="shared" si="50"/>
        <v>206.94307681020069</v>
      </c>
      <c r="E1575" s="2">
        <v>2154.04</v>
      </c>
      <c r="F1575" s="1196">
        <f t="shared" si="51"/>
        <v>306.13683522355814</v>
      </c>
    </row>
    <row r="1576" spans="2:6">
      <c r="B1576" s="189">
        <v>40205</v>
      </c>
      <c r="C1576" s="2">
        <v>26802.13</v>
      </c>
      <c r="D1576" s="1196">
        <f t="shared" si="50"/>
        <v>206.99582565849175</v>
      </c>
      <c r="E1576" s="2">
        <v>2154.04</v>
      </c>
      <c r="F1576" s="1196">
        <f t="shared" si="51"/>
        <v>306.13683522355814</v>
      </c>
    </row>
    <row r="1577" spans="2:6">
      <c r="B1577" s="189">
        <v>40204</v>
      </c>
      <c r="C1577" s="2">
        <v>26652.05</v>
      </c>
      <c r="D1577" s="1196">
        <f t="shared" si="50"/>
        <v>205.83674115607252</v>
      </c>
      <c r="E1577" s="2">
        <v>2154.04</v>
      </c>
      <c r="F1577" s="1196">
        <f t="shared" si="51"/>
        <v>306.13683522355814</v>
      </c>
    </row>
    <row r="1578" spans="2:6">
      <c r="B1578" s="189">
        <v>40203</v>
      </c>
      <c r="C1578" s="2">
        <v>27080.04</v>
      </c>
      <c r="D1578" s="1196">
        <f t="shared" si="50"/>
        <v>209.14215544305557</v>
      </c>
      <c r="E1578" s="2">
        <v>2190.44</v>
      </c>
      <c r="F1578" s="1196">
        <f t="shared" si="51"/>
        <v>311.31008214661324</v>
      </c>
    </row>
    <row r="1579" spans="2:6">
      <c r="B1579" s="189">
        <v>40200</v>
      </c>
      <c r="C1579" s="2">
        <v>27063.24</v>
      </c>
      <c r="D1579" s="1196">
        <f t="shared" si="50"/>
        <v>209.01240717785942</v>
      </c>
      <c r="E1579" s="2">
        <v>2154.04</v>
      </c>
      <c r="F1579" s="1196">
        <f t="shared" si="51"/>
        <v>306.13683522355814</v>
      </c>
    </row>
    <row r="1580" spans="2:6">
      <c r="B1580" s="189">
        <v>40199</v>
      </c>
      <c r="C1580" s="2">
        <v>27489.85</v>
      </c>
      <c r="D1580" s="1196">
        <f t="shared" si="50"/>
        <v>212.3071635716299</v>
      </c>
      <c r="E1580" s="2">
        <v>2191.1799999999998</v>
      </c>
      <c r="F1580" s="1196">
        <f t="shared" si="51"/>
        <v>311.41525255109286</v>
      </c>
    </row>
    <row r="1581" spans="2:6">
      <c r="B1581" s="189">
        <v>40198</v>
      </c>
      <c r="C1581" s="2">
        <v>27901.74</v>
      </c>
      <c r="D1581" s="1196">
        <f t="shared" si="50"/>
        <v>215.48823577113336</v>
      </c>
      <c r="E1581" s="2">
        <v>2191.1799999999998</v>
      </c>
      <c r="F1581" s="1196">
        <f t="shared" si="51"/>
        <v>311.41525255109286</v>
      </c>
    </row>
    <row r="1582" spans="2:6">
      <c r="B1582" s="189">
        <v>40197</v>
      </c>
      <c r="C1582" s="2">
        <v>28086.66</v>
      </c>
      <c r="D1582" s="1196">
        <f t="shared" si="50"/>
        <v>216.91639346161421</v>
      </c>
      <c r="E1582" s="2">
        <v>2161.4699999999998</v>
      </c>
      <c r="F1582" s="1196">
        <f t="shared" si="51"/>
        <v>307.19280293340154</v>
      </c>
    </row>
    <row r="1583" spans="2:6">
      <c r="B1583" s="189">
        <v>40196</v>
      </c>
      <c r="C1583" s="2">
        <v>28099.7</v>
      </c>
      <c r="D1583" s="1196">
        <f t="shared" si="50"/>
        <v>217.01710282936176</v>
      </c>
      <c r="E1583" s="2">
        <v>2168.9</v>
      </c>
      <c r="F1583" s="1196">
        <f t="shared" si="51"/>
        <v>308.24877064324494</v>
      </c>
    </row>
    <row r="1584" spans="2:6">
      <c r="B1584" s="189">
        <v>40193</v>
      </c>
      <c r="C1584" s="2">
        <v>27929.22</v>
      </c>
      <c r="D1584" s="1196">
        <f t="shared" si="50"/>
        <v>215.70046686206138</v>
      </c>
      <c r="E1584" s="2">
        <v>2168.9</v>
      </c>
      <c r="F1584" s="1196">
        <f t="shared" si="51"/>
        <v>308.24877064324494</v>
      </c>
    </row>
    <row r="1585" spans="2:6">
      <c r="B1585" s="189">
        <v>40192</v>
      </c>
      <c r="C1585" s="2">
        <v>28141.8</v>
      </c>
      <c r="D1585" s="1196">
        <f t="shared" si="50"/>
        <v>217.34224580345455</v>
      </c>
      <c r="E1585" s="2">
        <v>2168.9</v>
      </c>
      <c r="F1585" s="1196">
        <f t="shared" si="51"/>
        <v>308.24877064324494</v>
      </c>
    </row>
    <row r="1586" spans="2:6">
      <c r="B1586" s="189">
        <v>40191</v>
      </c>
      <c r="C1586" s="2">
        <v>28067</v>
      </c>
      <c r="D1586" s="1196">
        <f t="shared" si="50"/>
        <v>216.76455709889058</v>
      </c>
      <c r="E1586" s="2">
        <v>2168.9</v>
      </c>
      <c r="F1586" s="1196">
        <f t="shared" si="51"/>
        <v>308.24877064324494</v>
      </c>
    </row>
    <row r="1587" spans="2:6">
      <c r="B1587" s="189">
        <v>40190</v>
      </c>
      <c r="C1587" s="2">
        <v>28057.68</v>
      </c>
      <c r="D1587" s="1196">
        <f t="shared" si="50"/>
        <v>216.69257770415081</v>
      </c>
      <c r="E1587" s="2">
        <v>2191.1799999999998</v>
      </c>
      <c r="F1587" s="1196">
        <f t="shared" si="51"/>
        <v>311.41525255109286</v>
      </c>
    </row>
    <row r="1588" spans="2:6">
      <c r="B1588" s="189">
        <v>40189</v>
      </c>
      <c r="C1588" s="2">
        <v>28346.78</v>
      </c>
      <c r="D1588" s="1196">
        <f t="shared" si="50"/>
        <v>218.92532910106848</v>
      </c>
      <c r="E1588" s="2">
        <v>2191.1799999999998</v>
      </c>
      <c r="F1588" s="1196">
        <f t="shared" si="51"/>
        <v>311.41525255109286</v>
      </c>
    </row>
    <row r="1589" spans="2:6">
      <c r="B1589" s="189">
        <v>40186</v>
      </c>
      <c r="C1589" s="2">
        <v>28266.54</v>
      </c>
      <c r="D1589" s="1196">
        <f t="shared" si="50"/>
        <v>218.30562667253622</v>
      </c>
      <c r="E1589" s="2">
        <v>2215.69</v>
      </c>
      <c r="F1589" s="1196">
        <f t="shared" si="51"/>
        <v>314.89866689406216</v>
      </c>
    </row>
    <row r="1590" spans="2:6">
      <c r="B1590" s="189">
        <v>40185</v>
      </c>
      <c r="C1590" s="2">
        <v>28017.81</v>
      </c>
      <c r="D1590" s="1196">
        <f t="shared" si="50"/>
        <v>216.38465726764059</v>
      </c>
      <c r="E1590" s="2">
        <v>2215.69</v>
      </c>
      <c r="F1590" s="1196">
        <f t="shared" si="51"/>
        <v>314.89866689406216</v>
      </c>
    </row>
    <row r="1591" spans="2:6">
      <c r="B1591" s="189">
        <v>40184</v>
      </c>
      <c r="C1591" s="2">
        <v>28080.36</v>
      </c>
      <c r="D1591" s="1196">
        <f t="shared" si="50"/>
        <v>216.86773786216565</v>
      </c>
      <c r="E1591" s="2">
        <v>2228.3200000000002</v>
      </c>
      <c r="F1591" s="1196">
        <f t="shared" si="51"/>
        <v>316.6936698786277</v>
      </c>
    </row>
    <row r="1592" spans="2:6">
      <c r="B1592" s="189">
        <v>40183</v>
      </c>
      <c r="C1592" s="2">
        <v>27998.87</v>
      </c>
      <c r="D1592" s="1196">
        <f t="shared" si="50"/>
        <v>216.23838154485389</v>
      </c>
      <c r="E1592" s="2">
        <v>2228.3200000000002</v>
      </c>
      <c r="F1592" s="1196">
        <f t="shared" si="51"/>
        <v>316.6936698786277</v>
      </c>
    </row>
    <row r="1593" spans="2:6">
      <c r="B1593" s="189">
        <v>40182</v>
      </c>
      <c r="C1593" s="2">
        <v>27895.19</v>
      </c>
      <c r="D1593" s="1196">
        <f t="shared" si="50"/>
        <v>215.43764939392887</v>
      </c>
      <c r="E1593" s="2">
        <v>2228.3200000000002</v>
      </c>
      <c r="F1593" s="1196">
        <f t="shared" si="51"/>
        <v>316.6936698786277</v>
      </c>
    </row>
    <row r="1594" spans="2:6">
      <c r="B1594" s="189">
        <v>40178</v>
      </c>
      <c r="C1594" s="2">
        <v>27666.45</v>
      </c>
      <c r="D1594" s="1196">
        <f t="shared" si="50"/>
        <v>213.67106497839461</v>
      </c>
      <c r="E1594" s="2">
        <v>2188.9499999999998</v>
      </c>
      <c r="F1594" s="1196">
        <f t="shared" si="51"/>
        <v>311.09832011597166</v>
      </c>
    </row>
    <row r="1595" spans="2:6">
      <c r="B1595" s="189">
        <v>40177</v>
      </c>
      <c r="C1595" s="2">
        <v>27475.25</v>
      </c>
      <c r="D1595" s="1196">
        <f t="shared" si="50"/>
        <v>212.19440615068561</v>
      </c>
      <c r="E1595" s="2">
        <v>2187.54</v>
      </c>
      <c r="F1595" s="1196">
        <f t="shared" si="51"/>
        <v>310.8979278587874</v>
      </c>
    </row>
    <row r="1596" spans="2:6">
      <c r="B1596" s="189">
        <v>40176</v>
      </c>
      <c r="C1596" s="2">
        <v>27655.21</v>
      </c>
      <c r="D1596" s="1196">
        <f t="shared" si="50"/>
        <v>213.58425721048951</v>
      </c>
      <c r="E1596" s="2">
        <v>2160.71</v>
      </c>
      <c r="F1596" s="1196">
        <f t="shared" si="51"/>
        <v>307.08479008555753</v>
      </c>
    </row>
    <row r="1597" spans="2:6">
      <c r="B1597" s="189">
        <v>40175</v>
      </c>
      <c r="C1597" s="2">
        <v>27888.91</v>
      </c>
      <c r="D1597" s="1196">
        <f t="shared" si="50"/>
        <v>215.38914825670079</v>
      </c>
      <c r="E1597" s="2">
        <v>2259.56</v>
      </c>
      <c r="F1597" s="1196">
        <f t="shared" si="51"/>
        <v>321.13356641368915</v>
      </c>
    </row>
    <row r="1598" spans="2:6">
      <c r="B1598" s="189">
        <v>40171</v>
      </c>
      <c r="C1598" s="2">
        <v>27580.22</v>
      </c>
      <c r="D1598" s="1196">
        <f t="shared" si="50"/>
        <v>213.00510111483112</v>
      </c>
      <c r="E1598" s="2">
        <v>2259.56</v>
      </c>
      <c r="F1598" s="1196">
        <f t="shared" si="51"/>
        <v>321.13356641368915</v>
      </c>
    </row>
    <row r="1599" spans="2:6">
      <c r="B1599" s="189">
        <v>40170</v>
      </c>
      <c r="C1599" s="2">
        <v>27607.919999999998</v>
      </c>
      <c r="D1599" s="1196">
        <f t="shared" si="50"/>
        <v>213.21903129018432</v>
      </c>
      <c r="E1599" s="2">
        <v>2259.56</v>
      </c>
      <c r="F1599" s="1196">
        <f t="shared" si="51"/>
        <v>321.13356641368915</v>
      </c>
    </row>
    <row r="1600" spans="2:6">
      <c r="B1600" s="189">
        <v>40169</v>
      </c>
      <c r="C1600" s="2">
        <v>27621.93</v>
      </c>
      <c r="D1600" s="1196">
        <f t="shared" si="50"/>
        <v>213.32723207562472</v>
      </c>
      <c r="E1600" s="2">
        <v>2259.56</v>
      </c>
      <c r="F1600" s="1196">
        <f t="shared" si="51"/>
        <v>321.13356641368915</v>
      </c>
    </row>
    <row r="1601" spans="2:6">
      <c r="B1601" s="189">
        <v>40168</v>
      </c>
      <c r="C1601" s="2">
        <v>27495.42</v>
      </c>
      <c r="D1601" s="1196">
        <f t="shared" si="50"/>
        <v>212.35018130003129</v>
      </c>
      <c r="E1601" s="2">
        <v>2259.56</v>
      </c>
      <c r="F1601" s="1196">
        <f t="shared" si="51"/>
        <v>321.13356641368915</v>
      </c>
    </row>
    <row r="1602" spans="2:6">
      <c r="B1602" s="189">
        <v>40165</v>
      </c>
      <c r="C1602" s="2">
        <v>27346</v>
      </c>
      <c r="D1602" s="1196">
        <f t="shared" si="50"/>
        <v>211.19619405088756</v>
      </c>
      <c r="E1602" s="2">
        <v>2330.17</v>
      </c>
      <c r="F1602" s="1196">
        <f t="shared" si="51"/>
        <v>331.16881271140676</v>
      </c>
    </row>
    <row r="1603" spans="2:6">
      <c r="B1603" s="189">
        <v>40164</v>
      </c>
      <c r="C1603" s="2">
        <v>27130.01</v>
      </c>
      <c r="D1603" s="1196">
        <f t="shared" si="50"/>
        <v>209.52807930090401</v>
      </c>
      <c r="E1603" s="2">
        <v>2012.42</v>
      </c>
      <c r="F1603" s="1196">
        <f t="shared" si="51"/>
        <v>286.00949376083685</v>
      </c>
    </row>
    <row r="1604" spans="2:6">
      <c r="B1604" s="189">
        <v>40162</v>
      </c>
      <c r="C1604" s="2">
        <v>27098.45</v>
      </c>
      <c r="D1604" s="1196">
        <f t="shared" si="50"/>
        <v>209.28433791699973</v>
      </c>
      <c r="E1604" s="2">
        <v>2012.42</v>
      </c>
      <c r="F1604" s="1196">
        <f t="shared" si="51"/>
        <v>286.00949376083685</v>
      </c>
    </row>
    <row r="1605" spans="2:6">
      <c r="B1605" s="189">
        <v>40161</v>
      </c>
      <c r="C1605" s="2">
        <v>27240.75</v>
      </c>
      <c r="D1605" s="1196">
        <f t="shared" si="50"/>
        <v>210.38333661565551</v>
      </c>
      <c r="E1605" s="2">
        <v>2047.73</v>
      </c>
      <c r="F1605" s="1196">
        <f t="shared" si="51"/>
        <v>291.02782752053662</v>
      </c>
    </row>
    <row r="1606" spans="2:6">
      <c r="B1606" s="189">
        <v>40158</v>
      </c>
      <c r="C1606" s="2">
        <v>27108.89</v>
      </c>
      <c r="D1606" s="1196">
        <f t="shared" si="50"/>
        <v>209.36496719608596</v>
      </c>
      <c r="E1606" s="2">
        <v>1977.12</v>
      </c>
      <c r="F1606" s="1196">
        <f t="shared" si="51"/>
        <v>280.99258122281913</v>
      </c>
    </row>
    <row r="1607" spans="2:6">
      <c r="B1607" s="189">
        <v>40157</v>
      </c>
      <c r="C1607" s="2">
        <v>26901.279999999999</v>
      </c>
      <c r="D1607" s="1196">
        <f t="shared" si="50"/>
        <v>207.76157211647995</v>
      </c>
      <c r="E1607" s="2">
        <v>1998.3</v>
      </c>
      <c r="F1607" s="1196">
        <f t="shared" si="51"/>
        <v>284.00272874562972</v>
      </c>
    </row>
    <row r="1608" spans="2:6">
      <c r="B1608" s="189">
        <v>40156</v>
      </c>
      <c r="C1608" s="2">
        <v>26730.06</v>
      </c>
      <c r="D1608" s="1196">
        <f t="shared" si="50"/>
        <v>206.43922104702219</v>
      </c>
      <c r="E1608" s="2">
        <v>1977.12</v>
      </c>
      <c r="F1608" s="1196">
        <f t="shared" si="51"/>
        <v>280.99258122281913</v>
      </c>
    </row>
    <row r="1609" spans="2:6">
      <c r="B1609" s="189">
        <v>40155</v>
      </c>
      <c r="C1609" s="2">
        <v>26990.92</v>
      </c>
      <c r="D1609" s="1196">
        <f t="shared" si="50"/>
        <v>208.4538717886339</v>
      </c>
      <c r="E1609" s="2">
        <v>1977.12</v>
      </c>
      <c r="F1609" s="1196">
        <f t="shared" si="51"/>
        <v>280.99258122281913</v>
      </c>
    </row>
    <row r="1610" spans="2:6">
      <c r="B1610" s="189">
        <v>40154</v>
      </c>
      <c r="C1610" s="2">
        <v>27144.49</v>
      </c>
      <c r="D1610" s="1196">
        <f t="shared" si="50"/>
        <v>209.63990994852551</v>
      </c>
      <c r="E1610" s="2">
        <v>1977.82</v>
      </c>
      <c r="F1610" s="1196">
        <f t="shared" si="51"/>
        <v>281.09206674057015</v>
      </c>
    </row>
    <row r="1611" spans="2:6">
      <c r="B1611" s="189">
        <v>40151</v>
      </c>
      <c r="C1611" s="2">
        <v>27390.31</v>
      </c>
      <c r="D1611" s="1196">
        <f t="shared" si="50"/>
        <v>211.53840510034252</v>
      </c>
      <c r="E1611" s="2">
        <v>1977.12</v>
      </c>
      <c r="F1611" s="1196">
        <f t="shared" si="51"/>
        <v>280.99258122281913</v>
      </c>
    </row>
    <row r="1612" spans="2:6">
      <c r="B1612" s="189">
        <v>40150</v>
      </c>
      <c r="C1612" s="2">
        <v>27314.09</v>
      </c>
      <c r="D1612" s="1196">
        <f t="shared" ref="D1612:D1675" si="52">C1612/$C$2759*100</f>
        <v>210.94974957812505</v>
      </c>
      <c r="E1612" s="2">
        <v>2047.73</v>
      </c>
      <c r="F1612" s="1196">
        <f t="shared" ref="F1612:F1675" si="53">E1612/$E$2759*100</f>
        <v>291.02782752053662</v>
      </c>
    </row>
    <row r="1613" spans="2:6">
      <c r="B1613" s="189">
        <v>40149</v>
      </c>
      <c r="C1613" s="2">
        <v>27429.759999999998</v>
      </c>
      <c r="D1613" s="1196">
        <f t="shared" si="52"/>
        <v>211.84308183022281</v>
      </c>
      <c r="E1613" s="2">
        <v>2061.85</v>
      </c>
      <c r="F1613" s="1196">
        <f t="shared" si="53"/>
        <v>293.03459253574374</v>
      </c>
    </row>
    <row r="1614" spans="2:6">
      <c r="B1614" s="189">
        <v>40148</v>
      </c>
      <c r="C1614" s="2">
        <v>27277.5</v>
      </c>
      <c r="D1614" s="1196">
        <f t="shared" si="52"/>
        <v>210.6671609457722</v>
      </c>
      <c r="E1614" s="2">
        <v>2100.69</v>
      </c>
      <c r="F1614" s="1196">
        <f t="shared" si="53"/>
        <v>298.55461754924534</v>
      </c>
    </row>
    <row r="1615" spans="2:6">
      <c r="B1615" s="189">
        <v>40147</v>
      </c>
      <c r="C1615" s="2">
        <v>26894.74</v>
      </c>
      <c r="D1615" s="1196">
        <f t="shared" si="52"/>
        <v>207.71106297038574</v>
      </c>
      <c r="E1615" s="2">
        <v>2107.75</v>
      </c>
      <c r="F1615" s="1196">
        <f t="shared" si="53"/>
        <v>299.55800005684887</v>
      </c>
    </row>
    <row r="1616" spans="2:6">
      <c r="B1616" s="189">
        <v>40144</v>
      </c>
      <c r="C1616" s="2">
        <v>26808.74</v>
      </c>
      <c r="D1616" s="1196">
        <f t="shared" si="52"/>
        <v>207.04687542235766</v>
      </c>
      <c r="E1616" s="2">
        <v>2118.34</v>
      </c>
      <c r="F1616" s="1196">
        <f t="shared" si="53"/>
        <v>301.06307381825422</v>
      </c>
    </row>
    <row r="1617" spans="2:6">
      <c r="B1617" s="189">
        <v>40143</v>
      </c>
      <c r="C1617" s="2">
        <v>27025.61</v>
      </c>
      <c r="D1617" s="1196">
        <f t="shared" si="52"/>
        <v>208.72178651004199</v>
      </c>
      <c r="E1617" s="2">
        <v>2075.9699999999998</v>
      </c>
      <c r="F1617" s="1196">
        <f t="shared" si="53"/>
        <v>295.04135755095081</v>
      </c>
    </row>
    <row r="1618" spans="2:6">
      <c r="B1618" s="189">
        <v>40142</v>
      </c>
      <c r="C1618" s="2">
        <v>27489.24</v>
      </c>
      <c r="D1618" s="1196">
        <f t="shared" si="52"/>
        <v>212.30245247390559</v>
      </c>
      <c r="E1618" s="2">
        <v>2090.1</v>
      </c>
      <c r="F1618" s="1196">
        <f t="shared" si="53"/>
        <v>297.04954378784004</v>
      </c>
    </row>
    <row r="1619" spans="2:6">
      <c r="B1619" s="189">
        <v>40141</v>
      </c>
      <c r="C1619" s="2">
        <v>27377.54</v>
      </c>
      <c r="D1619" s="1196">
        <f t="shared" si="52"/>
        <v>211.43978097257138</v>
      </c>
      <c r="E1619" s="2">
        <v>2100.69</v>
      </c>
      <c r="F1619" s="1196">
        <f t="shared" si="53"/>
        <v>298.55461754924534</v>
      </c>
    </row>
    <row r="1620" spans="2:6">
      <c r="B1620" s="189">
        <v>40140</v>
      </c>
      <c r="C1620" s="2">
        <v>27423.47</v>
      </c>
      <c r="D1620" s="1196">
        <f t="shared" si="52"/>
        <v>211.79450346188452</v>
      </c>
      <c r="E1620" s="2">
        <v>2118.34</v>
      </c>
      <c r="F1620" s="1196">
        <f t="shared" si="53"/>
        <v>301.06307381825422</v>
      </c>
    </row>
    <row r="1621" spans="2:6">
      <c r="B1621" s="189">
        <v>40137</v>
      </c>
      <c r="C1621" s="2">
        <v>26929.25</v>
      </c>
      <c r="D1621" s="1196">
        <f t="shared" si="52"/>
        <v>207.97758753180955</v>
      </c>
      <c r="E1621" s="2">
        <v>2090.1</v>
      </c>
      <c r="F1621" s="1196">
        <f t="shared" si="53"/>
        <v>297.04954378784004</v>
      </c>
    </row>
    <row r="1622" spans="2:6">
      <c r="B1622" s="189">
        <v>40136</v>
      </c>
      <c r="C1622" s="2">
        <v>27059.21</v>
      </c>
      <c r="D1622" s="1196">
        <f t="shared" si="52"/>
        <v>208.98128304043433</v>
      </c>
      <c r="E1622" s="2">
        <v>2111.2800000000002</v>
      </c>
      <c r="F1622" s="1196">
        <f t="shared" si="53"/>
        <v>300.05969131065069</v>
      </c>
    </row>
    <row r="1623" spans="2:6">
      <c r="B1623" s="189">
        <v>40135</v>
      </c>
      <c r="C1623" s="2">
        <v>27210.639999999999</v>
      </c>
      <c r="D1623" s="1196">
        <f t="shared" si="52"/>
        <v>210.15079374273546</v>
      </c>
      <c r="E1623" s="2">
        <v>2111.2800000000002</v>
      </c>
      <c r="F1623" s="1196">
        <f t="shared" si="53"/>
        <v>300.05969131065069</v>
      </c>
    </row>
    <row r="1624" spans="2:6">
      <c r="B1624" s="189">
        <v>40134</v>
      </c>
      <c r="C1624" s="2">
        <v>27246.400000000001</v>
      </c>
      <c r="D1624" s="1196">
        <f t="shared" si="52"/>
        <v>210.42697219293876</v>
      </c>
      <c r="E1624" s="2">
        <v>2083.0300000000002</v>
      </c>
      <c r="F1624" s="1196">
        <f t="shared" si="53"/>
        <v>296.04474005855434</v>
      </c>
    </row>
    <row r="1625" spans="2:6">
      <c r="B1625" s="189">
        <v>40133</v>
      </c>
      <c r="C1625" s="2">
        <v>27104.29</v>
      </c>
      <c r="D1625" s="1196">
        <f t="shared" si="52"/>
        <v>209.32944088537747</v>
      </c>
      <c r="E1625" s="2">
        <v>2083.0300000000002</v>
      </c>
      <c r="F1625" s="1196">
        <f t="shared" si="53"/>
        <v>296.04474005855434</v>
      </c>
    </row>
    <row r="1626" spans="2:6">
      <c r="B1626" s="189">
        <v>40130</v>
      </c>
      <c r="C1626" s="2">
        <v>26695.24</v>
      </c>
      <c r="D1626" s="1196">
        <f t="shared" si="52"/>
        <v>206.17030232118103</v>
      </c>
      <c r="E1626" s="2">
        <v>1991.24</v>
      </c>
      <c r="F1626" s="1196">
        <f t="shared" si="53"/>
        <v>282.99934623802619</v>
      </c>
    </row>
    <row r="1627" spans="2:6">
      <c r="B1627" s="189">
        <v>40129</v>
      </c>
      <c r="C1627" s="2">
        <v>26687.98</v>
      </c>
      <c r="D1627" s="1196">
        <f t="shared" si="52"/>
        <v>206.1142325351498</v>
      </c>
      <c r="E1627" s="2">
        <v>1906.51</v>
      </c>
      <c r="F1627" s="1196">
        <f t="shared" si="53"/>
        <v>270.95733492510163</v>
      </c>
    </row>
    <row r="1628" spans="2:6">
      <c r="B1628" s="189">
        <v>40128</v>
      </c>
      <c r="C1628" s="2">
        <v>26662.54</v>
      </c>
      <c r="D1628" s="1196">
        <f t="shared" si="52"/>
        <v>205.9177565907099</v>
      </c>
      <c r="E1628" s="2">
        <v>1924.86</v>
      </c>
      <c r="F1628" s="1196">
        <f t="shared" si="53"/>
        <v>273.56527671186149</v>
      </c>
    </row>
    <row r="1629" spans="2:6">
      <c r="B1629" s="189">
        <v>40127</v>
      </c>
      <c r="C1629" s="2">
        <v>26375.93</v>
      </c>
      <c r="D1629" s="1196">
        <f t="shared" si="52"/>
        <v>203.7042357402409</v>
      </c>
      <c r="E1629" s="2">
        <v>1977.12</v>
      </c>
      <c r="F1629" s="1196">
        <f t="shared" si="53"/>
        <v>280.99258122281913</v>
      </c>
    </row>
    <row r="1630" spans="2:6">
      <c r="B1630" s="189">
        <v>40126</v>
      </c>
      <c r="C1630" s="2">
        <v>26345.01</v>
      </c>
      <c r="D1630" s="1196">
        <f t="shared" si="52"/>
        <v>203.46543714739173</v>
      </c>
      <c r="E1630" s="2">
        <v>1977.12</v>
      </c>
      <c r="F1630" s="1196">
        <f t="shared" si="53"/>
        <v>280.99258122281913</v>
      </c>
    </row>
    <row r="1631" spans="2:6">
      <c r="B1631" s="189">
        <v>40123</v>
      </c>
      <c r="C1631" s="2">
        <v>25933.45</v>
      </c>
      <c r="D1631" s="1196">
        <f t="shared" si="52"/>
        <v>200.28691357452607</v>
      </c>
      <c r="E1631" s="2">
        <v>1977.12</v>
      </c>
      <c r="F1631" s="1196">
        <f t="shared" si="53"/>
        <v>280.99258122281913</v>
      </c>
    </row>
    <row r="1632" spans="2:6">
      <c r="B1632" s="189">
        <v>40122</v>
      </c>
      <c r="C1632" s="2">
        <v>25897.8</v>
      </c>
      <c r="D1632" s="1196">
        <f t="shared" si="52"/>
        <v>200.01158466653538</v>
      </c>
      <c r="E1632" s="2">
        <v>1976.41</v>
      </c>
      <c r="F1632" s="1196">
        <f t="shared" si="53"/>
        <v>280.89167448338594</v>
      </c>
    </row>
    <row r="1633" spans="2:6">
      <c r="B1633" s="189">
        <v>40121</v>
      </c>
      <c r="C1633" s="2">
        <v>25924.5</v>
      </c>
      <c r="D1633" s="1196">
        <f t="shared" si="52"/>
        <v>200.21779173086506</v>
      </c>
      <c r="E1633" s="2">
        <v>2011.72</v>
      </c>
      <c r="F1633" s="1196">
        <f t="shared" si="53"/>
        <v>285.91000824308577</v>
      </c>
    </row>
    <row r="1634" spans="2:6">
      <c r="B1634" s="189">
        <v>40120</v>
      </c>
      <c r="C1634" s="2">
        <v>25755.599999999999</v>
      </c>
      <c r="D1634" s="1196">
        <f t="shared" si="52"/>
        <v>198.91335827898195</v>
      </c>
      <c r="E1634" s="2">
        <v>2104.2199999999998</v>
      </c>
      <c r="F1634" s="1196">
        <f t="shared" si="53"/>
        <v>299.0563088030471</v>
      </c>
    </row>
    <row r="1635" spans="2:6">
      <c r="B1635" s="189">
        <v>40119</v>
      </c>
      <c r="C1635" s="2">
        <v>26112.73</v>
      </c>
      <c r="D1635" s="1196">
        <f t="shared" si="52"/>
        <v>201.67151291883397</v>
      </c>
      <c r="E1635" s="2">
        <v>2013.13</v>
      </c>
      <c r="F1635" s="1196">
        <f t="shared" si="53"/>
        <v>286.11040050027003</v>
      </c>
    </row>
    <row r="1636" spans="2:6">
      <c r="B1636" s="189">
        <v>40116</v>
      </c>
      <c r="C1636" s="2">
        <v>26360.55</v>
      </c>
      <c r="D1636" s="1196">
        <f t="shared" si="52"/>
        <v>203.58545429269816</v>
      </c>
      <c r="E1636" s="2">
        <v>2104.2199999999998</v>
      </c>
      <c r="F1636" s="1196">
        <f t="shared" si="53"/>
        <v>299.0563088030471</v>
      </c>
    </row>
    <row r="1637" spans="2:6">
      <c r="B1637" s="189">
        <v>40115</v>
      </c>
      <c r="C1637" s="2">
        <v>26549.41</v>
      </c>
      <c r="D1637" s="1196">
        <f t="shared" si="52"/>
        <v>205.04404104061197</v>
      </c>
      <c r="E1637" s="2">
        <v>2104.2199999999998</v>
      </c>
      <c r="F1637" s="1196">
        <f t="shared" si="53"/>
        <v>299.0563088030471</v>
      </c>
    </row>
    <row r="1638" spans="2:6">
      <c r="B1638" s="189">
        <v>40114</v>
      </c>
      <c r="C1638" s="2">
        <v>26056.48</v>
      </c>
      <c r="D1638" s="1196">
        <f t="shared" si="52"/>
        <v>201.23708792375746</v>
      </c>
      <c r="E1638" s="2">
        <v>2104.2199999999998</v>
      </c>
      <c r="F1638" s="1196">
        <f t="shared" si="53"/>
        <v>299.0563088030471</v>
      </c>
    </row>
    <row r="1639" spans="2:6">
      <c r="B1639" s="189">
        <v>40113</v>
      </c>
      <c r="C1639" s="2">
        <v>26518.720000000001</v>
      </c>
      <c r="D1639" s="1196">
        <f t="shared" si="52"/>
        <v>204.80701876329826</v>
      </c>
      <c r="E1639" s="2">
        <v>2104.2199999999998</v>
      </c>
      <c r="F1639" s="1196">
        <f t="shared" si="53"/>
        <v>299.0563088030471</v>
      </c>
    </row>
    <row r="1640" spans="2:6">
      <c r="B1640" s="189">
        <v>40112</v>
      </c>
      <c r="C1640" s="2">
        <v>26910.080000000002</v>
      </c>
      <c r="D1640" s="1196">
        <f t="shared" si="52"/>
        <v>207.8295354934875</v>
      </c>
      <c r="E1640" s="2">
        <v>2104.2199999999998</v>
      </c>
      <c r="F1640" s="1196">
        <f t="shared" si="53"/>
        <v>299.0563088030471</v>
      </c>
    </row>
    <row r="1641" spans="2:6">
      <c r="B1641" s="189">
        <v>40109</v>
      </c>
      <c r="C1641" s="2">
        <v>26802.07</v>
      </c>
      <c r="D1641" s="1196">
        <f t="shared" si="52"/>
        <v>206.99536227183034</v>
      </c>
      <c r="E1641" s="2">
        <v>2104.2199999999998</v>
      </c>
      <c r="F1641" s="1196">
        <f t="shared" si="53"/>
        <v>299.0563088030471</v>
      </c>
    </row>
    <row r="1642" spans="2:6">
      <c r="B1642" s="189">
        <v>40108</v>
      </c>
      <c r="C1642" s="2">
        <v>26731.89</v>
      </c>
      <c r="D1642" s="1196">
        <f t="shared" si="52"/>
        <v>206.45335434019532</v>
      </c>
      <c r="E1642" s="2">
        <v>2104.2199999999998</v>
      </c>
      <c r="F1642" s="1196">
        <f t="shared" si="53"/>
        <v>299.0563088030471</v>
      </c>
    </row>
    <row r="1643" spans="2:6">
      <c r="B1643" s="189">
        <v>40107</v>
      </c>
      <c r="C1643" s="2">
        <v>26564.65</v>
      </c>
      <c r="D1643" s="1196">
        <f t="shared" si="52"/>
        <v>205.16174125261139</v>
      </c>
      <c r="E1643" s="2">
        <v>2083.0300000000002</v>
      </c>
      <c r="F1643" s="1196">
        <f t="shared" si="53"/>
        <v>296.04474005855434</v>
      </c>
    </row>
    <row r="1644" spans="2:6">
      <c r="B1644" s="189">
        <v>40106</v>
      </c>
      <c r="C1644" s="2">
        <v>26444.03</v>
      </c>
      <c r="D1644" s="1196">
        <f t="shared" si="52"/>
        <v>204.23017960094688</v>
      </c>
      <c r="E1644" s="2">
        <v>2111.2800000000002</v>
      </c>
      <c r="F1644" s="1196">
        <f t="shared" si="53"/>
        <v>300.05969131065069</v>
      </c>
    </row>
    <row r="1645" spans="2:6">
      <c r="B1645" s="189">
        <v>40105</v>
      </c>
      <c r="C1645" s="2">
        <v>26425.06</v>
      </c>
      <c r="D1645" s="1196">
        <f t="shared" si="52"/>
        <v>204.08367218482951</v>
      </c>
      <c r="E1645" s="2">
        <v>2111.2800000000002</v>
      </c>
      <c r="F1645" s="1196">
        <f t="shared" si="53"/>
        <v>300.05969131065069</v>
      </c>
    </row>
    <row r="1646" spans="2:6">
      <c r="B1646" s="189">
        <v>40102</v>
      </c>
      <c r="C1646" s="2">
        <v>25997.65</v>
      </c>
      <c r="D1646" s="1196">
        <f t="shared" si="52"/>
        <v>200.78273730224012</v>
      </c>
      <c r="E1646" s="2">
        <v>2111.2800000000002</v>
      </c>
      <c r="F1646" s="1196">
        <f t="shared" si="53"/>
        <v>300.05969131065069</v>
      </c>
    </row>
    <row r="1647" spans="2:6">
      <c r="B1647" s="189">
        <v>40101</v>
      </c>
      <c r="C1647" s="2">
        <v>26182.65</v>
      </c>
      <c r="D1647" s="1196">
        <f t="shared" si="52"/>
        <v>202.21151284160288</v>
      </c>
      <c r="E1647" s="2">
        <v>2118.34</v>
      </c>
      <c r="F1647" s="1196">
        <f t="shared" si="53"/>
        <v>301.06307381825422</v>
      </c>
    </row>
    <row r="1648" spans="2:6">
      <c r="B1648" s="189">
        <v>40100</v>
      </c>
      <c r="C1648" s="2">
        <v>26056.41</v>
      </c>
      <c r="D1648" s="1196">
        <f t="shared" si="52"/>
        <v>201.23654730598579</v>
      </c>
      <c r="E1648" s="2">
        <v>2061.14</v>
      </c>
      <c r="F1648" s="1196">
        <f t="shared" si="53"/>
        <v>292.9336857963105</v>
      </c>
    </row>
    <row r="1649" spans="2:6">
      <c r="B1649" s="189">
        <v>40099</v>
      </c>
      <c r="C1649" s="2">
        <v>25670.29</v>
      </c>
      <c r="D1649" s="1196">
        <f t="shared" si="52"/>
        <v>198.25449967756012</v>
      </c>
      <c r="E1649" s="2">
        <v>1977.12</v>
      </c>
      <c r="F1649" s="1196">
        <f t="shared" si="53"/>
        <v>280.99258122281913</v>
      </c>
    </row>
    <row r="1650" spans="2:6">
      <c r="B1650" s="189">
        <v>40098</v>
      </c>
      <c r="C1650" s="2">
        <v>25630.16</v>
      </c>
      <c r="D1650" s="1196">
        <f t="shared" si="52"/>
        <v>197.94457123218376</v>
      </c>
      <c r="E1650" s="2">
        <v>1906.51</v>
      </c>
      <c r="F1650" s="1196">
        <f t="shared" si="53"/>
        <v>270.95733492510163</v>
      </c>
    </row>
    <row r="1651" spans="2:6">
      <c r="B1651" s="189">
        <v>40095</v>
      </c>
      <c r="C1651" s="2">
        <v>25380.05</v>
      </c>
      <c r="D1651" s="1196">
        <f t="shared" si="52"/>
        <v>196.01294393407554</v>
      </c>
      <c r="E1651" s="2">
        <v>1906.51</v>
      </c>
      <c r="F1651" s="1196">
        <f t="shared" si="53"/>
        <v>270.95733492510163</v>
      </c>
    </row>
    <row r="1652" spans="2:6">
      <c r="B1652" s="189">
        <v>40094</v>
      </c>
      <c r="C1652" s="2">
        <v>25528.400000000001</v>
      </c>
      <c r="D1652" s="1196">
        <f t="shared" si="52"/>
        <v>197.15866745442401</v>
      </c>
      <c r="E1652" s="2">
        <v>1853.55</v>
      </c>
      <c r="F1652" s="1196">
        <f t="shared" si="53"/>
        <v>263.43054489639297</v>
      </c>
    </row>
    <row r="1653" spans="2:6">
      <c r="B1653" s="189">
        <v>40093</v>
      </c>
      <c r="C1653" s="2">
        <v>25298.97</v>
      </c>
      <c r="D1653" s="1196">
        <f t="shared" si="52"/>
        <v>195.38675409228347</v>
      </c>
      <c r="E1653" s="2">
        <v>1853.55</v>
      </c>
      <c r="F1653" s="1196">
        <f t="shared" si="53"/>
        <v>263.43054489639297</v>
      </c>
    </row>
    <row r="1654" spans="2:6">
      <c r="B1654" s="189">
        <v>40092</v>
      </c>
      <c r="C1654" s="2">
        <v>25019.72</v>
      </c>
      <c r="D1654" s="1196">
        <f t="shared" si="52"/>
        <v>193.23007533894804</v>
      </c>
      <c r="E1654" s="2">
        <v>1853.55</v>
      </c>
      <c r="F1654" s="1196">
        <f t="shared" si="53"/>
        <v>263.43054489639297</v>
      </c>
    </row>
    <row r="1655" spans="2:6">
      <c r="B1655" s="189">
        <v>40091</v>
      </c>
      <c r="C1655" s="2">
        <v>24661.53</v>
      </c>
      <c r="D1655" s="1196">
        <f t="shared" si="52"/>
        <v>190.463734201411</v>
      </c>
      <c r="E1655" s="2">
        <v>1853.55</v>
      </c>
      <c r="F1655" s="1196">
        <f t="shared" si="53"/>
        <v>263.43054489639297</v>
      </c>
    </row>
    <row r="1656" spans="2:6">
      <c r="B1656" s="189">
        <v>40088</v>
      </c>
      <c r="C1656" s="2">
        <v>24519.759999999998</v>
      </c>
      <c r="D1656" s="1196">
        <f t="shared" si="52"/>
        <v>189.3688287515977</v>
      </c>
      <c r="E1656" s="2">
        <v>1853.55</v>
      </c>
      <c r="F1656" s="1196">
        <f t="shared" si="53"/>
        <v>263.43054489639297</v>
      </c>
    </row>
    <row r="1657" spans="2:6">
      <c r="B1657" s="189">
        <v>40087</v>
      </c>
      <c r="C1657" s="2">
        <v>24966.87</v>
      </c>
      <c r="D1657" s="1196">
        <f t="shared" si="52"/>
        <v>192.82190892135168</v>
      </c>
      <c r="E1657" s="2">
        <v>1853.55</v>
      </c>
      <c r="F1657" s="1196">
        <f t="shared" si="53"/>
        <v>263.43054489639297</v>
      </c>
    </row>
    <row r="1658" spans="2:6">
      <c r="B1658" s="189">
        <v>40086</v>
      </c>
      <c r="C1658" s="2">
        <v>24910.85</v>
      </c>
      <c r="D1658" s="1196">
        <f t="shared" si="52"/>
        <v>192.3892602418106</v>
      </c>
      <c r="E1658" s="2">
        <v>1853.55</v>
      </c>
      <c r="F1658" s="1196">
        <f t="shared" si="53"/>
        <v>263.43054489639297</v>
      </c>
    </row>
    <row r="1659" spans="2:6">
      <c r="B1659" s="189">
        <v>40085</v>
      </c>
      <c r="C1659" s="2">
        <v>24855.11</v>
      </c>
      <c r="D1659" s="1196">
        <f t="shared" si="52"/>
        <v>191.95877403335612</v>
      </c>
      <c r="E1659" s="2">
        <v>1853.55</v>
      </c>
      <c r="F1659" s="1196">
        <f t="shared" si="53"/>
        <v>263.43054489639297</v>
      </c>
    </row>
    <row r="1660" spans="2:6">
      <c r="B1660" s="189">
        <v>40084</v>
      </c>
      <c r="C1660" s="2">
        <v>24993.96</v>
      </c>
      <c r="D1660" s="1196">
        <f t="shared" si="52"/>
        <v>193.03112799898054</v>
      </c>
      <c r="E1660" s="2">
        <v>1871.2</v>
      </c>
      <c r="F1660" s="1196">
        <f t="shared" si="53"/>
        <v>265.93900116540181</v>
      </c>
    </row>
    <row r="1661" spans="2:6">
      <c r="B1661" s="189">
        <v>40081</v>
      </c>
      <c r="C1661" s="2">
        <v>24944.83</v>
      </c>
      <c r="D1661" s="1196">
        <f t="shared" si="52"/>
        <v>192.65169155439196</v>
      </c>
      <c r="E1661" s="2">
        <v>1871.2</v>
      </c>
      <c r="F1661" s="1196">
        <f t="shared" si="53"/>
        <v>265.93900116540181</v>
      </c>
    </row>
    <row r="1662" spans="2:6">
      <c r="B1662" s="189">
        <v>40079</v>
      </c>
      <c r="C1662" s="2">
        <v>25362.93</v>
      </c>
      <c r="D1662" s="1196">
        <f t="shared" si="52"/>
        <v>195.8807242733518</v>
      </c>
      <c r="E1662" s="2">
        <v>1832.36</v>
      </c>
      <c r="F1662" s="1196">
        <f t="shared" si="53"/>
        <v>260.41897615190015</v>
      </c>
    </row>
    <row r="1663" spans="2:6">
      <c r="B1663" s="189">
        <v>40078</v>
      </c>
      <c r="C1663" s="2">
        <v>25456.11</v>
      </c>
      <c r="D1663" s="1196">
        <f t="shared" si="52"/>
        <v>196.60036375852923</v>
      </c>
      <c r="E1663" s="2">
        <v>1832.36</v>
      </c>
      <c r="F1663" s="1196">
        <f t="shared" si="53"/>
        <v>260.41897615190015</v>
      </c>
    </row>
    <row r="1664" spans="2:6">
      <c r="B1664" s="189">
        <v>40077</v>
      </c>
      <c r="C1664" s="2">
        <v>25340.639999999999</v>
      </c>
      <c r="D1664" s="1196">
        <f t="shared" si="52"/>
        <v>195.70857612863614</v>
      </c>
      <c r="E1664" s="2">
        <v>1828.83</v>
      </c>
      <c r="F1664" s="1196">
        <f t="shared" si="53"/>
        <v>259.91728489809839</v>
      </c>
    </row>
    <row r="1665" spans="2:6">
      <c r="B1665" s="189">
        <v>40074</v>
      </c>
      <c r="C1665" s="2">
        <v>25792.05</v>
      </c>
      <c r="D1665" s="1196">
        <f t="shared" si="52"/>
        <v>199.19486567579153</v>
      </c>
      <c r="E1665" s="2">
        <v>1832.36</v>
      </c>
      <c r="F1665" s="1196">
        <f t="shared" si="53"/>
        <v>260.41897615190015</v>
      </c>
    </row>
    <row r="1666" spans="2:6">
      <c r="B1666" s="189">
        <v>40073</v>
      </c>
      <c r="C1666" s="2">
        <v>25920.77</v>
      </c>
      <c r="D1666" s="1196">
        <f t="shared" si="52"/>
        <v>200.18898452674711</v>
      </c>
      <c r="E1666" s="2">
        <v>1832.36</v>
      </c>
      <c r="F1666" s="1196">
        <f t="shared" si="53"/>
        <v>260.41897615190015</v>
      </c>
    </row>
    <row r="1667" spans="2:6">
      <c r="B1667" s="189">
        <v>40072</v>
      </c>
      <c r="C1667" s="2">
        <v>25578.75</v>
      </c>
      <c r="D1667" s="1196">
        <f t="shared" si="52"/>
        <v>197.54752609446138</v>
      </c>
      <c r="E1667" s="2">
        <v>1870.49</v>
      </c>
      <c r="F1667" s="1196">
        <f t="shared" si="53"/>
        <v>265.83809442596856</v>
      </c>
    </row>
    <row r="1668" spans="2:6">
      <c r="B1668" s="189">
        <v>40071</v>
      </c>
      <c r="C1668" s="2">
        <v>25217.56</v>
      </c>
      <c r="D1668" s="1196">
        <f t="shared" si="52"/>
        <v>194.75801562385362</v>
      </c>
      <c r="E1668" s="2">
        <v>1870.49</v>
      </c>
      <c r="F1668" s="1196">
        <f t="shared" si="53"/>
        <v>265.83809442596856</v>
      </c>
    </row>
    <row r="1669" spans="2:6">
      <c r="B1669" s="189">
        <v>40070</v>
      </c>
      <c r="C1669" s="2">
        <v>25164.26</v>
      </c>
      <c r="D1669" s="1196">
        <f t="shared" si="52"/>
        <v>194.34637380629664</v>
      </c>
      <c r="E1669" s="2">
        <v>1870.49</v>
      </c>
      <c r="F1669" s="1196">
        <f t="shared" si="53"/>
        <v>265.83809442596856</v>
      </c>
    </row>
    <row r="1670" spans="2:6">
      <c r="B1670" s="189">
        <v>40067</v>
      </c>
      <c r="C1670" s="2">
        <v>25567.39</v>
      </c>
      <c r="D1670" s="1196">
        <f t="shared" si="52"/>
        <v>197.45979155323349</v>
      </c>
      <c r="E1670" s="2">
        <v>1839.42</v>
      </c>
      <c r="F1670" s="1196">
        <f t="shared" si="53"/>
        <v>261.42235865950374</v>
      </c>
    </row>
    <row r="1671" spans="2:6">
      <c r="B1671" s="189">
        <v>40066</v>
      </c>
      <c r="C1671" s="2">
        <v>25315.86</v>
      </c>
      <c r="D1671" s="1196">
        <f t="shared" si="52"/>
        <v>195.51719743747179</v>
      </c>
      <c r="E1671" s="2">
        <v>1853.55</v>
      </c>
      <c r="F1671" s="1196">
        <f t="shared" si="53"/>
        <v>263.43054489639297</v>
      </c>
    </row>
    <row r="1672" spans="2:6">
      <c r="B1672" s="189">
        <v>40065</v>
      </c>
      <c r="C1672" s="2">
        <v>25085.919999999998</v>
      </c>
      <c r="D1672" s="1196">
        <f t="shared" si="52"/>
        <v>193.7413452887092</v>
      </c>
      <c r="E1672" s="2">
        <v>1853.55</v>
      </c>
      <c r="F1672" s="1196">
        <f t="shared" si="53"/>
        <v>263.43054489639297</v>
      </c>
    </row>
    <row r="1673" spans="2:6">
      <c r="B1673" s="189">
        <v>40064</v>
      </c>
      <c r="C1673" s="2">
        <v>25226.16</v>
      </c>
      <c r="D1673" s="1196">
        <f t="shared" si="52"/>
        <v>194.82443437865641</v>
      </c>
      <c r="E1673" s="2">
        <v>1835.89</v>
      </c>
      <c r="F1673" s="1196">
        <f t="shared" si="53"/>
        <v>260.92066740570192</v>
      </c>
    </row>
    <row r="1674" spans="2:6">
      <c r="B1674" s="189">
        <v>40063</v>
      </c>
      <c r="C1674" s="2">
        <v>25020.93</v>
      </c>
      <c r="D1674" s="1196">
        <f t="shared" si="52"/>
        <v>193.23942030328658</v>
      </c>
      <c r="E1674" s="2">
        <v>1835.89</v>
      </c>
      <c r="F1674" s="1196">
        <f t="shared" si="53"/>
        <v>260.92066740570192</v>
      </c>
    </row>
    <row r="1675" spans="2:6">
      <c r="B1675" s="189">
        <v>40060</v>
      </c>
      <c r="C1675" s="2">
        <v>24719.17</v>
      </c>
      <c r="D1675" s="1196">
        <f t="shared" si="52"/>
        <v>190.9088943208103</v>
      </c>
      <c r="E1675" s="2">
        <v>1835.89</v>
      </c>
      <c r="F1675" s="1196">
        <f t="shared" si="53"/>
        <v>260.92066740570192</v>
      </c>
    </row>
    <row r="1676" spans="2:6">
      <c r="B1676" s="189">
        <v>40059</v>
      </c>
      <c r="C1676" s="2">
        <v>24623.08</v>
      </c>
      <c r="D1676" s="1196">
        <f t="shared" ref="D1676:D1739" si="54">C1676/$C$2759*100</f>
        <v>190.16678058255428</v>
      </c>
      <c r="E1676" s="2">
        <v>1765.28</v>
      </c>
      <c r="F1676" s="1196">
        <f t="shared" ref="F1676:F1739" si="55">E1676/$E$2759*100</f>
        <v>250.88542110798443</v>
      </c>
    </row>
    <row r="1677" spans="2:6">
      <c r="B1677" s="189">
        <v>40058</v>
      </c>
      <c r="C1677" s="2">
        <v>24536.21</v>
      </c>
      <c r="D1677" s="1196">
        <f t="shared" si="54"/>
        <v>189.49587392793566</v>
      </c>
      <c r="E1677" s="2">
        <v>1729.98</v>
      </c>
      <c r="F1677" s="1196">
        <f t="shared" si="55"/>
        <v>245.86850856996674</v>
      </c>
    </row>
    <row r="1678" spans="2:6">
      <c r="B1678" s="189">
        <v>40057</v>
      </c>
      <c r="C1678" s="2">
        <v>24812.2</v>
      </c>
      <c r="D1678" s="1196">
        <f t="shared" si="54"/>
        <v>191.62737533933421</v>
      </c>
      <c r="E1678" s="2">
        <v>1695.38</v>
      </c>
      <c r="F1678" s="1196">
        <f t="shared" si="55"/>
        <v>240.95108154970015</v>
      </c>
    </row>
    <row r="1679" spans="2:6">
      <c r="B1679" s="189">
        <v>40056</v>
      </c>
      <c r="C1679" s="2">
        <v>24929.42</v>
      </c>
      <c r="D1679" s="1196">
        <f t="shared" si="54"/>
        <v>192.53267841351854</v>
      </c>
      <c r="E1679" s="2">
        <v>1729.98</v>
      </c>
      <c r="F1679" s="1196">
        <f t="shared" si="55"/>
        <v>245.86850856996674</v>
      </c>
    </row>
    <row r="1680" spans="2:6">
      <c r="B1680" s="189">
        <v>40053</v>
      </c>
      <c r="C1680" s="2">
        <v>25241.25</v>
      </c>
      <c r="D1680" s="1196">
        <f t="shared" si="54"/>
        <v>194.94097612400228</v>
      </c>
      <c r="E1680" s="2">
        <v>1729.98</v>
      </c>
      <c r="F1680" s="1196">
        <f t="shared" si="55"/>
        <v>245.86850856996674</v>
      </c>
    </row>
    <row r="1681" spans="2:6">
      <c r="B1681" s="189">
        <v>40052</v>
      </c>
      <c r="C1681" s="2">
        <v>24994.65</v>
      </c>
      <c r="D1681" s="1196">
        <f t="shared" si="54"/>
        <v>193.03645694558685</v>
      </c>
      <c r="E1681" s="2">
        <v>1729.98</v>
      </c>
      <c r="F1681" s="1196">
        <f t="shared" si="55"/>
        <v>245.86850856996674</v>
      </c>
    </row>
    <row r="1682" spans="2:6">
      <c r="B1682" s="189">
        <v>40051</v>
      </c>
      <c r="C1682" s="2">
        <v>25113.88</v>
      </c>
      <c r="D1682" s="1196">
        <f t="shared" si="54"/>
        <v>193.95728347292857</v>
      </c>
      <c r="E1682" s="2">
        <v>1729.98</v>
      </c>
      <c r="F1682" s="1196">
        <f t="shared" si="55"/>
        <v>245.86850856996674</v>
      </c>
    </row>
    <row r="1683" spans="2:6">
      <c r="B1683" s="189">
        <v>40050</v>
      </c>
      <c r="C1683" s="2">
        <v>25186.1</v>
      </c>
      <c r="D1683" s="1196">
        <f t="shared" si="54"/>
        <v>194.51504655105168</v>
      </c>
      <c r="E1683" s="2">
        <v>1729.98</v>
      </c>
      <c r="F1683" s="1196">
        <f t="shared" si="55"/>
        <v>245.86850856996674</v>
      </c>
    </row>
    <row r="1684" spans="2:6">
      <c r="B1684" s="189">
        <v>40049</v>
      </c>
      <c r="C1684" s="2">
        <v>25274.69</v>
      </c>
      <c r="D1684" s="1196">
        <f t="shared" si="54"/>
        <v>195.19923695663087</v>
      </c>
      <c r="E1684" s="2">
        <v>1729.98</v>
      </c>
      <c r="F1684" s="1196">
        <f t="shared" si="55"/>
        <v>245.86850856996674</v>
      </c>
    </row>
    <row r="1685" spans="2:6">
      <c r="B1685" s="189">
        <v>40046</v>
      </c>
      <c r="C1685" s="2">
        <v>24878.71</v>
      </c>
      <c r="D1685" s="1196">
        <f t="shared" si="54"/>
        <v>192.14103945351266</v>
      </c>
      <c r="E1685" s="2">
        <v>1729.98</v>
      </c>
      <c r="F1685" s="1196">
        <f t="shared" si="55"/>
        <v>245.86850856996674</v>
      </c>
    </row>
    <row r="1686" spans="2:6">
      <c r="B1686" s="189">
        <v>40045</v>
      </c>
      <c r="C1686" s="2">
        <v>24601.69</v>
      </c>
      <c r="D1686" s="1196">
        <f t="shared" si="54"/>
        <v>190.00158323775983</v>
      </c>
      <c r="E1686" s="2">
        <v>1729.98</v>
      </c>
      <c r="F1686" s="1196">
        <f t="shared" si="55"/>
        <v>245.86850856996674</v>
      </c>
    </row>
    <row r="1687" spans="2:6">
      <c r="B1687" s="189">
        <v>40044</v>
      </c>
      <c r="C1687" s="2">
        <v>24259.54</v>
      </c>
      <c r="D1687" s="1196">
        <f t="shared" si="54"/>
        <v>187.35912080104109</v>
      </c>
      <c r="E1687" s="2">
        <v>1722.92</v>
      </c>
      <c r="F1687" s="1196">
        <f t="shared" si="55"/>
        <v>244.86512606236323</v>
      </c>
    </row>
    <row r="1688" spans="2:6">
      <c r="B1688" s="189">
        <v>40043</v>
      </c>
      <c r="C1688" s="2">
        <v>24255.88</v>
      </c>
      <c r="D1688" s="1196">
        <f t="shared" si="54"/>
        <v>187.33085421469477</v>
      </c>
      <c r="E1688" s="2">
        <v>1744.1</v>
      </c>
      <c r="F1688" s="1196">
        <f t="shared" si="55"/>
        <v>247.87527358517377</v>
      </c>
    </row>
    <row r="1689" spans="2:6">
      <c r="B1689" s="189">
        <v>40042</v>
      </c>
      <c r="C1689" s="2">
        <v>24074.12</v>
      </c>
      <c r="D1689" s="1196">
        <f t="shared" si="54"/>
        <v>185.92710155504841</v>
      </c>
      <c r="E1689" s="2">
        <v>1799.88</v>
      </c>
      <c r="F1689" s="1196">
        <f t="shared" si="55"/>
        <v>255.80284812825104</v>
      </c>
    </row>
    <row r="1690" spans="2:6">
      <c r="B1690" s="189">
        <v>40039</v>
      </c>
      <c r="C1690" s="2">
        <v>24815.77</v>
      </c>
      <c r="D1690" s="1196">
        <f t="shared" si="54"/>
        <v>191.65494684568839</v>
      </c>
      <c r="E1690" s="2">
        <v>1799.88</v>
      </c>
      <c r="F1690" s="1196">
        <f t="shared" si="55"/>
        <v>255.80284812825104</v>
      </c>
    </row>
    <row r="1691" spans="2:6">
      <c r="B1691" s="189">
        <v>40038</v>
      </c>
      <c r="C1691" s="2">
        <v>25009.89</v>
      </c>
      <c r="D1691" s="1196">
        <f t="shared" si="54"/>
        <v>193.15415715758621</v>
      </c>
      <c r="E1691" s="2">
        <v>1799.88</v>
      </c>
      <c r="F1691" s="1196">
        <f t="shared" si="55"/>
        <v>255.80284812825104</v>
      </c>
    </row>
    <row r="1692" spans="2:6">
      <c r="B1692" s="189">
        <v>40037</v>
      </c>
      <c r="C1692" s="2">
        <v>24588.45</v>
      </c>
      <c r="D1692" s="1196">
        <f t="shared" si="54"/>
        <v>189.8993292478076</v>
      </c>
      <c r="E1692" s="2">
        <v>1800.59</v>
      </c>
      <c r="F1692" s="1196">
        <f t="shared" si="55"/>
        <v>255.90375486768426</v>
      </c>
    </row>
    <row r="1693" spans="2:6">
      <c r="B1693" s="189">
        <v>40036</v>
      </c>
      <c r="C1693" s="2">
        <v>24681.68</v>
      </c>
      <c r="D1693" s="1196">
        <f t="shared" si="54"/>
        <v>190.61935488853621</v>
      </c>
      <c r="E1693" s="2">
        <v>1800.59</v>
      </c>
      <c r="F1693" s="1196">
        <f t="shared" si="55"/>
        <v>255.90375486768426</v>
      </c>
    </row>
    <row r="1694" spans="2:6">
      <c r="B1694" s="189">
        <v>40032</v>
      </c>
      <c r="C1694" s="2">
        <v>25071.01</v>
      </c>
      <c r="D1694" s="1196">
        <f t="shared" si="54"/>
        <v>193.62619370334758</v>
      </c>
      <c r="E1694" s="2">
        <v>1765.28</v>
      </c>
      <c r="F1694" s="1196">
        <f t="shared" si="55"/>
        <v>250.88542110798443</v>
      </c>
    </row>
    <row r="1695" spans="2:6">
      <c r="B1695" s="189">
        <v>40031</v>
      </c>
      <c r="C1695" s="2">
        <v>25045.68</v>
      </c>
      <c r="D1695" s="1196">
        <f t="shared" si="54"/>
        <v>193.43056730112025</v>
      </c>
      <c r="E1695" s="2">
        <v>1729.98</v>
      </c>
      <c r="F1695" s="1196">
        <f t="shared" si="55"/>
        <v>245.86850856996674</v>
      </c>
    </row>
    <row r="1696" spans="2:6">
      <c r="B1696" s="189">
        <v>40030</v>
      </c>
      <c r="C1696" s="2">
        <v>24908.79</v>
      </c>
      <c r="D1696" s="1196">
        <f t="shared" si="54"/>
        <v>192.37335063310204</v>
      </c>
      <c r="E1696" s="2">
        <v>1729.98</v>
      </c>
      <c r="F1696" s="1196">
        <f t="shared" si="55"/>
        <v>245.86850856996674</v>
      </c>
    </row>
    <row r="1697" spans="2:6">
      <c r="B1697" s="189">
        <v>40029</v>
      </c>
      <c r="C1697" s="2">
        <v>24835.58</v>
      </c>
      <c r="D1697" s="1196">
        <f t="shared" si="54"/>
        <v>191.80794167506556</v>
      </c>
      <c r="E1697" s="2">
        <v>1765.28</v>
      </c>
      <c r="F1697" s="1196">
        <f t="shared" si="55"/>
        <v>250.88542110798443</v>
      </c>
    </row>
    <row r="1698" spans="2:6">
      <c r="B1698" s="189">
        <v>40028</v>
      </c>
      <c r="C1698" s="2">
        <v>24805.91</v>
      </c>
      <c r="D1698" s="1196">
        <f t="shared" si="54"/>
        <v>191.57879697099588</v>
      </c>
      <c r="E1698" s="2">
        <v>1782.94</v>
      </c>
      <c r="F1698" s="1196">
        <f t="shared" si="55"/>
        <v>253.39529859867542</v>
      </c>
    </row>
    <row r="1699" spans="2:6">
      <c r="B1699" s="189">
        <v>40025</v>
      </c>
      <c r="C1699" s="2">
        <v>24258.51</v>
      </c>
      <c r="D1699" s="1196">
        <f t="shared" si="54"/>
        <v>187.35116599668677</v>
      </c>
      <c r="E1699" s="2">
        <v>1764.58</v>
      </c>
      <c r="F1699" s="1196">
        <f t="shared" si="55"/>
        <v>250.78593559023338</v>
      </c>
    </row>
    <row r="1700" spans="2:6">
      <c r="B1700" s="189">
        <v>40024</v>
      </c>
      <c r="C1700" s="2">
        <v>24067.41</v>
      </c>
      <c r="D1700" s="1196">
        <f t="shared" si="54"/>
        <v>185.87527948008017</v>
      </c>
      <c r="E1700" s="2">
        <v>1765.28</v>
      </c>
      <c r="F1700" s="1196">
        <f t="shared" si="55"/>
        <v>250.88542110798443</v>
      </c>
    </row>
    <row r="1701" spans="2:6">
      <c r="B1701" s="189">
        <v>40023</v>
      </c>
      <c r="C1701" s="2">
        <v>23589.29</v>
      </c>
      <c r="D1701" s="1196">
        <f t="shared" si="54"/>
        <v>182.1827056374849</v>
      </c>
      <c r="E1701" s="2">
        <v>1765.28</v>
      </c>
      <c r="F1701" s="1196">
        <f t="shared" si="55"/>
        <v>250.88542110798443</v>
      </c>
    </row>
    <row r="1702" spans="2:6">
      <c r="B1702" s="189">
        <v>40022</v>
      </c>
      <c r="C1702" s="2">
        <v>23768.39</v>
      </c>
      <c r="D1702" s="1196">
        <f t="shared" si="54"/>
        <v>183.56591482180852</v>
      </c>
      <c r="E1702" s="2">
        <v>1765.28</v>
      </c>
      <c r="F1702" s="1196">
        <f t="shared" si="55"/>
        <v>250.88542110798443</v>
      </c>
    </row>
    <row r="1703" spans="2:6">
      <c r="B1703" s="189">
        <v>40021</v>
      </c>
      <c r="C1703" s="2">
        <v>23931.64</v>
      </c>
      <c r="D1703" s="1196">
        <f t="shared" si="54"/>
        <v>184.82671269640835</v>
      </c>
      <c r="E1703" s="2">
        <v>1765.28</v>
      </c>
      <c r="F1703" s="1196">
        <f t="shared" si="55"/>
        <v>250.88542110798443</v>
      </c>
    </row>
    <row r="1704" spans="2:6">
      <c r="B1704" s="189">
        <v>40018</v>
      </c>
      <c r="C1704" s="2">
        <v>23943.98</v>
      </c>
      <c r="D1704" s="1196">
        <f t="shared" si="54"/>
        <v>184.92201588643937</v>
      </c>
      <c r="E1704" s="2">
        <v>1765.28</v>
      </c>
      <c r="F1704" s="1196">
        <f t="shared" si="55"/>
        <v>250.88542110798443</v>
      </c>
    </row>
    <row r="1705" spans="2:6">
      <c r="B1705" s="189">
        <v>40017</v>
      </c>
      <c r="C1705" s="2">
        <v>23913.55</v>
      </c>
      <c r="D1705" s="1196">
        <f t="shared" si="54"/>
        <v>184.68700161799177</v>
      </c>
      <c r="E1705" s="2">
        <v>1729.98</v>
      </c>
      <c r="F1705" s="1196">
        <f t="shared" si="55"/>
        <v>245.86850856996674</v>
      </c>
    </row>
    <row r="1706" spans="2:6">
      <c r="B1706" s="189">
        <v>40016</v>
      </c>
      <c r="C1706" s="2">
        <v>23607.81</v>
      </c>
      <c r="D1706" s="1196">
        <f t="shared" si="54"/>
        <v>182.32573765364165</v>
      </c>
      <c r="E1706" s="2">
        <v>1694.67</v>
      </c>
      <c r="F1706" s="1196">
        <f t="shared" si="55"/>
        <v>240.85017481026688</v>
      </c>
    </row>
    <row r="1707" spans="2:6">
      <c r="B1707" s="189">
        <v>40015</v>
      </c>
      <c r="C1707" s="2">
        <v>23857.98</v>
      </c>
      <c r="D1707" s="1196">
        <f t="shared" si="54"/>
        <v>184.25782833841129</v>
      </c>
      <c r="E1707" s="2">
        <v>1694.67</v>
      </c>
      <c r="F1707" s="1196">
        <f t="shared" si="55"/>
        <v>240.85017481026688</v>
      </c>
    </row>
    <row r="1708" spans="2:6">
      <c r="B1708" s="189">
        <v>40014</v>
      </c>
      <c r="C1708" s="2">
        <v>23655.48</v>
      </c>
      <c r="D1708" s="1196">
        <f t="shared" si="54"/>
        <v>182.69389835613583</v>
      </c>
      <c r="E1708" s="2">
        <v>1693.97</v>
      </c>
      <c r="F1708" s="1196">
        <f t="shared" si="55"/>
        <v>240.75068929251583</v>
      </c>
    </row>
    <row r="1709" spans="2:6">
      <c r="B1709" s="189">
        <v>40011</v>
      </c>
      <c r="C1709" s="2">
        <v>23543.11</v>
      </c>
      <c r="D1709" s="1196">
        <f t="shared" si="54"/>
        <v>181.82605237041588</v>
      </c>
      <c r="E1709" s="2">
        <v>1693.97</v>
      </c>
      <c r="F1709" s="1196">
        <f t="shared" si="55"/>
        <v>240.75068929251583</v>
      </c>
    </row>
    <row r="1710" spans="2:6">
      <c r="B1710" s="189">
        <v>40010</v>
      </c>
      <c r="C1710" s="2">
        <v>23499.99</v>
      </c>
      <c r="D1710" s="1196">
        <f t="shared" si="54"/>
        <v>181.49303182307898</v>
      </c>
      <c r="E1710" s="2">
        <v>1684.08</v>
      </c>
      <c r="F1710" s="1196">
        <f t="shared" si="55"/>
        <v>239.34510104886161</v>
      </c>
    </row>
    <row r="1711" spans="2:6">
      <c r="B1711" s="189">
        <v>40009</v>
      </c>
      <c r="C1711" s="2">
        <v>23569.19</v>
      </c>
      <c r="D1711" s="1196">
        <f t="shared" si="54"/>
        <v>182.02747110591088</v>
      </c>
      <c r="E1711" s="2">
        <v>1684.08</v>
      </c>
      <c r="F1711" s="1196">
        <f t="shared" si="55"/>
        <v>239.34510104886161</v>
      </c>
    </row>
    <row r="1712" spans="2:6">
      <c r="B1712" s="189">
        <v>40008</v>
      </c>
      <c r="C1712" s="2">
        <v>22956.47</v>
      </c>
      <c r="D1712" s="1196">
        <f t="shared" si="54"/>
        <v>177.2953665195414</v>
      </c>
      <c r="E1712" s="2">
        <v>1684.08</v>
      </c>
      <c r="F1712" s="1196">
        <f t="shared" si="55"/>
        <v>239.34510104886161</v>
      </c>
    </row>
    <row r="1713" spans="2:6">
      <c r="B1713" s="189">
        <v>40007</v>
      </c>
      <c r="C1713" s="2">
        <v>22469.77</v>
      </c>
      <c r="D1713" s="1196">
        <f t="shared" si="54"/>
        <v>173.53652838436381</v>
      </c>
      <c r="E1713" s="2">
        <v>1677.02</v>
      </c>
      <c r="F1713" s="1196">
        <f t="shared" si="55"/>
        <v>238.34171854125805</v>
      </c>
    </row>
    <row r="1714" spans="2:6">
      <c r="B1714" s="189">
        <v>40004</v>
      </c>
      <c r="C1714" s="2">
        <v>22313.41</v>
      </c>
      <c r="D1714" s="1196">
        <f t="shared" si="54"/>
        <v>172.32894274471644</v>
      </c>
      <c r="E1714" s="2">
        <v>1673.49</v>
      </c>
      <c r="F1714" s="1196">
        <f t="shared" si="55"/>
        <v>237.84002728745631</v>
      </c>
    </row>
    <row r="1715" spans="2:6">
      <c r="B1715" s="189">
        <v>40003</v>
      </c>
      <c r="C1715" s="2">
        <v>22157.88</v>
      </c>
      <c r="D1715" s="1196">
        <f t="shared" si="54"/>
        <v>171.12776728721866</v>
      </c>
      <c r="E1715" s="2">
        <v>1659.37</v>
      </c>
      <c r="F1715" s="1196">
        <f t="shared" si="55"/>
        <v>235.83326227224921</v>
      </c>
    </row>
    <row r="1716" spans="2:6">
      <c r="B1716" s="189">
        <v>40002</v>
      </c>
      <c r="C1716" s="2">
        <v>22014.05</v>
      </c>
      <c r="D1716" s="1196">
        <f t="shared" si="54"/>
        <v>170.01695222869677</v>
      </c>
      <c r="E1716" s="2">
        <v>1659.37</v>
      </c>
      <c r="F1716" s="1196">
        <f t="shared" si="55"/>
        <v>235.83326227224921</v>
      </c>
    </row>
    <row r="1717" spans="2:6">
      <c r="B1717" s="189">
        <v>40001</v>
      </c>
      <c r="C1717" s="2">
        <v>21880.639999999999</v>
      </c>
      <c r="D1717" s="1196">
        <f t="shared" si="54"/>
        <v>168.98661198704062</v>
      </c>
      <c r="E1717" s="2">
        <v>1659.37</v>
      </c>
      <c r="F1717" s="1196">
        <f t="shared" si="55"/>
        <v>235.83326227224921</v>
      </c>
    </row>
    <row r="1718" spans="2:6">
      <c r="B1718" s="189">
        <v>40000</v>
      </c>
      <c r="C1718" s="2">
        <v>21665.9</v>
      </c>
      <c r="D1718" s="1196">
        <f t="shared" si="54"/>
        <v>167.32815112583651</v>
      </c>
      <c r="E1718" s="2">
        <v>1659.37</v>
      </c>
      <c r="F1718" s="1196">
        <f t="shared" si="55"/>
        <v>235.83326227224921</v>
      </c>
    </row>
    <row r="1719" spans="2:6">
      <c r="B1719" s="189">
        <v>39997</v>
      </c>
      <c r="C1719" s="2">
        <v>22234.35</v>
      </c>
      <c r="D1719" s="1196">
        <f t="shared" si="54"/>
        <v>171.71835358719198</v>
      </c>
      <c r="E1719" s="2">
        <v>1659.37</v>
      </c>
      <c r="F1719" s="1196">
        <f t="shared" si="55"/>
        <v>235.83326227224921</v>
      </c>
    </row>
    <row r="1720" spans="2:6">
      <c r="B1720" s="189">
        <v>39996</v>
      </c>
      <c r="C1720" s="2">
        <v>22185.47</v>
      </c>
      <c r="D1720" s="1196">
        <f t="shared" si="54"/>
        <v>171.34084792035929</v>
      </c>
      <c r="E1720" s="2">
        <v>1659.37</v>
      </c>
      <c r="F1720" s="1196">
        <f t="shared" si="55"/>
        <v>235.83326227224921</v>
      </c>
    </row>
    <row r="1721" spans="2:6">
      <c r="B1721" s="189">
        <v>39995</v>
      </c>
      <c r="C1721" s="2">
        <v>22710.16</v>
      </c>
      <c r="D1721" s="1196">
        <f t="shared" si="54"/>
        <v>175.39308704332279</v>
      </c>
      <c r="E1721" s="2">
        <v>1659.37</v>
      </c>
      <c r="F1721" s="1196">
        <f t="shared" si="55"/>
        <v>235.83326227224921</v>
      </c>
    </row>
    <row r="1722" spans="2:6">
      <c r="B1722" s="189">
        <v>39994</v>
      </c>
      <c r="C1722" s="2">
        <v>22049.42</v>
      </c>
      <c r="D1722" s="1196">
        <f t="shared" si="54"/>
        <v>170.29011866560086</v>
      </c>
      <c r="E1722" s="2">
        <v>1659.37</v>
      </c>
      <c r="F1722" s="1196">
        <f t="shared" si="55"/>
        <v>235.83326227224921</v>
      </c>
    </row>
    <row r="1723" spans="2:6">
      <c r="B1723" s="189">
        <v>39993</v>
      </c>
      <c r="C1723" s="2">
        <v>22304.23</v>
      </c>
      <c r="D1723" s="1196">
        <f t="shared" si="54"/>
        <v>172.25804458551994</v>
      </c>
      <c r="E1723" s="2">
        <v>1684.08</v>
      </c>
      <c r="F1723" s="1196">
        <f t="shared" si="55"/>
        <v>239.34510104886161</v>
      </c>
    </row>
    <row r="1724" spans="2:6">
      <c r="B1724" s="189">
        <v>39990</v>
      </c>
      <c r="C1724" s="2">
        <v>22308.28</v>
      </c>
      <c r="D1724" s="1196">
        <f t="shared" si="54"/>
        <v>172.28932318516544</v>
      </c>
      <c r="E1724" s="2">
        <v>1669.25</v>
      </c>
      <c r="F1724" s="1196">
        <f t="shared" si="55"/>
        <v>237.2374292942213</v>
      </c>
    </row>
    <row r="1725" spans="2:6">
      <c r="B1725" s="189">
        <v>39989</v>
      </c>
      <c r="C1725" s="2">
        <v>22156.17</v>
      </c>
      <c r="D1725" s="1196">
        <f t="shared" si="54"/>
        <v>171.11456076736832</v>
      </c>
      <c r="E1725" s="2">
        <v>1669.25</v>
      </c>
      <c r="F1725" s="1196">
        <f t="shared" si="55"/>
        <v>237.2374292942213</v>
      </c>
    </row>
    <row r="1726" spans="2:6">
      <c r="B1726" s="189">
        <v>39988</v>
      </c>
      <c r="C1726" s="2">
        <v>22391.38</v>
      </c>
      <c r="D1726" s="1196">
        <f t="shared" si="54"/>
        <v>172.93111371122515</v>
      </c>
      <c r="E1726" s="2">
        <v>1637.89</v>
      </c>
      <c r="F1726" s="1196">
        <f t="shared" si="55"/>
        <v>232.7804780989739</v>
      </c>
    </row>
    <row r="1727" spans="2:6">
      <c r="B1727" s="189">
        <v>39987</v>
      </c>
      <c r="C1727" s="2">
        <v>21842.45</v>
      </c>
      <c r="D1727" s="1196">
        <f t="shared" si="54"/>
        <v>168.69166637705001</v>
      </c>
      <c r="E1727" s="2">
        <v>1637.89</v>
      </c>
      <c r="F1727" s="1196">
        <f t="shared" si="55"/>
        <v>232.7804780989739</v>
      </c>
    </row>
    <row r="1728" spans="2:6">
      <c r="B1728" s="189">
        <v>39986</v>
      </c>
      <c r="C1728" s="2">
        <v>21941.34</v>
      </c>
      <c r="D1728" s="1196">
        <f t="shared" si="54"/>
        <v>169.45540482617207</v>
      </c>
      <c r="E1728" s="2">
        <v>1637.89</v>
      </c>
      <c r="F1728" s="1196">
        <f t="shared" si="55"/>
        <v>232.7804780989739</v>
      </c>
    </row>
    <row r="1729" spans="2:6">
      <c r="B1729" s="189">
        <v>39983</v>
      </c>
      <c r="C1729" s="2">
        <v>22394.57</v>
      </c>
      <c r="D1729" s="1196">
        <f t="shared" si="54"/>
        <v>172.95575043539037</v>
      </c>
      <c r="E1729" s="2">
        <v>1637.89</v>
      </c>
      <c r="F1729" s="1196">
        <f t="shared" si="55"/>
        <v>232.7804780989739</v>
      </c>
    </row>
    <row r="1730" spans="2:6">
      <c r="B1730" s="189">
        <v>39982</v>
      </c>
      <c r="C1730" s="2">
        <v>22156.41</v>
      </c>
      <c r="D1730" s="1196">
        <f t="shared" si="54"/>
        <v>171.11641431401395</v>
      </c>
      <c r="E1730" s="2">
        <v>1637.89</v>
      </c>
      <c r="F1730" s="1196">
        <f t="shared" si="55"/>
        <v>232.7804780989739</v>
      </c>
    </row>
    <row r="1731" spans="2:6">
      <c r="B1731" s="189">
        <v>39981</v>
      </c>
      <c r="C1731" s="2">
        <v>21948.66</v>
      </c>
      <c r="D1731" s="1196">
        <f t="shared" si="54"/>
        <v>169.51193799886471</v>
      </c>
      <c r="E1731" s="2">
        <v>1637.89</v>
      </c>
      <c r="F1731" s="1196">
        <f t="shared" si="55"/>
        <v>232.7804780989739</v>
      </c>
    </row>
    <row r="1732" spans="2:6">
      <c r="B1732" s="189">
        <v>39979</v>
      </c>
      <c r="C1732" s="2">
        <v>22618.89</v>
      </c>
      <c r="D1732" s="1196">
        <f t="shared" si="54"/>
        <v>174.68819870020042</v>
      </c>
      <c r="E1732" s="2">
        <v>1637.89</v>
      </c>
      <c r="F1732" s="1196">
        <f t="shared" si="55"/>
        <v>232.7804780989739</v>
      </c>
    </row>
    <row r="1733" spans="2:6">
      <c r="B1733" s="189">
        <v>39976</v>
      </c>
      <c r="C1733" s="2">
        <v>22915.06</v>
      </c>
      <c r="D1733" s="1196">
        <f t="shared" si="54"/>
        <v>176.97555249205485</v>
      </c>
      <c r="E1733" s="2">
        <v>1637.89</v>
      </c>
      <c r="F1733" s="1196">
        <f t="shared" si="55"/>
        <v>232.7804780989739</v>
      </c>
    </row>
    <row r="1734" spans="2:6">
      <c r="B1734" s="189">
        <v>39975</v>
      </c>
      <c r="C1734" s="2">
        <v>23057.32</v>
      </c>
      <c r="D1734" s="1196">
        <f t="shared" si="54"/>
        <v>178.07424226626972</v>
      </c>
      <c r="E1734" s="2">
        <v>1603.74</v>
      </c>
      <c r="F1734" s="1196">
        <f t="shared" si="55"/>
        <v>227.92700605440436</v>
      </c>
    </row>
    <row r="1735" spans="2:6">
      <c r="B1735" s="189">
        <v>39974</v>
      </c>
      <c r="C1735" s="2">
        <v>23286.73</v>
      </c>
      <c r="D1735" s="1196">
        <f t="shared" si="54"/>
        <v>179.84600116618975</v>
      </c>
      <c r="E1735" s="2">
        <v>1676.22</v>
      </c>
      <c r="F1735" s="1196">
        <f t="shared" si="55"/>
        <v>238.22802080668541</v>
      </c>
    </row>
    <row r="1736" spans="2:6">
      <c r="B1736" s="189">
        <v>39973</v>
      </c>
      <c r="C1736" s="2">
        <v>23049.43</v>
      </c>
      <c r="D1736" s="1196">
        <f t="shared" si="54"/>
        <v>178.01330692029364</v>
      </c>
      <c r="E1736" s="2">
        <v>1700.62</v>
      </c>
      <c r="F1736" s="1196">
        <f t="shared" si="55"/>
        <v>241.69580171115089</v>
      </c>
    </row>
    <row r="1737" spans="2:6">
      <c r="B1737" s="189">
        <v>39972</v>
      </c>
      <c r="C1737" s="2">
        <v>22949.09</v>
      </c>
      <c r="D1737" s="1196">
        <f t="shared" si="54"/>
        <v>177.23836996018736</v>
      </c>
      <c r="E1737" s="2">
        <v>1714.55</v>
      </c>
      <c r="F1737" s="1196">
        <f t="shared" si="55"/>
        <v>243.67556351439697</v>
      </c>
    </row>
    <row r="1738" spans="2:6">
      <c r="B1738" s="189">
        <v>39969</v>
      </c>
      <c r="C1738" s="2">
        <v>23166.38</v>
      </c>
      <c r="D1738" s="1196">
        <f t="shared" si="54"/>
        <v>178.91652475450161</v>
      </c>
      <c r="E1738" s="2">
        <v>1735.46</v>
      </c>
      <c r="F1738" s="1196">
        <f t="shared" si="55"/>
        <v>246.64733805178935</v>
      </c>
    </row>
    <row r="1739" spans="2:6">
      <c r="B1739" s="189">
        <v>39968</v>
      </c>
      <c r="C1739" s="2">
        <v>22862.54</v>
      </c>
      <c r="D1739" s="1196">
        <f t="shared" si="54"/>
        <v>176.56993470109629</v>
      </c>
      <c r="E1739" s="2">
        <v>1742.43</v>
      </c>
      <c r="F1739" s="1196">
        <f t="shared" si="55"/>
        <v>247.63792956425345</v>
      </c>
    </row>
    <row r="1740" spans="2:6">
      <c r="B1740" s="189">
        <v>39967</v>
      </c>
      <c r="C1740" s="2">
        <v>23063.18</v>
      </c>
      <c r="D1740" s="1196">
        <f t="shared" ref="D1740:D1803" si="56">C1740/$C$2759*100</f>
        <v>178.11949969686788</v>
      </c>
      <c r="E1740" s="2">
        <v>1742.43</v>
      </c>
      <c r="F1740" s="1196">
        <f t="shared" ref="F1740:F1803" si="57">E1740/$E$2759*100</f>
        <v>247.63792956425345</v>
      </c>
    </row>
    <row r="1741" spans="2:6">
      <c r="B1741" s="189">
        <v>39966</v>
      </c>
      <c r="C1741" s="2">
        <v>23661.87</v>
      </c>
      <c r="D1741" s="1196">
        <f t="shared" si="56"/>
        <v>182.7432490355765</v>
      </c>
      <c r="E1741" s="2">
        <v>1742.43</v>
      </c>
      <c r="F1741" s="1196">
        <f t="shared" si="57"/>
        <v>247.63792956425345</v>
      </c>
    </row>
    <row r="1742" spans="2:6">
      <c r="B1742" s="189">
        <v>39965</v>
      </c>
      <c r="C1742" s="2">
        <v>23548.65</v>
      </c>
      <c r="D1742" s="1196">
        <f t="shared" si="56"/>
        <v>181.86883840548651</v>
      </c>
      <c r="E1742" s="2">
        <v>1881.83</v>
      </c>
      <c r="F1742" s="1196">
        <f t="shared" si="57"/>
        <v>267.44975981353571</v>
      </c>
    </row>
    <row r="1743" spans="2:6">
      <c r="B1743" s="189">
        <v>39962</v>
      </c>
      <c r="C1743" s="2">
        <v>22770.62</v>
      </c>
      <c r="D1743" s="1196">
        <f t="shared" si="56"/>
        <v>175.86002633580858</v>
      </c>
      <c r="E1743" s="2">
        <v>1881.83</v>
      </c>
      <c r="F1743" s="1196">
        <f t="shared" si="57"/>
        <v>267.44975981353571</v>
      </c>
    </row>
    <row r="1744" spans="2:6">
      <c r="B1744" s="189">
        <v>39961</v>
      </c>
      <c r="C1744" s="2">
        <v>22315.32</v>
      </c>
      <c r="D1744" s="1196">
        <f t="shared" si="56"/>
        <v>172.34369388677146</v>
      </c>
      <c r="E1744" s="2">
        <v>1895.77</v>
      </c>
      <c r="F1744" s="1196">
        <f t="shared" si="57"/>
        <v>269.43094283846392</v>
      </c>
    </row>
    <row r="1745" spans="2:6">
      <c r="B1745" s="189">
        <v>39960</v>
      </c>
      <c r="C1745" s="2">
        <v>22521.68</v>
      </c>
      <c r="D1745" s="1196">
        <f t="shared" si="56"/>
        <v>173.93743507759797</v>
      </c>
      <c r="E1745" s="2">
        <v>1895.77</v>
      </c>
      <c r="F1745" s="1196">
        <f t="shared" si="57"/>
        <v>269.43094283846392</v>
      </c>
    </row>
    <row r="1746" spans="2:6">
      <c r="B1746" s="189">
        <v>39959</v>
      </c>
      <c r="C1746" s="2">
        <v>22440.84</v>
      </c>
      <c r="D1746" s="1196">
        <f t="shared" si="56"/>
        <v>173.31309878245156</v>
      </c>
      <c r="E1746" s="2">
        <v>1895.77</v>
      </c>
      <c r="F1746" s="1196">
        <f t="shared" si="57"/>
        <v>269.43094283846392</v>
      </c>
    </row>
    <row r="1747" spans="2:6">
      <c r="B1747" s="189">
        <v>39958</v>
      </c>
      <c r="C1747" s="2">
        <v>22407.279999999999</v>
      </c>
      <c r="D1747" s="1196">
        <f t="shared" si="56"/>
        <v>173.05391117650009</v>
      </c>
      <c r="E1747" s="2">
        <v>1881.83</v>
      </c>
      <c r="F1747" s="1196">
        <f t="shared" si="57"/>
        <v>267.44975981353571</v>
      </c>
    </row>
    <row r="1748" spans="2:6">
      <c r="B1748" s="189">
        <v>39955</v>
      </c>
      <c r="C1748" s="2">
        <v>22425.54</v>
      </c>
      <c r="D1748" s="1196">
        <f t="shared" si="56"/>
        <v>173.19493518379073</v>
      </c>
      <c r="E1748" s="2">
        <v>1881.83</v>
      </c>
      <c r="F1748" s="1196">
        <f t="shared" si="57"/>
        <v>267.44975981353571</v>
      </c>
    </row>
    <row r="1749" spans="2:6">
      <c r="B1749" s="189">
        <v>39954</v>
      </c>
      <c r="C1749" s="2">
        <v>22015.59</v>
      </c>
      <c r="D1749" s="1196">
        <f t="shared" si="56"/>
        <v>170.02884581967308</v>
      </c>
      <c r="E1749" s="2">
        <v>1934.1</v>
      </c>
      <c r="F1749" s="1196">
        <f t="shared" si="57"/>
        <v>274.87848554617551</v>
      </c>
    </row>
    <row r="1750" spans="2:6">
      <c r="B1750" s="189">
        <v>39953</v>
      </c>
      <c r="C1750" s="2">
        <v>22674.2</v>
      </c>
      <c r="D1750" s="1196">
        <f t="shared" si="56"/>
        <v>175.11536397091479</v>
      </c>
      <c r="E1750" s="2">
        <v>1934.1</v>
      </c>
      <c r="F1750" s="1196">
        <f t="shared" si="57"/>
        <v>274.87848554617551</v>
      </c>
    </row>
    <row r="1751" spans="2:6">
      <c r="B1751" s="189">
        <v>39952</v>
      </c>
      <c r="C1751" s="2">
        <v>22398.38</v>
      </c>
      <c r="D1751" s="1196">
        <f t="shared" si="56"/>
        <v>172.98517548839024</v>
      </c>
      <c r="E1751" s="2">
        <v>1916.68</v>
      </c>
      <c r="F1751" s="1196">
        <f t="shared" si="57"/>
        <v>272.4027173758563</v>
      </c>
    </row>
    <row r="1752" spans="2:6">
      <c r="B1752" s="189">
        <v>39951</v>
      </c>
      <c r="C1752" s="2">
        <v>21945.119999999999</v>
      </c>
      <c r="D1752" s="1196">
        <f t="shared" si="56"/>
        <v>169.48459818584121</v>
      </c>
      <c r="E1752" s="2">
        <v>1944.56</v>
      </c>
      <c r="F1752" s="1196">
        <f t="shared" si="57"/>
        <v>276.36508342571278</v>
      </c>
    </row>
    <row r="1753" spans="2:6">
      <c r="B1753" s="189">
        <v>39948</v>
      </c>
      <c r="C1753" s="2">
        <v>21705.14</v>
      </c>
      <c r="D1753" s="1196">
        <f t="shared" si="56"/>
        <v>167.63120600240188</v>
      </c>
      <c r="E1753" s="2">
        <v>1944.56</v>
      </c>
      <c r="F1753" s="1196">
        <f t="shared" si="57"/>
        <v>276.36508342571278</v>
      </c>
    </row>
    <row r="1754" spans="2:6">
      <c r="B1754" s="189">
        <v>39947</v>
      </c>
      <c r="C1754" s="2">
        <v>21396.35</v>
      </c>
      <c r="D1754" s="1196">
        <f t="shared" si="56"/>
        <v>165.24638654942981</v>
      </c>
      <c r="E1754" s="2">
        <v>1944.56</v>
      </c>
      <c r="F1754" s="1196">
        <f t="shared" si="57"/>
        <v>276.36508342571278</v>
      </c>
    </row>
    <row r="1755" spans="2:6">
      <c r="B1755" s="189">
        <v>39946</v>
      </c>
      <c r="C1755" s="2">
        <v>21289.67</v>
      </c>
      <c r="D1755" s="1196">
        <f t="shared" si="56"/>
        <v>164.42248506543405</v>
      </c>
      <c r="E1755" s="2">
        <v>1944.56</v>
      </c>
      <c r="F1755" s="1196">
        <f t="shared" si="57"/>
        <v>276.36508342571278</v>
      </c>
    </row>
    <row r="1756" spans="2:6">
      <c r="B1756" s="189">
        <v>39945</v>
      </c>
      <c r="C1756" s="2">
        <v>21930.52</v>
      </c>
      <c r="D1756" s="1196">
        <f t="shared" si="56"/>
        <v>169.37184076489694</v>
      </c>
      <c r="E1756" s="2">
        <v>1944.56</v>
      </c>
      <c r="F1756" s="1196">
        <f t="shared" si="57"/>
        <v>276.36508342571278</v>
      </c>
    </row>
    <row r="1757" spans="2:6">
      <c r="B1757" s="189">
        <v>39944</v>
      </c>
      <c r="C1757" s="2">
        <v>21861.99</v>
      </c>
      <c r="D1757" s="1196">
        <f t="shared" si="56"/>
        <v>168.84257596645082</v>
      </c>
      <c r="E1757" s="2">
        <v>1846.98</v>
      </c>
      <c r="F1757" s="1196">
        <f t="shared" si="57"/>
        <v>262.49680225121517</v>
      </c>
    </row>
    <row r="1758" spans="2:6">
      <c r="B1758" s="189">
        <v>39941</v>
      </c>
      <c r="C1758" s="2">
        <v>21840.51</v>
      </c>
      <c r="D1758" s="1196">
        <f t="shared" si="56"/>
        <v>168.67668354166426</v>
      </c>
      <c r="E1758" s="2">
        <v>1846.98</v>
      </c>
      <c r="F1758" s="1196">
        <f t="shared" si="57"/>
        <v>262.49680225121517</v>
      </c>
    </row>
    <row r="1759" spans="2:6">
      <c r="B1759" s="189">
        <v>39940</v>
      </c>
      <c r="C1759" s="2">
        <v>21539.81</v>
      </c>
      <c r="D1759" s="1196">
        <f t="shared" si="56"/>
        <v>166.354344056873</v>
      </c>
      <c r="E1759" s="2">
        <v>1747.31</v>
      </c>
      <c r="F1759" s="1196">
        <f t="shared" si="57"/>
        <v>248.33148574514655</v>
      </c>
    </row>
    <row r="1760" spans="2:6">
      <c r="B1760" s="189">
        <v>39939</v>
      </c>
      <c r="C1760" s="2">
        <v>21783.43</v>
      </c>
      <c r="D1760" s="1196">
        <f t="shared" si="56"/>
        <v>168.23584836443817</v>
      </c>
      <c r="E1760" s="2">
        <v>1735.46</v>
      </c>
      <c r="F1760" s="1196">
        <f t="shared" si="57"/>
        <v>246.64733805178935</v>
      </c>
    </row>
    <row r="1761" spans="2:6">
      <c r="B1761" s="189">
        <v>39938</v>
      </c>
      <c r="C1761" s="2">
        <v>21331.94</v>
      </c>
      <c r="D1761" s="1196">
        <f t="shared" si="56"/>
        <v>164.74894096840089</v>
      </c>
      <c r="E1761" s="2">
        <v>1735.46</v>
      </c>
      <c r="F1761" s="1196">
        <f t="shared" si="57"/>
        <v>246.64733805178935</v>
      </c>
    </row>
    <row r="1762" spans="2:6">
      <c r="B1762" s="189">
        <v>39937</v>
      </c>
      <c r="C1762" s="2">
        <v>21383.43</v>
      </c>
      <c r="D1762" s="1196">
        <f t="shared" si="56"/>
        <v>165.14660395500516</v>
      </c>
      <c r="E1762" s="2">
        <v>1711.07</v>
      </c>
      <c r="F1762" s="1196">
        <f t="shared" si="57"/>
        <v>243.18097836900597</v>
      </c>
    </row>
    <row r="1763" spans="2:6">
      <c r="B1763" s="189">
        <v>39933</v>
      </c>
      <c r="C1763" s="2">
        <v>20647.03</v>
      </c>
      <c r="D1763" s="1196">
        <f t="shared" si="56"/>
        <v>159.459304997239</v>
      </c>
      <c r="E1763" s="2">
        <v>1700.62</v>
      </c>
      <c r="F1763" s="1196">
        <f t="shared" si="57"/>
        <v>241.69580171115089</v>
      </c>
    </row>
    <row r="1764" spans="2:6">
      <c r="B1764" s="189">
        <v>39932</v>
      </c>
      <c r="C1764" s="2">
        <v>20481.77</v>
      </c>
      <c r="D1764" s="1196">
        <f t="shared" si="56"/>
        <v>158.18298366948176</v>
      </c>
      <c r="E1764" s="2">
        <v>1711.07</v>
      </c>
      <c r="F1764" s="1196">
        <f t="shared" si="57"/>
        <v>243.18097836900597</v>
      </c>
    </row>
    <row r="1765" spans="2:6">
      <c r="B1765" s="189">
        <v>39931</v>
      </c>
      <c r="C1765" s="2">
        <v>20281.12</v>
      </c>
      <c r="D1765" s="1196">
        <f t="shared" si="56"/>
        <v>156.63334144259991</v>
      </c>
      <c r="E1765" s="2">
        <v>1690.16</v>
      </c>
      <c r="F1765" s="1196">
        <f t="shared" si="57"/>
        <v>240.20920383161365</v>
      </c>
    </row>
    <row r="1766" spans="2:6">
      <c r="B1766" s="189">
        <v>39927</v>
      </c>
      <c r="C1766" s="2">
        <v>20675.13</v>
      </c>
      <c r="D1766" s="1196">
        <f t="shared" si="56"/>
        <v>159.67632441700167</v>
      </c>
      <c r="E1766" s="2">
        <v>1690.16</v>
      </c>
      <c r="F1766" s="1196">
        <f t="shared" si="57"/>
        <v>240.20920383161365</v>
      </c>
    </row>
    <row r="1767" spans="2:6">
      <c r="B1767" s="189">
        <v>39926</v>
      </c>
      <c r="C1767" s="2">
        <v>20322.48</v>
      </c>
      <c r="D1767" s="1196">
        <f t="shared" si="56"/>
        <v>156.95276931453529</v>
      </c>
      <c r="E1767" s="2">
        <v>1690.16</v>
      </c>
      <c r="F1767" s="1196">
        <f t="shared" si="57"/>
        <v>240.20920383161365</v>
      </c>
    </row>
    <row r="1768" spans="2:6">
      <c r="B1768" s="189">
        <v>39924</v>
      </c>
      <c r="C1768" s="2">
        <v>19798.43</v>
      </c>
      <c r="D1768" s="1196">
        <f t="shared" si="56"/>
        <v>152.90547298262686</v>
      </c>
      <c r="E1768" s="2">
        <v>1672.74</v>
      </c>
      <c r="F1768" s="1196">
        <f t="shared" si="57"/>
        <v>237.73343566129444</v>
      </c>
    </row>
    <row r="1769" spans="2:6">
      <c r="B1769" s="189">
        <v>39923</v>
      </c>
      <c r="C1769" s="2">
        <v>20092.64</v>
      </c>
      <c r="D1769" s="1196">
        <f t="shared" si="56"/>
        <v>155.17768947687506</v>
      </c>
      <c r="E1769" s="2">
        <v>1672.74</v>
      </c>
      <c r="F1769" s="1196">
        <f t="shared" si="57"/>
        <v>237.73343566129444</v>
      </c>
    </row>
    <row r="1770" spans="2:6">
      <c r="B1770" s="189">
        <v>39920</v>
      </c>
      <c r="C1770" s="2">
        <v>20814.689999999999</v>
      </c>
      <c r="D1770" s="1196">
        <f t="shared" si="56"/>
        <v>160.75416179145284</v>
      </c>
      <c r="E1770" s="2">
        <v>1672.74</v>
      </c>
      <c r="F1770" s="1196">
        <f t="shared" si="57"/>
        <v>237.73343566129444</v>
      </c>
    </row>
    <row r="1771" spans="2:6">
      <c r="B1771" s="189">
        <v>39919</v>
      </c>
      <c r="C1771" s="2">
        <v>20936.87</v>
      </c>
      <c r="D1771" s="1196">
        <f t="shared" si="56"/>
        <v>161.69777149631415</v>
      </c>
      <c r="E1771" s="2">
        <v>1706.89</v>
      </c>
      <c r="F1771" s="1196">
        <f t="shared" si="57"/>
        <v>242.58690770586395</v>
      </c>
    </row>
    <row r="1772" spans="2:6">
      <c r="B1772" s="189">
        <v>39918</v>
      </c>
      <c r="C1772" s="2">
        <v>21319.91</v>
      </c>
      <c r="D1772" s="1196">
        <f t="shared" si="56"/>
        <v>164.65603194278719</v>
      </c>
      <c r="E1772" s="2">
        <v>1706.89</v>
      </c>
      <c r="F1772" s="1196">
        <f t="shared" si="57"/>
        <v>242.58690770586395</v>
      </c>
    </row>
    <row r="1773" spans="2:6">
      <c r="B1773" s="189">
        <v>39917</v>
      </c>
      <c r="C1773" s="2">
        <v>21431.119999999999</v>
      </c>
      <c r="D1773" s="1196">
        <f t="shared" si="56"/>
        <v>165.51491911971979</v>
      </c>
      <c r="E1773" s="2">
        <v>1706.89</v>
      </c>
      <c r="F1773" s="1196">
        <f t="shared" si="57"/>
        <v>242.58690770586395</v>
      </c>
    </row>
    <row r="1774" spans="2:6">
      <c r="B1774" s="189">
        <v>39912</v>
      </c>
      <c r="C1774" s="2">
        <v>20965.89</v>
      </c>
      <c r="D1774" s="1196">
        <f t="shared" si="56"/>
        <v>161.9218961782185</v>
      </c>
      <c r="E1774" s="2">
        <v>1706.89</v>
      </c>
      <c r="F1774" s="1196">
        <f t="shared" si="57"/>
        <v>242.58690770586395</v>
      </c>
    </row>
    <row r="1775" spans="2:6">
      <c r="B1775" s="189">
        <v>39911</v>
      </c>
      <c r="C1775" s="2">
        <v>20437.39</v>
      </c>
      <c r="D1775" s="1196">
        <f t="shared" si="56"/>
        <v>157.84023200225514</v>
      </c>
      <c r="E1775" s="2">
        <v>1706.89</v>
      </c>
      <c r="F1775" s="1196">
        <f t="shared" si="57"/>
        <v>242.58690770586395</v>
      </c>
    </row>
    <row r="1776" spans="2:6">
      <c r="B1776" s="189">
        <v>39910</v>
      </c>
      <c r="C1776" s="2">
        <v>20492.53</v>
      </c>
      <c r="D1776" s="1196">
        <f t="shared" si="56"/>
        <v>158.26608434409547</v>
      </c>
      <c r="E1776" s="2">
        <v>1706.89</v>
      </c>
      <c r="F1776" s="1196">
        <f t="shared" si="57"/>
        <v>242.58690770586395</v>
      </c>
    </row>
    <row r="1777" spans="2:6">
      <c r="B1777" s="189">
        <v>39909</v>
      </c>
      <c r="C1777" s="2">
        <v>20717.37</v>
      </c>
      <c r="D1777" s="1196">
        <f t="shared" si="56"/>
        <v>160.00254862663778</v>
      </c>
      <c r="E1777" s="2">
        <v>1707.59</v>
      </c>
      <c r="F1777" s="1196">
        <f t="shared" si="57"/>
        <v>242.686393223615</v>
      </c>
    </row>
    <row r="1778" spans="2:6">
      <c r="B1778" s="189">
        <v>39906</v>
      </c>
      <c r="C1778" s="2">
        <v>21195.49</v>
      </c>
      <c r="D1778" s="1196">
        <f t="shared" si="56"/>
        <v>163.69512246923307</v>
      </c>
      <c r="E1778" s="2">
        <v>1707.59</v>
      </c>
      <c r="F1778" s="1196">
        <f t="shared" si="57"/>
        <v>242.686393223615</v>
      </c>
    </row>
    <row r="1779" spans="2:6">
      <c r="B1779" s="189">
        <v>39905</v>
      </c>
      <c r="C1779" s="2">
        <v>21403.4</v>
      </c>
      <c r="D1779" s="1196">
        <f t="shared" si="56"/>
        <v>165.30083448214612</v>
      </c>
      <c r="E1779" s="2">
        <v>1707.59</v>
      </c>
      <c r="F1779" s="1196">
        <f t="shared" si="57"/>
        <v>242.686393223615</v>
      </c>
    </row>
    <row r="1780" spans="2:6">
      <c r="B1780" s="189">
        <v>39904</v>
      </c>
      <c r="C1780" s="2">
        <v>20742.009999999998</v>
      </c>
      <c r="D1780" s="1196">
        <f t="shared" si="56"/>
        <v>160.19284608225885</v>
      </c>
      <c r="E1780" s="2">
        <v>1672.74</v>
      </c>
      <c r="F1780" s="1196">
        <f t="shared" si="57"/>
        <v>237.73343566129444</v>
      </c>
    </row>
    <row r="1781" spans="2:6">
      <c r="B1781" s="189">
        <v>39903</v>
      </c>
      <c r="C1781" s="2">
        <v>20363.91</v>
      </c>
      <c r="D1781" s="1196">
        <f t="shared" si="56"/>
        <v>157.27273780424233</v>
      </c>
      <c r="E1781" s="2">
        <v>1572.37</v>
      </c>
      <c r="F1781" s="1196">
        <f t="shared" si="57"/>
        <v>223.46863363747477</v>
      </c>
    </row>
    <row r="1782" spans="2:6">
      <c r="B1782" s="189">
        <v>39902</v>
      </c>
      <c r="C1782" s="2">
        <v>19929.04</v>
      </c>
      <c r="D1782" s="1196">
        <f t="shared" si="56"/>
        <v>153.91418851341697</v>
      </c>
      <c r="E1782" s="2">
        <v>1533.34</v>
      </c>
      <c r="F1782" s="1196">
        <f t="shared" si="57"/>
        <v>217.92160541201216</v>
      </c>
    </row>
    <row r="1783" spans="2:6">
      <c r="B1783" s="189">
        <v>39899</v>
      </c>
      <c r="C1783" s="2">
        <v>20661.32</v>
      </c>
      <c r="D1783" s="1196">
        <f t="shared" si="56"/>
        <v>159.569668253766</v>
      </c>
      <c r="E1783" s="2">
        <v>1533.34</v>
      </c>
      <c r="F1783" s="1196">
        <f t="shared" si="57"/>
        <v>217.92160541201216</v>
      </c>
    </row>
    <row r="1784" spans="2:6">
      <c r="B1784" s="189">
        <v>39898</v>
      </c>
      <c r="C1784" s="2">
        <v>21113.73</v>
      </c>
      <c r="D1784" s="1196">
        <f t="shared" si="56"/>
        <v>163.06368091194494</v>
      </c>
      <c r="E1784" s="2">
        <v>1533.34</v>
      </c>
      <c r="F1784" s="1196">
        <f t="shared" si="57"/>
        <v>217.92160541201216</v>
      </c>
    </row>
    <row r="1785" spans="2:6">
      <c r="B1785" s="189">
        <v>39897</v>
      </c>
      <c r="C1785" s="2">
        <v>21257.63</v>
      </c>
      <c r="D1785" s="1196">
        <f t="shared" si="56"/>
        <v>164.1750365882385</v>
      </c>
      <c r="E1785" s="2">
        <v>1721.52</v>
      </c>
      <c r="F1785" s="1196">
        <f t="shared" si="57"/>
        <v>244.66615502686108</v>
      </c>
    </row>
    <row r="1786" spans="2:6">
      <c r="B1786" s="189">
        <v>39896</v>
      </c>
      <c r="C1786" s="2">
        <v>21108.17</v>
      </c>
      <c r="D1786" s="1196">
        <f t="shared" si="56"/>
        <v>163.02074041465383</v>
      </c>
      <c r="E1786" s="2">
        <v>1721.52</v>
      </c>
      <c r="F1786" s="1196">
        <f t="shared" si="57"/>
        <v>244.66615502686108</v>
      </c>
    </row>
    <row r="1787" spans="2:6">
      <c r="B1787" s="189">
        <v>39895</v>
      </c>
      <c r="C1787" s="2">
        <v>21423.18</v>
      </c>
      <c r="D1787" s="1196">
        <f t="shared" si="56"/>
        <v>165.45359761819256</v>
      </c>
      <c r="E1787" s="2">
        <v>1721.52</v>
      </c>
      <c r="F1787" s="1196">
        <f t="shared" si="57"/>
        <v>244.66615502686108</v>
      </c>
    </row>
    <row r="1788" spans="2:6">
      <c r="B1788" s="189">
        <v>39892</v>
      </c>
      <c r="C1788" s="2">
        <v>20802.310000000001</v>
      </c>
      <c r="D1788" s="1196">
        <f t="shared" si="56"/>
        <v>160.6585496769809</v>
      </c>
      <c r="E1788" s="2">
        <v>1721.52</v>
      </c>
      <c r="F1788" s="1196">
        <f t="shared" si="57"/>
        <v>244.66615502686108</v>
      </c>
    </row>
    <row r="1789" spans="2:6">
      <c r="B1789" s="189">
        <v>39891</v>
      </c>
      <c r="C1789" s="2">
        <v>20470.93</v>
      </c>
      <c r="D1789" s="1196">
        <f t="shared" si="56"/>
        <v>158.09926514598612</v>
      </c>
      <c r="E1789" s="2">
        <v>1707.59</v>
      </c>
      <c r="F1789" s="1196">
        <f t="shared" si="57"/>
        <v>242.686393223615</v>
      </c>
    </row>
    <row r="1790" spans="2:6">
      <c r="B1790" s="189">
        <v>39890</v>
      </c>
      <c r="C1790" s="2">
        <v>19355.78</v>
      </c>
      <c r="D1790" s="1196">
        <f t="shared" si="56"/>
        <v>149.48683788803805</v>
      </c>
      <c r="E1790" s="2">
        <v>1707.59</v>
      </c>
      <c r="F1790" s="1196">
        <f t="shared" si="57"/>
        <v>242.686393223615</v>
      </c>
    </row>
    <row r="1791" spans="2:6">
      <c r="B1791" s="189">
        <v>39889</v>
      </c>
      <c r="C1791" s="2">
        <v>19423</v>
      </c>
      <c r="D1791" s="1196">
        <f t="shared" si="56"/>
        <v>150.0059854110433</v>
      </c>
      <c r="E1791" s="2">
        <v>1707.59</v>
      </c>
      <c r="F1791" s="1196">
        <f t="shared" si="57"/>
        <v>242.686393223615</v>
      </c>
    </row>
    <row r="1792" spans="2:6">
      <c r="B1792" s="189">
        <v>39888</v>
      </c>
      <c r="C1792" s="2">
        <v>19732</v>
      </c>
      <c r="D1792" s="1196">
        <f t="shared" si="56"/>
        <v>152.3924267173303</v>
      </c>
      <c r="E1792" s="2">
        <v>1707.59</v>
      </c>
      <c r="F1792" s="1196">
        <f t="shared" si="57"/>
        <v>242.686393223615</v>
      </c>
    </row>
    <row r="1793" spans="2:6">
      <c r="B1793" s="189">
        <v>39885</v>
      </c>
      <c r="C1793" s="2">
        <v>19762.03</v>
      </c>
      <c r="D1793" s="1196">
        <f t="shared" si="56"/>
        <v>152.62435174136846</v>
      </c>
      <c r="E1793" s="2">
        <v>1707.59</v>
      </c>
      <c r="F1793" s="1196">
        <f t="shared" si="57"/>
        <v>242.686393223615</v>
      </c>
    </row>
    <row r="1794" spans="2:6">
      <c r="B1794" s="189">
        <v>39884</v>
      </c>
      <c r="C1794" s="2">
        <v>19168.62</v>
      </c>
      <c r="D1794" s="1196">
        <f t="shared" si="56"/>
        <v>148.04138042886436</v>
      </c>
      <c r="E1794" s="2">
        <v>1714.55</v>
      </c>
      <c r="F1794" s="1196">
        <f t="shared" si="57"/>
        <v>243.67556351439697</v>
      </c>
    </row>
    <row r="1795" spans="2:6">
      <c r="B1795" s="189">
        <v>39883</v>
      </c>
      <c r="C1795" s="2">
        <v>19120.04</v>
      </c>
      <c r="D1795" s="1196">
        <f t="shared" si="56"/>
        <v>147.66619169533871</v>
      </c>
      <c r="E1795" s="2">
        <v>1742.43</v>
      </c>
      <c r="F1795" s="1196">
        <f t="shared" si="57"/>
        <v>247.63792956425345</v>
      </c>
    </row>
    <row r="1796" spans="2:6">
      <c r="B1796" s="189">
        <v>39882</v>
      </c>
      <c r="C1796" s="2">
        <v>18587.47</v>
      </c>
      <c r="D1796" s="1196">
        <f t="shared" si="56"/>
        <v>143.55309445750939</v>
      </c>
      <c r="E1796" s="2">
        <v>1734.77</v>
      </c>
      <c r="F1796" s="1196">
        <f t="shared" si="57"/>
        <v>246.54927375572041</v>
      </c>
    </row>
    <row r="1797" spans="2:6">
      <c r="B1797" s="189">
        <v>39881</v>
      </c>
      <c r="C1797" s="2">
        <v>18152.43</v>
      </c>
      <c r="D1797" s="1196">
        <f t="shared" si="56"/>
        <v>140.19323223781004</v>
      </c>
      <c r="E1797" s="2">
        <v>1759.86</v>
      </c>
      <c r="F1797" s="1196">
        <f t="shared" si="57"/>
        <v>250.1151189562548</v>
      </c>
    </row>
    <row r="1798" spans="2:6">
      <c r="B1798" s="189">
        <v>39878</v>
      </c>
      <c r="C1798" s="2">
        <v>18640.810000000001</v>
      </c>
      <c r="D1798" s="1196">
        <f t="shared" si="56"/>
        <v>143.96504519950727</v>
      </c>
      <c r="E1798" s="2">
        <v>1759.86</v>
      </c>
      <c r="F1798" s="1196">
        <f t="shared" si="57"/>
        <v>250.1151189562548</v>
      </c>
    </row>
    <row r="1799" spans="2:6">
      <c r="B1799" s="189">
        <v>39877</v>
      </c>
      <c r="C1799" s="2">
        <v>18418.95</v>
      </c>
      <c r="D1799" s="1196">
        <f t="shared" si="56"/>
        <v>142.25159578781526</v>
      </c>
      <c r="E1799" s="2">
        <v>1759.86</v>
      </c>
      <c r="F1799" s="1196">
        <f t="shared" si="57"/>
        <v>250.1151189562548</v>
      </c>
    </row>
    <row r="1800" spans="2:6">
      <c r="B1800" s="189">
        <v>39876</v>
      </c>
      <c r="C1800" s="2">
        <v>18474.16</v>
      </c>
      <c r="D1800" s="1196">
        <f t="shared" si="56"/>
        <v>142.67798874742724</v>
      </c>
      <c r="E1800" s="2">
        <v>1777.28</v>
      </c>
      <c r="F1800" s="1196">
        <f t="shared" si="57"/>
        <v>252.59088712657399</v>
      </c>
    </row>
    <row r="1801" spans="2:6">
      <c r="B1801" s="189">
        <v>39875</v>
      </c>
      <c r="C1801" s="2">
        <v>18120.689999999999</v>
      </c>
      <c r="D1801" s="1196">
        <f t="shared" si="56"/>
        <v>139.9481006939215</v>
      </c>
      <c r="E1801" s="2">
        <v>1777.28</v>
      </c>
      <c r="F1801" s="1196">
        <f t="shared" si="57"/>
        <v>252.59088712657399</v>
      </c>
    </row>
    <row r="1802" spans="2:6">
      <c r="B1802" s="189">
        <v>39874</v>
      </c>
      <c r="C1802" s="2">
        <v>18386.54</v>
      </c>
      <c r="D1802" s="1196">
        <f t="shared" si="56"/>
        <v>142.00128975954095</v>
      </c>
      <c r="E1802" s="2">
        <v>1784.25</v>
      </c>
      <c r="F1802" s="1196">
        <f t="shared" si="57"/>
        <v>253.5814786390381</v>
      </c>
    </row>
    <row r="1803" spans="2:6">
      <c r="B1803" s="189">
        <v>39871</v>
      </c>
      <c r="C1803" s="2">
        <v>18465.330000000002</v>
      </c>
      <c r="D1803" s="1196">
        <f t="shared" si="56"/>
        <v>142.60979367708902</v>
      </c>
      <c r="E1803" s="2">
        <v>1846.98</v>
      </c>
      <c r="F1803" s="1196">
        <f t="shared" si="57"/>
        <v>262.49680225121517</v>
      </c>
    </row>
    <row r="1804" spans="2:6">
      <c r="B1804" s="189">
        <v>39870</v>
      </c>
      <c r="C1804" s="2">
        <v>18998.419999999998</v>
      </c>
      <c r="D1804" s="1196">
        <f t="shared" ref="D1804:D1867" si="58">C1804/$C$2759*100</f>
        <v>146.72690693265059</v>
      </c>
      <c r="E1804" s="2">
        <v>1846.98</v>
      </c>
      <c r="F1804" s="1196">
        <f t="shared" ref="F1804:F1867" si="59">E1804/$E$2759*100</f>
        <v>262.49680225121517</v>
      </c>
    </row>
    <row r="1805" spans="2:6">
      <c r="B1805" s="189">
        <v>39869</v>
      </c>
      <c r="C1805" s="2">
        <v>18817.560000000001</v>
      </c>
      <c r="D1805" s="1196">
        <f t="shared" si="58"/>
        <v>145.33010507292551</v>
      </c>
      <c r="E1805" s="2">
        <v>1812.13</v>
      </c>
      <c r="F1805" s="1196">
        <f t="shared" si="59"/>
        <v>257.54384468889458</v>
      </c>
    </row>
    <row r="1806" spans="2:6">
      <c r="B1806" s="189">
        <v>39868</v>
      </c>
      <c r="C1806" s="2">
        <v>18813.38</v>
      </c>
      <c r="D1806" s="1196">
        <f t="shared" si="58"/>
        <v>145.2978224688469</v>
      </c>
      <c r="E1806" s="2">
        <v>1812.13</v>
      </c>
      <c r="F1806" s="1196">
        <f t="shared" si="59"/>
        <v>257.54384468889458</v>
      </c>
    </row>
    <row r="1807" spans="2:6">
      <c r="B1807" s="189">
        <v>39867</v>
      </c>
      <c r="C1807" s="2">
        <v>19286.78</v>
      </c>
      <c r="D1807" s="1196">
        <f t="shared" si="58"/>
        <v>148.95394322741086</v>
      </c>
      <c r="E1807" s="2">
        <v>1812.13</v>
      </c>
      <c r="F1807" s="1196">
        <f t="shared" si="59"/>
        <v>257.54384468889458</v>
      </c>
    </row>
    <row r="1808" spans="2:6">
      <c r="B1808" s="189">
        <v>39864</v>
      </c>
      <c r="C1808" s="2">
        <v>19402.59</v>
      </c>
      <c r="D1808" s="1196">
        <f t="shared" si="58"/>
        <v>149.84835671505198</v>
      </c>
      <c r="E1808" s="2">
        <v>1742.43</v>
      </c>
      <c r="F1808" s="1196">
        <f t="shared" si="59"/>
        <v>247.63792956425345</v>
      </c>
    </row>
    <row r="1809" spans="2:6">
      <c r="B1809" s="189">
        <v>39863</v>
      </c>
      <c r="C1809" s="2">
        <v>20061.2</v>
      </c>
      <c r="D1809" s="1196">
        <f t="shared" si="58"/>
        <v>154.93487486629365</v>
      </c>
      <c r="E1809" s="2">
        <v>1742.43</v>
      </c>
      <c r="F1809" s="1196">
        <f t="shared" si="59"/>
        <v>247.63792956425345</v>
      </c>
    </row>
    <row r="1810" spans="2:6">
      <c r="B1810" s="189">
        <v>39862</v>
      </c>
      <c r="C1810" s="2">
        <v>19953.32</v>
      </c>
      <c r="D1810" s="1196">
        <f t="shared" si="58"/>
        <v>154.10170564906954</v>
      </c>
      <c r="E1810" s="2">
        <v>1683.19</v>
      </c>
      <c r="F1810" s="1196">
        <f t="shared" si="59"/>
        <v>239.21861231914954</v>
      </c>
    </row>
    <row r="1811" spans="2:6">
      <c r="B1811" s="189">
        <v>39861</v>
      </c>
      <c r="C1811" s="2">
        <v>20044.490000000002</v>
      </c>
      <c r="D1811" s="1196">
        <f t="shared" si="58"/>
        <v>154.80582168108958</v>
      </c>
      <c r="E1811" s="2">
        <v>1690.16</v>
      </c>
      <c r="F1811" s="1196">
        <f t="shared" si="59"/>
        <v>240.20920383161365</v>
      </c>
    </row>
    <row r="1812" spans="2:6">
      <c r="B1812" s="189">
        <v>39860</v>
      </c>
      <c r="C1812" s="2">
        <v>20382.12</v>
      </c>
      <c r="D1812" s="1196">
        <f t="shared" si="58"/>
        <v>157.41337565598175</v>
      </c>
      <c r="E1812" s="2">
        <v>1690.16</v>
      </c>
      <c r="F1812" s="1196">
        <f t="shared" si="59"/>
        <v>240.20920383161365</v>
      </c>
    </row>
    <row r="1813" spans="2:6">
      <c r="B1813" s="189">
        <v>39857</v>
      </c>
      <c r="C1813" s="2">
        <v>20650.38</v>
      </c>
      <c r="D1813" s="1196">
        <f t="shared" si="58"/>
        <v>159.48517741916802</v>
      </c>
      <c r="E1813" s="2">
        <v>1672.74</v>
      </c>
      <c r="F1813" s="1196">
        <f t="shared" si="59"/>
        <v>237.73343566129444</v>
      </c>
    </row>
    <row r="1814" spans="2:6">
      <c r="B1814" s="189">
        <v>39856</v>
      </c>
      <c r="C1814" s="2">
        <v>20665.91</v>
      </c>
      <c r="D1814" s="1196">
        <f t="shared" si="58"/>
        <v>159.60511733336423</v>
      </c>
      <c r="E1814" s="2">
        <v>1662.28</v>
      </c>
      <c r="F1814" s="1196">
        <f t="shared" si="59"/>
        <v>236.24683778175722</v>
      </c>
    </row>
    <row r="1815" spans="2:6">
      <c r="B1815" s="189">
        <v>39855</v>
      </c>
      <c r="C1815" s="2">
        <v>21054.49</v>
      </c>
      <c r="D1815" s="1196">
        <f t="shared" si="58"/>
        <v>162.60616381490794</v>
      </c>
      <c r="E1815" s="2">
        <v>1651.83</v>
      </c>
      <c r="F1815" s="1196">
        <f t="shared" si="59"/>
        <v>234.76166112390212</v>
      </c>
    </row>
    <row r="1816" spans="2:6">
      <c r="B1816" s="189">
        <v>39854</v>
      </c>
      <c r="C1816" s="2">
        <v>21440.17</v>
      </c>
      <c r="D1816" s="1196">
        <f t="shared" si="58"/>
        <v>165.58481327448322</v>
      </c>
      <c r="E1816" s="2">
        <v>1672.74</v>
      </c>
      <c r="F1816" s="1196">
        <f t="shared" si="59"/>
        <v>237.73343566129444</v>
      </c>
    </row>
    <row r="1817" spans="2:6">
      <c r="B1817" s="189">
        <v>39853</v>
      </c>
      <c r="C1817" s="2">
        <v>21685.1</v>
      </c>
      <c r="D1817" s="1196">
        <f t="shared" si="58"/>
        <v>167.47643485748929</v>
      </c>
      <c r="E1817" s="2">
        <v>1690.16</v>
      </c>
      <c r="F1817" s="1196">
        <f t="shared" si="59"/>
        <v>240.20920383161365</v>
      </c>
    </row>
    <row r="1818" spans="2:6">
      <c r="B1818" s="189">
        <v>39850</v>
      </c>
      <c r="C1818" s="2">
        <v>21435.91</v>
      </c>
      <c r="D1818" s="1196">
        <f t="shared" si="58"/>
        <v>165.55191282152276</v>
      </c>
      <c r="E1818" s="2">
        <v>1690.16</v>
      </c>
      <c r="F1818" s="1196">
        <f t="shared" si="59"/>
        <v>240.20920383161365</v>
      </c>
    </row>
    <row r="1819" spans="2:6">
      <c r="B1819" s="189">
        <v>39849</v>
      </c>
      <c r="C1819" s="2">
        <v>20437.2</v>
      </c>
      <c r="D1819" s="1196">
        <f t="shared" si="58"/>
        <v>157.83876461116068</v>
      </c>
      <c r="E1819" s="2">
        <v>1690.16</v>
      </c>
      <c r="F1819" s="1196">
        <f t="shared" si="59"/>
        <v>240.20920383161365</v>
      </c>
    </row>
    <row r="1820" spans="2:6">
      <c r="B1820" s="189">
        <v>39848</v>
      </c>
      <c r="C1820" s="2">
        <v>20639.07</v>
      </c>
      <c r="D1820" s="1196">
        <f t="shared" si="58"/>
        <v>159.39782903349126</v>
      </c>
      <c r="E1820" s="2">
        <v>1690.16</v>
      </c>
      <c r="F1820" s="1196">
        <f t="shared" si="59"/>
        <v>240.20920383161365</v>
      </c>
    </row>
    <row r="1821" spans="2:6">
      <c r="B1821" s="189">
        <v>39847</v>
      </c>
      <c r="C1821" s="2">
        <v>20014.62</v>
      </c>
      <c r="D1821" s="1196">
        <f t="shared" si="58"/>
        <v>154.57513235481517</v>
      </c>
      <c r="E1821" s="2">
        <v>1637.89</v>
      </c>
      <c r="F1821" s="1196">
        <f t="shared" si="59"/>
        <v>232.7804780989739</v>
      </c>
    </row>
    <row r="1822" spans="2:6">
      <c r="B1822" s="189">
        <v>39846</v>
      </c>
      <c r="C1822" s="2">
        <v>19924.46</v>
      </c>
      <c r="D1822" s="1196">
        <f t="shared" si="58"/>
        <v>153.87881666492896</v>
      </c>
      <c r="E1822" s="2">
        <v>1603.04</v>
      </c>
      <c r="F1822" s="1196">
        <f t="shared" si="59"/>
        <v>227.82752053665328</v>
      </c>
    </row>
    <row r="1823" spans="2:6">
      <c r="B1823" s="189">
        <v>39843</v>
      </c>
      <c r="C1823" s="2">
        <v>20570.05</v>
      </c>
      <c r="D1823" s="1196">
        <f t="shared" si="58"/>
        <v>158.86477991064362</v>
      </c>
      <c r="E1823" s="2">
        <v>1603.04</v>
      </c>
      <c r="F1823" s="1196">
        <f t="shared" si="59"/>
        <v>227.82752053665328</v>
      </c>
    </row>
    <row r="1824" spans="2:6">
      <c r="B1824" s="189">
        <v>39842</v>
      </c>
      <c r="C1824" s="2">
        <v>20581.77</v>
      </c>
      <c r="D1824" s="1196">
        <f t="shared" si="58"/>
        <v>158.95529477184002</v>
      </c>
      <c r="E1824" s="2">
        <v>1603.04</v>
      </c>
      <c r="F1824" s="1196">
        <f t="shared" si="59"/>
        <v>227.82752053665328</v>
      </c>
    </row>
    <row r="1825" spans="2:6">
      <c r="B1825" s="189">
        <v>39841</v>
      </c>
      <c r="C1825" s="2">
        <v>21028.54</v>
      </c>
      <c r="D1825" s="1196">
        <f t="shared" si="58"/>
        <v>162.40574908384596</v>
      </c>
      <c r="E1825" s="2">
        <v>1602.34</v>
      </c>
      <c r="F1825" s="1196">
        <f t="shared" si="59"/>
        <v>227.72803501890223</v>
      </c>
    </row>
    <row r="1826" spans="2:6">
      <c r="B1826" s="189">
        <v>39840</v>
      </c>
      <c r="C1826" s="2">
        <v>20642.740000000002</v>
      </c>
      <c r="D1826" s="1196">
        <f t="shared" si="58"/>
        <v>159.42617285094784</v>
      </c>
      <c r="E1826" s="2">
        <v>1602.34</v>
      </c>
      <c r="F1826" s="1196">
        <f t="shared" si="59"/>
        <v>227.72803501890223</v>
      </c>
    </row>
    <row r="1827" spans="2:6">
      <c r="B1827" s="189">
        <v>39839</v>
      </c>
      <c r="C1827" s="2">
        <v>20156.25</v>
      </c>
      <c r="D1827" s="1196">
        <f t="shared" si="58"/>
        <v>155.66895656908517</v>
      </c>
      <c r="E1827" s="2">
        <v>1602.34</v>
      </c>
      <c r="F1827" s="1196">
        <f t="shared" si="59"/>
        <v>227.72803501890223</v>
      </c>
    </row>
    <row r="1828" spans="2:6">
      <c r="B1828" s="189">
        <v>39836</v>
      </c>
      <c r="C1828" s="2">
        <v>19581.39</v>
      </c>
      <c r="D1828" s="1196">
        <f t="shared" si="58"/>
        <v>151.2292489660685</v>
      </c>
      <c r="E1828" s="2">
        <v>1602.34</v>
      </c>
      <c r="F1828" s="1196">
        <f t="shared" si="59"/>
        <v>227.72803501890223</v>
      </c>
    </row>
    <row r="1829" spans="2:6">
      <c r="B1829" s="189">
        <v>39835</v>
      </c>
      <c r="C1829" s="2">
        <v>19876.34</v>
      </c>
      <c r="D1829" s="1196">
        <f t="shared" si="58"/>
        <v>153.50718056247419</v>
      </c>
      <c r="E1829" s="2">
        <v>1603.04</v>
      </c>
      <c r="F1829" s="1196">
        <f t="shared" si="59"/>
        <v>227.82752053665328</v>
      </c>
    </row>
    <row r="1830" spans="2:6">
      <c r="B1830" s="189">
        <v>39834</v>
      </c>
      <c r="C1830" s="2">
        <v>20049</v>
      </c>
      <c r="D1830" s="1196">
        <f t="shared" si="58"/>
        <v>154.84065291180593</v>
      </c>
      <c r="E1830" s="2">
        <v>1603.04</v>
      </c>
      <c r="F1830" s="1196">
        <f t="shared" si="59"/>
        <v>227.82752053665328</v>
      </c>
    </row>
    <row r="1831" spans="2:6">
      <c r="B1831" s="189">
        <v>39833</v>
      </c>
      <c r="C1831" s="2">
        <v>20295.07</v>
      </c>
      <c r="D1831" s="1196">
        <f t="shared" si="58"/>
        <v>156.74107884137888</v>
      </c>
      <c r="E1831" s="2">
        <v>1533.34</v>
      </c>
      <c r="F1831" s="1196">
        <f t="shared" si="59"/>
        <v>217.92160541201216</v>
      </c>
    </row>
    <row r="1832" spans="2:6">
      <c r="B1832" s="189">
        <v>39832</v>
      </c>
      <c r="C1832" s="2">
        <v>20623.3</v>
      </c>
      <c r="D1832" s="1196">
        <f t="shared" si="58"/>
        <v>159.27603557264939</v>
      </c>
      <c r="E1832" s="2">
        <v>1533.34</v>
      </c>
      <c r="F1832" s="1196">
        <f t="shared" si="59"/>
        <v>217.92160541201216</v>
      </c>
    </row>
    <row r="1833" spans="2:6">
      <c r="B1833" s="189">
        <v>39829</v>
      </c>
      <c r="C1833" s="2">
        <v>21029.33</v>
      </c>
      <c r="D1833" s="1196">
        <f t="shared" si="58"/>
        <v>162.41185034155461</v>
      </c>
      <c r="E1833" s="2">
        <v>1533.34</v>
      </c>
      <c r="F1833" s="1196">
        <f t="shared" si="59"/>
        <v>217.92160541201216</v>
      </c>
    </row>
    <row r="1834" spans="2:6">
      <c r="B1834" s="189">
        <v>39828</v>
      </c>
      <c r="C1834" s="2">
        <v>20441.93</v>
      </c>
      <c r="D1834" s="1196">
        <f t="shared" si="58"/>
        <v>157.87529492630222</v>
      </c>
      <c r="E1834" s="2">
        <v>1533.34</v>
      </c>
      <c r="F1834" s="1196">
        <f t="shared" si="59"/>
        <v>217.92160541201216</v>
      </c>
    </row>
    <row r="1835" spans="2:6">
      <c r="B1835" s="189">
        <v>39827</v>
      </c>
      <c r="C1835" s="2">
        <v>20843.03</v>
      </c>
      <c r="D1835" s="1196">
        <f t="shared" si="58"/>
        <v>160.97303475786114</v>
      </c>
      <c r="E1835" s="2">
        <v>1533.34</v>
      </c>
      <c r="F1835" s="1196">
        <f t="shared" si="59"/>
        <v>217.92160541201216</v>
      </c>
    </row>
    <row r="1836" spans="2:6">
      <c r="B1836" s="189">
        <v>39826</v>
      </c>
      <c r="C1836" s="2">
        <v>21564.47</v>
      </c>
      <c r="D1836" s="1196">
        <f t="shared" si="58"/>
        <v>166.54479597471453</v>
      </c>
      <c r="E1836" s="2">
        <v>1533.34</v>
      </c>
      <c r="F1836" s="1196">
        <f t="shared" si="59"/>
        <v>217.92160541201216</v>
      </c>
    </row>
    <row r="1837" spans="2:6">
      <c r="B1837" s="189">
        <v>39825</v>
      </c>
      <c r="C1837" s="2">
        <v>22183.09</v>
      </c>
      <c r="D1837" s="1196">
        <f t="shared" si="58"/>
        <v>171.32246691612318</v>
      </c>
      <c r="E1837" s="2">
        <v>1568.19</v>
      </c>
      <c r="F1837" s="1196">
        <f t="shared" si="59"/>
        <v>222.87456297433272</v>
      </c>
    </row>
    <row r="1838" spans="2:6">
      <c r="B1838" s="189">
        <v>39822</v>
      </c>
      <c r="C1838" s="2">
        <v>22220.76</v>
      </c>
      <c r="D1838" s="1196">
        <f t="shared" si="58"/>
        <v>171.6133965083815</v>
      </c>
      <c r="E1838" s="2">
        <v>1568.19</v>
      </c>
      <c r="F1838" s="1196">
        <f t="shared" si="59"/>
        <v>222.87456297433272</v>
      </c>
    </row>
    <row r="1839" spans="2:6">
      <c r="B1839" s="189">
        <v>39821</v>
      </c>
      <c r="C1839" s="2">
        <v>22241.439999999999</v>
      </c>
      <c r="D1839" s="1196">
        <f t="shared" si="58"/>
        <v>171.77311044434919</v>
      </c>
      <c r="E1839" s="2">
        <v>1568.19</v>
      </c>
      <c r="F1839" s="1196">
        <f t="shared" si="59"/>
        <v>222.87456297433272</v>
      </c>
    </row>
    <row r="1840" spans="2:6">
      <c r="B1840" s="189">
        <v>39820</v>
      </c>
      <c r="C1840" s="2">
        <v>22718.97</v>
      </c>
      <c r="D1840" s="1196">
        <f t="shared" si="58"/>
        <v>175.46112765144056</v>
      </c>
      <c r="E1840" s="2">
        <v>1568.19</v>
      </c>
      <c r="F1840" s="1196">
        <f t="shared" si="59"/>
        <v>222.87456297433272</v>
      </c>
    </row>
    <row r="1841" spans="2:6">
      <c r="B1841" s="189">
        <v>39819</v>
      </c>
      <c r="C1841" s="2">
        <v>22919.759999999998</v>
      </c>
      <c r="D1841" s="1196">
        <f t="shared" si="58"/>
        <v>177.01185111386567</v>
      </c>
      <c r="E1841" s="2">
        <v>1568.19</v>
      </c>
      <c r="F1841" s="1196">
        <f t="shared" si="59"/>
        <v>222.87456297433272</v>
      </c>
    </row>
    <row r="1842" spans="2:6">
      <c r="B1842" s="189">
        <v>39818</v>
      </c>
      <c r="C1842" s="2">
        <v>22304.43</v>
      </c>
      <c r="D1842" s="1196">
        <f t="shared" si="58"/>
        <v>172.25958920772467</v>
      </c>
      <c r="E1842" s="2">
        <v>1568.19</v>
      </c>
      <c r="F1842" s="1196">
        <f t="shared" si="59"/>
        <v>222.87456297433272</v>
      </c>
    </row>
    <row r="1843" spans="2:6">
      <c r="B1843" s="189">
        <v>39815</v>
      </c>
      <c r="C1843" s="2">
        <v>21764.9</v>
      </c>
      <c r="D1843" s="1196">
        <f t="shared" si="58"/>
        <v>168.09273911717119</v>
      </c>
      <c r="E1843" s="2">
        <v>1481.07</v>
      </c>
      <c r="F1843" s="1196">
        <f t="shared" si="59"/>
        <v>210.49287967937235</v>
      </c>
    </row>
    <row r="1844" spans="2:6">
      <c r="B1844" s="189">
        <v>39813</v>
      </c>
      <c r="C1844" s="2">
        <v>21509.200000000001</v>
      </c>
      <c r="D1844" s="1196">
        <f t="shared" si="58"/>
        <v>166.11793962844115</v>
      </c>
      <c r="E1844" s="2">
        <v>1481.07</v>
      </c>
      <c r="F1844" s="1196">
        <f t="shared" si="59"/>
        <v>210.49287967937235</v>
      </c>
    </row>
    <row r="1845" spans="2:6">
      <c r="B1845" s="189">
        <v>39812</v>
      </c>
      <c r="C1845" s="2">
        <v>21348.45</v>
      </c>
      <c r="D1845" s="1196">
        <f t="shared" si="58"/>
        <v>164.87644953140025</v>
      </c>
      <c r="E1845" s="2">
        <v>1481.07</v>
      </c>
      <c r="F1845" s="1196">
        <f t="shared" si="59"/>
        <v>210.49287967937235</v>
      </c>
    </row>
    <row r="1846" spans="2:6">
      <c r="B1846" s="189">
        <v>39811</v>
      </c>
      <c r="C1846" s="2">
        <v>21237.59</v>
      </c>
      <c r="D1846" s="1196">
        <f t="shared" si="58"/>
        <v>164.02026544332588</v>
      </c>
      <c r="E1846" s="2">
        <v>1481.07</v>
      </c>
      <c r="F1846" s="1196">
        <f t="shared" si="59"/>
        <v>210.49287967937235</v>
      </c>
    </row>
    <row r="1847" spans="2:6">
      <c r="B1847" s="189">
        <v>39806</v>
      </c>
      <c r="C1847" s="2">
        <v>20998.49</v>
      </c>
      <c r="D1847" s="1196">
        <f t="shared" si="58"/>
        <v>162.17366959758732</v>
      </c>
      <c r="E1847" s="2">
        <v>1481.07</v>
      </c>
      <c r="F1847" s="1196">
        <f t="shared" si="59"/>
        <v>210.49287967937235</v>
      </c>
    </row>
    <row r="1848" spans="2:6">
      <c r="B1848" s="189">
        <v>39805</v>
      </c>
      <c r="C1848" s="2">
        <v>21244.85</v>
      </c>
      <c r="D1848" s="1196">
        <f t="shared" si="58"/>
        <v>164.07633522935708</v>
      </c>
      <c r="E1848" s="2">
        <v>1481.07</v>
      </c>
      <c r="F1848" s="1196">
        <f t="shared" si="59"/>
        <v>210.49287967937235</v>
      </c>
    </row>
    <row r="1849" spans="2:6">
      <c r="B1849" s="189">
        <v>39804</v>
      </c>
      <c r="C1849" s="2">
        <v>21090.86</v>
      </c>
      <c r="D1849" s="1196">
        <f t="shared" si="58"/>
        <v>162.88705336283562</v>
      </c>
      <c r="E1849" s="2">
        <v>1477.78</v>
      </c>
      <c r="F1849" s="1196">
        <f t="shared" si="59"/>
        <v>210.0252977459424</v>
      </c>
    </row>
    <row r="1850" spans="2:6">
      <c r="B1850" s="189">
        <v>39801</v>
      </c>
      <c r="C1850" s="2">
        <v>21287.7</v>
      </c>
      <c r="D1850" s="1196">
        <f t="shared" si="58"/>
        <v>164.40727053671762</v>
      </c>
      <c r="E1850" s="2">
        <v>1477.78</v>
      </c>
      <c r="F1850" s="1196">
        <f t="shared" si="59"/>
        <v>210.0252977459424</v>
      </c>
    </row>
    <row r="1851" spans="2:6">
      <c r="B1851" s="189">
        <v>39800</v>
      </c>
      <c r="C1851" s="2">
        <v>22034.63</v>
      </c>
      <c r="D1851" s="1196">
        <f t="shared" si="58"/>
        <v>170.17589385356212</v>
      </c>
      <c r="E1851" s="2">
        <v>1477.78</v>
      </c>
      <c r="F1851" s="1196">
        <f t="shared" si="59"/>
        <v>210.0252977459424</v>
      </c>
    </row>
    <row r="1852" spans="2:6">
      <c r="B1852" s="189">
        <v>39799</v>
      </c>
      <c r="C1852" s="2">
        <v>22409.26</v>
      </c>
      <c r="D1852" s="1196">
        <f t="shared" si="58"/>
        <v>173.0692029363268</v>
      </c>
      <c r="E1852" s="2">
        <v>1477.78</v>
      </c>
      <c r="F1852" s="1196">
        <f t="shared" si="59"/>
        <v>210.0252977459424</v>
      </c>
    </row>
    <row r="1853" spans="2:6">
      <c r="B1853" s="189">
        <v>39797</v>
      </c>
      <c r="C1853" s="2">
        <v>21805.83</v>
      </c>
      <c r="D1853" s="1196">
        <f t="shared" si="58"/>
        <v>168.40884605136642</v>
      </c>
      <c r="E1853" s="2">
        <v>1477.78</v>
      </c>
      <c r="F1853" s="1196">
        <f t="shared" si="59"/>
        <v>210.0252977459424</v>
      </c>
    </row>
    <row r="1854" spans="2:6">
      <c r="B1854" s="189">
        <v>39794</v>
      </c>
      <c r="C1854" s="2">
        <v>21355.24</v>
      </c>
      <c r="D1854" s="1196">
        <f t="shared" si="58"/>
        <v>164.92888945525038</v>
      </c>
      <c r="E1854" s="2">
        <v>1477.78</v>
      </c>
      <c r="F1854" s="1196">
        <f t="shared" si="59"/>
        <v>210.0252977459424</v>
      </c>
    </row>
    <row r="1855" spans="2:6">
      <c r="B1855" s="189">
        <v>39793</v>
      </c>
      <c r="C1855" s="2">
        <v>21749.69</v>
      </c>
      <c r="D1855" s="1196">
        <f t="shared" si="58"/>
        <v>167.97527059850248</v>
      </c>
      <c r="E1855" s="2">
        <v>1510.62</v>
      </c>
      <c r="F1855" s="1196">
        <f t="shared" si="59"/>
        <v>214.69258975014921</v>
      </c>
    </row>
    <row r="1856" spans="2:6">
      <c r="B1856" s="189">
        <v>39792</v>
      </c>
      <c r="C1856" s="2">
        <v>21930.94</v>
      </c>
      <c r="D1856" s="1196">
        <f t="shared" si="58"/>
        <v>169.3750844715268</v>
      </c>
      <c r="E1856" s="2">
        <v>1477.78</v>
      </c>
      <c r="F1856" s="1196">
        <f t="shared" si="59"/>
        <v>210.0252977459424</v>
      </c>
    </row>
    <row r="1857" spans="2:6">
      <c r="B1857" s="189">
        <v>39791</v>
      </c>
      <c r="C1857" s="2">
        <v>20953.22</v>
      </c>
      <c r="D1857" s="1196">
        <f t="shared" si="58"/>
        <v>161.82404436154974</v>
      </c>
      <c r="E1857" s="2">
        <v>1477.78</v>
      </c>
      <c r="F1857" s="1196">
        <f t="shared" si="59"/>
        <v>210.0252977459424</v>
      </c>
    </row>
    <row r="1858" spans="2:6">
      <c r="B1858" s="189">
        <v>39790</v>
      </c>
      <c r="C1858" s="2">
        <v>20643.43</v>
      </c>
      <c r="D1858" s="1196">
        <f t="shared" si="58"/>
        <v>159.43150179755409</v>
      </c>
      <c r="E1858" s="2">
        <v>1477.78</v>
      </c>
      <c r="F1858" s="1196">
        <f t="shared" si="59"/>
        <v>210.0252977459424</v>
      </c>
    </row>
    <row r="1859" spans="2:6">
      <c r="B1859" s="189">
        <v>39787</v>
      </c>
      <c r="C1859" s="2">
        <v>19279.79</v>
      </c>
      <c r="D1859" s="1196">
        <f t="shared" si="58"/>
        <v>148.89995868135603</v>
      </c>
      <c r="E1859" s="2">
        <v>1484.35</v>
      </c>
      <c r="F1859" s="1196">
        <f t="shared" si="59"/>
        <v>210.9590403911202</v>
      </c>
    </row>
    <row r="1860" spans="2:6">
      <c r="B1860" s="189">
        <v>39786</v>
      </c>
      <c r="C1860" s="2">
        <v>19800.93</v>
      </c>
      <c r="D1860" s="1196">
        <f t="shared" si="58"/>
        <v>152.92478076018583</v>
      </c>
      <c r="E1860" s="2">
        <v>1477.78</v>
      </c>
      <c r="F1860" s="1196">
        <f t="shared" si="59"/>
        <v>210.0252977459424</v>
      </c>
    </row>
    <row r="1861" spans="2:6">
      <c r="B1861" s="189">
        <v>39785</v>
      </c>
      <c r="C1861" s="2">
        <v>19113.28</v>
      </c>
      <c r="D1861" s="1196">
        <f t="shared" si="58"/>
        <v>147.61398346481928</v>
      </c>
      <c r="E1861" s="2">
        <v>1448.23</v>
      </c>
      <c r="F1861" s="1196">
        <f t="shared" si="59"/>
        <v>205.82558767516556</v>
      </c>
    </row>
    <row r="1862" spans="2:6">
      <c r="B1862" s="189">
        <v>39784</v>
      </c>
      <c r="C1862" s="2">
        <v>19713.95</v>
      </c>
      <c r="D1862" s="1196">
        <f t="shared" si="58"/>
        <v>152.25302456335461</v>
      </c>
      <c r="E1862" s="2">
        <v>1507.34</v>
      </c>
      <c r="F1862" s="1196">
        <f t="shared" si="59"/>
        <v>214.22642903840142</v>
      </c>
    </row>
    <row r="1863" spans="2:6">
      <c r="B1863" s="189">
        <v>39783</v>
      </c>
      <c r="C1863" s="2">
        <v>20245.45</v>
      </c>
      <c r="D1863" s="1196">
        <f t="shared" si="58"/>
        <v>156.35785807238872</v>
      </c>
      <c r="E1863" s="2">
        <v>1507.34</v>
      </c>
      <c r="F1863" s="1196">
        <f t="shared" si="59"/>
        <v>214.22642903840142</v>
      </c>
    </row>
    <row r="1864" spans="2:6">
      <c r="B1864" s="189">
        <v>39780</v>
      </c>
      <c r="C1864" s="2">
        <v>21209.49</v>
      </c>
      <c r="D1864" s="1196">
        <f t="shared" si="58"/>
        <v>163.80324602356322</v>
      </c>
      <c r="E1864" s="2">
        <v>1494.2</v>
      </c>
      <c r="F1864" s="1196">
        <f t="shared" si="59"/>
        <v>212.35894374804582</v>
      </c>
    </row>
    <row r="1865" spans="2:6">
      <c r="B1865" s="189">
        <v>39779</v>
      </c>
      <c r="C1865" s="2">
        <v>21301.01</v>
      </c>
      <c r="D1865" s="1196">
        <f t="shared" si="58"/>
        <v>164.51006514444148</v>
      </c>
      <c r="E1865" s="2">
        <v>1477.78</v>
      </c>
      <c r="F1865" s="1196">
        <f t="shared" si="59"/>
        <v>210.0252977459424</v>
      </c>
    </row>
    <row r="1866" spans="2:6">
      <c r="B1866" s="189">
        <v>39778</v>
      </c>
      <c r="C1866" s="2">
        <v>20474.7</v>
      </c>
      <c r="D1866" s="1196">
        <f t="shared" si="58"/>
        <v>158.12838127454503</v>
      </c>
      <c r="E1866" s="2">
        <v>1477.78</v>
      </c>
      <c r="F1866" s="1196">
        <f t="shared" si="59"/>
        <v>210.0252977459424</v>
      </c>
    </row>
    <row r="1867" spans="2:6">
      <c r="B1867" s="189">
        <v>39777</v>
      </c>
      <c r="C1867" s="2">
        <v>20263.11</v>
      </c>
      <c r="D1867" s="1196">
        <f t="shared" si="58"/>
        <v>156.49424821306519</v>
      </c>
      <c r="E1867" s="2">
        <v>1445.6</v>
      </c>
      <c r="F1867" s="1196">
        <f t="shared" si="59"/>
        <v>205.451806372758</v>
      </c>
    </row>
    <row r="1868" spans="2:6">
      <c r="B1868" s="189">
        <v>39776</v>
      </c>
      <c r="C1868" s="2">
        <v>18984.22</v>
      </c>
      <c r="D1868" s="1196">
        <f t="shared" ref="D1868:D1931" si="60">C1868/$C$2759*100</f>
        <v>146.61723875611574</v>
      </c>
      <c r="E1868" s="2">
        <v>1445.6</v>
      </c>
      <c r="F1868" s="1196">
        <f t="shared" ref="F1868:F1931" si="61">E1868/$E$2759*100</f>
        <v>205.451806372758</v>
      </c>
    </row>
    <row r="1869" spans="2:6">
      <c r="B1869" s="189">
        <v>39773</v>
      </c>
      <c r="C1869" s="2">
        <v>18066.38</v>
      </c>
      <c r="D1869" s="1196">
        <f t="shared" si="60"/>
        <v>139.52865853423077</v>
      </c>
      <c r="E1869" s="2">
        <v>1444.95</v>
      </c>
      <c r="F1869" s="1196">
        <f t="shared" si="61"/>
        <v>205.35942696341775</v>
      </c>
    </row>
    <row r="1870" spans="2:6">
      <c r="B1870" s="189">
        <v>39772</v>
      </c>
      <c r="C1870" s="2">
        <v>17814.419999999998</v>
      </c>
      <c r="D1870" s="1196">
        <f t="shared" si="60"/>
        <v>137.58274348072891</v>
      </c>
      <c r="E1870" s="2">
        <v>1444.95</v>
      </c>
      <c r="F1870" s="1196">
        <f t="shared" si="61"/>
        <v>205.35942696341775</v>
      </c>
    </row>
    <row r="1871" spans="2:6">
      <c r="B1871" s="189">
        <v>39771</v>
      </c>
      <c r="C1871" s="2">
        <v>18756.650000000001</v>
      </c>
      <c r="D1871" s="1196">
        <f t="shared" si="60"/>
        <v>144.85969038047907</v>
      </c>
      <c r="E1871" s="2">
        <v>1444.95</v>
      </c>
      <c r="F1871" s="1196">
        <f t="shared" si="61"/>
        <v>205.35942696341775</v>
      </c>
    </row>
    <row r="1872" spans="2:6">
      <c r="B1872" s="189">
        <v>39770</v>
      </c>
      <c r="C1872" s="2">
        <v>18747.16</v>
      </c>
      <c r="D1872" s="1196">
        <f t="shared" si="60"/>
        <v>144.78639805686527</v>
      </c>
      <c r="E1872" s="2">
        <v>1379.27</v>
      </c>
      <c r="F1872" s="1196">
        <f t="shared" si="61"/>
        <v>196.02484295500412</v>
      </c>
    </row>
    <row r="1873" spans="2:6">
      <c r="B1873" s="189">
        <v>39769</v>
      </c>
      <c r="C1873" s="2">
        <v>18883.18</v>
      </c>
      <c r="D1873" s="1196">
        <f t="shared" si="60"/>
        <v>145.83689561829297</v>
      </c>
      <c r="E1873" s="2">
        <v>1380.58</v>
      </c>
      <c r="F1873" s="1196">
        <f t="shared" si="61"/>
        <v>196.21102299536682</v>
      </c>
    </row>
    <row r="1874" spans="2:6">
      <c r="B1874" s="189">
        <v>39766</v>
      </c>
      <c r="C1874" s="2">
        <v>19413.7</v>
      </c>
      <c r="D1874" s="1196">
        <f t="shared" si="60"/>
        <v>149.93416047852398</v>
      </c>
      <c r="E1874" s="2">
        <v>1379.27</v>
      </c>
      <c r="F1874" s="1196">
        <f t="shared" si="61"/>
        <v>196.02484295500412</v>
      </c>
    </row>
    <row r="1875" spans="2:6">
      <c r="B1875" s="189">
        <v>39765</v>
      </c>
      <c r="C1875" s="2">
        <v>19094.66</v>
      </c>
      <c r="D1875" s="1196">
        <f t="shared" si="60"/>
        <v>147.47017913756019</v>
      </c>
      <c r="E1875" s="2">
        <v>1297.17</v>
      </c>
      <c r="F1875" s="1196">
        <f t="shared" si="61"/>
        <v>184.3566129444871</v>
      </c>
    </row>
    <row r="1876" spans="2:6">
      <c r="B1876" s="189">
        <v>39764</v>
      </c>
      <c r="C1876" s="2">
        <v>19670.53</v>
      </c>
      <c r="D1876" s="1196">
        <f t="shared" si="60"/>
        <v>151.91768708271064</v>
      </c>
      <c r="E1876" s="2">
        <v>1297.17</v>
      </c>
      <c r="F1876" s="1196">
        <f t="shared" si="61"/>
        <v>184.3566129444871</v>
      </c>
    </row>
    <row r="1877" spans="2:6">
      <c r="B1877" s="189">
        <v>39763</v>
      </c>
      <c r="C1877" s="2">
        <v>20098.21</v>
      </c>
      <c r="D1877" s="1196">
        <f t="shared" si="60"/>
        <v>155.22070720527643</v>
      </c>
      <c r="E1877" s="2">
        <v>1297.17</v>
      </c>
      <c r="F1877" s="1196">
        <f t="shared" si="61"/>
        <v>184.3566129444871</v>
      </c>
    </row>
    <row r="1878" spans="2:6">
      <c r="B1878" s="189">
        <v>39762</v>
      </c>
      <c r="C1878" s="2">
        <v>21052.75</v>
      </c>
      <c r="D1878" s="1196">
        <f t="shared" si="60"/>
        <v>162.5927256017269</v>
      </c>
      <c r="E1878" s="2">
        <v>1297.17</v>
      </c>
      <c r="F1878" s="1196">
        <f t="shared" si="61"/>
        <v>184.3566129444871</v>
      </c>
    </row>
    <row r="1879" spans="2:6">
      <c r="B1879" s="189">
        <v>39759</v>
      </c>
      <c r="C1879" s="2">
        <v>20030.48</v>
      </c>
      <c r="D1879" s="1196">
        <f t="shared" si="60"/>
        <v>154.69762089564918</v>
      </c>
      <c r="E1879" s="2">
        <v>1437.72</v>
      </c>
      <c r="F1879" s="1196">
        <f t="shared" si="61"/>
        <v>204.33188368721753</v>
      </c>
    </row>
    <row r="1880" spans="2:6">
      <c r="B1880" s="189">
        <v>39758</v>
      </c>
      <c r="C1880" s="2">
        <v>20125.27</v>
      </c>
      <c r="D1880" s="1196">
        <f t="shared" si="60"/>
        <v>155.42969458957458</v>
      </c>
      <c r="E1880" s="2">
        <v>1458.08</v>
      </c>
      <c r="F1880" s="1196">
        <f t="shared" si="61"/>
        <v>207.22549103209116</v>
      </c>
    </row>
    <row r="1881" spans="2:6">
      <c r="B1881" s="189">
        <v>39757</v>
      </c>
      <c r="C1881" s="2">
        <v>20950.98</v>
      </c>
      <c r="D1881" s="1196">
        <f t="shared" si="60"/>
        <v>161.80674459285689</v>
      </c>
      <c r="E1881" s="2">
        <v>1458.08</v>
      </c>
      <c r="F1881" s="1196">
        <f t="shared" si="61"/>
        <v>207.22549103209116</v>
      </c>
    </row>
    <row r="1882" spans="2:6">
      <c r="B1882" s="189">
        <v>39756</v>
      </c>
      <c r="C1882" s="2">
        <v>21649.58</v>
      </c>
      <c r="D1882" s="1196">
        <f t="shared" si="60"/>
        <v>167.20210995393165</v>
      </c>
      <c r="E1882" s="2">
        <v>1444.95</v>
      </c>
      <c r="F1882" s="1196">
        <f t="shared" si="61"/>
        <v>205.35942696341775</v>
      </c>
    </row>
    <row r="1883" spans="2:6">
      <c r="B1883" s="189">
        <v>39755</v>
      </c>
      <c r="C1883" s="2">
        <v>21135.27</v>
      </c>
      <c r="D1883" s="1196">
        <f t="shared" si="60"/>
        <v>163.23003672339294</v>
      </c>
      <c r="E1883" s="2">
        <v>1444.95</v>
      </c>
      <c r="F1883" s="1196">
        <f t="shared" si="61"/>
        <v>205.35942696341775</v>
      </c>
    </row>
    <row r="1884" spans="2:6">
      <c r="B1884" s="189">
        <v>39752</v>
      </c>
      <c r="C1884" s="2">
        <v>20991.72</v>
      </c>
      <c r="D1884" s="1196">
        <f t="shared" si="60"/>
        <v>162.12138413595767</v>
      </c>
      <c r="E1884" s="2">
        <v>1441.66</v>
      </c>
      <c r="F1884" s="1196">
        <f t="shared" si="61"/>
        <v>204.89184502998779</v>
      </c>
    </row>
    <row r="1885" spans="2:6">
      <c r="B1885" s="189">
        <v>39751</v>
      </c>
      <c r="C1885" s="2">
        <v>20861.52</v>
      </c>
      <c r="D1885" s="1196">
        <f t="shared" si="60"/>
        <v>161.11583508068722</v>
      </c>
      <c r="E1885" s="2">
        <v>1441.66</v>
      </c>
      <c r="F1885" s="1196">
        <f t="shared" si="61"/>
        <v>204.89184502998779</v>
      </c>
    </row>
    <row r="1886" spans="2:6">
      <c r="B1886" s="189">
        <v>39750</v>
      </c>
      <c r="C1886" s="2">
        <v>19794.740000000002</v>
      </c>
      <c r="D1886" s="1196">
        <f t="shared" si="60"/>
        <v>152.87697470294987</v>
      </c>
      <c r="E1886" s="2">
        <v>1438.38</v>
      </c>
      <c r="F1886" s="1196">
        <f t="shared" si="61"/>
        <v>204.42568431823997</v>
      </c>
    </row>
    <row r="1887" spans="2:6">
      <c r="B1887" s="189">
        <v>39749</v>
      </c>
      <c r="C1887" s="2">
        <v>18549.240000000002</v>
      </c>
      <c r="D1887" s="1196">
        <f t="shared" si="60"/>
        <v>143.25783992307782</v>
      </c>
      <c r="E1887" s="2">
        <v>1346.43</v>
      </c>
      <c r="F1887" s="1196">
        <f t="shared" si="61"/>
        <v>191.3575509507973</v>
      </c>
    </row>
    <row r="1888" spans="2:6">
      <c r="B1888" s="189">
        <v>39748</v>
      </c>
      <c r="C1888" s="2">
        <v>18363.7</v>
      </c>
      <c r="D1888" s="1196">
        <f t="shared" si="60"/>
        <v>141.82489390376233</v>
      </c>
      <c r="E1888" s="2">
        <v>1366.13</v>
      </c>
      <c r="F1888" s="1196">
        <f t="shared" si="61"/>
        <v>194.15735766464854</v>
      </c>
    </row>
    <row r="1889" spans="2:6">
      <c r="B1889" s="189">
        <v>39745</v>
      </c>
      <c r="C1889" s="2">
        <v>18459.13</v>
      </c>
      <c r="D1889" s="1196">
        <f t="shared" si="60"/>
        <v>142.5619103887428</v>
      </c>
      <c r="E1889" s="2">
        <v>1451.51</v>
      </c>
      <c r="F1889" s="1196">
        <f t="shared" si="61"/>
        <v>206.29174838691338</v>
      </c>
    </row>
    <row r="1890" spans="2:6">
      <c r="B1890" s="189">
        <v>39744</v>
      </c>
      <c r="C1890" s="2">
        <v>19598.57</v>
      </c>
      <c r="D1890" s="1196">
        <f t="shared" si="60"/>
        <v>151.36193201345367</v>
      </c>
      <c r="E1890" s="2">
        <v>1379.27</v>
      </c>
      <c r="F1890" s="1196">
        <f t="shared" si="61"/>
        <v>196.02484295500412</v>
      </c>
    </row>
    <row r="1891" spans="2:6">
      <c r="B1891" s="189">
        <v>39743</v>
      </c>
      <c r="C1891" s="2">
        <v>20288.62</v>
      </c>
      <c r="D1891" s="1196">
        <f t="shared" si="60"/>
        <v>156.69126477527678</v>
      </c>
      <c r="E1891" s="2">
        <v>1379.27</v>
      </c>
      <c r="F1891" s="1196">
        <f t="shared" si="61"/>
        <v>196.02484295500412</v>
      </c>
    </row>
    <row r="1892" spans="2:6">
      <c r="B1892" s="189">
        <v>39742</v>
      </c>
      <c r="C1892" s="2">
        <v>21267.01</v>
      </c>
      <c r="D1892" s="1196">
        <f t="shared" si="60"/>
        <v>164.24747936963965</v>
      </c>
      <c r="E1892" s="2">
        <v>1510.62</v>
      </c>
      <c r="F1892" s="1196">
        <f t="shared" si="61"/>
        <v>214.69258975014921</v>
      </c>
    </row>
    <row r="1893" spans="2:6">
      <c r="B1893" s="189">
        <v>39741</v>
      </c>
      <c r="C1893" s="2">
        <v>20713.259999999998</v>
      </c>
      <c r="D1893" s="1196">
        <f t="shared" si="60"/>
        <v>159.97080664033086</v>
      </c>
      <c r="E1893" s="2">
        <v>1510.62</v>
      </c>
      <c r="F1893" s="1196">
        <f t="shared" si="61"/>
        <v>214.69258975014921</v>
      </c>
    </row>
    <row r="1894" spans="2:6">
      <c r="B1894" s="189">
        <v>39738</v>
      </c>
      <c r="C1894" s="2">
        <v>20139.59</v>
      </c>
      <c r="D1894" s="1196">
        <f t="shared" si="60"/>
        <v>155.54028953943228</v>
      </c>
      <c r="E1894" s="2">
        <v>1379.27</v>
      </c>
      <c r="F1894" s="1196">
        <f t="shared" si="61"/>
        <v>196.02484295500412</v>
      </c>
    </row>
    <row r="1895" spans="2:6">
      <c r="B1895" s="189">
        <v>39737</v>
      </c>
      <c r="C1895" s="2">
        <v>20095.96</v>
      </c>
      <c r="D1895" s="1196">
        <f t="shared" si="60"/>
        <v>155.20333020547338</v>
      </c>
      <c r="E1895" s="2">
        <v>1313.59</v>
      </c>
      <c r="F1895" s="1196">
        <f t="shared" si="61"/>
        <v>186.69025894659049</v>
      </c>
    </row>
    <row r="1896" spans="2:6">
      <c r="B1896" s="189">
        <v>39736</v>
      </c>
      <c r="C1896" s="2">
        <v>20571.87</v>
      </c>
      <c r="D1896" s="1196">
        <f t="shared" si="60"/>
        <v>158.8788359727065</v>
      </c>
      <c r="E1896" s="2">
        <v>1346.43</v>
      </c>
      <c r="F1896" s="1196">
        <f t="shared" si="61"/>
        <v>191.3575509507973</v>
      </c>
    </row>
    <row r="1897" spans="2:6">
      <c r="B1897" s="189">
        <v>39735</v>
      </c>
      <c r="C1897" s="2">
        <v>22117.06</v>
      </c>
      <c r="D1897" s="1196">
        <f t="shared" si="60"/>
        <v>170.81250989523602</v>
      </c>
      <c r="E1897" s="2">
        <v>1346.43</v>
      </c>
      <c r="F1897" s="1196">
        <f t="shared" si="61"/>
        <v>191.3575509507973</v>
      </c>
    </row>
    <row r="1898" spans="2:6">
      <c r="B1898" s="189">
        <v>39734</v>
      </c>
      <c r="C1898" s="2">
        <v>21451.69</v>
      </c>
      <c r="D1898" s="1196">
        <f t="shared" si="60"/>
        <v>165.67378351347489</v>
      </c>
      <c r="E1898" s="2">
        <v>1346.43</v>
      </c>
      <c r="F1898" s="1196">
        <f t="shared" si="61"/>
        <v>191.3575509507973</v>
      </c>
    </row>
    <row r="1899" spans="2:6">
      <c r="B1899" s="189">
        <v>39731</v>
      </c>
      <c r="C1899" s="2">
        <v>20595.23</v>
      </c>
      <c r="D1899" s="1196">
        <f t="shared" si="60"/>
        <v>159.0592478462174</v>
      </c>
      <c r="E1899" s="2">
        <v>1346.43</v>
      </c>
      <c r="F1899" s="1196">
        <f t="shared" si="61"/>
        <v>191.3575509507973</v>
      </c>
    </row>
    <row r="1900" spans="2:6">
      <c r="B1900" s="189">
        <v>39730</v>
      </c>
      <c r="C1900" s="2">
        <v>21252.29</v>
      </c>
      <c r="D1900" s="1196">
        <f t="shared" si="60"/>
        <v>164.13379517537257</v>
      </c>
      <c r="E1900" s="2">
        <v>1346.43</v>
      </c>
      <c r="F1900" s="1196">
        <f t="shared" si="61"/>
        <v>191.3575509507973</v>
      </c>
    </row>
    <row r="1901" spans="2:6">
      <c r="B1901" s="189">
        <v>39729</v>
      </c>
      <c r="C1901" s="2">
        <v>20954.080000000002</v>
      </c>
      <c r="D1901" s="1196">
        <f t="shared" si="60"/>
        <v>161.83068623703002</v>
      </c>
      <c r="E1901" s="2">
        <v>1379.27</v>
      </c>
      <c r="F1901" s="1196">
        <f t="shared" si="61"/>
        <v>196.02484295500412</v>
      </c>
    </row>
    <row r="1902" spans="2:6">
      <c r="B1902" s="189">
        <v>39728</v>
      </c>
      <c r="C1902" s="2">
        <v>21560.99</v>
      </c>
      <c r="D1902" s="1196">
        <f t="shared" si="60"/>
        <v>166.51791954835249</v>
      </c>
      <c r="E1902" s="2">
        <v>1379.27</v>
      </c>
      <c r="F1902" s="1196">
        <f t="shared" si="61"/>
        <v>196.02484295500412</v>
      </c>
    </row>
    <row r="1903" spans="2:6">
      <c r="B1903" s="189">
        <v>39727</v>
      </c>
      <c r="C1903" s="2">
        <v>21022.63</v>
      </c>
      <c r="D1903" s="1196">
        <f t="shared" si="60"/>
        <v>162.36010549769659</v>
      </c>
      <c r="E1903" s="2">
        <v>1379.27</v>
      </c>
      <c r="F1903" s="1196">
        <f t="shared" si="61"/>
        <v>196.02484295500412</v>
      </c>
    </row>
    <row r="1904" spans="2:6">
      <c r="B1904" s="189">
        <v>39724</v>
      </c>
      <c r="C1904" s="2">
        <v>22678.25</v>
      </c>
      <c r="D1904" s="1196">
        <f t="shared" si="60"/>
        <v>175.14664257056026</v>
      </c>
      <c r="E1904" s="2">
        <v>1379.27</v>
      </c>
      <c r="F1904" s="1196">
        <f t="shared" si="61"/>
        <v>196.02484295500412</v>
      </c>
    </row>
    <row r="1905" spans="2:6">
      <c r="B1905" s="189">
        <v>39723</v>
      </c>
      <c r="C1905" s="2">
        <v>22560.77</v>
      </c>
      <c r="D1905" s="1196">
        <f t="shared" si="60"/>
        <v>174.23933148750982</v>
      </c>
      <c r="E1905" s="2">
        <v>1379.92</v>
      </c>
      <c r="F1905" s="1196">
        <f t="shared" si="61"/>
        <v>196.1172223643444</v>
      </c>
    </row>
    <row r="1906" spans="2:6">
      <c r="B1906" s="189">
        <v>39722</v>
      </c>
      <c r="C1906" s="2">
        <v>23332.65</v>
      </c>
      <c r="D1906" s="1196">
        <f t="shared" si="60"/>
        <v>180.20064642439269</v>
      </c>
      <c r="E1906" s="2">
        <v>1382.55</v>
      </c>
      <c r="F1906" s="1196">
        <f t="shared" si="61"/>
        <v>196.49100366675194</v>
      </c>
    </row>
    <row r="1907" spans="2:6">
      <c r="B1907" s="189">
        <v>39721</v>
      </c>
      <c r="C1907" s="2">
        <v>23835.97</v>
      </c>
      <c r="D1907" s="1196">
        <f t="shared" si="60"/>
        <v>184.08784266478224</v>
      </c>
      <c r="E1907" s="2">
        <v>1389.12</v>
      </c>
      <c r="F1907" s="1196">
        <f t="shared" si="61"/>
        <v>197.42474631192971</v>
      </c>
    </row>
    <row r="1908" spans="2:6">
      <c r="B1908" s="189">
        <v>39720</v>
      </c>
      <c r="C1908" s="2">
        <v>23087.67</v>
      </c>
      <c r="D1908" s="1196">
        <f t="shared" si="60"/>
        <v>178.30863868583543</v>
      </c>
      <c r="E1908" s="2">
        <v>1438.38</v>
      </c>
      <c r="F1908" s="1196">
        <f t="shared" si="61"/>
        <v>204.42568431823997</v>
      </c>
    </row>
    <row r="1909" spans="2:6">
      <c r="B1909" s="189">
        <v>39717</v>
      </c>
      <c r="C1909" s="2">
        <v>24499.94</v>
      </c>
      <c r="D1909" s="1196">
        <f t="shared" si="60"/>
        <v>189.2157566911103</v>
      </c>
      <c r="E1909" s="2">
        <v>1425.24</v>
      </c>
      <c r="F1909" s="1196">
        <f t="shared" si="61"/>
        <v>202.55819902788437</v>
      </c>
    </row>
    <row r="1910" spans="2:6">
      <c r="B1910" s="189">
        <v>39716</v>
      </c>
      <c r="C1910" s="2">
        <v>24936.43</v>
      </c>
      <c r="D1910" s="1196">
        <f t="shared" si="60"/>
        <v>192.58681742179385</v>
      </c>
      <c r="E1910" s="2">
        <v>1425.24</v>
      </c>
      <c r="F1910" s="1196">
        <f t="shared" si="61"/>
        <v>202.55819902788437</v>
      </c>
    </row>
    <row r="1911" spans="2:6">
      <c r="B1911" s="189">
        <v>39714</v>
      </c>
      <c r="C1911" s="2">
        <v>24923.34</v>
      </c>
      <c r="D1911" s="1196">
        <f t="shared" si="60"/>
        <v>192.48572189849514</v>
      </c>
      <c r="E1911" s="2">
        <v>1379.27</v>
      </c>
      <c r="F1911" s="1196">
        <f t="shared" si="61"/>
        <v>196.02484295500412</v>
      </c>
    </row>
    <row r="1912" spans="2:6">
      <c r="B1912" s="189">
        <v>39713</v>
      </c>
      <c r="C1912" s="2">
        <v>25893.43</v>
      </c>
      <c r="D1912" s="1196">
        <f t="shared" si="60"/>
        <v>199.97783467136233</v>
      </c>
      <c r="E1912" s="2">
        <v>1379.27</v>
      </c>
      <c r="F1912" s="1196">
        <f t="shared" si="61"/>
        <v>196.02484295500412</v>
      </c>
    </row>
    <row r="1913" spans="2:6">
      <c r="B1913" s="189">
        <v>39710</v>
      </c>
      <c r="C1913" s="2">
        <v>25402.11</v>
      </c>
      <c r="D1913" s="1196">
        <f t="shared" si="60"/>
        <v>196.18331576325576</v>
      </c>
      <c r="E1913" s="2">
        <v>1362.85</v>
      </c>
      <c r="F1913" s="1196">
        <f t="shared" si="61"/>
        <v>193.6911969529007</v>
      </c>
    </row>
    <row r="1914" spans="2:6">
      <c r="B1914" s="189">
        <v>39709</v>
      </c>
      <c r="C1914" s="2">
        <v>24092.74</v>
      </c>
      <c r="D1914" s="1196">
        <f t="shared" si="60"/>
        <v>186.07090588230753</v>
      </c>
      <c r="E1914" s="2">
        <v>1379.27</v>
      </c>
      <c r="F1914" s="1196">
        <f t="shared" si="61"/>
        <v>196.02484295500412</v>
      </c>
    </row>
    <row r="1915" spans="2:6">
      <c r="B1915" s="189">
        <v>39708</v>
      </c>
      <c r="C1915" s="2">
        <v>24323.19</v>
      </c>
      <c r="D1915" s="1196">
        <f t="shared" si="60"/>
        <v>187.8506968176921</v>
      </c>
      <c r="E1915" s="2">
        <v>1379.27</v>
      </c>
      <c r="F1915" s="1196">
        <f t="shared" si="61"/>
        <v>196.02484295500412</v>
      </c>
    </row>
    <row r="1916" spans="2:6">
      <c r="B1916" s="189">
        <v>39707</v>
      </c>
      <c r="C1916" s="2">
        <v>24978.86</v>
      </c>
      <c r="D1916" s="1196">
        <f t="shared" si="60"/>
        <v>192.91450902252447</v>
      </c>
      <c r="E1916" s="2">
        <v>1379.27</v>
      </c>
      <c r="F1916" s="1196">
        <f t="shared" si="61"/>
        <v>196.02484295500412</v>
      </c>
    </row>
    <row r="1917" spans="2:6">
      <c r="B1917" s="189">
        <v>39706</v>
      </c>
      <c r="C1917" s="2">
        <v>25642.3</v>
      </c>
      <c r="D1917" s="1196">
        <f t="shared" si="60"/>
        <v>198.03832980001005</v>
      </c>
      <c r="E1917" s="2">
        <v>1379.27</v>
      </c>
      <c r="F1917" s="1196">
        <f t="shared" si="61"/>
        <v>196.02484295500412</v>
      </c>
    </row>
    <row r="1918" spans="2:6">
      <c r="B1918" s="189">
        <v>39703</v>
      </c>
      <c r="C1918" s="2">
        <v>26154.97</v>
      </c>
      <c r="D1918" s="1196">
        <f t="shared" si="60"/>
        <v>201.99773712847011</v>
      </c>
      <c r="E1918" s="2">
        <v>1379.27</v>
      </c>
      <c r="F1918" s="1196">
        <f t="shared" si="61"/>
        <v>196.02484295500412</v>
      </c>
    </row>
    <row r="1919" spans="2:6">
      <c r="B1919" s="189">
        <v>39702</v>
      </c>
      <c r="C1919" s="2">
        <v>25549.29</v>
      </c>
      <c r="D1919" s="1196">
        <f t="shared" si="60"/>
        <v>197.32000324370665</v>
      </c>
      <c r="E1919" s="2">
        <v>1379.27</v>
      </c>
      <c r="F1919" s="1196">
        <f t="shared" si="61"/>
        <v>196.02484295500412</v>
      </c>
    </row>
    <row r="1920" spans="2:6">
      <c r="B1920" s="189">
        <v>39701</v>
      </c>
      <c r="C1920" s="2">
        <v>25273.599999999999</v>
      </c>
      <c r="D1920" s="1196">
        <f t="shared" si="60"/>
        <v>195.19081876561515</v>
      </c>
      <c r="E1920" s="2">
        <v>1379.27</v>
      </c>
      <c r="F1920" s="1196">
        <f t="shared" si="61"/>
        <v>196.02484295500412</v>
      </c>
    </row>
    <row r="1921" spans="2:6">
      <c r="B1921" s="189">
        <v>39700</v>
      </c>
      <c r="C1921" s="2">
        <v>25320.51</v>
      </c>
      <c r="D1921" s="1196">
        <f t="shared" si="60"/>
        <v>195.55310990373141</v>
      </c>
      <c r="E1921" s="2">
        <v>1293.8800000000001</v>
      </c>
      <c r="F1921" s="1196">
        <f t="shared" si="61"/>
        <v>183.88903101105711</v>
      </c>
    </row>
    <row r="1922" spans="2:6">
      <c r="B1922" s="189">
        <v>39699</v>
      </c>
      <c r="C1922" s="2">
        <v>26238.12</v>
      </c>
      <c r="D1922" s="1196">
        <f t="shared" si="60"/>
        <v>202.639913810081</v>
      </c>
      <c r="E1922" s="2">
        <v>1293.8800000000001</v>
      </c>
      <c r="F1922" s="1196">
        <f t="shared" si="61"/>
        <v>183.88903101105711</v>
      </c>
    </row>
    <row r="1923" spans="2:6">
      <c r="B1923" s="189">
        <v>39696</v>
      </c>
      <c r="C1923" s="2">
        <v>25416.67</v>
      </c>
      <c r="D1923" s="1196">
        <f t="shared" si="60"/>
        <v>196.2957642597591</v>
      </c>
      <c r="E1923" s="2">
        <v>1267.6099999999999</v>
      </c>
      <c r="F1923" s="1196">
        <f t="shared" si="61"/>
        <v>180.15548165202807</v>
      </c>
    </row>
    <row r="1924" spans="2:6">
      <c r="B1924" s="189">
        <v>39695</v>
      </c>
      <c r="C1924" s="2">
        <v>26190.09</v>
      </c>
      <c r="D1924" s="1196">
        <f t="shared" si="60"/>
        <v>202.26897278761831</v>
      </c>
      <c r="E1924" s="2">
        <v>1293.8800000000001</v>
      </c>
      <c r="F1924" s="1196">
        <f t="shared" si="61"/>
        <v>183.88903101105711</v>
      </c>
    </row>
    <row r="1925" spans="2:6">
      <c r="B1925" s="189">
        <v>39694</v>
      </c>
      <c r="C1925" s="2">
        <v>26532.11</v>
      </c>
      <c r="D1925" s="1196">
        <f t="shared" si="60"/>
        <v>204.91043121990401</v>
      </c>
      <c r="E1925" s="2">
        <v>1280.75</v>
      </c>
      <c r="F1925" s="1196">
        <f t="shared" si="61"/>
        <v>182.02296694238368</v>
      </c>
    </row>
    <row r="1926" spans="2:6">
      <c r="B1926" s="189">
        <v>39693</v>
      </c>
      <c r="C1926" s="2">
        <v>26747.82</v>
      </c>
      <c r="D1926" s="1196">
        <f t="shared" si="60"/>
        <v>206.57638349880099</v>
      </c>
      <c r="E1926" s="2">
        <v>1231.49</v>
      </c>
      <c r="F1926" s="1196">
        <f t="shared" si="61"/>
        <v>175.02202893607347</v>
      </c>
    </row>
    <row r="1927" spans="2:6">
      <c r="B1927" s="189">
        <v>39692</v>
      </c>
      <c r="C1927" s="2">
        <v>26857.09</v>
      </c>
      <c r="D1927" s="1196">
        <f t="shared" si="60"/>
        <v>207.42028784034784</v>
      </c>
      <c r="E1927" s="2">
        <v>1234.77</v>
      </c>
      <c r="F1927" s="1196">
        <f t="shared" si="61"/>
        <v>175.48818964782126</v>
      </c>
    </row>
    <row r="1928" spans="2:6">
      <c r="B1928" s="189">
        <v>39689</v>
      </c>
      <c r="C1928" s="2">
        <v>27702.06</v>
      </c>
      <c r="D1928" s="1196">
        <f t="shared" si="60"/>
        <v>213.94608496194439</v>
      </c>
      <c r="E1928" s="2">
        <v>1230.17</v>
      </c>
      <c r="F1928" s="1196">
        <f t="shared" si="61"/>
        <v>174.8344276740286</v>
      </c>
    </row>
    <row r="1929" spans="2:6">
      <c r="B1929" s="189">
        <v>39688</v>
      </c>
      <c r="C1929" s="2">
        <v>28027.74</v>
      </c>
      <c r="D1929" s="1196">
        <f t="shared" si="60"/>
        <v>216.46134776010473</v>
      </c>
      <c r="E1929" s="2">
        <v>1215.07</v>
      </c>
      <c r="F1929" s="1196">
        <f t="shared" si="61"/>
        <v>172.68838293397005</v>
      </c>
    </row>
    <row r="1930" spans="2:6">
      <c r="B1930" s="189">
        <v>39687</v>
      </c>
      <c r="C1930" s="2">
        <v>27426.59</v>
      </c>
      <c r="D1930" s="1196">
        <f t="shared" si="60"/>
        <v>211.8185995682781</v>
      </c>
      <c r="E1930" s="2">
        <v>1227.55</v>
      </c>
      <c r="F1930" s="1196">
        <f t="shared" si="61"/>
        <v>174.4620675933032</v>
      </c>
    </row>
    <row r="1931" spans="2:6">
      <c r="B1931" s="189">
        <v>39686</v>
      </c>
      <c r="C1931" s="2">
        <v>27023.37</v>
      </c>
      <c r="D1931" s="1196">
        <f t="shared" si="60"/>
        <v>208.70448674134914</v>
      </c>
      <c r="E1931" s="2">
        <v>1195.3599999999999</v>
      </c>
      <c r="F1931" s="1196">
        <f t="shared" si="61"/>
        <v>169.88715499843664</v>
      </c>
    </row>
    <row r="1932" spans="2:6">
      <c r="B1932" s="189">
        <v>39685</v>
      </c>
      <c r="C1932" s="2">
        <v>26703.51</v>
      </c>
      <c r="D1932" s="1196">
        <f t="shared" ref="D1932:D1995" si="62">C1932/$C$2759*100</f>
        <v>206.23417244934603</v>
      </c>
      <c r="E1932" s="2">
        <v>1195.3599999999999</v>
      </c>
      <c r="F1932" s="1196">
        <f t="shared" ref="F1932:F1995" si="63">E1932/$E$2759*100</f>
        <v>169.88715499843664</v>
      </c>
    </row>
    <row r="1933" spans="2:6">
      <c r="B1933" s="189">
        <v>39682</v>
      </c>
      <c r="C1933" s="2">
        <v>27161.34</v>
      </c>
      <c r="D1933" s="1196">
        <f t="shared" si="62"/>
        <v>209.77004436927285</v>
      </c>
      <c r="E1933" s="2">
        <v>1228.2</v>
      </c>
      <c r="F1933" s="1196">
        <f t="shared" si="63"/>
        <v>174.55444700264349</v>
      </c>
    </row>
    <row r="1934" spans="2:6">
      <c r="B1934" s="189">
        <v>39681</v>
      </c>
      <c r="C1934" s="2">
        <v>27064.87</v>
      </c>
      <c r="D1934" s="1196">
        <f t="shared" si="62"/>
        <v>209.02499584882781</v>
      </c>
      <c r="E1934" s="2">
        <v>1228.2</v>
      </c>
      <c r="F1934" s="1196">
        <f t="shared" si="63"/>
        <v>174.55444700264349</v>
      </c>
    </row>
    <row r="1935" spans="2:6">
      <c r="B1935" s="189">
        <v>39680</v>
      </c>
      <c r="C1935" s="2">
        <v>26794.25</v>
      </c>
      <c r="D1935" s="1196">
        <f t="shared" si="62"/>
        <v>206.93496754362593</v>
      </c>
      <c r="E1935" s="2">
        <v>1228.2</v>
      </c>
      <c r="F1935" s="1196">
        <f t="shared" si="63"/>
        <v>174.55444700264349</v>
      </c>
    </row>
    <row r="1936" spans="2:6">
      <c r="B1936" s="189">
        <v>39679</v>
      </c>
      <c r="C1936" s="2">
        <v>26270.46</v>
      </c>
      <c r="D1936" s="1196">
        <f t="shared" si="62"/>
        <v>202.88967922058364</v>
      </c>
      <c r="E1936" s="2">
        <v>1228.2</v>
      </c>
      <c r="F1936" s="1196">
        <f t="shared" si="63"/>
        <v>174.55444700264349</v>
      </c>
    </row>
    <row r="1937" spans="2:6">
      <c r="B1937" s="189">
        <v>39678</v>
      </c>
      <c r="C1937" s="2">
        <v>26806.03</v>
      </c>
      <c r="D1937" s="1196">
        <f t="shared" si="62"/>
        <v>207.02594579148374</v>
      </c>
      <c r="E1937" s="2">
        <v>1228.2</v>
      </c>
      <c r="F1937" s="1196">
        <f t="shared" si="63"/>
        <v>174.55444700264349</v>
      </c>
    </row>
    <row r="1938" spans="2:6">
      <c r="B1938" s="189">
        <v>39675</v>
      </c>
      <c r="C1938" s="2">
        <v>27246.63</v>
      </c>
      <c r="D1938" s="1196">
        <f t="shared" si="62"/>
        <v>210.4287485084742</v>
      </c>
      <c r="E1938" s="2">
        <v>1230.17</v>
      </c>
      <c r="F1938" s="1196">
        <f t="shared" si="63"/>
        <v>174.8344276740286</v>
      </c>
    </row>
    <row r="1939" spans="2:6">
      <c r="B1939" s="189">
        <v>39674</v>
      </c>
      <c r="C1939" s="2">
        <v>27819.88</v>
      </c>
      <c r="D1939" s="1196">
        <f t="shared" si="62"/>
        <v>214.8560219027429</v>
      </c>
      <c r="E1939" s="2">
        <v>1230.83</v>
      </c>
      <c r="F1939" s="1196">
        <f t="shared" si="63"/>
        <v>174.92822830505102</v>
      </c>
    </row>
    <row r="1940" spans="2:6">
      <c r="B1940" s="189">
        <v>39673</v>
      </c>
      <c r="C1940" s="2">
        <v>27035.65</v>
      </c>
      <c r="D1940" s="1196">
        <f t="shared" si="62"/>
        <v>208.79932654471878</v>
      </c>
      <c r="E1940" s="2">
        <v>1230.83</v>
      </c>
      <c r="F1940" s="1196">
        <f t="shared" si="63"/>
        <v>174.92822830505102</v>
      </c>
    </row>
    <row r="1941" spans="2:6">
      <c r="B1941" s="189">
        <v>39672</v>
      </c>
      <c r="C1941" s="2">
        <v>26922.36</v>
      </c>
      <c r="D1941" s="1196">
        <f t="shared" si="62"/>
        <v>207.92437529685711</v>
      </c>
      <c r="E1941" s="2">
        <v>1231.49</v>
      </c>
      <c r="F1941" s="1196">
        <f t="shared" si="63"/>
        <v>175.02202893607347</v>
      </c>
    </row>
    <row r="1942" spans="2:6">
      <c r="B1942" s="189">
        <v>39671</v>
      </c>
      <c r="C1942" s="2">
        <v>26960.95</v>
      </c>
      <c r="D1942" s="1196">
        <f t="shared" si="62"/>
        <v>208.22241015125712</v>
      </c>
      <c r="E1942" s="2">
        <v>1231.49</v>
      </c>
      <c r="F1942" s="1196">
        <f t="shared" si="63"/>
        <v>175.02202893607347</v>
      </c>
    </row>
    <row r="1943" spans="2:6">
      <c r="B1943" s="189">
        <v>39668</v>
      </c>
      <c r="C1943" s="2">
        <v>26759.919999999998</v>
      </c>
      <c r="D1943" s="1196">
        <f t="shared" si="62"/>
        <v>206.66983314218635</v>
      </c>
      <c r="E1943" s="2">
        <v>1231.49</v>
      </c>
      <c r="F1943" s="1196">
        <f t="shared" si="63"/>
        <v>175.02202893607347</v>
      </c>
    </row>
    <row r="1944" spans="2:6">
      <c r="B1944" s="189">
        <v>39667</v>
      </c>
      <c r="C1944" s="2">
        <v>26664.58</v>
      </c>
      <c r="D1944" s="1196">
        <f t="shared" si="62"/>
        <v>205.93351173719802</v>
      </c>
      <c r="E1944" s="2">
        <v>1211.78</v>
      </c>
      <c r="F1944" s="1196">
        <f t="shared" si="63"/>
        <v>172.22080100054006</v>
      </c>
    </row>
    <row r="1945" spans="2:6">
      <c r="B1945" s="189">
        <v>39666</v>
      </c>
      <c r="C1945" s="2">
        <v>26945.35</v>
      </c>
      <c r="D1945" s="1196">
        <f t="shared" si="62"/>
        <v>208.10192961928925</v>
      </c>
      <c r="E1945" s="2">
        <v>1234.77</v>
      </c>
      <c r="F1945" s="1196">
        <f t="shared" si="63"/>
        <v>175.48818964782126</v>
      </c>
    </row>
    <row r="1946" spans="2:6">
      <c r="B1946" s="189">
        <v>39665</v>
      </c>
      <c r="C1946" s="2">
        <v>26410.98</v>
      </c>
      <c r="D1946" s="1196">
        <f t="shared" si="62"/>
        <v>203.97493078161745</v>
      </c>
      <c r="E1946" s="2">
        <v>1234.77</v>
      </c>
      <c r="F1946" s="1196">
        <f t="shared" si="63"/>
        <v>175.48818964782126</v>
      </c>
    </row>
    <row r="1947" spans="2:6">
      <c r="B1947" s="189">
        <v>39664</v>
      </c>
      <c r="C1947" s="2">
        <v>25875.63</v>
      </c>
      <c r="D1947" s="1196">
        <f t="shared" si="62"/>
        <v>199.84036329514257</v>
      </c>
      <c r="E1947" s="2">
        <v>1247.9100000000001</v>
      </c>
      <c r="F1947" s="1196">
        <f t="shared" si="63"/>
        <v>177.35567493817689</v>
      </c>
    </row>
    <row r="1948" spans="2:6">
      <c r="B1948" s="189">
        <v>39661</v>
      </c>
      <c r="C1948" s="2">
        <v>26504.58</v>
      </c>
      <c r="D1948" s="1196">
        <f t="shared" si="62"/>
        <v>204.69781397342479</v>
      </c>
      <c r="E1948" s="2">
        <v>1247.9100000000001</v>
      </c>
      <c r="F1948" s="1196">
        <f t="shared" si="63"/>
        <v>177.35567493817689</v>
      </c>
    </row>
    <row r="1949" spans="2:6">
      <c r="B1949" s="189">
        <v>39660</v>
      </c>
      <c r="C1949" s="2">
        <v>27719.67</v>
      </c>
      <c r="D1949" s="1196">
        <f t="shared" si="62"/>
        <v>214.08208894706965</v>
      </c>
      <c r="E1949" s="2">
        <v>1247.9100000000001</v>
      </c>
      <c r="F1949" s="1196">
        <f t="shared" si="63"/>
        <v>177.35567493817689</v>
      </c>
    </row>
    <row r="1950" spans="2:6">
      <c r="B1950" s="189">
        <v>39659</v>
      </c>
      <c r="C1950" s="2">
        <v>27767.57</v>
      </c>
      <c r="D1950" s="1196">
        <f t="shared" si="62"/>
        <v>214.45202596509927</v>
      </c>
      <c r="E1950" s="2">
        <v>1247.9100000000001</v>
      </c>
      <c r="F1950" s="1196">
        <f t="shared" si="63"/>
        <v>177.35567493817689</v>
      </c>
    </row>
    <row r="1951" spans="2:6">
      <c r="B1951" s="189">
        <v>39658</v>
      </c>
      <c r="C1951" s="2">
        <v>27164.09</v>
      </c>
      <c r="D1951" s="1196">
        <f t="shared" si="62"/>
        <v>209.79128292458768</v>
      </c>
      <c r="E1951" s="2">
        <v>1247.9100000000001</v>
      </c>
      <c r="F1951" s="1196">
        <f t="shared" si="63"/>
        <v>177.35567493817689</v>
      </c>
    </row>
    <row r="1952" spans="2:6">
      <c r="B1952" s="189">
        <v>39657</v>
      </c>
      <c r="C1952" s="2">
        <v>27320.04</v>
      </c>
      <c r="D1952" s="1196">
        <f t="shared" si="62"/>
        <v>210.99570208871538</v>
      </c>
      <c r="E1952" s="2">
        <v>1247.9100000000001</v>
      </c>
      <c r="F1952" s="1196">
        <f t="shared" si="63"/>
        <v>177.35567493817689</v>
      </c>
    </row>
    <row r="1953" spans="2:6">
      <c r="B1953" s="189">
        <v>39654</v>
      </c>
      <c r="C1953" s="2">
        <v>26995.8</v>
      </c>
      <c r="D1953" s="1196">
        <f t="shared" si="62"/>
        <v>208.49156057042899</v>
      </c>
      <c r="E1953" s="2">
        <v>1247.9100000000001</v>
      </c>
      <c r="F1953" s="1196">
        <f t="shared" si="63"/>
        <v>177.35567493817689</v>
      </c>
    </row>
    <row r="1954" spans="2:6">
      <c r="B1954" s="189">
        <v>39653</v>
      </c>
      <c r="C1954" s="2">
        <v>27430.12</v>
      </c>
      <c r="D1954" s="1196">
        <f t="shared" si="62"/>
        <v>211.84586215019135</v>
      </c>
      <c r="E1954" s="2">
        <v>1247.9100000000001</v>
      </c>
      <c r="F1954" s="1196">
        <f t="shared" si="63"/>
        <v>177.35567493817689</v>
      </c>
    </row>
    <row r="1955" spans="2:6">
      <c r="B1955" s="189">
        <v>39652</v>
      </c>
      <c r="C1955" s="2">
        <v>27373.79</v>
      </c>
      <c r="D1955" s="1196">
        <f t="shared" si="62"/>
        <v>211.41081930623295</v>
      </c>
      <c r="E1955" s="2">
        <v>1247.9100000000001</v>
      </c>
      <c r="F1955" s="1196">
        <f t="shared" si="63"/>
        <v>177.35567493817689</v>
      </c>
    </row>
    <row r="1956" spans="2:6">
      <c r="B1956" s="189">
        <v>39651</v>
      </c>
      <c r="C1956" s="2">
        <v>27265.45</v>
      </c>
      <c r="D1956" s="1196">
        <f t="shared" si="62"/>
        <v>210.57409745793802</v>
      </c>
      <c r="E1956" s="2">
        <v>1247.9100000000001</v>
      </c>
      <c r="F1956" s="1196">
        <f t="shared" si="63"/>
        <v>177.35567493817689</v>
      </c>
    </row>
    <row r="1957" spans="2:6">
      <c r="B1957" s="189">
        <v>39650</v>
      </c>
      <c r="C1957" s="2">
        <v>27701.5</v>
      </c>
      <c r="D1957" s="1196">
        <f t="shared" si="62"/>
        <v>213.94176001977118</v>
      </c>
      <c r="E1957" s="2">
        <v>1247.9100000000001</v>
      </c>
      <c r="F1957" s="1196">
        <f t="shared" si="63"/>
        <v>177.35567493817689</v>
      </c>
    </row>
    <row r="1958" spans="2:6">
      <c r="B1958" s="189">
        <v>39647</v>
      </c>
      <c r="C1958" s="2">
        <v>27610.09</v>
      </c>
      <c r="D1958" s="1196">
        <f t="shared" si="62"/>
        <v>213.23579044110548</v>
      </c>
      <c r="E1958" s="2">
        <v>1185.51</v>
      </c>
      <c r="F1958" s="1196">
        <f t="shared" si="63"/>
        <v>168.48725164151105</v>
      </c>
    </row>
    <row r="1959" spans="2:6">
      <c r="B1959" s="189">
        <v>39646</v>
      </c>
      <c r="C1959" s="2">
        <v>27995.64</v>
      </c>
      <c r="D1959" s="1196">
        <f t="shared" si="62"/>
        <v>216.21343589624772</v>
      </c>
      <c r="E1959" s="2">
        <v>1169.0899999999999</v>
      </c>
      <c r="F1959" s="1196">
        <f t="shared" si="63"/>
        <v>166.15360563940763</v>
      </c>
    </row>
    <row r="1960" spans="2:6">
      <c r="B1960" s="189">
        <v>39645</v>
      </c>
      <c r="C1960" s="2">
        <v>26876.95</v>
      </c>
      <c r="D1960" s="1196">
        <f t="shared" si="62"/>
        <v>207.5736688252762</v>
      </c>
      <c r="E1960" s="2">
        <v>1159.24</v>
      </c>
      <c r="F1960" s="1196">
        <f t="shared" si="63"/>
        <v>164.75370228248204</v>
      </c>
    </row>
    <row r="1961" spans="2:6">
      <c r="B1961" s="189">
        <v>39644</v>
      </c>
      <c r="C1961" s="2">
        <v>27079.11</v>
      </c>
      <c r="D1961" s="1196">
        <f t="shared" si="62"/>
        <v>209.13497294980363</v>
      </c>
      <c r="E1961" s="2">
        <v>1169.0899999999999</v>
      </c>
      <c r="F1961" s="1196">
        <f t="shared" si="63"/>
        <v>166.15360563940763</v>
      </c>
    </row>
    <row r="1962" spans="2:6">
      <c r="B1962" s="189">
        <v>39643</v>
      </c>
      <c r="C1962" s="2">
        <v>27720.65</v>
      </c>
      <c r="D1962" s="1196">
        <f t="shared" si="62"/>
        <v>214.08965759587281</v>
      </c>
      <c r="E1962" s="2">
        <v>1162.52</v>
      </c>
      <c r="F1962" s="1196">
        <f t="shared" si="63"/>
        <v>165.21986299422983</v>
      </c>
    </row>
    <row r="1963" spans="2:6">
      <c r="B1963" s="189">
        <v>39640</v>
      </c>
      <c r="C1963" s="2">
        <v>27735.64</v>
      </c>
      <c r="D1963" s="1196">
        <f t="shared" si="62"/>
        <v>214.20542703011625</v>
      </c>
      <c r="E1963" s="2">
        <v>1175.6600000000001</v>
      </c>
      <c r="F1963" s="1196">
        <f t="shared" si="63"/>
        <v>167.08734828458546</v>
      </c>
    </row>
    <row r="1964" spans="2:6">
      <c r="B1964" s="189">
        <v>39639</v>
      </c>
      <c r="C1964" s="2">
        <v>27687.48</v>
      </c>
      <c r="D1964" s="1196">
        <f t="shared" si="62"/>
        <v>213.83348200322052</v>
      </c>
      <c r="E1964" s="2">
        <v>1175.6600000000001</v>
      </c>
      <c r="F1964" s="1196">
        <f t="shared" si="63"/>
        <v>167.08734828458546</v>
      </c>
    </row>
    <row r="1965" spans="2:6">
      <c r="B1965" s="189">
        <v>39638</v>
      </c>
      <c r="C1965" s="2">
        <v>28009.41</v>
      </c>
      <c r="D1965" s="1196">
        <f t="shared" si="62"/>
        <v>216.31978313504248</v>
      </c>
      <c r="E1965" s="2">
        <v>1208.5</v>
      </c>
      <c r="F1965" s="1196">
        <f t="shared" si="63"/>
        <v>171.75464028879225</v>
      </c>
    </row>
    <row r="1966" spans="2:6">
      <c r="B1966" s="189">
        <v>39637</v>
      </c>
      <c r="C1966" s="2">
        <v>27611.63</v>
      </c>
      <c r="D1966" s="1196">
        <f t="shared" si="62"/>
        <v>213.24768403208182</v>
      </c>
      <c r="E1966" s="2">
        <v>1247.9100000000001</v>
      </c>
      <c r="F1966" s="1196">
        <f t="shared" si="63"/>
        <v>177.35567493817689</v>
      </c>
    </row>
    <row r="1967" spans="2:6">
      <c r="B1967" s="189">
        <v>39636</v>
      </c>
      <c r="C1967" s="2">
        <v>28173.95</v>
      </c>
      <c r="D1967" s="1196">
        <f t="shared" si="62"/>
        <v>217.59054382286274</v>
      </c>
      <c r="E1967" s="2">
        <v>1247.9100000000001</v>
      </c>
      <c r="F1967" s="1196">
        <f t="shared" si="63"/>
        <v>177.35567493817689</v>
      </c>
    </row>
    <row r="1968" spans="2:6">
      <c r="B1968" s="189">
        <v>39633</v>
      </c>
      <c r="C1968" s="2">
        <v>28172.28</v>
      </c>
      <c r="D1968" s="1196">
        <f t="shared" si="62"/>
        <v>217.57764622745333</v>
      </c>
      <c r="E1968" s="2">
        <v>1270.8900000000001</v>
      </c>
      <c r="F1968" s="1196">
        <f t="shared" si="63"/>
        <v>180.62164236377592</v>
      </c>
    </row>
    <row r="1969" spans="2:6">
      <c r="B1969" s="189">
        <v>39632</v>
      </c>
      <c r="C1969" s="2">
        <v>28392.19</v>
      </c>
      <c r="D1969" s="1196">
        <f t="shared" si="62"/>
        <v>219.27603557264939</v>
      </c>
      <c r="E1969" s="2">
        <v>1280.75</v>
      </c>
      <c r="F1969" s="1196">
        <f t="shared" si="63"/>
        <v>182.02296694238368</v>
      </c>
    </row>
    <row r="1970" spans="2:6">
      <c r="B1970" s="189">
        <v>39631</v>
      </c>
      <c r="C1970" s="2">
        <v>29303.69</v>
      </c>
      <c r="D1970" s="1196">
        <f t="shared" si="62"/>
        <v>226.31565127064482</v>
      </c>
      <c r="E1970" s="2">
        <v>1293.8800000000001</v>
      </c>
      <c r="F1970" s="1196">
        <f t="shared" si="63"/>
        <v>183.88903101105711</v>
      </c>
    </row>
    <row r="1971" spans="2:6">
      <c r="B1971" s="189">
        <v>39630</v>
      </c>
      <c r="C1971" s="2">
        <v>30003.759999999998</v>
      </c>
      <c r="D1971" s="1196">
        <f t="shared" si="62"/>
        <v>231.72236960492424</v>
      </c>
      <c r="E1971" s="2">
        <v>1313.59</v>
      </c>
      <c r="F1971" s="1196">
        <f t="shared" si="63"/>
        <v>186.69025894659049</v>
      </c>
    </row>
    <row r="1972" spans="2:6">
      <c r="B1972" s="189">
        <v>39629</v>
      </c>
      <c r="C1972" s="2">
        <v>30413.43</v>
      </c>
      <c r="D1972" s="1196">
        <f t="shared" si="62"/>
        <v>234.88629649795533</v>
      </c>
      <c r="E1972" s="2">
        <v>1303.08</v>
      </c>
      <c r="F1972" s="1196">
        <f t="shared" si="63"/>
        <v>185.19655495864245</v>
      </c>
    </row>
    <row r="1973" spans="2:6">
      <c r="B1973" s="189">
        <v>39626</v>
      </c>
      <c r="C1973" s="2">
        <v>30375.47</v>
      </c>
      <c r="D1973" s="1196">
        <f t="shared" si="62"/>
        <v>234.59312720350013</v>
      </c>
      <c r="E1973" s="2">
        <v>1361.42</v>
      </c>
      <c r="F1973" s="1196">
        <f t="shared" si="63"/>
        <v>193.48796225235213</v>
      </c>
    </row>
    <row r="1974" spans="2:6">
      <c r="B1974" s="189">
        <v>39625</v>
      </c>
      <c r="C1974" s="2">
        <v>29988.12</v>
      </c>
      <c r="D1974" s="1196">
        <f t="shared" si="62"/>
        <v>231.60158014851544</v>
      </c>
      <c r="E1974" s="2">
        <v>1393.84</v>
      </c>
      <c r="F1974" s="1196">
        <f t="shared" si="63"/>
        <v>198.09556294590828</v>
      </c>
    </row>
    <row r="1975" spans="2:6">
      <c r="B1975" s="189">
        <v>39624</v>
      </c>
      <c r="C1975" s="2">
        <v>29964.55</v>
      </c>
      <c r="D1975" s="1196">
        <f t="shared" si="62"/>
        <v>231.41954642168957</v>
      </c>
      <c r="E1975" s="2">
        <v>1393.84</v>
      </c>
      <c r="F1975" s="1196">
        <f t="shared" si="63"/>
        <v>198.09556294590828</v>
      </c>
    </row>
    <row r="1976" spans="2:6">
      <c r="B1976" s="189">
        <v>39623</v>
      </c>
      <c r="C1976" s="2">
        <v>30222.880000000001</v>
      </c>
      <c r="D1976" s="1196">
        <f t="shared" si="62"/>
        <v>233.41465769241165</v>
      </c>
      <c r="E1976" s="2">
        <v>1393.84</v>
      </c>
      <c r="F1976" s="1196">
        <f t="shared" si="63"/>
        <v>198.09556294590828</v>
      </c>
    </row>
    <row r="1977" spans="2:6">
      <c r="B1977" s="189">
        <v>39622</v>
      </c>
      <c r="C1977" s="2">
        <v>30473.439999999999</v>
      </c>
      <c r="D1977" s="1196">
        <f t="shared" si="62"/>
        <v>235.34976039048047</v>
      </c>
      <c r="E1977" s="2">
        <v>1393.84</v>
      </c>
      <c r="F1977" s="1196">
        <f t="shared" si="63"/>
        <v>198.09556294590828</v>
      </c>
    </row>
    <row r="1978" spans="2:6">
      <c r="B1978" s="189">
        <v>39619</v>
      </c>
      <c r="C1978" s="2">
        <v>30580.63</v>
      </c>
      <c r="D1978" s="1196">
        <f t="shared" si="62"/>
        <v>236.17760066109832</v>
      </c>
      <c r="E1978" s="2">
        <v>1393.84</v>
      </c>
      <c r="F1978" s="1196">
        <f t="shared" si="63"/>
        <v>198.09556294590828</v>
      </c>
    </row>
    <row r="1979" spans="2:6">
      <c r="B1979" s="189">
        <v>39618</v>
      </c>
      <c r="C1979" s="2">
        <v>31295.46</v>
      </c>
      <c r="D1979" s="1196">
        <f t="shared" si="62"/>
        <v>241.69831211408578</v>
      </c>
      <c r="E1979" s="2">
        <v>1426.25</v>
      </c>
      <c r="F1979" s="1196">
        <f t="shared" si="63"/>
        <v>202.70174241778233</v>
      </c>
    </row>
    <row r="1980" spans="2:6">
      <c r="B1980" s="189">
        <v>39617</v>
      </c>
      <c r="C1980" s="2">
        <v>30981.81</v>
      </c>
      <c r="D1980" s="1196">
        <f t="shared" si="62"/>
        <v>239.27595834153914</v>
      </c>
      <c r="E1980" s="2">
        <v>1400.32</v>
      </c>
      <c r="F1980" s="1196">
        <f t="shared" si="63"/>
        <v>199.01651459594666</v>
      </c>
    </row>
    <row r="1981" spans="2:6">
      <c r="B1981" s="189">
        <v>39616</v>
      </c>
      <c r="C1981" s="2">
        <v>31451.040000000001</v>
      </c>
      <c r="D1981" s="1196">
        <f t="shared" si="62"/>
        <v>242.8998737271348</v>
      </c>
      <c r="E1981" s="2">
        <v>1400.32</v>
      </c>
      <c r="F1981" s="1196">
        <f t="shared" si="63"/>
        <v>199.01651459594666</v>
      </c>
    </row>
    <row r="1982" spans="2:6">
      <c r="B1982" s="189">
        <v>39612</v>
      </c>
      <c r="C1982" s="2">
        <v>31067.56</v>
      </c>
      <c r="D1982" s="1196">
        <f t="shared" si="62"/>
        <v>239.93821511181136</v>
      </c>
      <c r="E1982" s="2">
        <v>1400.32</v>
      </c>
      <c r="F1982" s="1196">
        <f t="shared" si="63"/>
        <v>199.01651459594666</v>
      </c>
    </row>
    <row r="1983" spans="2:6">
      <c r="B1983" s="189">
        <v>39611</v>
      </c>
      <c r="C1983" s="2">
        <v>31033.3</v>
      </c>
      <c r="D1983" s="1196">
        <f t="shared" si="62"/>
        <v>239.67362132814341</v>
      </c>
      <c r="E1983" s="2">
        <v>1393.84</v>
      </c>
      <c r="F1983" s="1196">
        <f t="shared" si="63"/>
        <v>198.09556294590828</v>
      </c>
    </row>
    <row r="1984" spans="2:6">
      <c r="B1984" s="189">
        <v>39610</v>
      </c>
      <c r="C1984" s="2">
        <v>30639.95</v>
      </c>
      <c r="D1984" s="1196">
        <f t="shared" si="62"/>
        <v>236.63573560701724</v>
      </c>
      <c r="E1984" s="2">
        <v>1393.84</v>
      </c>
      <c r="F1984" s="1196">
        <f t="shared" si="63"/>
        <v>198.09556294590828</v>
      </c>
    </row>
    <row r="1985" spans="2:6">
      <c r="B1985" s="189">
        <v>39609</v>
      </c>
      <c r="C1985" s="2">
        <v>31047.43</v>
      </c>
      <c r="D1985" s="1196">
        <f t="shared" si="62"/>
        <v>239.78274888690666</v>
      </c>
      <c r="E1985" s="2">
        <v>1393.84</v>
      </c>
      <c r="F1985" s="1196">
        <f t="shared" si="63"/>
        <v>198.09556294590828</v>
      </c>
    </row>
    <row r="1986" spans="2:6">
      <c r="B1986" s="189">
        <v>39608</v>
      </c>
      <c r="C1986" s="2">
        <v>31487.15</v>
      </c>
      <c r="D1986" s="1196">
        <f t="shared" si="62"/>
        <v>243.17875526619636</v>
      </c>
      <c r="E1986" s="2">
        <v>1361.42</v>
      </c>
      <c r="F1986" s="1196">
        <f t="shared" si="63"/>
        <v>193.48796225235213</v>
      </c>
    </row>
    <row r="1987" spans="2:6">
      <c r="B1987" s="189">
        <v>39605</v>
      </c>
      <c r="C1987" s="2">
        <v>31696.42</v>
      </c>
      <c r="D1987" s="1196">
        <f t="shared" si="62"/>
        <v>244.79497071010147</v>
      </c>
      <c r="E1987" s="2">
        <v>1361.42</v>
      </c>
      <c r="F1987" s="1196">
        <f t="shared" si="63"/>
        <v>193.48796225235213</v>
      </c>
    </row>
    <row r="1988" spans="2:6">
      <c r="B1988" s="189">
        <v>39604</v>
      </c>
      <c r="C1988" s="2">
        <v>31741.26</v>
      </c>
      <c r="D1988" s="1196">
        <f t="shared" si="62"/>
        <v>245.14127500839885</v>
      </c>
      <c r="E1988" s="2">
        <v>1361.42</v>
      </c>
      <c r="F1988" s="1196">
        <f t="shared" si="63"/>
        <v>193.48796225235213</v>
      </c>
    </row>
    <row r="1989" spans="2:6">
      <c r="B1989" s="189">
        <v>39603</v>
      </c>
      <c r="C1989" s="2">
        <v>31480.36</v>
      </c>
      <c r="D1989" s="1196">
        <f t="shared" si="62"/>
        <v>243.12631534234623</v>
      </c>
      <c r="E1989" s="2">
        <v>1361.42</v>
      </c>
      <c r="F1989" s="1196">
        <f t="shared" si="63"/>
        <v>193.48796225235213</v>
      </c>
    </row>
    <row r="1990" spans="2:6">
      <c r="B1990" s="189">
        <v>39602</v>
      </c>
      <c r="C1990" s="2">
        <v>31688.240000000002</v>
      </c>
      <c r="D1990" s="1196">
        <f t="shared" si="62"/>
        <v>244.73179566192854</v>
      </c>
      <c r="E1990" s="2">
        <v>1393.84</v>
      </c>
      <c r="F1990" s="1196">
        <f t="shared" si="63"/>
        <v>198.09556294590828</v>
      </c>
    </row>
    <row r="1991" spans="2:6">
      <c r="B1991" s="189">
        <v>39601</v>
      </c>
      <c r="C1991" s="2">
        <v>31727.759999999998</v>
      </c>
      <c r="D1991" s="1196">
        <f t="shared" si="62"/>
        <v>245.03701300958051</v>
      </c>
      <c r="E1991" s="2">
        <v>1393.84</v>
      </c>
      <c r="F1991" s="1196">
        <f t="shared" si="63"/>
        <v>198.09556294590828</v>
      </c>
    </row>
    <row r="1992" spans="2:6">
      <c r="B1992" s="189">
        <v>39598</v>
      </c>
      <c r="C1992" s="2">
        <v>31841.27</v>
      </c>
      <c r="D1992" s="1196">
        <f t="shared" si="62"/>
        <v>245.91366334186739</v>
      </c>
      <c r="E1992" s="2">
        <v>1393.84</v>
      </c>
      <c r="F1992" s="1196">
        <f t="shared" si="63"/>
        <v>198.09556294590828</v>
      </c>
    </row>
    <row r="1993" spans="2:6">
      <c r="B1993" s="189">
        <v>39597</v>
      </c>
      <c r="C1993" s="2">
        <v>31894.2</v>
      </c>
      <c r="D1993" s="1196">
        <f t="shared" si="62"/>
        <v>246.32244760834561</v>
      </c>
      <c r="E1993" s="2">
        <v>1393.84</v>
      </c>
      <c r="F1993" s="1196">
        <f t="shared" si="63"/>
        <v>198.09556294590828</v>
      </c>
    </row>
    <row r="1994" spans="2:6">
      <c r="B1994" s="189">
        <v>39596</v>
      </c>
      <c r="C1994" s="2">
        <v>32208.959999999999</v>
      </c>
      <c r="D1994" s="1196">
        <f t="shared" si="62"/>
        <v>248.75337403412843</v>
      </c>
      <c r="E1994" s="2">
        <v>1377.63</v>
      </c>
      <c r="F1994" s="1196">
        <f t="shared" si="63"/>
        <v>195.79176259913024</v>
      </c>
    </row>
    <row r="1995" spans="2:6">
      <c r="B1995" s="189">
        <v>39595</v>
      </c>
      <c r="C1995" s="2">
        <v>32464.77</v>
      </c>
      <c r="D1995" s="1196">
        <f t="shared" si="62"/>
        <v>250.72902306507109</v>
      </c>
      <c r="E1995" s="2">
        <v>1361.42</v>
      </c>
      <c r="F1995" s="1196">
        <f t="shared" si="63"/>
        <v>193.48796225235213</v>
      </c>
    </row>
    <row r="1996" spans="2:6">
      <c r="B1996" s="189">
        <v>39594</v>
      </c>
      <c r="C1996" s="2">
        <v>32722.22</v>
      </c>
      <c r="D1996" s="1196">
        <f t="shared" ref="D1996:D2059" si="64">C1996/$C$2759*100</f>
        <v>252.7173379980924</v>
      </c>
      <c r="E1996" s="2">
        <v>1361.42</v>
      </c>
      <c r="F1996" s="1196">
        <f t="shared" ref="F1996:F2059" si="65">E1996/$E$2759*100</f>
        <v>193.48796225235213</v>
      </c>
    </row>
    <row r="1997" spans="2:6">
      <c r="B1997" s="189">
        <v>39591</v>
      </c>
      <c r="C1997" s="2">
        <v>32542.39</v>
      </c>
      <c r="D1997" s="1196">
        <f t="shared" si="64"/>
        <v>251.32849094272154</v>
      </c>
      <c r="E1997" s="2">
        <v>1361.42</v>
      </c>
      <c r="F1997" s="1196">
        <f t="shared" si="65"/>
        <v>193.48796225235213</v>
      </c>
    </row>
    <row r="1998" spans="2:6">
      <c r="B1998" s="189">
        <v>39590</v>
      </c>
      <c r="C1998" s="2">
        <v>33232.89</v>
      </c>
      <c r="D1998" s="1196">
        <f t="shared" si="64"/>
        <v>256.6612991045053</v>
      </c>
      <c r="E1998" s="2">
        <v>1383.47</v>
      </c>
      <c r="F1998" s="1196">
        <f t="shared" si="65"/>
        <v>196.62175606151047</v>
      </c>
    </row>
    <row r="1999" spans="2:6">
      <c r="B1999" s="189">
        <v>39589</v>
      </c>
      <c r="C1999" s="2">
        <v>32907.72</v>
      </c>
      <c r="D1999" s="1196">
        <f t="shared" si="64"/>
        <v>254.14997509296694</v>
      </c>
      <c r="E1999" s="2">
        <v>1383.47</v>
      </c>
      <c r="F1999" s="1196">
        <f t="shared" si="65"/>
        <v>196.62175606151047</v>
      </c>
    </row>
    <row r="2000" spans="2:6">
      <c r="B2000" s="189">
        <v>39588</v>
      </c>
      <c r="C2000" s="2">
        <v>32958.550000000003</v>
      </c>
      <c r="D2000" s="1196">
        <f t="shared" si="64"/>
        <v>254.54254082629566</v>
      </c>
      <c r="E2000" s="2">
        <v>1384.11</v>
      </c>
      <c r="F2000" s="1196">
        <f t="shared" si="65"/>
        <v>196.71271424916856</v>
      </c>
    </row>
    <row r="2001" spans="2:6">
      <c r="B2001" s="189">
        <v>39587</v>
      </c>
      <c r="C2001" s="2">
        <v>33191.800000000003</v>
      </c>
      <c r="D2001" s="1196">
        <f t="shared" si="64"/>
        <v>256.34395647254632</v>
      </c>
      <c r="E2001" s="2">
        <v>1377.63</v>
      </c>
      <c r="F2001" s="1196">
        <f t="shared" si="65"/>
        <v>195.79176259913024</v>
      </c>
    </row>
    <row r="2002" spans="2:6">
      <c r="B2002" s="189">
        <v>39584</v>
      </c>
      <c r="C2002" s="2">
        <v>32700.98</v>
      </c>
      <c r="D2002" s="1196">
        <f t="shared" si="64"/>
        <v>252.5532991199515</v>
      </c>
      <c r="E2002" s="2">
        <v>1377.63</v>
      </c>
      <c r="F2002" s="1196">
        <f t="shared" si="65"/>
        <v>195.79176259913024</v>
      </c>
    </row>
    <row r="2003" spans="2:6">
      <c r="B2003" s="189">
        <v>39583</v>
      </c>
      <c r="C2003" s="2">
        <v>32647.43</v>
      </c>
      <c r="D2003" s="1196">
        <f t="shared" si="64"/>
        <v>252.13972652463866</v>
      </c>
      <c r="E2003" s="2">
        <v>1329.01</v>
      </c>
      <c r="F2003" s="1196">
        <f t="shared" si="65"/>
        <v>188.88178278047809</v>
      </c>
    </row>
    <row r="2004" spans="2:6">
      <c r="B2004" s="189">
        <v>39582</v>
      </c>
      <c r="C2004" s="2">
        <v>32387.01</v>
      </c>
      <c r="D2004" s="1196">
        <f t="shared" si="64"/>
        <v>250.12847395187728</v>
      </c>
      <c r="E2004" s="2">
        <v>1303.08</v>
      </c>
      <c r="F2004" s="1196">
        <f t="shared" si="65"/>
        <v>185.19655495864245</v>
      </c>
    </row>
    <row r="2005" spans="2:6">
      <c r="B2005" s="189">
        <v>39581</v>
      </c>
      <c r="C2005" s="2">
        <v>31999.02</v>
      </c>
      <c r="D2005" s="1196">
        <f t="shared" si="64"/>
        <v>247.13198410583752</v>
      </c>
      <c r="E2005" s="2">
        <v>1296.5899999999999</v>
      </c>
      <c r="F2005" s="1196">
        <f t="shared" si="65"/>
        <v>184.27418208692191</v>
      </c>
    </row>
    <row r="2006" spans="2:6">
      <c r="B2006" s="189">
        <v>39580</v>
      </c>
      <c r="C2006" s="2">
        <v>32145.49</v>
      </c>
      <c r="D2006" s="1196">
        <f t="shared" si="64"/>
        <v>248.26318817746164</v>
      </c>
      <c r="E2006" s="2">
        <v>1299.8399999999999</v>
      </c>
      <c r="F2006" s="1196">
        <f t="shared" si="65"/>
        <v>184.73607913362324</v>
      </c>
    </row>
    <row r="2007" spans="2:6">
      <c r="B2007" s="189">
        <v>39577</v>
      </c>
      <c r="C2007" s="2">
        <v>32136.15</v>
      </c>
      <c r="D2007" s="1196">
        <f t="shared" si="64"/>
        <v>248.19105432050139</v>
      </c>
      <c r="E2007" s="2">
        <v>1264.18</v>
      </c>
      <c r="F2007" s="1196">
        <f t="shared" si="65"/>
        <v>179.6680026150479</v>
      </c>
    </row>
    <row r="2008" spans="2:6">
      <c r="B2008" s="189">
        <v>39576</v>
      </c>
      <c r="C2008" s="2">
        <v>32153.48</v>
      </c>
      <c r="D2008" s="1196">
        <f t="shared" si="64"/>
        <v>248.32489583454009</v>
      </c>
      <c r="E2008" s="2">
        <v>1296.5899999999999</v>
      </c>
      <c r="F2008" s="1196">
        <f t="shared" si="65"/>
        <v>184.27418208692191</v>
      </c>
    </row>
    <row r="2009" spans="2:6">
      <c r="B2009" s="189">
        <v>39575</v>
      </c>
      <c r="C2009" s="2">
        <v>31894.69</v>
      </c>
      <c r="D2009" s="1196">
        <f t="shared" si="64"/>
        <v>246.32623193274713</v>
      </c>
      <c r="E2009" s="2">
        <v>1296.5899999999999</v>
      </c>
      <c r="F2009" s="1196">
        <f t="shared" si="65"/>
        <v>184.27418208692191</v>
      </c>
    </row>
    <row r="2010" spans="2:6">
      <c r="B2010" s="189">
        <v>39574</v>
      </c>
      <c r="C2010" s="2">
        <v>31929.09</v>
      </c>
      <c r="D2010" s="1196">
        <f t="shared" si="64"/>
        <v>246.59190695195838</v>
      </c>
      <c r="E2010" s="2">
        <v>1296.5899999999999</v>
      </c>
      <c r="F2010" s="1196">
        <f t="shared" si="65"/>
        <v>184.27418208692191</v>
      </c>
    </row>
    <row r="2011" spans="2:6">
      <c r="B2011" s="189">
        <v>39573</v>
      </c>
      <c r="C2011" s="2">
        <v>31299.93</v>
      </c>
      <c r="D2011" s="1196">
        <f t="shared" si="64"/>
        <v>241.73283442036123</v>
      </c>
      <c r="E2011" s="2">
        <v>1296.5899999999999</v>
      </c>
      <c r="F2011" s="1196">
        <f t="shared" si="65"/>
        <v>184.27418208692191</v>
      </c>
    </row>
    <row r="2012" spans="2:6">
      <c r="B2012" s="189">
        <v>39568</v>
      </c>
      <c r="C2012" s="2">
        <v>30743.49</v>
      </c>
      <c r="D2012" s="1196">
        <f t="shared" si="64"/>
        <v>237.43538652239894</v>
      </c>
      <c r="E2012" s="2">
        <v>1283.6300000000001</v>
      </c>
      <c r="F2012" s="1196">
        <f t="shared" si="65"/>
        <v>182.43227878684519</v>
      </c>
    </row>
    <row r="2013" spans="2:6">
      <c r="B2013" s="189">
        <v>39567</v>
      </c>
      <c r="C2013" s="2">
        <v>30584</v>
      </c>
      <c r="D2013" s="1196">
        <f t="shared" si="64"/>
        <v>236.2036275452478</v>
      </c>
      <c r="E2013" s="2">
        <v>1264.18</v>
      </c>
      <c r="F2013" s="1196">
        <f t="shared" si="65"/>
        <v>179.6680026150479</v>
      </c>
    </row>
    <row r="2014" spans="2:6">
      <c r="B2014" s="189">
        <v>39563</v>
      </c>
      <c r="C2014" s="2">
        <v>31090.15</v>
      </c>
      <c r="D2014" s="1196">
        <f t="shared" si="64"/>
        <v>240.11268018983407</v>
      </c>
      <c r="E2014" s="2">
        <v>1257.7</v>
      </c>
      <c r="F2014" s="1196">
        <f t="shared" si="65"/>
        <v>178.74705096500952</v>
      </c>
    </row>
    <row r="2015" spans="2:6">
      <c r="B2015" s="189">
        <v>39562</v>
      </c>
      <c r="C2015" s="2">
        <v>31194.01</v>
      </c>
      <c r="D2015" s="1196">
        <f t="shared" si="64"/>
        <v>240.91480250074335</v>
      </c>
      <c r="E2015" s="2">
        <v>1296.5899999999999</v>
      </c>
      <c r="F2015" s="1196">
        <f t="shared" si="65"/>
        <v>184.27418208692191</v>
      </c>
    </row>
    <row r="2016" spans="2:6">
      <c r="B2016" s="189">
        <v>39561</v>
      </c>
      <c r="C2016" s="2">
        <v>31740.75</v>
      </c>
      <c r="D2016" s="1196">
        <f t="shared" si="64"/>
        <v>245.13733622177685</v>
      </c>
      <c r="E2016" s="2">
        <v>1296.5899999999999</v>
      </c>
      <c r="F2016" s="1196">
        <f t="shared" si="65"/>
        <v>184.27418208692191</v>
      </c>
    </row>
    <row r="2017" spans="2:6">
      <c r="B2017" s="189">
        <v>39560</v>
      </c>
      <c r="C2017" s="2">
        <v>31713.29</v>
      </c>
      <c r="D2017" s="1196">
        <f t="shared" si="64"/>
        <v>244.92525959306928</v>
      </c>
      <c r="E2017" s="2">
        <v>1375.69</v>
      </c>
      <c r="F2017" s="1196">
        <f t="shared" si="65"/>
        <v>195.51604559279156</v>
      </c>
    </row>
    <row r="2018" spans="2:6">
      <c r="B2018" s="189">
        <v>39559</v>
      </c>
      <c r="C2018" s="2">
        <v>31774.1</v>
      </c>
      <c r="D2018" s="1196">
        <f t="shared" si="64"/>
        <v>245.3949019744133</v>
      </c>
      <c r="E2018" s="2">
        <v>1426.25</v>
      </c>
      <c r="F2018" s="1196">
        <f t="shared" si="65"/>
        <v>202.70174241778233</v>
      </c>
    </row>
    <row r="2019" spans="2:6">
      <c r="B2019" s="189">
        <v>39556</v>
      </c>
      <c r="C2019" s="2">
        <v>31594.07</v>
      </c>
      <c r="D2019" s="1196">
        <f t="shared" si="64"/>
        <v>244.00451029683779</v>
      </c>
      <c r="E2019" s="2">
        <v>1458.67</v>
      </c>
      <c r="F2019" s="1196">
        <f t="shared" si="65"/>
        <v>207.30934311133851</v>
      </c>
    </row>
    <row r="2020" spans="2:6">
      <c r="B2020" s="189">
        <v>39555</v>
      </c>
      <c r="C2020" s="2">
        <v>31699.119999999999</v>
      </c>
      <c r="D2020" s="1196">
        <f t="shared" si="64"/>
        <v>244.81582310986511</v>
      </c>
      <c r="E2020" s="2">
        <v>1458.67</v>
      </c>
      <c r="F2020" s="1196">
        <f t="shared" si="65"/>
        <v>207.30934311133851</v>
      </c>
    </row>
    <row r="2021" spans="2:6">
      <c r="B2021" s="189">
        <v>39554</v>
      </c>
      <c r="C2021" s="2">
        <v>31857.3</v>
      </c>
      <c r="D2021" s="1196">
        <f t="shared" si="64"/>
        <v>246.03746481157538</v>
      </c>
      <c r="E2021" s="2">
        <v>1458.67</v>
      </c>
      <c r="F2021" s="1196">
        <f t="shared" si="65"/>
        <v>207.30934311133851</v>
      </c>
    </row>
    <row r="2022" spans="2:6">
      <c r="B2022" s="189">
        <v>39553</v>
      </c>
      <c r="C2022" s="2">
        <v>31280.19</v>
      </c>
      <c r="D2022" s="1196">
        <f t="shared" si="64"/>
        <v>241.58038020875568</v>
      </c>
      <c r="E2022" s="2">
        <v>1458.67</v>
      </c>
      <c r="F2022" s="1196">
        <f t="shared" si="65"/>
        <v>207.30934311133851</v>
      </c>
    </row>
    <row r="2023" spans="2:6">
      <c r="B2023" s="189">
        <v>39552</v>
      </c>
      <c r="C2023" s="2">
        <v>30772.35</v>
      </c>
      <c r="D2023" s="1196">
        <f t="shared" si="64"/>
        <v>237.65827550653955</v>
      </c>
      <c r="E2023" s="2">
        <v>1458.67</v>
      </c>
      <c r="F2023" s="1196">
        <f t="shared" si="65"/>
        <v>207.30934311133851</v>
      </c>
    </row>
    <row r="2024" spans="2:6">
      <c r="B2024" s="189">
        <v>39549</v>
      </c>
      <c r="C2024" s="2">
        <v>31121.55</v>
      </c>
      <c r="D2024" s="1196">
        <f t="shared" si="64"/>
        <v>240.35518587597457</v>
      </c>
      <c r="E2024" s="2">
        <v>1452.19</v>
      </c>
      <c r="F2024" s="1196">
        <f t="shared" si="65"/>
        <v>206.38839146130016</v>
      </c>
    </row>
    <row r="2025" spans="2:6">
      <c r="B2025" s="189">
        <v>39548</v>
      </c>
      <c r="C2025" s="2">
        <v>31215.17</v>
      </c>
      <c r="D2025" s="1196">
        <f t="shared" si="64"/>
        <v>241.07822353000236</v>
      </c>
      <c r="E2025" s="2">
        <v>1426.25</v>
      </c>
      <c r="F2025" s="1196">
        <f t="shared" si="65"/>
        <v>202.70174241778233</v>
      </c>
    </row>
    <row r="2026" spans="2:6">
      <c r="B2026" s="189">
        <v>39547</v>
      </c>
      <c r="C2026" s="2">
        <v>31360.12</v>
      </c>
      <c r="D2026" s="1196">
        <f t="shared" si="64"/>
        <v>242.19768847287062</v>
      </c>
      <c r="E2026" s="2">
        <v>1393.84</v>
      </c>
      <c r="F2026" s="1196">
        <f t="shared" si="65"/>
        <v>198.09556294590828</v>
      </c>
    </row>
    <row r="2027" spans="2:6">
      <c r="B2027" s="189">
        <v>39546</v>
      </c>
      <c r="C2027" s="2">
        <v>30821.13</v>
      </c>
      <c r="D2027" s="1196">
        <f t="shared" si="64"/>
        <v>238.0350088622699</v>
      </c>
      <c r="E2027" s="2">
        <v>1361.42</v>
      </c>
      <c r="F2027" s="1196">
        <f t="shared" si="65"/>
        <v>193.48796225235213</v>
      </c>
    </row>
    <row r="2028" spans="2:6">
      <c r="B2028" s="189">
        <v>39545</v>
      </c>
      <c r="C2028" s="2">
        <v>30970.19</v>
      </c>
      <c r="D2028" s="1196">
        <f t="shared" si="64"/>
        <v>239.18621579144511</v>
      </c>
      <c r="E2028" s="2">
        <v>1368.56</v>
      </c>
      <c r="F2028" s="1196">
        <f t="shared" si="65"/>
        <v>194.50271453341293</v>
      </c>
    </row>
    <row r="2029" spans="2:6">
      <c r="B2029" s="189">
        <v>39542</v>
      </c>
      <c r="C2029" s="2">
        <v>30396.34</v>
      </c>
      <c r="D2029" s="1196">
        <f t="shared" si="64"/>
        <v>234.7543085305623</v>
      </c>
      <c r="E2029" s="2">
        <v>1361.42</v>
      </c>
      <c r="F2029" s="1196">
        <f t="shared" si="65"/>
        <v>193.48796225235213</v>
      </c>
    </row>
    <row r="2030" spans="2:6">
      <c r="B2030" s="189">
        <v>39541</v>
      </c>
      <c r="C2030" s="2">
        <v>29980.09</v>
      </c>
      <c r="D2030" s="1196">
        <f t="shared" si="64"/>
        <v>231.53956356699607</v>
      </c>
      <c r="E2030" s="2">
        <v>1361.42</v>
      </c>
      <c r="F2030" s="1196">
        <f t="shared" si="65"/>
        <v>193.48796225235213</v>
      </c>
    </row>
    <row r="2031" spans="2:6">
      <c r="B2031" s="189">
        <v>39540</v>
      </c>
      <c r="C2031" s="2">
        <v>29932.97</v>
      </c>
      <c r="D2031" s="1196">
        <f t="shared" si="64"/>
        <v>231.17565057556487</v>
      </c>
      <c r="E2031" s="2">
        <v>1235.01</v>
      </c>
      <c r="F2031" s="1196">
        <f t="shared" si="65"/>
        <v>175.52229896819304</v>
      </c>
    </row>
    <row r="2032" spans="2:6">
      <c r="B2032" s="189">
        <v>39539</v>
      </c>
      <c r="C2032" s="2">
        <v>29627.64</v>
      </c>
      <c r="D2032" s="1196">
        <f t="shared" si="64"/>
        <v>228.81755308673442</v>
      </c>
      <c r="E2032" s="2">
        <v>1235.01</v>
      </c>
      <c r="F2032" s="1196">
        <f t="shared" si="65"/>
        <v>175.52229896819304</v>
      </c>
    </row>
    <row r="2033" spans="2:6">
      <c r="B2033" s="189">
        <v>39538</v>
      </c>
      <c r="C2033" s="2">
        <v>29587.51</v>
      </c>
      <c r="D2033" s="1196">
        <f t="shared" si="64"/>
        <v>228.50762464135803</v>
      </c>
      <c r="E2033" s="2">
        <v>1245.3800000000001</v>
      </c>
      <c r="F2033" s="1196">
        <f t="shared" si="65"/>
        <v>176.99610585259092</v>
      </c>
    </row>
    <row r="2034" spans="2:6">
      <c r="B2034" s="189">
        <v>39535</v>
      </c>
      <c r="C2034" s="2">
        <v>29962.18</v>
      </c>
      <c r="D2034" s="1196">
        <f t="shared" si="64"/>
        <v>231.40124264856371</v>
      </c>
      <c r="E2034" s="2">
        <v>1235.01</v>
      </c>
      <c r="F2034" s="1196">
        <f t="shared" si="65"/>
        <v>175.52229896819304</v>
      </c>
    </row>
    <row r="2035" spans="2:6">
      <c r="B2035" s="189">
        <v>39534</v>
      </c>
      <c r="C2035" s="2">
        <v>30095.06</v>
      </c>
      <c r="D2035" s="1196">
        <f t="shared" si="64"/>
        <v>232.42748964137735</v>
      </c>
      <c r="E2035" s="2">
        <v>1231.77</v>
      </c>
      <c r="F2035" s="1196">
        <f t="shared" si="65"/>
        <v>175.06182314317385</v>
      </c>
    </row>
    <row r="2036" spans="2:6">
      <c r="B2036" s="189">
        <v>39533</v>
      </c>
      <c r="C2036" s="2">
        <v>29693.15</v>
      </c>
      <c r="D2036" s="1196">
        <f t="shared" si="64"/>
        <v>229.32349408988929</v>
      </c>
      <c r="E2036" s="2">
        <v>1231.77</v>
      </c>
      <c r="F2036" s="1196">
        <f t="shared" si="65"/>
        <v>175.06182314317385</v>
      </c>
    </row>
    <row r="2037" spans="2:6">
      <c r="B2037" s="189">
        <v>39532</v>
      </c>
      <c r="C2037" s="2">
        <v>29152.42</v>
      </c>
      <c r="D2037" s="1196">
        <f t="shared" si="64"/>
        <v>225.1473762661075</v>
      </c>
      <c r="E2037" s="2">
        <v>1231.77</v>
      </c>
      <c r="F2037" s="1196">
        <f t="shared" si="65"/>
        <v>175.06182314317385</v>
      </c>
    </row>
    <row r="2038" spans="2:6">
      <c r="B2038" s="189">
        <v>39527</v>
      </c>
      <c r="C2038" s="2">
        <v>28418.73</v>
      </c>
      <c r="D2038" s="1196">
        <f t="shared" si="64"/>
        <v>219.48100693921523</v>
      </c>
      <c r="E2038" s="2">
        <v>1231.77</v>
      </c>
      <c r="F2038" s="1196">
        <f t="shared" si="65"/>
        <v>175.06182314317385</v>
      </c>
    </row>
    <row r="2039" spans="2:6">
      <c r="B2039" s="189">
        <v>39526</v>
      </c>
      <c r="C2039" s="2">
        <v>29509.06</v>
      </c>
      <c r="D2039" s="1196">
        <f t="shared" si="64"/>
        <v>227.901746581558</v>
      </c>
      <c r="E2039" s="2">
        <v>1218.8</v>
      </c>
      <c r="F2039" s="1196">
        <f t="shared" si="65"/>
        <v>173.21849862141497</v>
      </c>
    </row>
    <row r="2040" spans="2:6">
      <c r="B2040" s="189">
        <v>39525</v>
      </c>
      <c r="C2040" s="2">
        <v>30044.07</v>
      </c>
      <c r="D2040" s="1196">
        <f t="shared" si="64"/>
        <v>232.03368821028488</v>
      </c>
      <c r="E2040" s="2">
        <v>1183.1400000000001</v>
      </c>
      <c r="F2040" s="1196">
        <f t="shared" si="65"/>
        <v>168.15042210283963</v>
      </c>
    </row>
    <row r="2041" spans="2:6">
      <c r="B2041" s="189">
        <v>39524</v>
      </c>
      <c r="C2041" s="2">
        <v>29928.07</v>
      </c>
      <c r="D2041" s="1196">
        <f t="shared" si="64"/>
        <v>231.13780733154931</v>
      </c>
      <c r="E2041" s="2">
        <v>1183.1400000000001</v>
      </c>
      <c r="F2041" s="1196">
        <f t="shared" si="65"/>
        <v>168.15042210283963</v>
      </c>
    </row>
    <row r="2042" spans="2:6">
      <c r="B2042" s="189">
        <v>39521</v>
      </c>
      <c r="C2042" s="2">
        <v>30648.03</v>
      </c>
      <c r="D2042" s="1196">
        <f t="shared" si="64"/>
        <v>236.69813834408777</v>
      </c>
      <c r="E2042" s="2">
        <v>1199.3499999999999</v>
      </c>
      <c r="F2042" s="1196">
        <f t="shared" si="65"/>
        <v>170.45422244961767</v>
      </c>
    </row>
    <row r="2043" spans="2:6">
      <c r="B2043" s="189">
        <v>39520</v>
      </c>
      <c r="C2043" s="2">
        <v>30306.92</v>
      </c>
      <c r="D2043" s="1196">
        <f t="shared" si="64"/>
        <v>234.0637079428335</v>
      </c>
      <c r="E2043" s="2">
        <v>1199.3499999999999</v>
      </c>
      <c r="F2043" s="1196">
        <f t="shared" si="65"/>
        <v>170.45422244961767</v>
      </c>
    </row>
    <row r="2044" spans="2:6">
      <c r="B2044" s="189">
        <v>39519</v>
      </c>
      <c r="C2044" s="2">
        <v>30710.52</v>
      </c>
      <c r="D2044" s="1196">
        <f t="shared" si="64"/>
        <v>237.18075555195145</v>
      </c>
      <c r="E2044" s="2">
        <v>1199.3499999999999</v>
      </c>
      <c r="F2044" s="1196">
        <f t="shared" si="65"/>
        <v>170.45422244961767</v>
      </c>
    </row>
    <row r="2045" spans="2:6">
      <c r="B2045" s="189">
        <v>39518</v>
      </c>
      <c r="C2045" s="2">
        <v>30212.87</v>
      </c>
      <c r="D2045" s="1196">
        <f t="shared" si="64"/>
        <v>233.33734935106557</v>
      </c>
      <c r="E2045" s="2">
        <v>1218.8</v>
      </c>
      <c r="F2045" s="1196">
        <f t="shared" si="65"/>
        <v>173.21849862141497</v>
      </c>
    </row>
    <row r="2046" spans="2:6">
      <c r="B2046" s="189">
        <v>39517</v>
      </c>
      <c r="C2046" s="2">
        <v>30114.87</v>
      </c>
      <c r="D2046" s="1196">
        <f t="shared" si="64"/>
        <v>232.5804844707545</v>
      </c>
      <c r="E2046" s="2">
        <v>1166.94</v>
      </c>
      <c r="F2046" s="1196">
        <f t="shared" si="65"/>
        <v>165.84804297774366</v>
      </c>
    </row>
    <row r="2047" spans="2:6">
      <c r="B2047" s="189">
        <v>39514</v>
      </c>
      <c r="C2047" s="2">
        <v>30717.58</v>
      </c>
      <c r="D2047" s="1196">
        <f t="shared" si="64"/>
        <v>237.23528071577795</v>
      </c>
      <c r="E2047" s="2">
        <v>1102.75</v>
      </c>
      <c r="F2047" s="1196">
        <f t="shared" si="65"/>
        <v>156.72522099997158</v>
      </c>
    </row>
    <row r="2048" spans="2:6">
      <c r="B2048" s="189">
        <v>39513</v>
      </c>
      <c r="C2048" s="2">
        <v>31079.15</v>
      </c>
      <c r="D2048" s="1196">
        <f t="shared" si="64"/>
        <v>240.02772596857466</v>
      </c>
      <c r="E2048" s="2">
        <v>1102.75</v>
      </c>
      <c r="F2048" s="1196">
        <f t="shared" si="65"/>
        <v>156.72522099997158</v>
      </c>
    </row>
    <row r="2049" spans="2:6">
      <c r="B2049" s="189">
        <v>39512</v>
      </c>
      <c r="C2049" s="2">
        <v>30519.83</v>
      </c>
      <c r="D2049" s="1196">
        <f t="shared" si="64"/>
        <v>235.70803551086451</v>
      </c>
      <c r="E2049" s="2">
        <v>1205.83</v>
      </c>
      <c r="F2049" s="1196">
        <f t="shared" si="65"/>
        <v>171.37517409965605</v>
      </c>
    </row>
    <row r="2050" spans="2:6">
      <c r="B2050" s="189">
        <v>39511</v>
      </c>
      <c r="C2050" s="2">
        <v>30885.02</v>
      </c>
      <c r="D2050" s="1196">
        <f t="shared" si="64"/>
        <v>238.52843842556661</v>
      </c>
      <c r="E2050" s="2">
        <v>1205.83</v>
      </c>
      <c r="F2050" s="1196">
        <f t="shared" si="65"/>
        <v>171.37517409965605</v>
      </c>
    </row>
    <row r="2051" spans="2:6">
      <c r="B2051" s="189">
        <v>39510</v>
      </c>
      <c r="C2051" s="2">
        <v>30631.57</v>
      </c>
      <c r="D2051" s="1196">
        <f t="shared" si="64"/>
        <v>236.57101593663961</v>
      </c>
      <c r="E2051" s="2">
        <v>1102.1099999999999</v>
      </c>
      <c r="F2051" s="1196">
        <f t="shared" si="65"/>
        <v>156.63426281231347</v>
      </c>
    </row>
    <row r="2052" spans="2:6">
      <c r="B2052" s="189">
        <v>39507</v>
      </c>
      <c r="C2052" s="2">
        <v>30673.74</v>
      </c>
      <c r="D2052" s="1196">
        <f t="shared" si="64"/>
        <v>236.89669952850409</v>
      </c>
      <c r="E2052" s="2">
        <v>1037.92</v>
      </c>
      <c r="F2052" s="1196">
        <f t="shared" si="65"/>
        <v>147.51144083454136</v>
      </c>
    </row>
    <row r="2053" spans="2:6">
      <c r="B2053" s="189">
        <v>39506</v>
      </c>
      <c r="C2053" s="2">
        <v>30166.32</v>
      </c>
      <c r="D2053" s="1196">
        <f t="shared" si="64"/>
        <v>232.97783853291784</v>
      </c>
      <c r="E2053" s="2">
        <v>1037.92</v>
      </c>
      <c r="F2053" s="1196">
        <f t="shared" si="65"/>
        <v>147.51144083454136</v>
      </c>
    </row>
    <row r="2054" spans="2:6">
      <c r="B2054" s="189">
        <v>39505</v>
      </c>
      <c r="C2054" s="2">
        <v>30058.1</v>
      </c>
      <c r="D2054" s="1196">
        <f t="shared" si="64"/>
        <v>232.1420434579457</v>
      </c>
      <c r="E2054" s="2">
        <v>1037.92</v>
      </c>
      <c r="F2054" s="1196">
        <f t="shared" si="65"/>
        <v>147.51144083454136</v>
      </c>
    </row>
    <row r="2055" spans="2:6">
      <c r="B2055" s="189">
        <v>39504</v>
      </c>
      <c r="C2055" s="2">
        <v>30297.29</v>
      </c>
      <c r="D2055" s="1196">
        <f t="shared" si="64"/>
        <v>233.98933438367644</v>
      </c>
      <c r="E2055" s="2">
        <v>1037.92</v>
      </c>
      <c r="F2055" s="1196">
        <f t="shared" si="65"/>
        <v>147.51144083454136</v>
      </c>
    </row>
    <row r="2056" spans="2:6">
      <c r="B2056" s="189">
        <v>39503</v>
      </c>
      <c r="C2056" s="2">
        <v>29813.37</v>
      </c>
      <c r="D2056" s="1196">
        <f t="shared" si="64"/>
        <v>230.25196649714439</v>
      </c>
      <c r="E2056" s="2">
        <v>1069.69</v>
      </c>
      <c r="F2056" s="1196">
        <f t="shared" si="65"/>
        <v>152.02666211875729</v>
      </c>
    </row>
    <row r="2057" spans="2:6">
      <c r="B2057" s="189">
        <v>39500</v>
      </c>
      <c r="C2057" s="2">
        <v>29848.89</v>
      </c>
      <c r="D2057" s="1196">
        <f t="shared" si="64"/>
        <v>230.52629140070201</v>
      </c>
      <c r="E2057" s="2">
        <v>1073.58</v>
      </c>
      <c r="F2057" s="1196">
        <f t="shared" si="65"/>
        <v>152.57951735311673</v>
      </c>
    </row>
    <row r="2058" spans="2:6">
      <c r="B2058" s="189">
        <v>39499</v>
      </c>
      <c r="C2058" s="2">
        <v>30181.77</v>
      </c>
      <c r="D2058" s="1196">
        <f t="shared" si="64"/>
        <v>233.09716059823219</v>
      </c>
      <c r="E2058" s="2">
        <v>1076.17</v>
      </c>
      <c r="F2058" s="1196">
        <f t="shared" si="65"/>
        <v>152.94761376879566</v>
      </c>
    </row>
    <row r="2059" spans="2:6">
      <c r="B2059" s="189">
        <v>39498</v>
      </c>
      <c r="C2059" s="2">
        <v>29489.68</v>
      </c>
      <c r="D2059" s="1196">
        <f t="shared" si="64"/>
        <v>227.75207268992096</v>
      </c>
      <c r="E2059" s="2">
        <v>1102.1099999999999</v>
      </c>
      <c r="F2059" s="1196">
        <f t="shared" si="65"/>
        <v>156.63426281231347</v>
      </c>
    </row>
    <row r="2060" spans="2:6">
      <c r="B2060" s="189">
        <v>39497</v>
      </c>
      <c r="C2060" s="2">
        <v>29572.22</v>
      </c>
      <c r="D2060" s="1196">
        <f t="shared" ref="D2060:D2123" si="66">C2060/$C$2759*100</f>
        <v>228.38953827380749</v>
      </c>
      <c r="E2060" s="2">
        <v>1133.22</v>
      </c>
      <c r="F2060" s="1196">
        <f t="shared" ref="F2060:F2123" si="67">E2060/$E$2759*100</f>
        <v>161.05568346550697</v>
      </c>
    </row>
    <row r="2061" spans="2:6">
      <c r="B2061" s="189">
        <v>39496</v>
      </c>
      <c r="C2061" s="2">
        <v>29018.06</v>
      </c>
      <c r="D2061" s="1196">
        <f t="shared" si="66"/>
        <v>224.10969906897898</v>
      </c>
      <c r="E2061" s="2">
        <v>1134.52</v>
      </c>
      <c r="F2061" s="1196">
        <f t="shared" si="67"/>
        <v>161.24044228418748</v>
      </c>
    </row>
    <row r="2062" spans="2:6">
      <c r="B2062" s="189">
        <v>39493</v>
      </c>
      <c r="C2062" s="2">
        <v>28505.82</v>
      </c>
      <c r="D2062" s="1196">
        <f t="shared" si="66"/>
        <v>220.15361267825907</v>
      </c>
      <c r="E2062" s="2">
        <v>1150.73</v>
      </c>
      <c r="F2062" s="1196">
        <f t="shared" si="67"/>
        <v>163.54424263096558</v>
      </c>
    </row>
    <row r="2063" spans="2:6">
      <c r="B2063" s="189">
        <v>39492</v>
      </c>
      <c r="C2063" s="2">
        <v>29039.56</v>
      </c>
      <c r="D2063" s="1196">
        <f t="shared" si="66"/>
        <v>224.275745955986</v>
      </c>
      <c r="E2063" s="2">
        <v>1173.42</v>
      </c>
      <c r="F2063" s="1196">
        <f t="shared" si="67"/>
        <v>166.76899462778206</v>
      </c>
    </row>
    <row r="2064" spans="2:6">
      <c r="B2064" s="189">
        <v>39491</v>
      </c>
      <c r="C2064" s="2">
        <v>28502.23</v>
      </c>
      <c r="D2064" s="1196">
        <f t="shared" si="66"/>
        <v>220.12588670968438</v>
      </c>
      <c r="E2064" s="2">
        <v>1179.9000000000001</v>
      </c>
      <c r="F2064" s="1196">
        <f t="shared" si="67"/>
        <v>167.68994627782044</v>
      </c>
    </row>
    <row r="2065" spans="2:6">
      <c r="B2065" s="189">
        <v>39490</v>
      </c>
      <c r="C2065" s="2">
        <v>28585.599999999999</v>
      </c>
      <c r="D2065" s="1196">
        <f t="shared" si="66"/>
        <v>220.76976247572046</v>
      </c>
      <c r="E2065" s="2">
        <v>1186.3800000000001</v>
      </c>
      <c r="F2065" s="1196">
        <f t="shared" si="67"/>
        <v>168.61089792785879</v>
      </c>
    </row>
    <row r="2066" spans="2:6">
      <c r="B2066" s="189">
        <v>39489</v>
      </c>
      <c r="C2066" s="2">
        <v>27633</v>
      </c>
      <c r="D2066" s="1196">
        <f t="shared" si="66"/>
        <v>213.41272691465579</v>
      </c>
      <c r="E2066" s="2">
        <v>1170.18</v>
      </c>
      <c r="F2066" s="1196">
        <f t="shared" si="67"/>
        <v>166.30851880276288</v>
      </c>
    </row>
    <row r="2067" spans="2:6">
      <c r="B2067" s="189">
        <v>39486</v>
      </c>
      <c r="C2067" s="2">
        <v>27945.55</v>
      </c>
      <c r="D2067" s="1196">
        <f t="shared" si="66"/>
        <v>215.82658526507649</v>
      </c>
      <c r="E2067" s="2">
        <v>1170.18</v>
      </c>
      <c r="F2067" s="1196">
        <f t="shared" si="67"/>
        <v>166.30851880276288</v>
      </c>
    </row>
    <row r="2068" spans="2:6">
      <c r="B2068" s="189">
        <v>39485</v>
      </c>
      <c r="C2068" s="2">
        <v>27749.09</v>
      </c>
      <c r="D2068" s="1196">
        <f t="shared" si="66"/>
        <v>214.30930287338347</v>
      </c>
      <c r="E2068" s="2">
        <v>1228.52</v>
      </c>
      <c r="F2068" s="1196">
        <f t="shared" si="67"/>
        <v>174.59992609647253</v>
      </c>
    </row>
    <row r="2069" spans="2:6">
      <c r="B2069" s="189">
        <v>39484</v>
      </c>
      <c r="C2069" s="2">
        <v>27881.38</v>
      </c>
      <c r="D2069" s="1196">
        <f t="shared" si="66"/>
        <v>215.33099323069322</v>
      </c>
      <c r="E2069" s="2">
        <v>1228.52</v>
      </c>
      <c r="F2069" s="1196">
        <f t="shared" si="67"/>
        <v>174.59992609647253</v>
      </c>
    </row>
    <row r="2070" spans="2:6">
      <c r="B2070" s="189">
        <v>39483</v>
      </c>
      <c r="C2070" s="2">
        <v>27764.03</v>
      </c>
      <c r="D2070" s="1196">
        <f t="shared" si="66"/>
        <v>214.42468615207576</v>
      </c>
      <c r="E2070" s="2">
        <v>1228.52</v>
      </c>
      <c r="F2070" s="1196">
        <f t="shared" si="67"/>
        <v>174.59992609647253</v>
      </c>
    </row>
    <row r="2071" spans="2:6">
      <c r="B2071" s="189">
        <v>39482</v>
      </c>
      <c r="C2071" s="2">
        <v>28619.54</v>
      </c>
      <c r="D2071" s="1196">
        <f t="shared" si="66"/>
        <v>221.03188486386088</v>
      </c>
      <c r="E2071" s="2">
        <v>1231.77</v>
      </c>
      <c r="F2071" s="1196">
        <f t="shared" si="67"/>
        <v>175.06182314317385</v>
      </c>
    </row>
    <row r="2072" spans="2:6">
      <c r="B2072" s="189">
        <v>39479</v>
      </c>
      <c r="C2072" s="2">
        <v>28751.87</v>
      </c>
      <c r="D2072" s="1196">
        <f t="shared" si="66"/>
        <v>222.05388414561153</v>
      </c>
      <c r="E2072" s="2">
        <v>1202.5899999999999</v>
      </c>
      <c r="F2072" s="1196">
        <f t="shared" si="67"/>
        <v>170.91469827463686</v>
      </c>
    </row>
    <row r="2073" spans="2:6">
      <c r="B2073" s="189">
        <v>39478</v>
      </c>
      <c r="C2073" s="2">
        <v>27317.14</v>
      </c>
      <c r="D2073" s="1196">
        <f t="shared" si="66"/>
        <v>210.973305066747</v>
      </c>
      <c r="E2073" s="2">
        <v>1199.3499999999999</v>
      </c>
      <c r="F2073" s="1196">
        <f t="shared" si="67"/>
        <v>170.45422244961767</v>
      </c>
    </row>
    <row r="2074" spans="2:6">
      <c r="B2074" s="189">
        <v>39477</v>
      </c>
      <c r="C2074" s="2">
        <v>27068.16</v>
      </c>
      <c r="D2074" s="1196">
        <f t="shared" si="66"/>
        <v>209.0504048840954</v>
      </c>
      <c r="E2074" s="2">
        <v>1166.94</v>
      </c>
      <c r="F2074" s="1196">
        <f t="shared" si="67"/>
        <v>165.84804297774366</v>
      </c>
    </row>
    <row r="2075" spans="2:6">
      <c r="B2075" s="189">
        <v>39476</v>
      </c>
      <c r="C2075" s="2">
        <v>26442.71</v>
      </c>
      <c r="D2075" s="1196">
        <f t="shared" si="66"/>
        <v>204.21998509439572</v>
      </c>
      <c r="E2075" s="2">
        <v>1166.94</v>
      </c>
      <c r="F2075" s="1196">
        <f t="shared" si="67"/>
        <v>165.84804297774366</v>
      </c>
    </row>
    <row r="2076" spans="2:6">
      <c r="B2076" s="189">
        <v>39475</v>
      </c>
      <c r="C2076" s="2">
        <v>25692.87</v>
      </c>
      <c r="D2076" s="1196">
        <f t="shared" si="66"/>
        <v>198.4288875244726</v>
      </c>
      <c r="E2076" s="2">
        <v>1199.3499999999999</v>
      </c>
      <c r="F2076" s="1196">
        <f t="shared" si="67"/>
        <v>170.45422244961767</v>
      </c>
    </row>
    <row r="2077" spans="2:6">
      <c r="B2077" s="189">
        <v>39472</v>
      </c>
      <c r="C2077" s="2">
        <v>26502.23</v>
      </c>
      <c r="D2077" s="1196">
        <f t="shared" si="66"/>
        <v>204.67966466251934</v>
      </c>
      <c r="E2077" s="2">
        <v>1176.6600000000001</v>
      </c>
      <c r="F2077" s="1196">
        <f t="shared" si="67"/>
        <v>167.22947045280122</v>
      </c>
    </row>
    <row r="2078" spans="2:6">
      <c r="B2078" s="189">
        <v>39471</v>
      </c>
      <c r="C2078" s="2">
        <v>26463.13</v>
      </c>
      <c r="D2078" s="1196">
        <f t="shared" si="66"/>
        <v>204.3776910214973</v>
      </c>
      <c r="E2078" s="2">
        <v>1183.1400000000001</v>
      </c>
      <c r="F2078" s="1196">
        <f t="shared" si="67"/>
        <v>168.15042210283963</v>
      </c>
    </row>
    <row r="2079" spans="2:6">
      <c r="B2079" s="189">
        <v>39470</v>
      </c>
      <c r="C2079" s="2">
        <v>25135.13</v>
      </c>
      <c r="D2079" s="1196">
        <f t="shared" si="66"/>
        <v>194.12139958217972</v>
      </c>
      <c r="E2079" s="2">
        <v>1231.77</v>
      </c>
      <c r="F2079" s="1196">
        <f t="shared" si="67"/>
        <v>175.06182314317385</v>
      </c>
    </row>
    <row r="2080" spans="2:6">
      <c r="B2080" s="189">
        <v>39469</v>
      </c>
      <c r="C2080" s="2">
        <v>25397.17</v>
      </c>
      <c r="D2080" s="1196">
        <f t="shared" si="66"/>
        <v>196.14516359479924</v>
      </c>
      <c r="E2080" s="2">
        <v>1231.77</v>
      </c>
      <c r="F2080" s="1196">
        <f t="shared" si="67"/>
        <v>175.06182314317385</v>
      </c>
    </row>
    <row r="2081" spans="2:6">
      <c r="B2081" s="189">
        <v>39468</v>
      </c>
      <c r="C2081" s="2">
        <v>25423.69</v>
      </c>
      <c r="D2081" s="1196">
        <f t="shared" si="66"/>
        <v>196.34998049914466</v>
      </c>
      <c r="E2081" s="2">
        <v>1260.94</v>
      </c>
      <c r="F2081" s="1196">
        <f t="shared" si="67"/>
        <v>179.20752679002871</v>
      </c>
    </row>
    <row r="2082" spans="2:6">
      <c r="B2082" s="189">
        <v>39465</v>
      </c>
      <c r="C2082" s="2">
        <v>26652.66</v>
      </c>
      <c r="D2082" s="1196">
        <f t="shared" si="66"/>
        <v>205.84145225379689</v>
      </c>
      <c r="E2082" s="2">
        <v>1260.94</v>
      </c>
      <c r="F2082" s="1196">
        <f t="shared" si="67"/>
        <v>179.20752679002871</v>
      </c>
    </row>
    <row r="2083" spans="2:6">
      <c r="B2083" s="189">
        <v>39464</v>
      </c>
      <c r="C2083" s="2">
        <v>27039.97</v>
      </c>
      <c r="D2083" s="1196">
        <f t="shared" si="66"/>
        <v>208.83269038434062</v>
      </c>
      <c r="E2083" s="2">
        <v>1260.94</v>
      </c>
      <c r="F2083" s="1196">
        <f t="shared" si="67"/>
        <v>179.20752679002871</v>
      </c>
    </row>
    <row r="2084" spans="2:6">
      <c r="B2084" s="189">
        <v>39463</v>
      </c>
      <c r="C2084" s="2">
        <v>26911.5</v>
      </c>
      <c r="D2084" s="1196">
        <f t="shared" si="66"/>
        <v>207.84050231114097</v>
      </c>
      <c r="E2084" s="2">
        <v>1277.1500000000001</v>
      </c>
      <c r="F2084" s="1196">
        <f t="shared" si="67"/>
        <v>181.51132713680681</v>
      </c>
    </row>
    <row r="2085" spans="2:6">
      <c r="B2085" s="189">
        <v>39462</v>
      </c>
      <c r="C2085" s="2">
        <v>27635.97</v>
      </c>
      <c r="D2085" s="1196">
        <f t="shared" si="66"/>
        <v>213.43566455439583</v>
      </c>
      <c r="E2085" s="2">
        <v>1277.1500000000001</v>
      </c>
      <c r="F2085" s="1196">
        <f t="shared" si="67"/>
        <v>181.51132713680681</v>
      </c>
    </row>
    <row r="2086" spans="2:6">
      <c r="B2086" s="189">
        <v>39461</v>
      </c>
      <c r="C2086" s="2">
        <v>27951.19</v>
      </c>
      <c r="D2086" s="1196">
        <f t="shared" si="66"/>
        <v>215.87014361124949</v>
      </c>
      <c r="E2086" s="2">
        <v>1277.1500000000001</v>
      </c>
      <c r="F2086" s="1196">
        <f t="shared" si="67"/>
        <v>181.51132713680681</v>
      </c>
    </row>
    <row r="2087" spans="2:6">
      <c r="B2087" s="189">
        <v>39458</v>
      </c>
      <c r="C2087" s="2">
        <v>27509.25</v>
      </c>
      <c r="D2087" s="1196">
        <f t="shared" si="66"/>
        <v>212.45699192548742</v>
      </c>
      <c r="E2087" s="2">
        <v>1264.18</v>
      </c>
      <c r="F2087" s="1196">
        <f t="shared" si="67"/>
        <v>179.6680026150479</v>
      </c>
    </row>
    <row r="2088" spans="2:6">
      <c r="B2088" s="189">
        <v>39457</v>
      </c>
      <c r="C2088" s="2">
        <v>27903.94</v>
      </c>
      <c r="D2088" s="1196">
        <f t="shared" si="66"/>
        <v>215.50522661538523</v>
      </c>
      <c r="E2088" s="2">
        <v>1264.18</v>
      </c>
      <c r="F2088" s="1196">
        <f t="shared" si="67"/>
        <v>179.6680026150479</v>
      </c>
    </row>
    <row r="2089" spans="2:6">
      <c r="B2089" s="189">
        <v>39456</v>
      </c>
      <c r="C2089" s="2">
        <v>28400.78</v>
      </c>
      <c r="D2089" s="1196">
        <f t="shared" si="66"/>
        <v>219.34237709634195</v>
      </c>
      <c r="E2089" s="2">
        <v>1277.1500000000001</v>
      </c>
      <c r="F2089" s="1196">
        <f t="shared" si="67"/>
        <v>181.51132713680681</v>
      </c>
    </row>
    <row r="2090" spans="2:6">
      <c r="B2090" s="189">
        <v>39455</v>
      </c>
      <c r="C2090" s="2">
        <v>28937.43</v>
      </c>
      <c r="D2090" s="1196">
        <f t="shared" si="66"/>
        <v>223.48698462714754</v>
      </c>
      <c r="E2090" s="2">
        <v>1264.18</v>
      </c>
      <c r="F2090" s="1196">
        <f t="shared" si="67"/>
        <v>179.6680026150479</v>
      </c>
    </row>
    <row r="2091" spans="2:6">
      <c r="B2091" s="189">
        <v>39454</v>
      </c>
      <c r="C2091" s="2">
        <v>28640.42</v>
      </c>
      <c r="D2091" s="1196">
        <f t="shared" si="66"/>
        <v>221.19314342203324</v>
      </c>
      <c r="E2091" s="2">
        <v>1240.19</v>
      </c>
      <c r="F2091" s="1196">
        <f t="shared" si="67"/>
        <v>176.25849179955091</v>
      </c>
    </row>
    <row r="2092" spans="2:6">
      <c r="B2092" s="189">
        <v>39451</v>
      </c>
      <c r="C2092" s="2">
        <v>28979.73</v>
      </c>
      <c r="D2092" s="1196">
        <f t="shared" si="66"/>
        <v>223.81367222344502</v>
      </c>
      <c r="E2092" s="2">
        <v>1240.19</v>
      </c>
      <c r="F2092" s="1196">
        <f t="shared" si="67"/>
        <v>176.25849179955091</v>
      </c>
    </row>
    <row r="2093" spans="2:6">
      <c r="B2093" s="189">
        <v>39450</v>
      </c>
      <c r="C2093" s="2">
        <v>29124.84</v>
      </c>
      <c r="D2093" s="1196">
        <f t="shared" si="66"/>
        <v>224.93437286407715</v>
      </c>
      <c r="E2093" s="2">
        <v>1240.19</v>
      </c>
      <c r="F2093" s="1196">
        <f t="shared" si="67"/>
        <v>176.25849179955091</v>
      </c>
    </row>
    <row r="2094" spans="2:6">
      <c r="B2094" s="189">
        <v>39449</v>
      </c>
      <c r="C2094" s="2">
        <v>29290.15</v>
      </c>
      <c r="D2094" s="1196">
        <f t="shared" si="66"/>
        <v>226.21108034738558</v>
      </c>
      <c r="E2094" s="2">
        <v>1240.19</v>
      </c>
      <c r="F2094" s="1196">
        <f t="shared" si="67"/>
        <v>176.25849179955091</v>
      </c>
    </row>
    <row r="2095" spans="2:6">
      <c r="B2095" s="189">
        <v>39447</v>
      </c>
      <c r="C2095" s="2">
        <v>28957.97</v>
      </c>
      <c r="D2095" s="1196">
        <f t="shared" si="66"/>
        <v>223.6456173275719</v>
      </c>
      <c r="E2095" s="2">
        <v>1252.5899999999999</v>
      </c>
      <c r="F2095" s="1196">
        <f t="shared" si="67"/>
        <v>178.02080668542678</v>
      </c>
    </row>
    <row r="2096" spans="2:6">
      <c r="B2096" s="189">
        <v>39444</v>
      </c>
      <c r="C2096" s="2">
        <v>29634.65</v>
      </c>
      <c r="D2096" s="1196">
        <f t="shared" si="66"/>
        <v>228.87169209500973</v>
      </c>
      <c r="E2096" s="2">
        <v>1240.19</v>
      </c>
      <c r="F2096" s="1196">
        <f t="shared" si="67"/>
        <v>176.25849179955091</v>
      </c>
    </row>
    <row r="2097" spans="2:6">
      <c r="B2097" s="189">
        <v>39443</v>
      </c>
      <c r="C2097" s="2">
        <v>29781.39</v>
      </c>
      <c r="D2097" s="1196">
        <f t="shared" si="66"/>
        <v>230.0049814066102</v>
      </c>
      <c r="E2097" s="2">
        <v>1240.19</v>
      </c>
      <c r="F2097" s="1196">
        <f t="shared" si="67"/>
        <v>176.25849179955091</v>
      </c>
    </row>
    <row r="2098" spans="2:6">
      <c r="B2098" s="189">
        <v>39440</v>
      </c>
      <c r="C2098" s="2">
        <v>29505.360000000001</v>
      </c>
      <c r="D2098" s="1196">
        <f t="shared" si="66"/>
        <v>227.87317107077075</v>
      </c>
      <c r="E2098" s="2">
        <v>1209.19</v>
      </c>
      <c r="F2098" s="1196">
        <f t="shared" si="67"/>
        <v>171.85270458486116</v>
      </c>
    </row>
    <row r="2099" spans="2:6">
      <c r="B2099" s="189">
        <v>39437</v>
      </c>
      <c r="C2099" s="2">
        <v>29331.99</v>
      </c>
      <c r="D2099" s="1196">
        <f t="shared" si="66"/>
        <v>226.53421531261225</v>
      </c>
      <c r="E2099" s="2">
        <v>1240.19</v>
      </c>
      <c r="F2099" s="1196">
        <f t="shared" si="67"/>
        <v>176.25849179955091</v>
      </c>
    </row>
    <row r="2100" spans="2:6">
      <c r="B2100" s="189">
        <v>39436</v>
      </c>
      <c r="C2100" s="2">
        <v>28460.9</v>
      </c>
      <c r="D2100" s="1196">
        <f t="shared" si="66"/>
        <v>219.80669053107974</v>
      </c>
      <c r="E2100" s="2">
        <v>1261.9000000000001</v>
      </c>
      <c r="F2100" s="1196">
        <f t="shared" si="67"/>
        <v>179.3439640715159</v>
      </c>
    </row>
    <row r="2101" spans="2:6">
      <c r="B2101" s="189">
        <v>39435</v>
      </c>
      <c r="C2101" s="2">
        <v>28112.89</v>
      </c>
      <c r="D2101" s="1196">
        <f t="shared" si="66"/>
        <v>217.11897066376281</v>
      </c>
      <c r="E2101" s="2">
        <v>1277.4000000000001</v>
      </c>
      <c r="F2101" s="1196">
        <f t="shared" si="67"/>
        <v>181.54685767886076</v>
      </c>
    </row>
    <row r="2102" spans="2:6">
      <c r="B2102" s="189">
        <v>39434</v>
      </c>
      <c r="C2102" s="2">
        <v>28526.34</v>
      </c>
      <c r="D2102" s="1196">
        <f t="shared" si="66"/>
        <v>220.31209091646295</v>
      </c>
      <c r="E2102" s="2">
        <v>1277.4000000000001</v>
      </c>
      <c r="F2102" s="1196">
        <f t="shared" si="67"/>
        <v>181.54685767886076</v>
      </c>
    </row>
    <row r="2103" spans="2:6">
      <c r="B2103" s="189">
        <v>39430</v>
      </c>
      <c r="C2103" s="2">
        <v>28708</v>
      </c>
      <c r="D2103" s="1196">
        <f t="shared" si="66"/>
        <v>221.71507126500697</v>
      </c>
      <c r="E2103" s="2">
        <v>1240.19</v>
      </c>
      <c r="F2103" s="1196">
        <f t="shared" si="67"/>
        <v>176.25849179955091</v>
      </c>
    </row>
    <row r="2104" spans="2:6">
      <c r="B2104" s="189">
        <v>39429</v>
      </c>
      <c r="C2104" s="2">
        <v>29388.65</v>
      </c>
      <c r="D2104" s="1196">
        <f t="shared" si="66"/>
        <v>226.97180678320845</v>
      </c>
      <c r="E2104" s="2">
        <v>1299.0999999999999</v>
      </c>
      <c r="F2104" s="1196">
        <f t="shared" si="67"/>
        <v>184.63090872914356</v>
      </c>
    </row>
    <row r="2105" spans="2:6">
      <c r="B2105" s="189">
        <v>39428</v>
      </c>
      <c r="C2105" s="2">
        <v>30307.1</v>
      </c>
      <c r="D2105" s="1196">
        <f t="shared" si="66"/>
        <v>234.06509810281779</v>
      </c>
      <c r="E2105" s="2">
        <v>1302.2</v>
      </c>
      <c r="F2105" s="1196">
        <f t="shared" si="67"/>
        <v>185.07148745061255</v>
      </c>
    </row>
    <row r="2106" spans="2:6">
      <c r="B2106" s="189">
        <v>39427</v>
      </c>
      <c r="C2106" s="2">
        <v>30468.61</v>
      </c>
      <c r="D2106" s="1196">
        <f t="shared" si="66"/>
        <v>235.31245776423663</v>
      </c>
      <c r="E2106" s="2">
        <v>1302.2</v>
      </c>
      <c r="F2106" s="1196">
        <f t="shared" si="67"/>
        <v>185.07148745061255</v>
      </c>
    </row>
    <row r="2107" spans="2:6">
      <c r="B2107" s="189">
        <v>39426</v>
      </c>
      <c r="C2107" s="2">
        <v>30464.38</v>
      </c>
      <c r="D2107" s="1196">
        <f t="shared" si="66"/>
        <v>235.27978900460687</v>
      </c>
      <c r="E2107" s="2">
        <v>1302.2</v>
      </c>
      <c r="F2107" s="1196">
        <f t="shared" si="67"/>
        <v>185.07148745061255</v>
      </c>
    </row>
    <row r="2108" spans="2:6">
      <c r="B2108" s="189">
        <v>39423</v>
      </c>
      <c r="C2108" s="2">
        <v>30390.67</v>
      </c>
      <c r="D2108" s="1196">
        <f t="shared" si="66"/>
        <v>234.71051849105856</v>
      </c>
      <c r="E2108" s="2">
        <v>1333.21</v>
      </c>
      <c r="F2108" s="1196">
        <f t="shared" si="67"/>
        <v>189.47869588698444</v>
      </c>
    </row>
    <row r="2109" spans="2:6">
      <c r="B2109" s="189">
        <v>39422</v>
      </c>
      <c r="C2109" s="2">
        <v>30133.74</v>
      </c>
      <c r="D2109" s="1196">
        <f t="shared" si="66"/>
        <v>232.72621957576951</v>
      </c>
      <c r="E2109" s="2">
        <v>1364.21</v>
      </c>
      <c r="F2109" s="1196">
        <f t="shared" si="67"/>
        <v>193.88448310167422</v>
      </c>
    </row>
    <row r="2110" spans="2:6">
      <c r="B2110" s="189">
        <v>39421</v>
      </c>
      <c r="C2110" s="2">
        <v>30118.15</v>
      </c>
      <c r="D2110" s="1196">
        <f t="shared" si="66"/>
        <v>232.60581627491189</v>
      </c>
      <c r="E2110" s="2">
        <v>1426.22</v>
      </c>
      <c r="F2110" s="1196">
        <f t="shared" si="67"/>
        <v>202.69747875273586</v>
      </c>
    </row>
    <row r="2111" spans="2:6">
      <c r="B2111" s="189">
        <v>39420</v>
      </c>
      <c r="C2111" s="2">
        <v>29947.49</v>
      </c>
      <c r="D2111" s="1196">
        <f t="shared" si="66"/>
        <v>231.28779014762731</v>
      </c>
      <c r="E2111" s="2">
        <v>1475.83</v>
      </c>
      <c r="F2111" s="1196">
        <f t="shared" si="67"/>
        <v>209.74815951792158</v>
      </c>
    </row>
    <row r="2112" spans="2:6">
      <c r="B2112" s="189">
        <v>39419</v>
      </c>
      <c r="C2112" s="2">
        <v>30303.67</v>
      </c>
      <c r="D2112" s="1196">
        <f t="shared" si="66"/>
        <v>234.03860783200687</v>
      </c>
      <c r="E2112" s="2">
        <v>1475.83</v>
      </c>
      <c r="F2112" s="1196">
        <f t="shared" si="67"/>
        <v>209.74815951792158</v>
      </c>
    </row>
    <row r="2113" spans="2:6">
      <c r="B2113" s="189">
        <v>39416</v>
      </c>
      <c r="C2113" s="2">
        <v>30307.8</v>
      </c>
      <c r="D2113" s="1196">
        <f t="shared" si="66"/>
        <v>234.07050428053427</v>
      </c>
      <c r="E2113" s="2">
        <v>1463.43</v>
      </c>
      <c r="F2113" s="1196">
        <f t="shared" si="67"/>
        <v>207.98584463204571</v>
      </c>
    </row>
    <row r="2114" spans="2:6">
      <c r="B2114" s="189">
        <v>39415</v>
      </c>
      <c r="C2114" s="2">
        <v>29925.759999999998</v>
      </c>
      <c r="D2114" s="1196">
        <f t="shared" si="66"/>
        <v>231.11996694508483</v>
      </c>
      <c r="E2114" s="2">
        <v>1438.62</v>
      </c>
      <c r="F2114" s="1196">
        <f t="shared" si="67"/>
        <v>204.45979363861176</v>
      </c>
    </row>
    <row r="2115" spans="2:6">
      <c r="B2115" s="189">
        <v>39414</v>
      </c>
      <c r="C2115" s="2">
        <v>29410.07</v>
      </c>
      <c r="D2115" s="1196">
        <f t="shared" si="66"/>
        <v>227.13723582133355</v>
      </c>
      <c r="E2115" s="2">
        <v>1438.62</v>
      </c>
      <c r="F2115" s="1196">
        <f t="shared" si="67"/>
        <v>204.45979363861176</v>
      </c>
    </row>
    <row r="2116" spans="2:6">
      <c r="B2116" s="189">
        <v>39413</v>
      </c>
      <c r="C2116" s="2">
        <v>29286.3</v>
      </c>
      <c r="D2116" s="1196">
        <f t="shared" si="66"/>
        <v>226.18134636994475</v>
      </c>
      <c r="E2116" s="2">
        <v>1488.23</v>
      </c>
      <c r="F2116" s="1196">
        <f t="shared" si="67"/>
        <v>211.5104744037975</v>
      </c>
    </row>
    <row r="2117" spans="2:6">
      <c r="B2117" s="189">
        <v>39412</v>
      </c>
      <c r="C2117" s="2">
        <v>29448.69</v>
      </c>
      <c r="D2117" s="1196">
        <f t="shared" si="66"/>
        <v>227.43550236906432</v>
      </c>
      <c r="E2117" s="2">
        <v>1488.23</v>
      </c>
      <c r="F2117" s="1196">
        <f t="shared" si="67"/>
        <v>211.5104744037975</v>
      </c>
    </row>
    <row r="2118" spans="2:6">
      <c r="B2118" s="189">
        <v>39409</v>
      </c>
      <c r="C2118" s="2">
        <v>29602.59</v>
      </c>
      <c r="D2118" s="1196">
        <f t="shared" si="66"/>
        <v>228.62408915559365</v>
      </c>
      <c r="E2118" s="2">
        <v>1519.24</v>
      </c>
      <c r="F2118" s="1196">
        <f t="shared" si="67"/>
        <v>215.91768284016939</v>
      </c>
    </row>
    <row r="2119" spans="2:6">
      <c r="B2119" s="189">
        <v>39408</v>
      </c>
      <c r="C2119" s="2">
        <v>29127.42</v>
      </c>
      <c r="D2119" s="1196">
        <f t="shared" si="66"/>
        <v>224.95429849051794</v>
      </c>
      <c r="E2119" s="2">
        <v>1519.24</v>
      </c>
      <c r="F2119" s="1196">
        <f t="shared" si="67"/>
        <v>215.91768284016939</v>
      </c>
    </row>
    <row r="2120" spans="2:6">
      <c r="B2120" s="189">
        <v>39407</v>
      </c>
      <c r="C2120" s="2">
        <v>29146.35</v>
      </c>
      <c r="D2120" s="1196">
        <f t="shared" si="66"/>
        <v>225.10049698219436</v>
      </c>
      <c r="E2120" s="2">
        <v>1550.24</v>
      </c>
      <c r="F2120" s="1196">
        <f t="shared" si="67"/>
        <v>220.32347005485917</v>
      </c>
    </row>
    <row r="2121" spans="2:6">
      <c r="B2121" s="189">
        <v>39406</v>
      </c>
      <c r="C2121" s="2">
        <v>29542.1</v>
      </c>
      <c r="D2121" s="1196">
        <f t="shared" si="66"/>
        <v>228.15691816977713</v>
      </c>
      <c r="E2121" s="2">
        <v>1535.36</v>
      </c>
      <c r="F2121" s="1196">
        <f t="shared" si="67"/>
        <v>218.20869219180804</v>
      </c>
    </row>
    <row r="2122" spans="2:6">
      <c r="B2122" s="189">
        <v>39405</v>
      </c>
      <c r="C2122" s="2">
        <v>29222.48</v>
      </c>
      <c r="D2122" s="1196">
        <f t="shared" si="66"/>
        <v>225.68845742441971</v>
      </c>
      <c r="E2122" s="2">
        <v>1550.24</v>
      </c>
      <c r="F2122" s="1196">
        <f t="shared" si="67"/>
        <v>220.32347005485917</v>
      </c>
    </row>
    <row r="2123" spans="2:6">
      <c r="B2123" s="189">
        <v>39402</v>
      </c>
      <c r="C2123" s="2">
        <v>29868.06</v>
      </c>
      <c r="D2123" s="1196">
        <f t="shared" si="66"/>
        <v>230.67434343902411</v>
      </c>
      <c r="E2123" s="2">
        <v>1590.55</v>
      </c>
      <c r="F2123" s="1196">
        <f t="shared" si="67"/>
        <v>226.05241465563796</v>
      </c>
    </row>
    <row r="2124" spans="2:6">
      <c r="B2124" s="189">
        <v>39401</v>
      </c>
      <c r="C2124" s="2">
        <v>30144.84</v>
      </c>
      <c r="D2124" s="1196">
        <f t="shared" ref="D2124:D2187" si="68">C2124/$C$2759*100</f>
        <v>232.81194610813128</v>
      </c>
      <c r="E2124" s="2">
        <v>1612.25</v>
      </c>
      <c r="F2124" s="1196">
        <f t="shared" ref="F2124:F2187" si="69">E2124/$E$2759*100</f>
        <v>229.13646570592081</v>
      </c>
    </row>
    <row r="2125" spans="2:6">
      <c r="B2125" s="189">
        <v>39400</v>
      </c>
      <c r="C2125" s="2">
        <v>30681.66</v>
      </c>
      <c r="D2125" s="1196">
        <f t="shared" si="68"/>
        <v>236.95786656781084</v>
      </c>
      <c r="E2125" s="2">
        <v>1595.51</v>
      </c>
      <c r="F2125" s="1196">
        <f t="shared" si="69"/>
        <v>226.75734060998835</v>
      </c>
    </row>
    <row r="2126" spans="2:6">
      <c r="B2126" s="189">
        <v>39399</v>
      </c>
      <c r="C2126" s="2">
        <v>30454.76</v>
      </c>
      <c r="D2126" s="1196">
        <f t="shared" si="68"/>
        <v>235.20549267655997</v>
      </c>
      <c r="E2126" s="2">
        <v>1540.94</v>
      </c>
      <c r="F2126" s="1196">
        <f t="shared" si="69"/>
        <v>219.00173389045224</v>
      </c>
    </row>
    <row r="2127" spans="2:6">
      <c r="B2127" s="189">
        <v>39398</v>
      </c>
      <c r="C2127" s="2">
        <v>30774.17</v>
      </c>
      <c r="D2127" s="1196">
        <f t="shared" si="68"/>
        <v>237.67233156860246</v>
      </c>
      <c r="E2127" s="2">
        <v>1504.97</v>
      </c>
      <c r="F2127" s="1196">
        <f t="shared" si="69"/>
        <v>213.88959949973</v>
      </c>
    </row>
    <row r="2128" spans="2:6">
      <c r="B2128" s="189">
        <v>39395</v>
      </c>
      <c r="C2128" s="2">
        <v>30920.21</v>
      </c>
      <c r="D2128" s="1196">
        <f t="shared" si="68"/>
        <v>238.80021470248644</v>
      </c>
      <c r="E2128" s="2">
        <v>1498.77</v>
      </c>
      <c r="F2128" s="1196">
        <f t="shared" si="69"/>
        <v>213.00844205679201</v>
      </c>
    </row>
    <row r="2129" spans="2:6">
      <c r="B2129" s="189">
        <v>39394</v>
      </c>
      <c r="C2129" s="2">
        <v>31055.119999999999</v>
      </c>
      <c r="D2129" s="1196">
        <f t="shared" si="68"/>
        <v>239.84213961067798</v>
      </c>
      <c r="E2129" s="2">
        <v>1498.77</v>
      </c>
      <c r="F2129" s="1196">
        <f t="shared" si="69"/>
        <v>213.00844205679201</v>
      </c>
    </row>
    <row r="2130" spans="2:6">
      <c r="B2130" s="189">
        <v>39393</v>
      </c>
      <c r="C2130" s="2">
        <v>30767.759999999998</v>
      </c>
      <c r="D2130" s="1196">
        <f t="shared" si="68"/>
        <v>237.62282642694129</v>
      </c>
      <c r="E2130" s="2">
        <v>1491.33</v>
      </c>
      <c r="F2130" s="1196">
        <f t="shared" si="69"/>
        <v>211.95105312526644</v>
      </c>
    </row>
    <row r="2131" spans="2:6">
      <c r="B2131" s="189">
        <v>39392</v>
      </c>
      <c r="C2131" s="2">
        <v>30764.63</v>
      </c>
      <c r="D2131" s="1196">
        <f t="shared" si="68"/>
        <v>237.59865308943748</v>
      </c>
      <c r="E2131" s="2">
        <v>1488.23</v>
      </c>
      <c r="F2131" s="1196">
        <f t="shared" si="69"/>
        <v>211.5104744037975</v>
      </c>
    </row>
    <row r="2132" spans="2:6">
      <c r="B2132" s="189">
        <v>39391</v>
      </c>
      <c r="C2132" s="2">
        <v>30346.38</v>
      </c>
      <c r="D2132" s="1196">
        <f t="shared" si="68"/>
        <v>234.36846190382411</v>
      </c>
      <c r="E2132" s="2">
        <v>1488.23</v>
      </c>
      <c r="F2132" s="1196">
        <f t="shared" si="69"/>
        <v>211.5104744037975</v>
      </c>
    </row>
    <row r="2133" spans="2:6">
      <c r="B2133" s="189">
        <v>39388</v>
      </c>
      <c r="C2133" s="2">
        <v>30553.439999999999</v>
      </c>
      <c r="D2133" s="1196">
        <f t="shared" si="68"/>
        <v>235.9676092723671</v>
      </c>
      <c r="E2133" s="2">
        <v>1519.24</v>
      </c>
      <c r="F2133" s="1196">
        <f t="shared" si="69"/>
        <v>215.91768284016939</v>
      </c>
    </row>
    <row r="2134" spans="2:6">
      <c r="B2134" s="189">
        <v>39387</v>
      </c>
      <c r="C2134" s="2">
        <v>30816.19</v>
      </c>
      <c r="D2134" s="1196">
        <f t="shared" si="68"/>
        <v>237.99685669381341</v>
      </c>
      <c r="E2134" s="2">
        <v>1550.24</v>
      </c>
      <c r="F2134" s="1196">
        <f t="shared" si="69"/>
        <v>220.32347005485917</v>
      </c>
    </row>
    <row r="2135" spans="2:6">
      <c r="B2135" s="189">
        <v>39386</v>
      </c>
      <c r="C2135" s="2">
        <v>31334.99</v>
      </c>
      <c r="D2135" s="1196">
        <f t="shared" si="68"/>
        <v>242.00360669284802</v>
      </c>
      <c r="E2135" s="2">
        <v>1488.23</v>
      </c>
      <c r="F2135" s="1196">
        <f t="shared" si="69"/>
        <v>211.5104744037975</v>
      </c>
    </row>
    <row r="2136" spans="2:6">
      <c r="B2136" s="189">
        <v>39385</v>
      </c>
      <c r="C2136" s="2">
        <v>31244.67</v>
      </c>
      <c r="D2136" s="1196">
        <f t="shared" si="68"/>
        <v>241.30605530519804</v>
      </c>
      <c r="E2136" s="2">
        <v>1488.85</v>
      </c>
      <c r="F2136" s="1196">
        <f t="shared" si="69"/>
        <v>211.59859014809129</v>
      </c>
    </row>
    <row r="2137" spans="2:6">
      <c r="B2137" s="189">
        <v>39384</v>
      </c>
      <c r="C2137" s="2">
        <v>31211.439999999999</v>
      </c>
      <c r="D2137" s="1196">
        <f t="shared" si="68"/>
        <v>241.04941632588438</v>
      </c>
      <c r="E2137" s="2">
        <v>1488.23</v>
      </c>
      <c r="F2137" s="1196">
        <f t="shared" si="69"/>
        <v>211.5104744037975</v>
      </c>
    </row>
    <row r="2138" spans="2:6">
      <c r="B2138" s="189">
        <v>39381</v>
      </c>
      <c r="C2138" s="2">
        <v>30804.86</v>
      </c>
      <c r="D2138" s="1196">
        <f t="shared" si="68"/>
        <v>237.90935384591623</v>
      </c>
      <c r="E2138" s="2">
        <v>1488.23</v>
      </c>
      <c r="F2138" s="1196">
        <f t="shared" si="69"/>
        <v>211.5104744037975</v>
      </c>
    </row>
    <row r="2139" spans="2:6">
      <c r="B2139" s="189">
        <v>39380</v>
      </c>
      <c r="C2139" s="2">
        <v>30417.46</v>
      </c>
      <c r="D2139" s="1196">
        <f t="shared" si="68"/>
        <v>234.91742063538035</v>
      </c>
      <c r="E2139" s="2">
        <v>1488.23</v>
      </c>
      <c r="F2139" s="1196">
        <f t="shared" si="69"/>
        <v>211.5104744037975</v>
      </c>
    </row>
    <row r="2140" spans="2:6">
      <c r="B2140" s="189">
        <v>39379</v>
      </c>
      <c r="C2140" s="2">
        <v>30041.21</v>
      </c>
      <c r="D2140" s="1196">
        <f t="shared" si="68"/>
        <v>232.01160011275741</v>
      </c>
      <c r="E2140" s="2">
        <v>1488.23</v>
      </c>
      <c r="F2140" s="1196">
        <f t="shared" si="69"/>
        <v>211.5104744037975</v>
      </c>
    </row>
    <row r="2141" spans="2:6">
      <c r="B2141" s="189">
        <v>39378</v>
      </c>
      <c r="C2141" s="2">
        <v>30449.42</v>
      </c>
      <c r="D2141" s="1196">
        <f t="shared" si="68"/>
        <v>235.16425126369404</v>
      </c>
      <c r="E2141" s="2">
        <v>1488.23</v>
      </c>
      <c r="F2141" s="1196">
        <f t="shared" si="69"/>
        <v>211.5104744037975</v>
      </c>
    </row>
    <row r="2142" spans="2:6">
      <c r="B2142" s="189">
        <v>39377</v>
      </c>
      <c r="C2142" s="2">
        <v>30146.62</v>
      </c>
      <c r="D2142" s="1196">
        <f t="shared" si="68"/>
        <v>232.82569324575326</v>
      </c>
      <c r="E2142" s="2">
        <v>1519.24</v>
      </c>
      <c r="F2142" s="1196">
        <f t="shared" si="69"/>
        <v>215.91768284016939</v>
      </c>
    </row>
    <row r="2143" spans="2:6">
      <c r="B2143" s="189">
        <v>39374</v>
      </c>
      <c r="C2143" s="2">
        <v>30766.21</v>
      </c>
      <c r="D2143" s="1196">
        <f t="shared" si="68"/>
        <v>237.61085560485475</v>
      </c>
      <c r="E2143" s="2">
        <v>1519.24</v>
      </c>
      <c r="F2143" s="1196">
        <f t="shared" si="69"/>
        <v>215.91768284016939</v>
      </c>
    </row>
    <row r="2144" spans="2:6">
      <c r="B2144" s="189">
        <v>39373</v>
      </c>
      <c r="C2144" s="2">
        <v>31016.83</v>
      </c>
      <c r="D2144" s="1196">
        <f t="shared" si="68"/>
        <v>239.54642168958503</v>
      </c>
      <c r="E2144" s="2">
        <v>1534.74</v>
      </c>
      <c r="F2144" s="1196">
        <f t="shared" si="69"/>
        <v>218.12057644751431</v>
      </c>
    </row>
    <row r="2145" spans="2:6">
      <c r="B2145" s="189">
        <v>39372</v>
      </c>
      <c r="C2145" s="2">
        <v>31068.26</v>
      </c>
      <c r="D2145" s="1196">
        <f t="shared" si="68"/>
        <v>239.94362128952784</v>
      </c>
      <c r="E2145" s="2">
        <v>1519.24</v>
      </c>
      <c r="F2145" s="1196">
        <f t="shared" si="69"/>
        <v>215.91768284016939</v>
      </c>
    </row>
    <row r="2146" spans="2:6">
      <c r="B2146" s="189">
        <v>39371</v>
      </c>
      <c r="C2146" s="2">
        <v>31033.42</v>
      </c>
      <c r="D2146" s="1196">
        <f t="shared" si="68"/>
        <v>239.67454810146626</v>
      </c>
      <c r="E2146" s="2">
        <v>1519.24</v>
      </c>
      <c r="F2146" s="1196">
        <f t="shared" si="69"/>
        <v>215.91768284016939</v>
      </c>
    </row>
    <row r="2147" spans="2:6">
      <c r="B2147" s="189">
        <v>39370</v>
      </c>
      <c r="C2147" s="2">
        <v>31164.38</v>
      </c>
      <c r="D2147" s="1196">
        <f t="shared" si="68"/>
        <v>240.68596672111462</v>
      </c>
      <c r="E2147" s="2">
        <v>1519.24</v>
      </c>
      <c r="F2147" s="1196">
        <f t="shared" si="69"/>
        <v>215.91768284016939</v>
      </c>
    </row>
    <row r="2148" spans="2:6">
      <c r="B2148" s="189">
        <v>39367</v>
      </c>
      <c r="C2148" s="2">
        <v>31225.85</v>
      </c>
      <c r="D2148" s="1196">
        <f t="shared" si="68"/>
        <v>241.16070635573422</v>
      </c>
      <c r="E2148" s="2">
        <v>1519.24</v>
      </c>
      <c r="F2148" s="1196">
        <f t="shared" si="69"/>
        <v>215.91768284016939</v>
      </c>
    </row>
    <row r="2149" spans="2:6">
      <c r="B2149" s="189">
        <v>39366</v>
      </c>
      <c r="C2149" s="2">
        <v>31531.05</v>
      </c>
      <c r="D2149" s="1196">
        <f t="shared" si="68"/>
        <v>243.51779984013163</v>
      </c>
      <c r="E2149" s="2">
        <v>1488.23</v>
      </c>
      <c r="F2149" s="1196">
        <f t="shared" si="69"/>
        <v>211.5104744037975</v>
      </c>
    </row>
    <row r="2150" spans="2:6">
      <c r="B2150" s="189">
        <v>39365</v>
      </c>
      <c r="C2150" s="2">
        <v>31198.73</v>
      </c>
      <c r="D2150" s="1196">
        <f t="shared" si="68"/>
        <v>240.95125558477469</v>
      </c>
      <c r="E2150" s="2">
        <v>1488.23</v>
      </c>
      <c r="F2150" s="1196">
        <f t="shared" si="69"/>
        <v>211.5104744037975</v>
      </c>
    </row>
    <row r="2151" spans="2:6">
      <c r="B2151" s="189">
        <v>39364</v>
      </c>
      <c r="C2151" s="2">
        <v>30934.31</v>
      </c>
      <c r="D2151" s="1196">
        <f t="shared" si="68"/>
        <v>238.90911056791899</v>
      </c>
      <c r="E2151" s="2">
        <v>1491.33</v>
      </c>
      <c r="F2151" s="1196">
        <f t="shared" si="69"/>
        <v>211.95105312526644</v>
      </c>
    </row>
    <row r="2152" spans="2:6">
      <c r="B2152" s="189">
        <v>39363</v>
      </c>
      <c r="C2152" s="2">
        <v>30788.95</v>
      </c>
      <c r="D2152" s="1196">
        <f t="shared" si="68"/>
        <v>237.78647914953103</v>
      </c>
      <c r="E2152" s="2">
        <v>1488.23</v>
      </c>
      <c r="F2152" s="1196">
        <f t="shared" si="69"/>
        <v>211.5104744037975</v>
      </c>
    </row>
    <row r="2153" spans="2:6">
      <c r="B2153" s="189">
        <v>39360</v>
      </c>
      <c r="C2153" s="2">
        <v>30927.64</v>
      </c>
      <c r="D2153" s="1196">
        <f t="shared" si="68"/>
        <v>238.85759741739164</v>
      </c>
      <c r="E2153" s="2">
        <v>1488.23</v>
      </c>
      <c r="F2153" s="1196">
        <f t="shared" si="69"/>
        <v>211.5104744037975</v>
      </c>
    </row>
    <row r="2154" spans="2:6">
      <c r="B2154" s="189">
        <v>39359</v>
      </c>
      <c r="C2154" s="2">
        <v>30890.37</v>
      </c>
      <c r="D2154" s="1196">
        <f t="shared" si="68"/>
        <v>238.56975706954273</v>
      </c>
      <c r="E2154" s="2">
        <v>1457.23</v>
      </c>
      <c r="F2154" s="1196">
        <f t="shared" si="69"/>
        <v>207.10468718910775</v>
      </c>
    </row>
    <row r="2155" spans="2:6">
      <c r="B2155" s="189">
        <v>39358</v>
      </c>
      <c r="C2155" s="2">
        <v>30730.1</v>
      </c>
      <c r="D2155" s="1196">
        <f t="shared" si="68"/>
        <v>237.33197406579319</v>
      </c>
      <c r="E2155" s="2">
        <v>1429.32</v>
      </c>
      <c r="F2155" s="1196">
        <f t="shared" si="69"/>
        <v>203.1380574742048</v>
      </c>
    </row>
    <row r="2156" spans="2:6">
      <c r="B2156" s="189">
        <v>39357</v>
      </c>
      <c r="C2156" s="2">
        <v>30430.71</v>
      </c>
      <c r="D2156" s="1196">
        <f t="shared" si="68"/>
        <v>235.01975185644278</v>
      </c>
      <c r="E2156" s="2">
        <v>1404.52</v>
      </c>
      <c r="F2156" s="1196">
        <f t="shared" si="69"/>
        <v>199.61342770245304</v>
      </c>
    </row>
    <row r="2157" spans="2:6">
      <c r="B2157" s="189">
        <v>39356</v>
      </c>
      <c r="C2157" s="2">
        <v>30167.52</v>
      </c>
      <c r="D2157" s="1196">
        <f t="shared" si="68"/>
        <v>232.98710626614616</v>
      </c>
      <c r="E2157" s="2">
        <v>1401.42</v>
      </c>
      <c r="F2157" s="1196">
        <f t="shared" si="69"/>
        <v>199.17284898098407</v>
      </c>
    </row>
    <row r="2158" spans="2:6">
      <c r="B2158" s="189">
        <v>39353</v>
      </c>
      <c r="C2158" s="2">
        <v>29959.19</v>
      </c>
      <c r="D2158" s="1196">
        <f t="shared" si="68"/>
        <v>231.37815054660317</v>
      </c>
      <c r="E2158" s="2">
        <v>1395.22</v>
      </c>
      <c r="F2158" s="1196">
        <f t="shared" si="69"/>
        <v>198.29169153804611</v>
      </c>
    </row>
    <row r="2159" spans="2:6">
      <c r="B2159" s="189">
        <v>39352</v>
      </c>
      <c r="C2159" s="2">
        <v>29944.31</v>
      </c>
      <c r="D2159" s="1196">
        <f t="shared" si="68"/>
        <v>231.26323065457228</v>
      </c>
      <c r="E2159" s="2">
        <v>1395.22</v>
      </c>
      <c r="F2159" s="1196">
        <f t="shared" si="69"/>
        <v>198.29169153804611</v>
      </c>
    </row>
    <row r="2160" spans="2:6">
      <c r="B2160" s="189">
        <v>39351</v>
      </c>
      <c r="C2160" s="2">
        <v>29812.38</v>
      </c>
      <c r="D2160" s="1196">
        <f t="shared" si="68"/>
        <v>230.24432061723107</v>
      </c>
      <c r="E2160" s="2">
        <v>1395.22</v>
      </c>
      <c r="F2160" s="1196">
        <f t="shared" si="69"/>
        <v>198.29169153804611</v>
      </c>
    </row>
    <row r="2161" spans="2:6">
      <c r="B2161" s="189">
        <v>39350</v>
      </c>
      <c r="C2161" s="2">
        <v>29776.03</v>
      </c>
      <c r="D2161" s="1196">
        <f t="shared" si="68"/>
        <v>229.96358553152382</v>
      </c>
      <c r="E2161" s="2">
        <v>1395.22</v>
      </c>
      <c r="F2161" s="1196">
        <f t="shared" si="69"/>
        <v>198.29169153804611</v>
      </c>
    </row>
    <row r="2162" spans="2:6">
      <c r="B2162" s="189">
        <v>39346</v>
      </c>
      <c r="C2162" s="2">
        <v>29709.35</v>
      </c>
      <c r="D2162" s="1196">
        <f t="shared" si="68"/>
        <v>229.44860848847131</v>
      </c>
      <c r="E2162" s="2">
        <v>1364.21</v>
      </c>
      <c r="F2162" s="1196">
        <f t="shared" si="69"/>
        <v>193.88448310167422</v>
      </c>
    </row>
    <row r="2163" spans="2:6">
      <c r="B2163" s="189">
        <v>39345</v>
      </c>
      <c r="C2163" s="2">
        <v>29832.3</v>
      </c>
      <c r="D2163" s="1196">
        <f t="shared" si="68"/>
        <v>230.39816498882081</v>
      </c>
      <c r="E2163" s="2">
        <v>1364.21</v>
      </c>
      <c r="F2163" s="1196">
        <f t="shared" si="69"/>
        <v>193.88448310167422</v>
      </c>
    </row>
    <row r="2164" spans="2:6">
      <c r="B2164" s="189">
        <v>39344</v>
      </c>
      <c r="C2164" s="2">
        <v>29808.65</v>
      </c>
      <c r="D2164" s="1196">
        <f t="shared" si="68"/>
        <v>230.21551341311311</v>
      </c>
      <c r="E2164" s="2">
        <v>1241.43</v>
      </c>
      <c r="F2164" s="1196">
        <f t="shared" si="69"/>
        <v>176.43472328813849</v>
      </c>
    </row>
    <row r="2165" spans="2:6">
      <c r="B2165" s="189">
        <v>39343</v>
      </c>
      <c r="C2165" s="2">
        <v>28766.34</v>
      </c>
      <c r="D2165" s="1196">
        <f t="shared" si="68"/>
        <v>222.16563756212278</v>
      </c>
      <c r="E2165" s="2">
        <v>1234.6099999999999</v>
      </c>
      <c r="F2165" s="1196">
        <f t="shared" si="69"/>
        <v>175.46545010090674</v>
      </c>
    </row>
    <row r="2166" spans="2:6">
      <c r="B2166" s="189">
        <v>39342</v>
      </c>
      <c r="C2166" s="2">
        <v>28536.42</v>
      </c>
      <c r="D2166" s="1196">
        <f t="shared" si="68"/>
        <v>220.38993987558069</v>
      </c>
      <c r="E2166" s="2">
        <v>1199.8900000000001</v>
      </c>
      <c r="F2166" s="1196">
        <f t="shared" si="69"/>
        <v>170.53096842045423</v>
      </c>
    </row>
    <row r="2167" spans="2:6">
      <c r="B2167" s="189">
        <v>39339</v>
      </c>
      <c r="C2167" s="2">
        <v>28928.05</v>
      </c>
      <c r="D2167" s="1196">
        <f t="shared" si="68"/>
        <v>223.41454184574633</v>
      </c>
      <c r="E2167" s="2">
        <v>1199.8900000000001</v>
      </c>
      <c r="F2167" s="1196">
        <f t="shared" si="69"/>
        <v>170.53096842045423</v>
      </c>
    </row>
    <row r="2168" spans="2:6">
      <c r="B2168" s="189">
        <v>39338</v>
      </c>
      <c r="C2168" s="2">
        <v>29086.37</v>
      </c>
      <c r="D2168" s="1196">
        <f t="shared" si="68"/>
        <v>224.63726478299989</v>
      </c>
      <c r="E2168" s="2">
        <v>1199.8900000000001</v>
      </c>
      <c r="F2168" s="1196">
        <f t="shared" si="69"/>
        <v>170.53096842045423</v>
      </c>
    </row>
    <row r="2169" spans="2:6">
      <c r="B2169" s="189">
        <v>39337</v>
      </c>
      <c r="C2169" s="2">
        <v>28730.17</v>
      </c>
      <c r="D2169" s="1196">
        <f t="shared" si="68"/>
        <v>221.88629263639982</v>
      </c>
      <c r="E2169" s="2">
        <v>1178.18</v>
      </c>
      <c r="F2169" s="1196">
        <f t="shared" si="69"/>
        <v>167.44549614848924</v>
      </c>
    </row>
    <row r="2170" spans="2:6">
      <c r="B2170" s="189">
        <v>39336</v>
      </c>
      <c r="C2170" s="2">
        <v>28858.14</v>
      </c>
      <c r="D2170" s="1196">
        <f t="shared" si="68"/>
        <v>222.87461915408767</v>
      </c>
      <c r="E2170" s="2">
        <v>1178.18</v>
      </c>
      <c r="F2170" s="1196">
        <f t="shared" si="69"/>
        <v>167.44549614848924</v>
      </c>
    </row>
    <row r="2171" spans="2:6">
      <c r="B2171" s="189">
        <v>39335</v>
      </c>
      <c r="C2171" s="2">
        <v>28240.7</v>
      </c>
      <c r="D2171" s="1196">
        <f t="shared" si="68"/>
        <v>218.10606148368686</v>
      </c>
      <c r="E2171" s="2">
        <v>1199.8900000000001</v>
      </c>
      <c r="F2171" s="1196">
        <f t="shared" si="69"/>
        <v>170.53096842045423</v>
      </c>
    </row>
    <row r="2172" spans="2:6">
      <c r="B2172" s="189">
        <v>39332</v>
      </c>
      <c r="C2172" s="2">
        <v>28311.77</v>
      </c>
      <c r="D2172" s="1196">
        <f t="shared" si="68"/>
        <v>218.65494298413287</v>
      </c>
      <c r="E2172" s="2">
        <v>1199.8900000000001</v>
      </c>
      <c r="F2172" s="1196">
        <f t="shared" si="69"/>
        <v>170.53096842045423</v>
      </c>
    </row>
    <row r="2173" spans="2:6">
      <c r="B2173" s="189">
        <v>39331</v>
      </c>
      <c r="C2173" s="2">
        <v>28850.19</v>
      </c>
      <c r="D2173" s="1196">
        <f t="shared" si="68"/>
        <v>222.81322042145018</v>
      </c>
      <c r="E2173" s="2">
        <v>1199.8900000000001</v>
      </c>
      <c r="F2173" s="1196">
        <f t="shared" si="69"/>
        <v>170.53096842045423</v>
      </c>
    </row>
    <row r="2174" spans="2:6">
      <c r="B2174" s="189">
        <v>39330</v>
      </c>
      <c r="C2174" s="2">
        <v>28696.67</v>
      </c>
      <c r="D2174" s="1196">
        <f t="shared" si="68"/>
        <v>221.62756841710976</v>
      </c>
      <c r="E2174" s="2">
        <v>1178.18</v>
      </c>
      <c r="F2174" s="1196">
        <f t="shared" si="69"/>
        <v>167.44549614848924</v>
      </c>
    </row>
    <row r="2175" spans="2:6">
      <c r="B2175" s="189">
        <v>39329</v>
      </c>
      <c r="C2175" s="2">
        <v>29051.96</v>
      </c>
      <c r="D2175" s="1196">
        <f t="shared" si="68"/>
        <v>224.37151253267839</v>
      </c>
      <c r="E2175" s="2">
        <v>1209.19</v>
      </c>
      <c r="F2175" s="1196">
        <f t="shared" si="69"/>
        <v>171.85270458486116</v>
      </c>
    </row>
    <row r="2176" spans="2:6">
      <c r="B2176" s="189">
        <v>39328</v>
      </c>
      <c r="C2176" s="2">
        <v>28887.48</v>
      </c>
      <c r="D2176" s="1196">
        <f t="shared" si="68"/>
        <v>223.10121523151957</v>
      </c>
      <c r="E2176" s="2">
        <v>1116.17</v>
      </c>
      <c r="F2176" s="1196">
        <f t="shared" si="69"/>
        <v>158.6325004974276</v>
      </c>
    </row>
    <row r="2177" spans="2:6">
      <c r="B2177" s="189">
        <v>39325</v>
      </c>
      <c r="C2177" s="2">
        <v>28660.35</v>
      </c>
      <c r="D2177" s="1196">
        <f t="shared" si="68"/>
        <v>221.34706502473324</v>
      </c>
      <c r="E2177" s="2">
        <v>1116.17</v>
      </c>
      <c r="F2177" s="1196">
        <f t="shared" si="69"/>
        <v>158.6325004974276</v>
      </c>
    </row>
    <row r="2178" spans="2:6">
      <c r="B2178" s="189">
        <v>39324</v>
      </c>
      <c r="C2178" s="2">
        <v>27909.94</v>
      </c>
      <c r="D2178" s="1196">
        <f t="shared" si="68"/>
        <v>215.55156528152671</v>
      </c>
      <c r="E2178" s="2">
        <v>1116.17</v>
      </c>
      <c r="F2178" s="1196">
        <f t="shared" si="69"/>
        <v>158.6325004974276</v>
      </c>
    </row>
    <row r="2179" spans="2:6">
      <c r="B2179" s="189">
        <v>39323</v>
      </c>
      <c r="C2179" s="2">
        <v>27600.959999999999</v>
      </c>
      <c r="D2179" s="1196">
        <f t="shared" si="68"/>
        <v>213.16527843746016</v>
      </c>
      <c r="E2179" s="2">
        <v>1060.3599999999999</v>
      </c>
      <c r="F2179" s="1196">
        <f t="shared" si="69"/>
        <v>150.70066228930386</v>
      </c>
    </row>
    <row r="2180" spans="2:6">
      <c r="B2180" s="189">
        <v>39322</v>
      </c>
      <c r="C2180" s="2">
        <v>27479.54</v>
      </c>
      <c r="D2180" s="1196">
        <f t="shared" si="68"/>
        <v>212.2275382969768</v>
      </c>
      <c r="E2180" s="2">
        <v>1057.8800000000001</v>
      </c>
      <c r="F2180" s="1196">
        <f t="shared" si="69"/>
        <v>150.34819931212871</v>
      </c>
    </row>
    <row r="2181" spans="2:6">
      <c r="B2181" s="189">
        <v>39321</v>
      </c>
      <c r="C2181" s="2">
        <v>27820.58</v>
      </c>
      <c r="D2181" s="1196">
        <f t="shared" si="68"/>
        <v>214.8614280804594</v>
      </c>
      <c r="E2181" s="2">
        <v>1054.1600000000001</v>
      </c>
      <c r="F2181" s="1196">
        <f t="shared" si="69"/>
        <v>149.81950484636596</v>
      </c>
    </row>
    <row r="2182" spans="2:6">
      <c r="B2182" s="189">
        <v>39318</v>
      </c>
      <c r="C2182" s="2">
        <v>27417.93</v>
      </c>
      <c r="D2182" s="1196">
        <f t="shared" si="68"/>
        <v>211.75171742681388</v>
      </c>
      <c r="E2182" s="2">
        <v>1054.1600000000001</v>
      </c>
      <c r="F2182" s="1196">
        <f t="shared" si="69"/>
        <v>149.81950484636596</v>
      </c>
    </row>
    <row r="2183" spans="2:6">
      <c r="B2183" s="189">
        <v>39317</v>
      </c>
      <c r="C2183" s="2">
        <v>27468.07</v>
      </c>
      <c r="D2183" s="1196">
        <f t="shared" si="68"/>
        <v>212.13895421353629</v>
      </c>
      <c r="E2183" s="2">
        <v>1054.1600000000001</v>
      </c>
      <c r="F2183" s="1196">
        <f t="shared" si="69"/>
        <v>149.81950484636596</v>
      </c>
    </row>
    <row r="2184" spans="2:6">
      <c r="B2184" s="189">
        <v>39316</v>
      </c>
      <c r="C2184" s="2">
        <v>27241.119999999999</v>
      </c>
      <c r="D2184" s="1196">
        <f t="shared" si="68"/>
        <v>210.38619416673424</v>
      </c>
      <c r="E2184" s="2">
        <v>1054.1600000000001</v>
      </c>
      <c r="F2184" s="1196">
        <f t="shared" si="69"/>
        <v>149.81950484636596</v>
      </c>
    </row>
    <row r="2185" spans="2:6">
      <c r="B2185" s="189">
        <v>39315</v>
      </c>
      <c r="C2185" s="2">
        <v>26538.95</v>
      </c>
      <c r="D2185" s="1196">
        <f t="shared" si="68"/>
        <v>204.96325729930533</v>
      </c>
      <c r="E2185" s="2">
        <v>1054.1600000000001</v>
      </c>
      <c r="F2185" s="1196">
        <f t="shared" si="69"/>
        <v>149.81950484636596</v>
      </c>
    </row>
    <row r="2186" spans="2:6">
      <c r="B2186" s="189">
        <v>39314</v>
      </c>
      <c r="C2186" s="2">
        <v>26640.18</v>
      </c>
      <c r="D2186" s="1196">
        <f t="shared" si="68"/>
        <v>205.74506782822257</v>
      </c>
      <c r="E2186" s="2">
        <v>1054.1600000000001</v>
      </c>
      <c r="F2186" s="1196">
        <f t="shared" si="69"/>
        <v>149.81950484636596</v>
      </c>
    </row>
    <row r="2187" spans="2:6">
      <c r="B2187" s="189">
        <v>39311</v>
      </c>
      <c r="C2187" s="2">
        <v>25984.85</v>
      </c>
      <c r="D2187" s="1196">
        <f t="shared" si="68"/>
        <v>200.6838814811382</v>
      </c>
      <c r="E2187" s="2">
        <v>1057.8800000000001</v>
      </c>
      <c r="F2187" s="1196">
        <f t="shared" si="69"/>
        <v>150.34819931212871</v>
      </c>
    </row>
    <row r="2188" spans="2:6">
      <c r="B2188" s="189">
        <v>39310</v>
      </c>
      <c r="C2188" s="2">
        <v>25991.8</v>
      </c>
      <c r="D2188" s="1196">
        <f t="shared" ref="D2188:D2251" si="70">C2188/$C$2759*100</f>
        <v>200.73755710275213</v>
      </c>
      <c r="E2188" s="2">
        <v>1057.8800000000001</v>
      </c>
      <c r="F2188" s="1196">
        <f t="shared" ref="F2188:F2251" si="71">E2188/$E$2759*100</f>
        <v>150.34819931212871</v>
      </c>
    </row>
    <row r="2189" spans="2:6">
      <c r="B2189" s="189">
        <v>39309</v>
      </c>
      <c r="C2189" s="2">
        <v>27091.13</v>
      </c>
      <c r="D2189" s="1196">
        <f t="shared" si="70"/>
        <v>209.22780474430712</v>
      </c>
      <c r="E2189" s="2">
        <v>1063.47</v>
      </c>
      <c r="F2189" s="1196">
        <f t="shared" si="71"/>
        <v>151.14266223245502</v>
      </c>
    </row>
    <row r="2190" spans="2:6">
      <c r="B2190" s="189">
        <v>39308</v>
      </c>
      <c r="C2190" s="2">
        <v>27369.72</v>
      </c>
      <c r="D2190" s="1196">
        <f t="shared" si="70"/>
        <v>211.37938624436697</v>
      </c>
      <c r="E2190" s="2">
        <v>1063.47</v>
      </c>
      <c r="F2190" s="1196">
        <f t="shared" si="71"/>
        <v>151.14266223245502</v>
      </c>
    </row>
    <row r="2191" spans="2:6">
      <c r="B2191" s="189">
        <v>39307</v>
      </c>
      <c r="C2191" s="2">
        <v>27752.71</v>
      </c>
      <c r="D2191" s="1196">
        <f t="shared" si="70"/>
        <v>214.33726053528881</v>
      </c>
      <c r="E2191" s="2">
        <v>1054.1600000000001</v>
      </c>
      <c r="F2191" s="1196">
        <f t="shared" si="71"/>
        <v>149.81950484636596</v>
      </c>
    </row>
    <row r="2192" spans="2:6">
      <c r="B2192" s="189">
        <v>39304</v>
      </c>
      <c r="C2192" s="2">
        <v>27076.3</v>
      </c>
      <c r="D2192" s="1196">
        <f t="shared" si="70"/>
        <v>209.11327100782739</v>
      </c>
      <c r="E2192" s="2">
        <v>1063.47</v>
      </c>
      <c r="F2192" s="1196">
        <f t="shared" si="71"/>
        <v>151.14266223245502</v>
      </c>
    </row>
    <row r="2193" spans="2:6">
      <c r="B2193" s="189">
        <v>39302</v>
      </c>
      <c r="C2193" s="2">
        <v>28208.95</v>
      </c>
      <c r="D2193" s="1196">
        <f t="shared" si="70"/>
        <v>217.86085270868813</v>
      </c>
      <c r="E2193" s="2">
        <v>1054.1600000000001</v>
      </c>
      <c r="F2193" s="1196">
        <f t="shared" si="71"/>
        <v>149.81950484636596</v>
      </c>
    </row>
    <row r="2194" spans="2:6">
      <c r="B2194" s="189">
        <v>39301</v>
      </c>
      <c r="C2194" s="2">
        <v>27312.07</v>
      </c>
      <c r="D2194" s="1196">
        <f t="shared" si="70"/>
        <v>210.93414889385741</v>
      </c>
      <c r="E2194" s="2">
        <v>1054.1600000000001</v>
      </c>
      <c r="F2194" s="1196">
        <f t="shared" si="71"/>
        <v>149.81950484636596</v>
      </c>
    </row>
    <row r="2195" spans="2:6">
      <c r="B2195" s="189">
        <v>39300</v>
      </c>
      <c r="C2195" s="2">
        <v>26904.48</v>
      </c>
      <c r="D2195" s="1196">
        <f t="shared" si="70"/>
        <v>207.78628607175543</v>
      </c>
      <c r="E2195" s="2">
        <v>1116.17</v>
      </c>
      <c r="F2195" s="1196">
        <f t="shared" si="71"/>
        <v>158.6325004974276</v>
      </c>
    </row>
    <row r="2196" spans="2:6">
      <c r="B2196" s="189">
        <v>39297</v>
      </c>
      <c r="C2196" s="2">
        <v>27582.01</v>
      </c>
      <c r="D2196" s="1196">
        <f t="shared" si="70"/>
        <v>213.01892548356327</v>
      </c>
      <c r="E2196" s="2">
        <v>1153.3800000000001</v>
      </c>
      <c r="F2196" s="1196">
        <f t="shared" si="71"/>
        <v>163.92086637673745</v>
      </c>
    </row>
    <row r="2197" spans="2:6">
      <c r="B2197" s="189">
        <v>39296</v>
      </c>
      <c r="C2197" s="2">
        <v>27859.23</v>
      </c>
      <c r="D2197" s="1196">
        <f t="shared" si="70"/>
        <v>215.15992632152083</v>
      </c>
      <c r="E2197" s="2">
        <v>1119.27</v>
      </c>
      <c r="F2197" s="1196">
        <f t="shared" si="71"/>
        <v>159.07307921889654</v>
      </c>
    </row>
    <row r="2198" spans="2:6">
      <c r="B2198" s="189">
        <v>39295</v>
      </c>
      <c r="C2198" s="2">
        <v>27820.11</v>
      </c>
      <c r="D2198" s="1196">
        <f t="shared" si="70"/>
        <v>214.8577982182783</v>
      </c>
      <c r="E2198" s="2">
        <v>1178.18</v>
      </c>
      <c r="F2198" s="1196">
        <f t="shared" si="71"/>
        <v>167.44549614848924</v>
      </c>
    </row>
    <row r="2199" spans="2:6">
      <c r="B2199" s="189">
        <v>39294</v>
      </c>
      <c r="C2199" s="2">
        <v>28561.81</v>
      </c>
      <c r="D2199" s="1196">
        <f t="shared" si="70"/>
        <v>220.58602966446946</v>
      </c>
      <c r="E2199" s="2">
        <v>1178.18</v>
      </c>
      <c r="F2199" s="1196">
        <f t="shared" si="71"/>
        <v>167.44549614848924</v>
      </c>
    </row>
    <row r="2200" spans="2:6">
      <c r="B2200" s="189">
        <v>39293</v>
      </c>
      <c r="C2200" s="2">
        <v>28156.23</v>
      </c>
      <c r="D2200" s="1196">
        <f t="shared" si="70"/>
        <v>217.45369029552486</v>
      </c>
      <c r="E2200" s="2">
        <v>1209.19</v>
      </c>
      <c r="F2200" s="1196">
        <f t="shared" si="71"/>
        <v>171.85270458486116</v>
      </c>
    </row>
    <row r="2201" spans="2:6">
      <c r="B2201" s="189">
        <v>39290</v>
      </c>
      <c r="C2201" s="2">
        <v>27714.45</v>
      </c>
      <c r="D2201" s="1196">
        <f t="shared" si="70"/>
        <v>214.04177430752657</v>
      </c>
      <c r="E2201" s="2">
        <v>1209.19</v>
      </c>
      <c r="F2201" s="1196">
        <f t="shared" si="71"/>
        <v>171.85270458486116</v>
      </c>
    </row>
    <row r="2202" spans="2:6">
      <c r="B2202" s="189">
        <v>39289</v>
      </c>
      <c r="C2202" s="2">
        <v>28585.84</v>
      </c>
      <c r="D2202" s="1196">
        <f t="shared" si="70"/>
        <v>220.77161602236615</v>
      </c>
      <c r="E2202" s="2">
        <v>1227.79</v>
      </c>
      <c r="F2202" s="1196">
        <f t="shared" si="71"/>
        <v>174.49617691367499</v>
      </c>
    </row>
    <row r="2203" spans="2:6">
      <c r="B2203" s="189">
        <v>39288</v>
      </c>
      <c r="C2203" s="2">
        <v>29105.27</v>
      </c>
      <c r="D2203" s="1196">
        <f t="shared" si="70"/>
        <v>224.7832315813456</v>
      </c>
      <c r="E2203" s="2">
        <v>1227.79</v>
      </c>
      <c r="F2203" s="1196">
        <f t="shared" si="71"/>
        <v>174.49617691367499</v>
      </c>
    </row>
    <row r="2204" spans="2:6">
      <c r="B2204" s="189">
        <v>39287</v>
      </c>
      <c r="C2204" s="2">
        <v>29590.81</v>
      </c>
      <c r="D2204" s="1196">
        <f t="shared" si="70"/>
        <v>228.5331109077359</v>
      </c>
      <c r="E2204" s="2">
        <v>1219.73</v>
      </c>
      <c r="F2204" s="1196">
        <f t="shared" si="71"/>
        <v>173.35067223785566</v>
      </c>
    </row>
    <row r="2205" spans="2:6">
      <c r="B2205" s="189">
        <v>39286</v>
      </c>
      <c r="C2205" s="2">
        <v>29885.27</v>
      </c>
      <c r="D2205" s="1196">
        <f t="shared" si="70"/>
        <v>230.80725817973996</v>
      </c>
      <c r="E2205" s="2">
        <v>1227.79</v>
      </c>
      <c r="F2205" s="1196">
        <f t="shared" si="71"/>
        <v>174.49617691367499</v>
      </c>
    </row>
    <row r="2206" spans="2:6">
      <c r="B2206" s="189">
        <v>39283</v>
      </c>
      <c r="C2206" s="2">
        <v>29692.04</v>
      </c>
      <c r="D2206" s="1196">
        <f t="shared" si="70"/>
        <v>229.31492143665312</v>
      </c>
      <c r="E2206" s="2">
        <v>1227.79</v>
      </c>
      <c r="F2206" s="1196">
        <f t="shared" si="71"/>
        <v>174.49617691367499</v>
      </c>
    </row>
    <row r="2207" spans="2:6">
      <c r="B2207" s="189">
        <v>39282</v>
      </c>
      <c r="C2207" s="2">
        <v>29621.279999999999</v>
      </c>
      <c r="D2207" s="1196">
        <f t="shared" si="70"/>
        <v>228.7684341006244</v>
      </c>
      <c r="E2207" s="2">
        <v>1227.79</v>
      </c>
      <c r="F2207" s="1196">
        <f t="shared" si="71"/>
        <v>174.49617691367499</v>
      </c>
    </row>
    <row r="2208" spans="2:6">
      <c r="B2208" s="189">
        <v>39281</v>
      </c>
      <c r="C2208" s="2">
        <v>29422.66</v>
      </c>
      <c r="D2208" s="1196">
        <f t="shared" si="70"/>
        <v>227.23446978912048</v>
      </c>
      <c r="E2208" s="2">
        <v>1221.5899999999999</v>
      </c>
      <c r="F2208" s="1196">
        <f t="shared" si="71"/>
        <v>173.61501947073702</v>
      </c>
    </row>
    <row r="2209" spans="2:6">
      <c r="B2209" s="189">
        <v>39280</v>
      </c>
      <c r="C2209" s="2">
        <v>29606.22</v>
      </c>
      <c r="D2209" s="1196">
        <f t="shared" si="70"/>
        <v>228.65212404860929</v>
      </c>
      <c r="E2209" s="2">
        <v>1221.5899999999999</v>
      </c>
      <c r="F2209" s="1196">
        <f t="shared" si="71"/>
        <v>173.61501947073702</v>
      </c>
    </row>
    <row r="2210" spans="2:6">
      <c r="B2210" s="189">
        <v>39279</v>
      </c>
      <c r="C2210" s="2">
        <v>29868.22</v>
      </c>
      <c r="D2210" s="1196">
        <f t="shared" si="70"/>
        <v>230.67557913678792</v>
      </c>
      <c r="E2210" s="2">
        <v>1221.5899999999999</v>
      </c>
      <c r="F2210" s="1196">
        <f t="shared" si="71"/>
        <v>173.61501947073702</v>
      </c>
    </row>
    <row r="2211" spans="2:6">
      <c r="B2211" s="189">
        <v>39276</v>
      </c>
      <c r="C2211" s="2">
        <v>29961.73</v>
      </c>
      <c r="D2211" s="1196">
        <f t="shared" si="70"/>
        <v>231.39776724860309</v>
      </c>
      <c r="E2211" s="2">
        <v>1221.5899999999999</v>
      </c>
      <c r="F2211" s="1196">
        <f t="shared" si="71"/>
        <v>173.61501947073702</v>
      </c>
    </row>
    <row r="2212" spans="2:6">
      <c r="B2212" s="189">
        <v>39275</v>
      </c>
      <c r="C2212" s="2">
        <v>29791.27</v>
      </c>
      <c r="D2212" s="1196">
        <f t="shared" si="70"/>
        <v>230.08128574352321</v>
      </c>
      <c r="E2212" s="2">
        <v>1221.5899999999999</v>
      </c>
      <c r="F2212" s="1196">
        <f t="shared" si="71"/>
        <v>173.61501947073702</v>
      </c>
    </row>
    <row r="2213" spans="2:6">
      <c r="B2213" s="189">
        <v>39274</v>
      </c>
      <c r="C2213" s="2">
        <v>29643.360000000001</v>
      </c>
      <c r="D2213" s="1196">
        <f t="shared" si="70"/>
        <v>228.93896039202514</v>
      </c>
      <c r="E2213" s="2">
        <v>1221.5899999999999</v>
      </c>
      <c r="F2213" s="1196">
        <f t="shared" si="71"/>
        <v>173.61501947073702</v>
      </c>
    </row>
    <row r="2214" spans="2:6">
      <c r="B2214" s="189">
        <v>39273</v>
      </c>
      <c r="C2214" s="2">
        <v>29450.59</v>
      </c>
      <c r="D2214" s="1196">
        <f t="shared" si="70"/>
        <v>227.45017628000915</v>
      </c>
      <c r="E2214" s="2">
        <v>1240.19</v>
      </c>
      <c r="F2214" s="1196">
        <f t="shared" si="71"/>
        <v>176.25849179955091</v>
      </c>
    </row>
    <row r="2215" spans="2:6">
      <c r="B2215" s="189">
        <v>39272</v>
      </c>
      <c r="C2215" s="2">
        <v>29714.16</v>
      </c>
      <c r="D2215" s="1196">
        <f t="shared" si="70"/>
        <v>229.48575665249479</v>
      </c>
      <c r="E2215" s="2">
        <v>1209.19</v>
      </c>
      <c r="F2215" s="1196">
        <f t="shared" si="71"/>
        <v>171.85270458486116</v>
      </c>
    </row>
    <row r="2216" spans="2:6">
      <c r="B2216" s="189">
        <v>39269</v>
      </c>
      <c r="C2216" s="2">
        <v>29218.33</v>
      </c>
      <c r="D2216" s="1196">
        <f t="shared" si="70"/>
        <v>225.65640651367187</v>
      </c>
      <c r="E2216" s="2">
        <v>1240.19</v>
      </c>
      <c r="F2216" s="1196">
        <f t="shared" si="71"/>
        <v>176.25849179955091</v>
      </c>
    </row>
    <row r="2217" spans="2:6">
      <c r="B2217" s="189">
        <v>39268</v>
      </c>
      <c r="C2217" s="2">
        <v>28896.36</v>
      </c>
      <c r="D2217" s="1196">
        <f t="shared" si="70"/>
        <v>223.16979645740901</v>
      </c>
      <c r="E2217" s="2">
        <v>1240.19</v>
      </c>
      <c r="F2217" s="1196">
        <f t="shared" si="71"/>
        <v>176.25849179955091</v>
      </c>
    </row>
    <row r="2218" spans="2:6">
      <c r="B2218" s="189">
        <v>39267</v>
      </c>
      <c r="C2218" s="2">
        <v>28844.31</v>
      </c>
      <c r="D2218" s="1196">
        <f t="shared" si="70"/>
        <v>222.76780852863155</v>
      </c>
      <c r="E2218" s="2">
        <v>1178.18</v>
      </c>
      <c r="F2218" s="1196">
        <f t="shared" si="71"/>
        <v>167.44549614848924</v>
      </c>
    </row>
    <row r="2219" spans="2:6">
      <c r="B2219" s="189">
        <v>39266</v>
      </c>
      <c r="C2219" s="2">
        <v>28755.03</v>
      </c>
      <c r="D2219" s="1196">
        <f t="shared" si="70"/>
        <v>222.07828917644608</v>
      </c>
      <c r="E2219" s="2">
        <v>1178.18</v>
      </c>
      <c r="F2219" s="1196">
        <f t="shared" si="71"/>
        <v>167.44549614848924</v>
      </c>
    </row>
    <row r="2220" spans="2:6">
      <c r="B2220" s="189">
        <v>39265</v>
      </c>
      <c r="C2220" s="2">
        <v>28703.13</v>
      </c>
      <c r="D2220" s="1196">
        <f t="shared" si="70"/>
        <v>221.67745971432217</v>
      </c>
      <c r="E2220" s="2">
        <v>1178.18</v>
      </c>
      <c r="F2220" s="1196">
        <f t="shared" si="71"/>
        <v>167.44549614848924</v>
      </c>
    </row>
    <row r="2221" spans="2:6">
      <c r="B2221" s="189">
        <v>39262</v>
      </c>
      <c r="C2221" s="2">
        <v>28337.22</v>
      </c>
      <c r="D2221" s="1196">
        <f t="shared" si="70"/>
        <v>218.85149615968308</v>
      </c>
      <c r="E2221" s="2">
        <v>1215.3900000000001</v>
      </c>
      <c r="F2221" s="1196">
        <f t="shared" si="71"/>
        <v>172.73386202779909</v>
      </c>
    </row>
    <row r="2222" spans="2:6">
      <c r="B2222" s="189">
        <v>39261</v>
      </c>
      <c r="C2222" s="2">
        <v>28402.79</v>
      </c>
      <c r="D2222" s="1196">
        <f t="shared" si="70"/>
        <v>219.35790054949936</v>
      </c>
      <c r="E2222" s="2">
        <v>1181.28</v>
      </c>
      <c r="F2222" s="1196">
        <f t="shared" si="71"/>
        <v>167.88607486995821</v>
      </c>
    </row>
    <row r="2223" spans="2:6">
      <c r="B2223" s="189">
        <v>39260</v>
      </c>
      <c r="C2223" s="2">
        <v>28285.1</v>
      </c>
      <c r="D2223" s="1196">
        <f t="shared" si="70"/>
        <v>218.4489676131339</v>
      </c>
      <c r="E2223" s="2">
        <v>1178.18</v>
      </c>
      <c r="F2223" s="1196">
        <f t="shared" si="71"/>
        <v>167.44549614848924</v>
      </c>
    </row>
    <row r="2224" spans="2:6">
      <c r="B2224" s="189">
        <v>39259</v>
      </c>
      <c r="C2224" s="2">
        <v>28746.43</v>
      </c>
      <c r="D2224" s="1196">
        <f t="shared" si="70"/>
        <v>222.01187042164327</v>
      </c>
      <c r="E2224" s="2">
        <v>1162.68</v>
      </c>
      <c r="F2224" s="1196">
        <f t="shared" si="71"/>
        <v>165.24260254114438</v>
      </c>
    </row>
    <row r="2225" spans="2:6">
      <c r="B2225" s="189">
        <v>39258</v>
      </c>
      <c r="C2225" s="2">
        <v>28914.44</v>
      </c>
      <c r="D2225" s="1196">
        <f t="shared" si="70"/>
        <v>223.30943030471536</v>
      </c>
      <c r="E2225" s="2">
        <v>1135.4000000000001</v>
      </c>
      <c r="F2225" s="1196">
        <f t="shared" si="71"/>
        <v>161.36550979221741</v>
      </c>
    </row>
    <row r="2226" spans="2:6">
      <c r="B2226" s="189">
        <v>39255</v>
      </c>
      <c r="C2226" s="2">
        <v>29094.32</v>
      </c>
      <c r="D2226" s="1196">
        <f t="shared" si="70"/>
        <v>224.69866351563738</v>
      </c>
      <c r="E2226" s="2">
        <v>1135.4000000000001</v>
      </c>
      <c r="F2226" s="1196">
        <f t="shared" si="71"/>
        <v>161.36550979221741</v>
      </c>
    </row>
    <row r="2227" spans="2:6">
      <c r="B2227" s="189">
        <v>39254</v>
      </c>
      <c r="C2227" s="2">
        <v>29309.7</v>
      </c>
      <c r="D2227" s="1196">
        <f t="shared" si="70"/>
        <v>226.36206716789658</v>
      </c>
      <c r="E2227" s="2">
        <v>1135.4000000000001</v>
      </c>
      <c r="F2227" s="1196">
        <f t="shared" si="71"/>
        <v>161.36550979221741</v>
      </c>
    </row>
    <row r="2228" spans="2:6">
      <c r="B2228" s="189">
        <v>39253</v>
      </c>
      <c r="C2228" s="2">
        <v>29510.35</v>
      </c>
      <c r="D2228" s="1196">
        <f t="shared" si="70"/>
        <v>227.9117093947784</v>
      </c>
      <c r="E2228" s="2">
        <v>1145.83</v>
      </c>
      <c r="F2228" s="1196">
        <f t="shared" si="71"/>
        <v>162.84784400670816</v>
      </c>
    </row>
    <row r="2229" spans="2:6">
      <c r="B2229" s="189">
        <v>39252</v>
      </c>
      <c r="C2229" s="2">
        <v>29243.19</v>
      </c>
      <c r="D2229" s="1196">
        <f t="shared" si="70"/>
        <v>225.8484030537181</v>
      </c>
      <c r="E2229" s="2">
        <v>1150.74</v>
      </c>
      <c r="F2229" s="1196">
        <f t="shared" si="71"/>
        <v>163.54566385264772</v>
      </c>
    </row>
    <row r="2230" spans="2:6">
      <c r="B2230" s="189">
        <v>39251</v>
      </c>
      <c r="C2230" s="2">
        <v>29318.59</v>
      </c>
      <c r="D2230" s="1196">
        <f t="shared" si="70"/>
        <v>226.43072562489621</v>
      </c>
      <c r="E2230" s="2">
        <v>1138.47</v>
      </c>
      <c r="F2230" s="1196">
        <f t="shared" si="71"/>
        <v>161.80182484863991</v>
      </c>
    </row>
    <row r="2231" spans="2:6">
      <c r="B2231" s="189">
        <v>39248</v>
      </c>
      <c r="C2231" s="2">
        <v>29313.78</v>
      </c>
      <c r="D2231" s="1196">
        <f t="shared" si="70"/>
        <v>226.39357746087279</v>
      </c>
      <c r="E2231" s="2">
        <v>1166.08</v>
      </c>
      <c r="F2231" s="1196">
        <f t="shared" si="71"/>
        <v>165.72581791307809</v>
      </c>
    </row>
    <row r="2232" spans="2:6">
      <c r="B2232" s="189">
        <v>39247</v>
      </c>
      <c r="C2232" s="2">
        <v>28988</v>
      </c>
      <c r="D2232" s="1196">
        <f t="shared" si="70"/>
        <v>223.87754235161009</v>
      </c>
      <c r="E2232" s="2">
        <v>1166.08</v>
      </c>
      <c r="F2232" s="1196">
        <f t="shared" si="71"/>
        <v>165.72581791307809</v>
      </c>
    </row>
    <row r="2233" spans="2:6">
      <c r="B2233" s="189">
        <v>39246</v>
      </c>
      <c r="C2233" s="2">
        <v>28602.95</v>
      </c>
      <c r="D2233" s="1196">
        <f t="shared" si="70"/>
        <v>220.90375845197966</v>
      </c>
      <c r="E2233" s="2">
        <v>1196.77</v>
      </c>
      <c r="F2233" s="1196">
        <f t="shared" si="71"/>
        <v>170.0875472556209</v>
      </c>
    </row>
    <row r="2234" spans="2:6">
      <c r="B2234" s="189">
        <v>39245</v>
      </c>
      <c r="C2234" s="2">
        <v>28299.33</v>
      </c>
      <c r="D2234" s="1196">
        <f t="shared" si="70"/>
        <v>218.55886748299952</v>
      </c>
      <c r="E2234" s="2">
        <v>1227.46</v>
      </c>
      <c r="F2234" s="1196">
        <f t="shared" si="71"/>
        <v>174.44927659816378</v>
      </c>
    </row>
    <row r="2235" spans="2:6">
      <c r="B2235" s="189">
        <v>39244</v>
      </c>
      <c r="C2235" s="2">
        <v>28545.57</v>
      </c>
      <c r="D2235" s="1196">
        <f t="shared" si="70"/>
        <v>220.46060634144649</v>
      </c>
      <c r="E2235" s="2">
        <v>1227.46</v>
      </c>
      <c r="F2235" s="1196">
        <f t="shared" si="71"/>
        <v>174.44927659816378</v>
      </c>
    </row>
    <row r="2236" spans="2:6">
      <c r="B2236" s="189">
        <v>39241</v>
      </c>
      <c r="C2236" s="2">
        <v>28169.23</v>
      </c>
      <c r="D2236" s="1196">
        <f t="shared" si="70"/>
        <v>217.55409073883141</v>
      </c>
      <c r="E2236" s="2">
        <v>1288.83</v>
      </c>
      <c r="F2236" s="1196">
        <f t="shared" si="71"/>
        <v>183.1713140615673</v>
      </c>
    </row>
    <row r="2237" spans="2:6">
      <c r="B2237" s="189">
        <v>39240</v>
      </c>
      <c r="C2237" s="2">
        <v>28554.32</v>
      </c>
      <c r="D2237" s="1196">
        <f t="shared" si="70"/>
        <v>220.5281835629028</v>
      </c>
      <c r="E2237" s="2">
        <v>1288.83</v>
      </c>
      <c r="F2237" s="1196">
        <f t="shared" si="71"/>
        <v>183.1713140615673</v>
      </c>
    </row>
    <row r="2238" spans="2:6">
      <c r="B2238" s="189">
        <v>39239</v>
      </c>
      <c r="C2238" s="2">
        <v>28538.84</v>
      </c>
      <c r="D2238" s="1196">
        <f t="shared" si="70"/>
        <v>220.40862980425774</v>
      </c>
      <c r="E2238" s="2">
        <v>1316.45</v>
      </c>
      <c r="F2238" s="1196">
        <f t="shared" si="71"/>
        <v>187.09672834768767</v>
      </c>
    </row>
    <row r="2239" spans="2:6">
      <c r="B2239" s="189">
        <v>39238</v>
      </c>
      <c r="C2239" s="2">
        <v>28865.9</v>
      </c>
      <c r="D2239" s="1196">
        <f t="shared" si="70"/>
        <v>222.93455049563065</v>
      </c>
      <c r="E2239" s="2">
        <v>1318.29</v>
      </c>
      <c r="F2239" s="1196">
        <f t="shared" si="71"/>
        <v>187.35823313720473</v>
      </c>
    </row>
    <row r="2240" spans="2:6">
      <c r="B2240" s="189">
        <v>39237</v>
      </c>
      <c r="C2240" s="2">
        <v>28837.52</v>
      </c>
      <c r="D2240" s="1196">
        <f t="shared" si="70"/>
        <v>222.71536860478142</v>
      </c>
      <c r="E2240" s="2">
        <v>1319.51</v>
      </c>
      <c r="F2240" s="1196">
        <f t="shared" si="71"/>
        <v>187.53162218242801</v>
      </c>
    </row>
    <row r="2241" spans="2:6">
      <c r="B2241" s="189">
        <v>39234</v>
      </c>
      <c r="C2241" s="2">
        <v>28942.78</v>
      </c>
      <c r="D2241" s="1196">
        <f t="shared" si="70"/>
        <v>223.52830327112366</v>
      </c>
      <c r="E2241" s="2">
        <v>1331.79</v>
      </c>
      <c r="F2241" s="1196">
        <f t="shared" si="71"/>
        <v>189.27688240811801</v>
      </c>
    </row>
    <row r="2242" spans="2:6">
      <c r="B2242" s="189">
        <v>39233</v>
      </c>
      <c r="C2242" s="2">
        <v>28627.79</v>
      </c>
      <c r="D2242" s="1196">
        <f t="shared" si="70"/>
        <v>221.09560052980544</v>
      </c>
      <c r="E2242" s="2">
        <v>1349.59</v>
      </c>
      <c r="F2242" s="1196">
        <f t="shared" si="71"/>
        <v>191.8066570023592</v>
      </c>
    </row>
    <row r="2243" spans="2:6">
      <c r="B2243" s="189">
        <v>39232</v>
      </c>
      <c r="C2243" s="2">
        <v>28439.4</v>
      </c>
      <c r="D2243" s="1196">
        <f t="shared" si="70"/>
        <v>219.64064364407272</v>
      </c>
      <c r="E2243" s="2">
        <v>1350.2</v>
      </c>
      <c r="F2243" s="1196">
        <f t="shared" si="71"/>
        <v>191.89335152497085</v>
      </c>
    </row>
    <row r="2244" spans="2:6">
      <c r="B2244" s="189">
        <v>39231</v>
      </c>
      <c r="C2244" s="2">
        <v>28665.96</v>
      </c>
      <c r="D2244" s="1196">
        <f t="shared" si="70"/>
        <v>221.39039167757554</v>
      </c>
      <c r="E2244" s="2">
        <v>1350.2</v>
      </c>
      <c r="F2244" s="1196">
        <f t="shared" si="71"/>
        <v>191.89335152497085</v>
      </c>
    </row>
    <row r="2245" spans="2:6">
      <c r="B2245" s="189">
        <v>39230</v>
      </c>
      <c r="C2245" s="2">
        <v>28637.22</v>
      </c>
      <c r="D2245" s="1196">
        <f t="shared" si="70"/>
        <v>221.16842946675783</v>
      </c>
      <c r="E2245" s="2">
        <v>1362.48</v>
      </c>
      <c r="F2245" s="1196">
        <f t="shared" si="71"/>
        <v>193.63861175066086</v>
      </c>
    </row>
    <row r="2246" spans="2:6">
      <c r="B2246" s="189">
        <v>39227</v>
      </c>
      <c r="C2246" s="2">
        <v>28533.03</v>
      </c>
      <c r="D2246" s="1196">
        <f t="shared" si="70"/>
        <v>220.36375852921074</v>
      </c>
      <c r="E2246" s="2">
        <v>1334.86</v>
      </c>
      <c r="F2246" s="1196">
        <f t="shared" si="71"/>
        <v>189.71319746454049</v>
      </c>
    </row>
    <row r="2247" spans="2:6">
      <c r="B2247" s="189">
        <v>39226</v>
      </c>
      <c r="C2247" s="2">
        <v>28812.94</v>
      </c>
      <c r="D2247" s="1196">
        <f t="shared" si="70"/>
        <v>222.52553453582175</v>
      </c>
      <c r="E2247" s="2">
        <v>1334.86</v>
      </c>
      <c r="F2247" s="1196">
        <f t="shared" si="71"/>
        <v>189.71319746454049</v>
      </c>
    </row>
    <row r="2248" spans="2:6">
      <c r="B2248" s="189">
        <v>39225</v>
      </c>
      <c r="C2248" s="2">
        <v>29087.49</v>
      </c>
      <c r="D2248" s="1196">
        <f t="shared" si="70"/>
        <v>224.64591466734635</v>
      </c>
      <c r="E2248" s="2">
        <v>1319.51</v>
      </c>
      <c r="F2248" s="1196">
        <f t="shared" si="71"/>
        <v>187.53162218242801</v>
      </c>
    </row>
    <row r="2249" spans="2:6">
      <c r="B2249" s="189">
        <v>39224</v>
      </c>
      <c r="C2249" s="2">
        <v>28629.38</v>
      </c>
      <c r="D2249" s="1196">
        <f t="shared" si="70"/>
        <v>221.10788027633293</v>
      </c>
      <c r="E2249" s="2">
        <v>1258.1400000000001</v>
      </c>
      <c r="F2249" s="1196">
        <f t="shared" si="71"/>
        <v>178.80958471902449</v>
      </c>
    </row>
    <row r="2250" spans="2:6">
      <c r="B2250" s="189">
        <v>39223</v>
      </c>
      <c r="C2250" s="2">
        <v>28642.400000000001</v>
      </c>
      <c r="D2250" s="1196">
        <f t="shared" si="70"/>
        <v>221.20843518185995</v>
      </c>
      <c r="E2250" s="2">
        <v>1227.46</v>
      </c>
      <c r="F2250" s="1196">
        <f t="shared" si="71"/>
        <v>174.44927659816378</v>
      </c>
    </row>
    <row r="2251" spans="2:6">
      <c r="B2251" s="189">
        <v>39220</v>
      </c>
      <c r="C2251" s="2">
        <v>28331.45</v>
      </c>
      <c r="D2251" s="1196">
        <f t="shared" si="70"/>
        <v>218.80693380907695</v>
      </c>
      <c r="E2251" s="2">
        <v>1227.46</v>
      </c>
      <c r="F2251" s="1196">
        <f t="shared" si="71"/>
        <v>174.44927659816378</v>
      </c>
    </row>
    <row r="2252" spans="2:6">
      <c r="B2252" s="189">
        <v>39219</v>
      </c>
      <c r="C2252" s="2">
        <v>27884.36</v>
      </c>
      <c r="D2252" s="1196">
        <f t="shared" ref="D2252:D2315" si="72">C2252/$C$2759*100</f>
        <v>215.35400810154349</v>
      </c>
      <c r="E2252" s="2">
        <v>1227.46</v>
      </c>
      <c r="F2252" s="1196">
        <f t="shared" ref="F2252:F2315" si="73">E2252/$E$2759*100</f>
        <v>174.44927659816378</v>
      </c>
    </row>
    <row r="2253" spans="2:6">
      <c r="B2253" s="189">
        <v>39218</v>
      </c>
      <c r="C2253" s="2">
        <v>28046.799999999999</v>
      </c>
      <c r="D2253" s="1196">
        <f t="shared" si="72"/>
        <v>216.60855025621419</v>
      </c>
      <c r="E2253" s="2">
        <v>1189.4000000000001</v>
      </c>
      <c r="F2253" s="1196">
        <f t="shared" si="73"/>
        <v>169.04010687587049</v>
      </c>
    </row>
    <row r="2254" spans="2:6">
      <c r="B2254" s="189">
        <v>39217</v>
      </c>
      <c r="C2254" s="2">
        <v>28059.27</v>
      </c>
      <c r="D2254" s="1196">
        <f t="shared" si="72"/>
        <v>216.70485745067828</v>
      </c>
      <c r="E2254" s="2">
        <v>1185.1099999999999</v>
      </c>
      <c r="F2254" s="1196">
        <f t="shared" si="73"/>
        <v>168.43040277422472</v>
      </c>
    </row>
    <row r="2255" spans="2:6">
      <c r="B2255" s="189">
        <v>39216</v>
      </c>
      <c r="C2255" s="2">
        <v>28094.799999999999</v>
      </c>
      <c r="D2255" s="1196">
        <f t="shared" si="72"/>
        <v>216.9792595853462</v>
      </c>
      <c r="E2255" s="2">
        <v>1150.74</v>
      </c>
      <c r="F2255" s="1196">
        <f t="shared" si="73"/>
        <v>163.54566385264772</v>
      </c>
    </row>
    <row r="2256" spans="2:6">
      <c r="B2256" s="189">
        <v>39213</v>
      </c>
      <c r="C2256" s="2">
        <v>28671.48</v>
      </c>
      <c r="D2256" s="1196">
        <f t="shared" si="72"/>
        <v>221.43302325042575</v>
      </c>
      <c r="E2256" s="2">
        <v>1147.67</v>
      </c>
      <c r="F2256" s="1196">
        <f t="shared" si="73"/>
        <v>163.10934879622525</v>
      </c>
    </row>
    <row r="2257" spans="2:6">
      <c r="B2257" s="189">
        <v>39212</v>
      </c>
      <c r="C2257" s="2">
        <v>28438.86</v>
      </c>
      <c r="D2257" s="1196">
        <f t="shared" si="72"/>
        <v>219.63647316411996</v>
      </c>
      <c r="E2257" s="2">
        <v>1138.47</v>
      </c>
      <c r="F2257" s="1196">
        <f t="shared" si="73"/>
        <v>161.80182484863991</v>
      </c>
    </row>
    <row r="2258" spans="2:6">
      <c r="B2258" s="189">
        <v>39211</v>
      </c>
      <c r="C2258" s="2">
        <v>28354.41</v>
      </c>
      <c r="D2258" s="1196">
        <f t="shared" si="72"/>
        <v>218.98425643817845</v>
      </c>
      <c r="E2258" s="2">
        <v>1138.47</v>
      </c>
      <c r="F2258" s="1196">
        <f t="shared" si="73"/>
        <v>161.80182484863991</v>
      </c>
    </row>
    <row r="2259" spans="2:6">
      <c r="B2259" s="189">
        <v>39210</v>
      </c>
      <c r="C2259" s="2">
        <v>28161.78</v>
      </c>
      <c r="D2259" s="1196">
        <f t="shared" si="72"/>
        <v>217.49655356170572</v>
      </c>
      <c r="E2259" s="2">
        <v>1136.01</v>
      </c>
      <c r="F2259" s="1196">
        <f t="shared" si="73"/>
        <v>161.45220431482903</v>
      </c>
    </row>
    <row r="2260" spans="2:6">
      <c r="B2260" s="189">
        <v>39209</v>
      </c>
      <c r="C2260" s="2">
        <v>28797.79</v>
      </c>
      <c r="D2260" s="1196">
        <f t="shared" si="72"/>
        <v>222.40852940381447</v>
      </c>
      <c r="E2260" s="2">
        <v>1136.01</v>
      </c>
      <c r="F2260" s="1196">
        <f t="shared" si="73"/>
        <v>161.45220431482903</v>
      </c>
    </row>
    <row r="2261" spans="2:6">
      <c r="B2261" s="189">
        <v>39206</v>
      </c>
      <c r="C2261" s="2">
        <v>28649.7</v>
      </c>
      <c r="D2261" s="1196">
        <f t="shared" si="72"/>
        <v>221.26481389233211</v>
      </c>
      <c r="E2261" s="2">
        <v>1104.71</v>
      </c>
      <c r="F2261" s="1196">
        <f t="shared" si="73"/>
        <v>157.00378044967454</v>
      </c>
    </row>
    <row r="2262" spans="2:6">
      <c r="B2262" s="189">
        <v>39205</v>
      </c>
      <c r="C2262" s="2">
        <v>28278.23</v>
      </c>
      <c r="D2262" s="1196">
        <f t="shared" si="72"/>
        <v>218.39590984040188</v>
      </c>
      <c r="E2262" s="2">
        <v>1104.71</v>
      </c>
      <c r="F2262" s="1196">
        <f t="shared" si="73"/>
        <v>157.00378044967454</v>
      </c>
    </row>
    <row r="2263" spans="2:6">
      <c r="B2263" s="189">
        <v>39204</v>
      </c>
      <c r="C2263" s="2">
        <v>28328.12</v>
      </c>
      <c r="D2263" s="1196">
        <f t="shared" si="72"/>
        <v>218.78121584936844</v>
      </c>
      <c r="E2263" s="2">
        <v>1104.71</v>
      </c>
      <c r="F2263" s="1196">
        <f t="shared" si="73"/>
        <v>157.00378044967454</v>
      </c>
    </row>
    <row r="2264" spans="2:6">
      <c r="B2264" s="189">
        <v>39202</v>
      </c>
      <c r="C2264" s="2">
        <v>28170.6</v>
      </c>
      <c r="D2264" s="1196">
        <f t="shared" si="72"/>
        <v>217.56467140093375</v>
      </c>
      <c r="E2264" s="2">
        <v>1104.71</v>
      </c>
      <c r="F2264" s="1196">
        <f t="shared" si="73"/>
        <v>157.00378044967454</v>
      </c>
    </row>
    <row r="2265" spans="2:6">
      <c r="B2265" s="189">
        <v>39198</v>
      </c>
      <c r="C2265" s="2">
        <v>28076.19</v>
      </c>
      <c r="D2265" s="1196">
        <f t="shared" si="72"/>
        <v>216.83553248919731</v>
      </c>
      <c r="E2265" s="2">
        <v>1105.32</v>
      </c>
      <c r="F2265" s="1196">
        <f t="shared" si="73"/>
        <v>157.09047497228616</v>
      </c>
    </row>
    <row r="2266" spans="2:6">
      <c r="B2266" s="189">
        <v>39197</v>
      </c>
      <c r="C2266" s="2">
        <v>28223.31</v>
      </c>
      <c r="D2266" s="1196">
        <f t="shared" si="72"/>
        <v>217.97175658298676</v>
      </c>
      <c r="E2266" s="2">
        <v>1104.71</v>
      </c>
      <c r="F2266" s="1196">
        <f t="shared" si="73"/>
        <v>157.00378044967454</v>
      </c>
    </row>
    <row r="2267" spans="2:6">
      <c r="B2267" s="189">
        <v>39196</v>
      </c>
      <c r="C2267" s="2">
        <v>28150.75</v>
      </c>
      <c r="D2267" s="1196">
        <f t="shared" si="72"/>
        <v>217.41136764711561</v>
      </c>
      <c r="E2267" s="2">
        <v>1105.32</v>
      </c>
      <c r="F2267" s="1196">
        <f t="shared" si="73"/>
        <v>157.09047497228616</v>
      </c>
    </row>
    <row r="2268" spans="2:6">
      <c r="B2268" s="189">
        <v>39195</v>
      </c>
      <c r="C2268" s="2">
        <v>28501.7</v>
      </c>
      <c r="D2268" s="1196">
        <f t="shared" si="72"/>
        <v>220.12179346084193</v>
      </c>
      <c r="E2268" s="2">
        <v>1104.71</v>
      </c>
      <c r="F2268" s="1196">
        <f t="shared" si="73"/>
        <v>157.00378044967454</v>
      </c>
    </row>
    <row r="2269" spans="2:6">
      <c r="B2269" s="189">
        <v>39192</v>
      </c>
      <c r="C2269" s="2">
        <v>28367.54</v>
      </c>
      <c r="D2269" s="1196">
        <f t="shared" si="72"/>
        <v>219.08566088591809</v>
      </c>
      <c r="E2269" s="2">
        <v>1101.6400000000001</v>
      </c>
      <c r="F2269" s="1196">
        <f t="shared" si="73"/>
        <v>156.56746539325206</v>
      </c>
    </row>
    <row r="2270" spans="2:6">
      <c r="B2270" s="189">
        <v>39191</v>
      </c>
      <c r="C2270" s="2">
        <v>28098.66</v>
      </c>
      <c r="D2270" s="1196">
        <f t="shared" si="72"/>
        <v>217.00907079389719</v>
      </c>
      <c r="E2270" s="2">
        <v>1101.6400000000001</v>
      </c>
      <c r="F2270" s="1196">
        <f t="shared" si="73"/>
        <v>156.56746539325206</v>
      </c>
    </row>
    <row r="2271" spans="2:6">
      <c r="B2271" s="189">
        <v>39190</v>
      </c>
      <c r="C2271" s="2">
        <v>28148.52</v>
      </c>
      <c r="D2271" s="1196">
        <f t="shared" si="72"/>
        <v>217.39414510953301</v>
      </c>
      <c r="E2271" s="2">
        <v>1046.4100000000001</v>
      </c>
      <c r="F2271" s="1196">
        <f t="shared" si="73"/>
        <v>148.71805804269351</v>
      </c>
    </row>
    <row r="2272" spans="2:6">
      <c r="B2272" s="189">
        <v>39189</v>
      </c>
      <c r="C2272" s="2">
        <v>28506.720000000001</v>
      </c>
      <c r="D2272" s="1196">
        <f t="shared" si="72"/>
        <v>220.16056347818028</v>
      </c>
      <c r="E2272" s="2">
        <v>1046.4100000000001</v>
      </c>
      <c r="F2272" s="1196">
        <f t="shared" si="73"/>
        <v>148.71805804269351</v>
      </c>
    </row>
    <row r="2273" spans="2:6">
      <c r="B2273" s="189">
        <v>39188</v>
      </c>
      <c r="C2273" s="2">
        <v>28379.51</v>
      </c>
      <c r="D2273" s="1196">
        <f t="shared" si="72"/>
        <v>219.17810652487034</v>
      </c>
      <c r="E2273" s="2">
        <v>1046.4100000000001</v>
      </c>
      <c r="F2273" s="1196">
        <f t="shared" si="73"/>
        <v>148.71805804269351</v>
      </c>
    </row>
    <row r="2274" spans="2:6">
      <c r="B2274" s="189">
        <v>39185</v>
      </c>
      <c r="C2274" s="2">
        <v>28132.45</v>
      </c>
      <c r="D2274" s="1196">
        <f t="shared" si="72"/>
        <v>217.27003471538407</v>
      </c>
      <c r="E2274" s="2">
        <v>1043.95</v>
      </c>
      <c r="F2274" s="1196">
        <f t="shared" si="73"/>
        <v>148.36843750888264</v>
      </c>
    </row>
    <row r="2275" spans="2:6">
      <c r="B2275" s="189">
        <v>39184</v>
      </c>
      <c r="C2275" s="2">
        <v>27822.27</v>
      </c>
      <c r="D2275" s="1196">
        <f t="shared" si="72"/>
        <v>214.87448013808924</v>
      </c>
      <c r="E2275" s="2">
        <v>1012.65</v>
      </c>
      <c r="F2275" s="1196">
        <f t="shared" si="73"/>
        <v>143.92001364372814</v>
      </c>
    </row>
    <row r="2276" spans="2:6">
      <c r="B2276" s="189">
        <v>39183</v>
      </c>
      <c r="C2276" s="2">
        <v>27638.639999999999</v>
      </c>
      <c r="D2276" s="1196">
        <f t="shared" si="72"/>
        <v>213.45628526082879</v>
      </c>
      <c r="E2276" s="2">
        <v>1012.65</v>
      </c>
      <c r="F2276" s="1196">
        <f t="shared" si="73"/>
        <v>143.92001364372814</v>
      </c>
    </row>
    <row r="2277" spans="2:6">
      <c r="B2277" s="189">
        <v>39182</v>
      </c>
      <c r="C2277" s="2">
        <v>27875.62</v>
      </c>
      <c r="D2277" s="1196">
        <f t="shared" si="72"/>
        <v>215.28650811119735</v>
      </c>
      <c r="E2277" s="2">
        <v>1012.65</v>
      </c>
      <c r="F2277" s="1196">
        <f t="shared" si="73"/>
        <v>143.92001364372814</v>
      </c>
    </row>
    <row r="2278" spans="2:6">
      <c r="B2278" s="189">
        <v>39177</v>
      </c>
      <c r="C2278" s="2">
        <v>27547.85</v>
      </c>
      <c r="D2278" s="1196">
        <f t="shared" si="72"/>
        <v>212.75510401099771</v>
      </c>
      <c r="E2278" s="2">
        <v>1024.93</v>
      </c>
      <c r="F2278" s="1196">
        <f t="shared" si="73"/>
        <v>145.66527386941817</v>
      </c>
    </row>
    <row r="2279" spans="2:6">
      <c r="B2279" s="189">
        <v>39176</v>
      </c>
      <c r="C2279" s="2">
        <v>27525.74</v>
      </c>
      <c r="D2279" s="1196">
        <f t="shared" si="72"/>
        <v>212.58434602626633</v>
      </c>
      <c r="E2279" s="2">
        <v>1027.99</v>
      </c>
      <c r="F2279" s="1196">
        <f t="shared" si="73"/>
        <v>146.10016770415851</v>
      </c>
    </row>
    <row r="2280" spans="2:6">
      <c r="B2280" s="189">
        <v>39175</v>
      </c>
      <c r="C2280" s="2">
        <v>27568.17</v>
      </c>
      <c r="D2280" s="1196">
        <f t="shared" si="72"/>
        <v>212.91203762699689</v>
      </c>
      <c r="E2280" s="2">
        <v>1018.79</v>
      </c>
      <c r="F2280" s="1196">
        <f t="shared" si="73"/>
        <v>144.79264375657314</v>
      </c>
    </row>
    <row r="2281" spans="2:6">
      <c r="B2281" s="189">
        <v>39174</v>
      </c>
      <c r="C2281" s="2">
        <v>27418.880000000001</v>
      </c>
      <c r="D2281" s="1196">
        <f t="shared" si="72"/>
        <v>211.75905438228631</v>
      </c>
      <c r="E2281" s="2">
        <v>1027.99</v>
      </c>
      <c r="F2281" s="1196">
        <f t="shared" si="73"/>
        <v>146.10016770415851</v>
      </c>
    </row>
    <row r="2282" spans="2:6">
      <c r="B2282" s="189">
        <v>39171</v>
      </c>
      <c r="C2282" s="2">
        <v>27267.24</v>
      </c>
      <c r="D2282" s="1196">
        <f t="shared" si="72"/>
        <v>210.58792182667023</v>
      </c>
      <c r="E2282" s="2">
        <v>1013.26</v>
      </c>
      <c r="F2282" s="1196">
        <f t="shared" si="73"/>
        <v>144.00670816633979</v>
      </c>
    </row>
    <row r="2283" spans="2:6">
      <c r="B2283" s="189">
        <v>39170</v>
      </c>
      <c r="C2283" s="2">
        <v>27150.59</v>
      </c>
      <c r="D2283" s="1196">
        <f t="shared" si="72"/>
        <v>209.68702092576933</v>
      </c>
      <c r="E2283" s="2">
        <v>1013.26</v>
      </c>
      <c r="F2283" s="1196">
        <f t="shared" si="73"/>
        <v>144.00670816633979</v>
      </c>
    </row>
    <row r="2284" spans="2:6">
      <c r="B2284" s="189">
        <v>39169</v>
      </c>
      <c r="C2284" s="2">
        <v>26829.8</v>
      </c>
      <c r="D2284" s="1196">
        <f t="shared" si="72"/>
        <v>207.2095241405143</v>
      </c>
      <c r="E2284" s="2">
        <v>1012.65</v>
      </c>
      <c r="F2284" s="1196">
        <f t="shared" si="73"/>
        <v>143.92001364372814</v>
      </c>
    </row>
    <row r="2285" spans="2:6">
      <c r="B2285" s="189">
        <v>39168</v>
      </c>
      <c r="C2285" s="2">
        <v>26839.63</v>
      </c>
      <c r="D2285" s="1196">
        <f t="shared" si="72"/>
        <v>207.28544232187608</v>
      </c>
      <c r="E2285" s="2">
        <v>1012.65</v>
      </c>
      <c r="F2285" s="1196">
        <f t="shared" si="73"/>
        <v>143.92001364372814</v>
      </c>
    </row>
    <row r="2286" spans="2:6">
      <c r="B2286" s="189">
        <v>39167</v>
      </c>
      <c r="C2286" s="2">
        <v>26756.29</v>
      </c>
      <c r="D2286" s="1196">
        <f t="shared" si="72"/>
        <v>206.64179824917076</v>
      </c>
      <c r="E2286" s="2">
        <v>1012.65</v>
      </c>
      <c r="F2286" s="1196">
        <f t="shared" si="73"/>
        <v>143.92001364372814</v>
      </c>
    </row>
    <row r="2287" spans="2:6">
      <c r="B2287" s="189">
        <v>39164</v>
      </c>
      <c r="C2287" s="2">
        <v>26913.62</v>
      </c>
      <c r="D2287" s="1196">
        <f t="shared" si="72"/>
        <v>207.85687530651097</v>
      </c>
      <c r="E2287" s="2">
        <v>1012.65</v>
      </c>
      <c r="F2287" s="1196">
        <f t="shared" si="73"/>
        <v>143.92001364372814</v>
      </c>
    </row>
    <row r="2288" spans="2:6">
      <c r="B2288" s="189">
        <v>39163</v>
      </c>
      <c r="C2288" s="2">
        <v>26654.9</v>
      </c>
      <c r="D2288" s="1196">
        <f t="shared" si="72"/>
        <v>205.85875202248971</v>
      </c>
      <c r="E2288" s="2">
        <v>1012.65</v>
      </c>
      <c r="F2288" s="1196">
        <f t="shared" si="73"/>
        <v>143.92001364372814</v>
      </c>
    </row>
    <row r="2289" spans="2:6">
      <c r="B2289" s="189">
        <v>39161</v>
      </c>
      <c r="C2289" s="2">
        <v>26360.93</v>
      </c>
      <c r="D2289" s="1196">
        <f t="shared" si="72"/>
        <v>203.58838907488717</v>
      </c>
      <c r="E2289" s="2">
        <v>1012.65</v>
      </c>
      <c r="F2289" s="1196">
        <f t="shared" si="73"/>
        <v>143.92001364372814</v>
      </c>
    </row>
    <row r="2290" spans="2:6">
      <c r="B2290" s="189">
        <v>39160</v>
      </c>
      <c r="C2290" s="2">
        <v>26161.53</v>
      </c>
      <c r="D2290" s="1196">
        <f t="shared" si="72"/>
        <v>202.04840073678477</v>
      </c>
      <c r="E2290" s="2">
        <v>1012.65</v>
      </c>
      <c r="F2290" s="1196">
        <f t="shared" si="73"/>
        <v>143.92001364372814</v>
      </c>
    </row>
    <row r="2291" spans="2:6">
      <c r="B2291" s="189">
        <v>39157</v>
      </c>
      <c r="C2291" s="2">
        <v>25839.13</v>
      </c>
      <c r="D2291" s="1196">
        <f t="shared" si="72"/>
        <v>199.5584697427818</v>
      </c>
      <c r="E2291" s="2">
        <v>1012.65</v>
      </c>
      <c r="F2291" s="1196">
        <f t="shared" si="73"/>
        <v>143.92001364372814</v>
      </c>
    </row>
    <row r="2292" spans="2:6">
      <c r="B2292" s="189">
        <v>39156</v>
      </c>
      <c r="C2292" s="2">
        <v>25662.31</v>
      </c>
      <c r="D2292" s="1196">
        <f t="shared" si="72"/>
        <v>198.19286925159193</v>
      </c>
      <c r="E2292" s="2">
        <v>1012.65</v>
      </c>
      <c r="F2292" s="1196">
        <f t="shared" si="73"/>
        <v>143.92001364372814</v>
      </c>
    </row>
    <row r="2293" spans="2:6">
      <c r="B2293" s="189">
        <v>39155</v>
      </c>
      <c r="C2293" s="2">
        <v>25250.06</v>
      </c>
      <c r="D2293" s="1196">
        <f t="shared" si="72"/>
        <v>195.00901673212005</v>
      </c>
      <c r="E2293" s="2">
        <v>1012.65</v>
      </c>
      <c r="F2293" s="1196">
        <f t="shared" si="73"/>
        <v>143.92001364372814</v>
      </c>
    </row>
    <row r="2294" spans="2:6">
      <c r="B2294" s="189">
        <v>39154</v>
      </c>
      <c r="C2294" s="2">
        <v>25853.05</v>
      </c>
      <c r="D2294" s="1196">
        <f t="shared" si="72"/>
        <v>199.66597544823006</v>
      </c>
      <c r="E2294" s="2">
        <v>1012.65</v>
      </c>
      <c r="F2294" s="1196">
        <f t="shared" si="73"/>
        <v>143.92001364372814</v>
      </c>
    </row>
    <row r="2295" spans="2:6">
      <c r="B2295" s="189">
        <v>39153</v>
      </c>
      <c r="C2295" s="2">
        <v>26012.12</v>
      </c>
      <c r="D2295" s="1196">
        <f t="shared" si="72"/>
        <v>200.89449071875131</v>
      </c>
      <c r="E2295" s="2">
        <v>981.96</v>
      </c>
      <c r="F2295" s="1196">
        <f t="shared" si="73"/>
        <v>139.5582843011853</v>
      </c>
    </row>
    <row r="2296" spans="2:6">
      <c r="B2296" s="189">
        <v>39150</v>
      </c>
      <c r="C2296" s="2">
        <v>25923.48</v>
      </c>
      <c r="D2296" s="1196">
        <f t="shared" si="72"/>
        <v>200.20991415762097</v>
      </c>
      <c r="E2296" s="2">
        <v>985.03</v>
      </c>
      <c r="F2296" s="1196">
        <f t="shared" si="73"/>
        <v>139.9945993576078</v>
      </c>
    </row>
    <row r="2297" spans="2:6">
      <c r="B2297" s="189">
        <v>39149</v>
      </c>
      <c r="C2297" s="2">
        <v>25616.63</v>
      </c>
      <c r="D2297" s="1196">
        <f t="shared" si="72"/>
        <v>197.84007754003468</v>
      </c>
      <c r="E2297" s="2">
        <v>981.96</v>
      </c>
      <c r="F2297" s="1196">
        <f t="shared" si="73"/>
        <v>139.5582843011853</v>
      </c>
    </row>
    <row r="2298" spans="2:6">
      <c r="B2298" s="189">
        <v>39148</v>
      </c>
      <c r="C2298" s="2">
        <v>25280.400000000001</v>
      </c>
      <c r="D2298" s="1196">
        <f t="shared" si="72"/>
        <v>195.24333592057553</v>
      </c>
      <c r="E2298" s="2">
        <v>981.96</v>
      </c>
      <c r="F2298" s="1196">
        <f t="shared" si="73"/>
        <v>139.5582843011853</v>
      </c>
    </row>
    <row r="2299" spans="2:6">
      <c r="B2299" s="189">
        <v>39147</v>
      </c>
      <c r="C2299" s="2">
        <v>25228.11</v>
      </c>
      <c r="D2299" s="1196">
        <f t="shared" si="72"/>
        <v>194.83949444515241</v>
      </c>
      <c r="E2299" s="2">
        <v>957.42</v>
      </c>
      <c r="F2299" s="1196">
        <f t="shared" si="73"/>
        <v>136.07060629316962</v>
      </c>
    </row>
    <row r="2300" spans="2:6">
      <c r="B2300" s="189">
        <v>39146</v>
      </c>
      <c r="C2300" s="2">
        <v>24919.46</v>
      </c>
      <c r="D2300" s="1196">
        <f t="shared" si="72"/>
        <v>192.45575622772364</v>
      </c>
      <c r="E2300" s="2">
        <v>957.42</v>
      </c>
      <c r="F2300" s="1196">
        <f t="shared" si="73"/>
        <v>136.07060629316962</v>
      </c>
    </row>
    <row r="2301" spans="2:6">
      <c r="B2301" s="189">
        <v>39143</v>
      </c>
      <c r="C2301" s="2">
        <v>25561.119999999999</v>
      </c>
      <c r="D2301" s="1196">
        <f t="shared" si="72"/>
        <v>197.41136764711561</v>
      </c>
      <c r="E2301" s="2">
        <v>957.42</v>
      </c>
      <c r="F2301" s="1196">
        <f t="shared" si="73"/>
        <v>136.07060629316962</v>
      </c>
    </row>
    <row r="2302" spans="2:6">
      <c r="B2302" s="189">
        <v>39142</v>
      </c>
      <c r="C2302" s="2">
        <v>25336.58</v>
      </c>
      <c r="D2302" s="1196">
        <f t="shared" si="72"/>
        <v>195.67722029788041</v>
      </c>
      <c r="E2302" s="2">
        <v>969.69</v>
      </c>
      <c r="F2302" s="1196">
        <f t="shared" si="73"/>
        <v>137.81444529717746</v>
      </c>
    </row>
    <row r="2303" spans="2:6">
      <c r="B2303" s="189">
        <v>39141</v>
      </c>
      <c r="C2303" s="2">
        <v>25795.99</v>
      </c>
      <c r="D2303" s="1196">
        <f t="shared" si="72"/>
        <v>199.22529473322444</v>
      </c>
      <c r="E2303" s="2">
        <v>988.1</v>
      </c>
      <c r="F2303" s="1196">
        <f t="shared" si="73"/>
        <v>140.4309144140303</v>
      </c>
    </row>
    <row r="2304" spans="2:6">
      <c r="B2304" s="189">
        <v>39140</v>
      </c>
      <c r="C2304" s="2">
        <v>26078.3</v>
      </c>
      <c r="D2304" s="1196">
        <f t="shared" si="72"/>
        <v>201.40560620629202</v>
      </c>
      <c r="E2304" s="2">
        <v>981.96</v>
      </c>
      <c r="F2304" s="1196">
        <f t="shared" si="73"/>
        <v>139.5582843011853</v>
      </c>
    </row>
    <row r="2305" spans="2:6">
      <c r="B2305" s="189">
        <v>39139</v>
      </c>
      <c r="C2305" s="2">
        <v>26932.15</v>
      </c>
      <c r="D2305" s="1196">
        <f t="shared" si="72"/>
        <v>207.99998455377798</v>
      </c>
      <c r="E2305" s="2">
        <v>988.1</v>
      </c>
      <c r="F2305" s="1196">
        <f t="shared" si="73"/>
        <v>140.4309144140303</v>
      </c>
    </row>
    <row r="2306" spans="2:6">
      <c r="B2306" s="189">
        <v>39136</v>
      </c>
      <c r="C2306" s="2">
        <v>26792.39</v>
      </c>
      <c r="D2306" s="1196">
        <f t="shared" si="72"/>
        <v>206.92060255712207</v>
      </c>
      <c r="E2306" s="2">
        <v>994.24</v>
      </c>
      <c r="F2306" s="1196">
        <f t="shared" si="73"/>
        <v>141.3035445268753</v>
      </c>
    </row>
    <row r="2307" spans="2:6">
      <c r="B2307" s="189">
        <v>39135</v>
      </c>
      <c r="C2307" s="2">
        <v>26697.7</v>
      </c>
      <c r="D2307" s="1196">
        <f t="shared" si="72"/>
        <v>206.18930117429906</v>
      </c>
      <c r="E2307" s="2">
        <v>997.31</v>
      </c>
      <c r="F2307" s="1196">
        <f t="shared" si="73"/>
        <v>141.7398595832978</v>
      </c>
    </row>
    <row r="2308" spans="2:6">
      <c r="B2308" s="189">
        <v>39134</v>
      </c>
      <c r="C2308" s="2">
        <v>26306.3</v>
      </c>
      <c r="D2308" s="1196">
        <f t="shared" si="72"/>
        <v>203.16647551966884</v>
      </c>
      <c r="E2308" s="2">
        <v>1012.65</v>
      </c>
      <c r="F2308" s="1196">
        <f t="shared" si="73"/>
        <v>143.92001364372814</v>
      </c>
    </row>
    <row r="2309" spans="2:6">
      <c r="B2309" s="189">
        <v>39133</v>
      </c>
      <c r="C2309" s="2">
        <v>26514.77</v>
      </c>
      <c r="D2309" s="1196">
        <f t="shared" si="72"/>
        <v>204.77651247475509</v>
      </c>
      <c r="E2309" s="2">
        <v>1012.65</v>
      </c>
      <c r="F2309" s="1196">
        <f t="shared" si="73"/>
        <v>143.92001364372814</v>
      </c>
    </row>
    <row r="2310" spans="2:6">
      <c r="B2310" s="189">
        <v>39132</v>
      </c>
      <c r="C2310" s="2">
        <v>26623.23</v>
      </c>
      <c r="D2310" s="1196">
        <f t="shared" si="72"/>
        <v>205.61416109637284</v>
      </c>
      <c r="E2310" s="2">
        <v>1012.65</v>
      </c>
      <c r="F2310" s="1196">
        <f t="shared" si="73"/>
        <v>143.92001364372814</v>
      </c>
    </row>
    <row r="2311" spans="2:6">
      <c r="B2311" s="189">
        <v>39129</v>
      </c>
      <c r="C2311" s="2">
        <v>26511.08</v>
      </c>
      <c r="D2311" s="1196">
        <f t="shared" si="72"/>
        <v>204.74801419507807</v>
      </c>
      <c r="E2311" s="2">
        <v>1012.65</v>
      </c>
      <c r="F2311" s="1196">
        <f t="shared" si="73"/>
        <v>143.92001364372814</v>
      </c>
    </row>
    <row r="2312" spans="2:6">
      <c r="B2312" s="189">
        <v>39128</v>
      </c>
      <c r="C2312" s="2">
        <v>26521.1</v>
      </c>
      <c r="D2312" s="1196">
        <f t="shared" si="72"/>
        <v>204.82539976753435</v>
      </c>
      <c r="E2312" s="2">
        <v>1043.3399999999999</v>
      </c>
      <c r="F2312" s="1196">
        <f t="shared" si="73"/>
        <v>148.28174298627098</v>
      </c>
    </row>
    <row r="2313" spans="2:6">
      <c r="B2313" s="189">
        <v>39127</v>
      </c>
      <c r="C2313" s="2">
        <v>26311.42</v>
      </c>
      <c r="D2313" s="1196">
        <f t="shared" si="72"/>
        <v>203.20601784810955</v>
      </c>
      <c r="E2313" s="2">
        <v>1012.65</v>
      </c>
      <c r="F2313" s="1196">
        <f t="shared" si="73"/>
        <v>143.92001364372814</v>
      </c>
    </row>
    <row r="2314" spans="2:6">
      <c r="B2314" s="189">
        <v>39126</v>
      </c>
      <c r="C2314" s="2">
        <v>26023.35</v>
      </c>
      <c r="D2314" s="1196">
        <f t="shared" si="72"/>
        <v>200.98122125554613</v>
      </c>
      <c r="E2314" s="2">
        <v>1043.3399999999999</v>
      </c>
      <c r="F2314" s="1196">
        <f t="shared" si="73"/>
        <v>148.28174298627098</v>
      </c>
    </row>
    <row r="2315" spans="2:6">
      <c r="B2315" s="189">
        <v>39125</v>
      </c>
      <c r="C2315" s="2">
        <v>25820.61</v>
      </c>
      <c r="D2315" s="1196">
        <f t="shared" si="72"/>
        <v>199.41543772662504</v>
      </c>
      <c r="E2315" s="2">
        <v>1070.96</v>
      </c>
      <c r="F2315" s="1196">
        <f t="shared" si="73"/>
        <v>152.20715727239136</v>
      </c>
    </row>
    <row r="2316" spans="2:6">
      <c r="B2316" s="189">
        <v>39122</v>
      </c>
      <c r="C2316" s="2">
        <v>25666.81</v>
      </c>
      <c r="D2316" s="1196">
        <f t="shared" ref="D2316:D2379" si="74">C2316/$C$2759*100</f>
        <v>198.22762325119808</v>
      </c>
      <c r="E2316" s="2">
        <v>1074.02</v>
      </c>
      <c r="F2316" s="1196">
        <f t="shared" ref="F2316:F2379" si="75">E2316/$E$2759*100</f>
        <v>152.64205110713169</v>
      </c>
    </row>
    <row r="2317" spans="2:6">
      <c r="B2317" s="189">
        <v>39121</v>
      </c>
      <c r="C2317" s="2">
        <v>25596.86</v>
      </c>
      <c r="D2317" s="1196">
        <f t="shared" si="74"/>
        <v>197.68739163509846</v>
      </c>
      <c r="E2317" s="2">
        <v>1092.44</v>
      </c>
      <c r="F2317" s="1196">
        <f t="shared" si="75"/>
        <v>155.2599414456667</v>
      </c>
    </row>
    <row r="2318" spans="2:6">
      <c r="B2318" s="189">
        <v>39120</v>
      </c>
      <c r="C2318" s="2">
        <v>25915.9</v>
      </c>
      <c r="D2318" s="1196">
        <f t="shared" si="74"/>
        <v>200.15137297606222</v>
      </c>
      <c r="E2318" s="2">
        <v>1092.44</v>
      </c>
      <c r="F2318" s="1196">
        <f t="shared" si="75"/>
        <v>155.2599414456667</v>
      </c>
    </row>
    <row r="2319" spans="2:6">
      <c r="B2319" s="189">
        <v>39119</v>
      </c>
      <c r="C2319" s="2">
        <v>25933.81</v>
      </c>
      <c r="D2319" s="1196">
        <f t="shared" si="74"/>
        <v>200.2896938944946</v>
      </c>
      <c r="E2319" s="2">
        <v>1074.02</v>
      </c>
      <c r="F2319" s="1196">
        <f t="shared" si="75"/>
        <v>152.64205110713169</v>
      </c>
    </row>
    <row r="2320" spans="2:6">
      <c r="B2320" s="189">
        <v>39118</v>
      </c>
      <c r="C2320" s="2">
        <v>25605.18</v>
      </c>
      <c r="D2320" s="1196">
        <f t="shared" si="74"/>
        <v>197.75164791881465</v>
      </c>
      <c r="E2320" s="2">
        <v>1077.0899999999999</v>
      </c>
      <c r="F2320" s="1196">
        <f t="shared" si="75"/>
        <v>153.07836616355416</v>
      </c>
    </row>
    <row r="2321" spans="2:6">
      <c r="B2321" s="189">
        <v>39115</v>
      </c>
      <c r="C2321" s="2">
        <v>25679.19</v>
      </c>
      <c r="D2321" s="1196">
        <f t="shared" si="74"/>
        <v>198.32323536567</v>
      </c>
      <c r="E2321" s="2">
        <v>1086.3</v>
      </c>
      <c r="F2321" s="1196">
        <f t="shared" si="75"/>
        <v>154.3873113328217</v>
      </c>
    </row>
    <row r="2322" spans="2:6">
      <c r="B2322" s="189">
        <v>39114</v>
      </c>
      <c r="C2322" s="2">
        <v>25782.38</v>
      </c>
      <c r="D2322" s="1196">
        <f t="shared" si="74"/>
        <v>199.12018319219348</v>
      </c>
      <c r="E2322" s="2">
        <v>1074.02</v>
      </c>
      <c r="F2322" s="1196">
        <f t="shared" si="75"/>
        <v>152.64205110713169</v>
      </c>
    </row>
    <row r="2323" spans="2:6">
      <c r="B2323" s="189">
        <v>39113</v>
      </c>
      <c r="C2323" s="2">
        <v>25447.73</v>
      </c>
      <c r="D2323" s="1196">
        <f t="shared" si="74"/>
        <v>196.53564408815157</v>
      </c>
      <c r="E2323" s="2">
        <v>1074.02</v>
      </c>
      <c r="F2323" s="1196">
        <f t="shared" si="75"/>
        <v>152.64205110713169</v>
      </c>
    </row>
    <row r="2324" spans="2:6">
      <c r="B2324" s="189">
        <v>39112</v>
      </c>
      <c r="C2324" s="2">
        <v>25481.25</v>
      </c>
      <c r="D2324" s="1196">
        <f t="shared" si="74"/>
        <v>196.79452276966208</v>
      </c>
      <c r="E2324" s="2">
        <v>1043.3399999999999</v>
      </c>
      <c r="F2324" s="1196">
        <f t="shared" si="75"/>
        <v>148.28174298627098</v>
      </c>
    </row>
    <row r="2325" spans="2:6">
      <c r="B2325" s="189">
        <v>39111</v>
      </c>
      <c r="C2325" s="2">
        <v>25341.81</v>
      </c>
      <c r="D2325" s="1196">
        <f t="shared" si="74"/>
        <v>195.71761216853375</v>
      </c>
      <c r="E2325" s="2">
        <v>1043.3399999999999</v>
      </c>
      <c r="F2325" s="1196">
        <f t="shared" si="75"/>
        <v>148.28174298627098</v>
      </c>
    </row>
    <row r="2326" spans="2:6">
      <c r="B2326" s="189">
        <v>39108</v>
      </c>
      <c r="C2326" s="2">
        <v>25377.29</v>
      </c>
      <c r="D2326" s="1196">
        <f t="shared" si="74"/>
        <v>195.99162814765046</v>
      </c>
      <c r="E2326" s="2">
        <v>1012.65</v>
      </c>
      <c r="F2326" s="1196">
        <f t="shared" si="75"/>
        <v>143.92001364372814</v>
      </c>
    </row>
    <row r="2327" spans="2:6">
      <c r="B2327" s="189">
        <v>39107</v>
      </c>
      <c r="C2327" s="2">
        <v>25572.39</v>
      </c>
      <c r="D2327" s="1196">
        <f t="shared" si="74"/>
        <v>197.49840710835139</v>
      </c>
      <c r="E2327" s="2">
        <v>1012.65</v>
      </c>
      <c r="F2327" s="1196">
        <f t="shared" si="75"/>
        <v>143.92001364372814</v>
      </c>
    </row>
    <row r="2328" spans="2:6">
      <c r="B2328" s="189">
        <v>39106</v>
      </c>
      <c r="C2328" s="2">
        <v>25444.28</v>
      </c>
      <c r="D2328" s="1196">
        <f t="shared" si="74"/>
        <v>196.50899935512024</v>
      </c>
      <c r="E2328" s="2">
        <v>1012.65</v>
      </c>
      <c r="F2328" s="1196">
        <f t="shared" si="75"/>
        <v>143.92001364372814</v>
      </c>
    </row>
    <row r="2329" spans="2:6">
      <c r="B2329" s="189">
        <v>39105</v>
      </c>
      <c r="C2329" s="2">
        <v>25103.68</v>
      </c>
      <c r="D2329" s="1196">
        <f t="shared" si="74"/>
        <v>193.87850774048803</v>
      </c>
      <c r="E2329" s="2">
        <v>1018.79</v>
      </c>
      <c r="F2329" s="1196">
        <f t="shared" si="75"/>
        <v>144.79264375657314</v>
      </c>
    </row>
    <row r="2330" spans="2:6">
      <c r="B2330" s="189">
        <v>39104</v>
      </c>
      <c r="C2330" s="2">
        <v>25139.78</v>
      </c>
      <c r="D2330" s="1196">
        <f t="shared" si="74"/>
        <v>194.15731204843937</v>
      </c>
      <c r="E2330" s="2">
        <v>1012.65</v>
      </c>
      <c r="F2330" s="1196">
        <f t="shared" si="75"/>
        <v>143.92001364372814</v>
      </c>
    </row>
    <row r="2331" spans="2:6">
      <c r="B2331" s="189">
        <v>39101</v>
      </c>
      <c r="C2331" s="2">
        <v>24920.95</v>
      </c>
      <c r="D2331" s="1196">
        <f t="shared" si="74"/>
        <v>192.4672636631488</v>
      </c>
      <c r="E2331" s="2">
        <v>1012.65</v>
      </c>
      <c r="F2331" s="1196">
        <f t="shared" si="75"/>
        <v>143.92001364372814</v>
      </c>
    </row>
    <row r="2332" spans="2:6">
      <c r="B2332" s="189">
        <v>39100</v>
      </c>
      <c r="C2332" s="2">
        <v>25231.5</v>
      </c>
      <c r="D2332" s="1196">
        <f t="shared" si="74"/>
        <v>194.86567579152234</v>
      </c>
      <c r="E2332" s="2">
        <v>1012.65</v>
      </c>
      <c r="F2332" s="1196">
        <f t="shared" si="75"/>
        <v>143.92001364372814</v>
      </c>
    </row>
    <row r="2333" spans="2:6">
      <c r="B2333" s="189">
        <v>39099</v>
      </c>
      <c r="C2333" s="2">
        <v>24980.44</v>
      </c>
      <c r="D2333" s="1196">
        <f t="shared" si="74"/>
        <v>192.92671153794171</v>
      </c>
      <c r="E2333" s="2">
        <v>994.24</v>
      </c>
      <c r="F2333" s="1196">
        <f t="shared" si="75"/>
        <v>141.3035445268753</v>
      </c>
    </row>
    <row r="2334" spans="2:6">
      <c r="B2334" s="189">
        <v>39098</v>
      </c>
      <c r="C2334" s="2">
        <v>25155.45</v>
      </c>
      <c r="D2334" s="1196">
        <f t="shared" si="74"/>
        <v>194.2783331981789</v>
      </c>
      <c r="E2334" s="2">
        <v>985.03</v>
      </c>
      <c r="F2334" s="1196">
        <f t="shared" si="75"/>
        <v>139.9945993576078</v>
      </c>
    </row>
    <row r="2335" spans="2:6">
      <c r="B2335" s="189">
        <v>39097</v>
      </c>
      <c r="C2335" s="2">
        <v>25194.73</v>
      </c>
      <c r="D2335" s="1196">
        <f t="shared" si="74"/>
        <v>194.58169699918523</v>
      </c>
      <c r="E2335" s="2">
        <v>981.96</v>
      </c>
      <c r="F2335" s="1196">
        <f t="shared" si="75"/>
        <v>139.5582843011853</v>
      </c>
    </row>
    <row r="2336" spans="2:6">
      <c r="B2336" s="189">
        <v>39094</v>
      </c>
      <c r="C2336" s="2">
        <v>24908.87</v>
      </c>
      <c r="D2336" s="1196">
        <f t="shared" si="74"/>
        <v>192.37396848198392</v>
      </c>
      <c r="E2336" s="2">
        <v>981.96</v>
      </c>
      <c r="F2336" s="1196">
        <f t="shared" si="75"/>
        <v>139.5582843011853</v>
      </c>
    </row>
    <row r="2337" spans="2:6">
      <c r="B2337" s="189">
        <v>39093</v>
      </c>
      <c r="C2337" s="2">
        <v>24677.47</v>
      </c>
      <c r="D2337" s="1196">
        <f t="shared" si="74"/>
        <v>190.58684059112693</v>
      </c>
      <c r="E2337" s="2">
        <v>981.96</v>
      </c>
      <c r="F2337" s="1196">
        <f t="shared" si="75"/>
        <v>139.5582843011853</v>
      </c>
    </row>
    <row r="2338" spans="2:6">
      <c r="B2338" s="189">
        <v>39092</v>
      </c>
      <c r="C2338" s="2">
        <v>24535.63</v>
      </c>
      <c r="D2338" s="1196">
        <f t="shared" si="74"/>
        <v>189.49139452354197</v>
      </c>
      <c r="E2338" s="2">
        <v>981.96</v>
      </c>
      <c r="F2338" s="1196">
        <f t="shared" si="75"/>
        <v>139.5582843011853</v>
      </c>
    </row>
    <row r="2339" spans="2:6">
      <c r="B2339" s="189">
        <v>39091</v>
      </c>
      <c r="C2339" s="2">
        <v>24603.61</v>
      </c>
      <c r="D2339" s="1196">
        <f t="shared" si="74"/>
        <v>190.01641161092513</v>
      </c>
      <c r="E2339" s="2">
        <v>1013.26</v>
      </c>
      <c r="F2339" s="1196">
        <f t="shared" si="75"/>
        <v>144.00670816633979</v>
      </c>
    </row>
    <row r="2340" spans="2:6">
      <c r="B2340" s="189">
        <v>39090</v>
      </c>
      <c r="C2340" s="2">
        <v>24412.47</v>
      </c>
      <c r="D2340" s="1196">
        <f t="shared" si="74"/>
        <v>188.54021616987757</v>
      </c>
      <c r="E2340" s="2">
        <v>977.05</v>
      </c>
      <c r="F2340" s="1196">
        <f t="shared" si="75"/>
        <v>138.8604644552457</v>
      </c>
    </row>
    <row r="2341" spans="2:6">
      <c r="B2341" s="189">
        <v>39087</v>
      </c>
      <c r="C2341" s="2">
        <v>24261.06</v>
      </c>
      <c r="D2341" s="1196">
        <f t="shared" si="74"/>
        <v>187.37085992979695</v>
      </c>
      <c r="E2341" s="2">
        <v>977.05</v>
      </c>
      <c r="F2341" s="1196">
        <f t="shared" si="75"/>
        <v>138.8604644552457</v>
      </c>
    </row>
    <row r="2342" spans="2:6">
      <c r="B2342" s="189">
        <v>39086</v>
      </c>
      <c r="C2342" s="2">
        <v>24201.02</v>
      </c>
      <c r="D2342" s="1196">
        <f t="shared" si="74"/>
        <v>186.90716434394105</v>
      </c>
      <c r="E2342" s="2">
        <v>976.46</v>
      </c>
      <c r="F2342" s="1196">
        <f t="shared" si="75"/>
        <v>138.77661237599841</v>
      </c>
    </row>
    <row r="2343" spans="2:6">
      <c r="B2343" s="189">
        <v>39085</v>
      </c>
      <c r="C2343" s="2">
        <v>24600.959999999999</v>
      </c>
      <c r="D2343" s="1196">
        <f t="shared" si="74"/>
        <v>189.99594536671262</v>
      </c>
      <c r="E2343" s="2">
        <v>976.46</v>
      </c>
      <c r="F2343" s="1196">
        <f t="shared" si="75"/>
        <v>138.77661237599841</v>
      </c>
    </row>
    <row r="2344" spans="2:6">
      <c r="B2344" s="189">
        <v>39084</v>
      </c>
      <c r="C2344" s="2">
        <v>25156.71</v>
      </c>
      <c r="D2344" s="1196">
        <f t="shared" si="74"/>
        <v>194.28806431806859</v>
      </c>
      <c r="E2344" s="2">
        <v>976.46</v>
      </c>
      <c r="F2344" s="1196">
        <f t="shared" si="75"/>
        <v>138.77661237599841</v>
      </c>
    </row>
    <row r="2345" spans="2:6">
      <c r="B2345" s="189">
        <v>39080</v>
      </c>
      <c r="C2345" s="2">
        <v>24915.200000000001</v>
      </c>
      <c r="D2345" s="1196">
        <f t="shared" si="74"/>
        <v>192.42285577476318</v>
      </c>
      <c r="E2345" s="2">
        <v>994.22</v>
      </c>
      <c r="F2345" s="1196">
        <f t="shared" si="75"/>
        <v>141.300702083511</v>
      </c>
    </row>
    <row r="2346" spans="2:6">
      <c r="B2346" s="189">
        <v>39079</v>
      </c>
      <c r="C2346" s="2">
        <v>24985.81</v>
      </c>
      <c r="D2346" s="1196">
        <f t="shared" si="74"/>
        <v>192.96818464413838</v>
      </c>
      <c r="E2346" s="2">
        <v>994.22</v>
      </c>
      <c r="F2346" s="1196">
        <f t="shared" si="75"/>
        <v>141.300702083511</v>
      </c>
    </row>
    <row r="2347" spans="2:6">
      <c r="B2347" s="189">
        <v>39078</v>
      </c>
      <c r="C2347" s="2">
        <v>24932.27</v>
      </c>
      <c r="D2347" s="1196">
        <f t="shared" si="74"/>
        <v>192.55468927993576</v>
      </c>
      <c r="E2347" s="2">
        <v>994.22</v>
      </c>
      <c r="F2347" s="1196">
        <f t="shared" si="75"/>
        <v>141.300702083511</v>
      </c>
    </row>
    <row r="2348" spans="2:6">
      <c r="B2348" s="189">
        <v>39073</v>
      </c>
      <c r="C2348" s="2">
        <v>24631.33</v>
      </c>
      <c r="D2348" s="1196">
        <f t="shared" si="74"/>
        <v>190.23049624849884</v>
      </c>
      <c r="E2348" s="2">
        <v>976.46</v>
      </c>
      <c r="F2348" s="1196">
        <f t="shared" si="75"/>
        <v>138.77661237599841</v>
      </c>
    </row>
    <row r="2349" spans="2:6">
      <c r="B2349" s="189">
        <v>39072</v>
      </c>
      <c r="C2349" s="2">
        <v>24825</v>
      </c>
      <c r="D2349" s="1196">
        <f t="shared" si="74"/>
        <v>191.72623116043604</v>
      </c>
      <c r="E2349" s="2">
        <v>976.46</v>
      </c>
      <c r="F2349" s="1196">
        <f t="shared" si="75"/>
        <v>138.77661237599841</v>
      </c>
    </row>
    <row r="2350" spans="2:6">
      <c r="B2350" s="189">
        <v>39071</v>
      </c>
      <c r="C2350" s="2">
        <v>24447.02</v>
      </c>
      <c r="D2350" s="1196">
        <f t="shared" si="74"/>
        <v>188.80704965574233</v>
      </c>
      <c r="E2350" s="2">
        <v>976.46</v>
      </c>
      <c r="F2350" s="1196">
        <f t="shared" si="75"/>
        <v>138.77661237599841</v>
      </c>
    </row>
    <row r="2351" spans="2:6">
      <c r="B2351" s="189">
        <v>39070</v>
      </c>
      <c r="C2351" s="2">
        <v>24118.23</v>
      </c>
      <c r="D2351" s="1196">
        <f t="shared" si="74"/>
        <v>186.26776798229864</v>
      </c>
      <c r="E2351" s="2">
        <v>976.46</v>
      </c>
      <c r="F2351" s="1196">
        <f t="shared" si="75"/>
        <v>138.77661237599841</v>
      </c>
    </row>
    <row r="2352" spans="2:6">
      <c r="B2352" s="189">
        <v>39069</v>
      </c>
      <c r="C2352" s="2">
        <v>24137.27</v>
      </c>
      <c r="D2352" s="1196">
        <f t="shared" si="74"/>
        <v>186.41481601618764</v>
      </c>
      <c r="E2352" s="2">
        <v>978.83</v>
      </c>
      <c r="F2352" s="1196">
        <f t="shared" si="75"/>
        <v>139.11344191466986</v>
      </c>
    </row>
    <row r="2353" spans="2:6">
      <c r="B2353" s="189">
        <v>39066</v>
      </c>
      <c r="C2353" s="2">
        <v>24149.06</v>
      </c>
      <c r="D2353" s="1196">
        <f t="shared" si="74"/>
        <v>186.5058714951557</v>
      </c>
      <c r="E2353" s="2">
        <v>976.46</v>
      </c>
      <c r="F2353" s="1196">
        <f t="shared" si="75"/>
        <v>138.77661237599841</v>
      </c>
    </row>
    <row r="2354" spans="2:6">
      <c r="B2354" s="189">
        <v>39065</v>
      </c>
      <c r="C2354" s="2">
        <v>23965.91</v>
      </c>
      <c r="D2354" s="1196">
        <f t="shared" si="74"/>
        <v>185.09138371118655</v>
      </c>
      <c r="E2354" s="2">
        <v>976.46</v>
      </c>
      <c r="F2354" s="1196">
        <f t="shared" si="75"/>
        <v>138.77661237599841</v>
      </c>
    </row>
    <row r="2355" spans="2:6">
      <c r="B2355" s="189">
        <v>39064</v>
      </c>
      <c r="C2355" s="2">
        <v>23711.17</v>
      </c>
      <c r="D2355" s="1196">
        <f t="shared" si="74"/>
        <v>183.12399840903913</v>
      </c>
      <c r="E2355" s="2">
        <v>976.46</v>
      </c>
      <c r="F2355" s="1196">
        <f t="shared" si="75"/>
        <v>138.77661237599841</v>
      </c>
    </row>
    <row r="2356" spans="2:6">
      <c r="B2356" s="189">
        <v>39063</v>
      </c>
      <c r="C2356" s="2">
        <v>23555.11</v>
      </c>
      <c r="D2356" s="1196">
        <f t="shared" si="74"/>
        <v>181.91872970269884</v>
      </c>
      <c r="E2356" s="2">
        <v>976.46</v>
      </c>
      <c r="F2356" s="1196">
        <f t="shared" si="75"/>
        <v>138.77661237599841</v>
      </c>
    </row>
    <row r="2357" spans="2:6">
      <c r="B2357" s="189">
        <v>39062</v>
      </c>
      <c r="C2357" s="2">
        <v>23703.51</v>
      </c>
      <c r="D2357" s="1196">
        <f t="shared" si="74"/>
        <v>183.06483937859846</v>
      </c>
      <c r="E2357" s="2">
        <v>976.46</v>
      </c>
      <c r="F2357" s="1196">
        <f t="shared" si="75"/>
        <v>138.77661237599841</v>
      </c>
    </row>
    <row r="2358" spans="2:6">
      <c r="B2358" s="189">
        <v>39059</v>
      </c>
      <c r="C2358" s="2">
        <v>23760.59</v>
      </c>
      <c r="D2358" s="1196">
        <f t="shared" si="74"/>
        <v>183.50567455582458</v>
      </c>
      <c r="E2358" s="2">
        <v>976.46</v>
      </c>
      <c r="F2358" s="1196">
        <f t="shared" si="75"/>
        <v>138.77661237599841</v>
      </c>
    </row>
    <row r="2359" spans="2:6">
      <c r="B2359" s="189">
        <v>39058</v>
      </c>
      <c r="C2359" s="2">
        <v>23856.59</v>
      </c>
      <c r="D2359" s="1196">
        <f t="shared" si="74"/>
        <v>184.24709321408849</v>
      </c>
      <c r="E2359" s="2">
        <v>976.46</v>
      </c>
      <c r="F2359" s="1196">
        <f t="shared" si="75"/>
        <v>138.77661237599841</v>
      </c>
    </row>
    <row r="2360" spans="2:6">
      <c r="B2360" s="189">
        <v>39057</v>
      </c>
      <c r="C2360" s="2">
        <v>23946.47</v>
      </c>
      <c r="D2360" s="1196">
        <f t="shared" si="74"/>
        <v>184.94124643288811</v>
      </c>
      <c r="E2360" s="2">
        <v>979.42</v>
      </c>
      <c r="F2360" s="1196">
        <f t="shared" si="75"/>
        <v>139.19729399391716</v>
      </c>
    </row>
    <row r="2361" spans="2:6">
      <c r="B2361" s="189">
        <v>39056</v>
      </c>
      <c r="C2361" s="2">
        <v>24191.439999999999</v>
      </c>
      <c r="D2361" s="1196">
        <f t="shared" si="74"/>
        <v>186.83317694033511</v>
      </c>
      <c r="E2361" s="2">
        <v>976.46</v>
      </c>
      <c r="F2361" s="1196">
        <f t="shared" si="75"/>
        <v>138.77661237599841</v>
      </c>
    </row>
    <row r="2362" spans="2:6">
      <c r="B2362" s="189">
        <v>39055</v>
      </c>
      <c r="C2362" s="2">
        <v>24073.200000000001</v>
      </c>
      <c r="D2362" s="1196">
        <f t="shared" si="74"/>
        <v>185.91999629290672</v>
      </c>
      <c r="E2362" s="2">
        <v>994.22</v>
      </c>
      <c r="F2362" s="1196">
        <f t="shared" si="75"/>
        <v>141.300702083511</v>
      </c>
    </row>
    <row r="2363" spans="2:6">
      <c r="B2363" s="189">
        <v>39052</v>
      </c>
      <c r="C2363" s="2">
        <v>24070.92</v>
      </c>
      <c r="D2363" s="1196">
        <f t="shared" si="74"/>
        <v>185.90238759977294</v>
      </c>
      <c r="E2363" s="2">
        <v>976.46</v>
      </c>
      <c r="F2363" s="1196">
        <f t="shared" si="75"/>
        <v>138.77661237599841</v>
      </c>
    </row>
    <row r="2364" spans="2:6">
      <c r="B2364" s="189">
        <v>39051</v>
      </c>
      <c r="C2364" s="2">
        <v>23949.95</v>
      </c>
      <c r="D2364" s="1196">
        <f t="shared" si="74"/>
        <v>184.96812285925017</v>
      </c>
      <c r="E2364" s="2">
        <v>976.46</v>
      </c>
      <c r="F2364" s="1196">
        <f t="shared" si="75"/>
        <v>138.77661237599841</v>
      </c>
    </row>
    <row r="2365" spans="2:6">
      <c r="B2365" s="189">
        <v>39050</v>
      </c>
      <c r="C2365" s="2">
        <v>23691.74</v>
      </c>
      <c r="D2365" s="1196">
        <f t="shared" si="74"/>
        <v>182.97393836185094</v>
      </c>
      <c r="E2365" s="2">
        <v>1006.05</v>
      </c>
      <c r="F2365" s="1196">
        <f t="shared" si="75"/>
        <v>142.98200733350387</v>
      </c>
    </row>
    <row r="2366" spans="2:6">
      <c r="B2366" s="189">
        <v>39049</v>
      </c>
      <c r="C2366" s="2">
        <v>23564.36</v>
      </c>
      <c r="D2366" s="1196">
        <f t="shared" si="74"/>
        <v>181.99016847966698</v>
      </c>
      <c r="E2366" s="2">
        <v>1026.77</v>
      </c>
      <c r="F2366" s="1196">
        <f t="shared" si="75"/>
        <v>145.92677865893521</v>
      </c>
    </row>
    <row r="2367" spans="2:6">
      <c r="B2367" s="189">
        <v>39048</v>
      </c>
      <c r="C2367" s="2">
        <v>23809.72</v>
      </c>
      <c r="D2367" s="1196">
        <f t="shared" si="74"/>
        <v>183.88511100041319</v>
      </c>
      <c r="E2367" s="2">
        <v>1026.77</v>
      </c>
      <c r="F2367" s="1196">
        <f t="shared" si="75"/>
        <v>145.92677865893521</v>
      </c>
    </row>
    <row r="2368" spans="2:6">
      <c r="B2368" s="189">
        <v>39045</v>
      </c>
      <c r="C2368" s="2">
        <v>23990.87</v>
      </c>
      <c r="D2368" s="1196">
        <f t="shared" si="74"/>
        <v>185.28415256233515</v>
      </c>
      <c r="E2368" s="2">
        <v>1023.81</v>
      </c>
      <c r="F2368" s="1196">
        <f t="shared" si="75"/>
        <v>145.50609704101646</v>
      </c>
    </row>
    <row r="2369" spans="2:6">
      <c r="B2369" s="189">
        <v>39044</v>
      </c>
      <c r="C2369" s="2">
        <v>23858.28</v>
      </c>
      <c r="D2369" s="1196">
        <f t="shared" si="74"/>
        <v>184.26014527171836</v>
      </c>
      <c r="E2369" s="2">
        <v>1035.6400000000001</v>
      </c>
      <c r="F2369" s="1196">
        <f t="shared" si="75"/>
        <v>147.18740229100936</v>
      </c>
    </row>
    <row r="2370" spans="2:6">
      <c r="B2370" s="189">
        <v>39043</v>
      </c>
      <c r="C2370" s="2">
        <v>23899.11</v>
      </c>
      <c r="D2370" s="1196">
        <f t="shared" si="74"/>
        <v>184.57547989481125</v>
      </c>
      <c r="E2370" s="2">
        <v>1035.6400000000001</v>
      </c>
      <c r="F2370" s="1196">
        <f t="shared" si="75"/>
        <v>147.18740229100936</v>
      </c>
    </row>
    <row r="2371" spans="2:6">
      <c r="B2371" s="189">
        <v>39042</v>
      </c>
      <c r="C2371" s="2">
        <v>23792.06</v>
      </c>
      <c r="D2371" s="1196">
        <f t="shared" si="74"/>
        <v>183.74872085973672</v>
      </c>
      <c r="E2371" s="2">
        <v>1035.6400000000001</v>
      </c>
      <c r="F2371" s="1196">
        <f t="shared" si="75"/>
        <v>147.18740229100936</v>
      </c>
    </row>
    <row r="2372" spans="2:6">
      <c r="B2372" s="189">
        <v>39041</v>
      </c>
      <c r="C2372" s="2">
        <v>23603.55</v>
      </c>
      <c r="D2372" s="1196">
        <f t="shared" si="74"/>
        <v>182.29283720068116</v>
      </c>
      <c r="E2372" s="2">
        <v>1035.6400000000001</v>
      </c>
      <c r="F2372" s="1196">
        <f t="shared" si="75"/>
        <v>147.18740229100936</v>
      </c>
    </row>
    <row r="2373" spans="2:6">
      <c r="B2373" s="189">
        <v>39038</v>
      </c>
      <c r="C2373" s="2">
        <v>23188.799999999999</v>
      </c>
      <c r="D2373" s="1196">
        <f t="shared" si="74"/>
        <v>179.08967690365031</v>
      </c>
      <c r="E2373" s="2">
        <v>1052.8</v>
      </c>
      <c r="F2373" s="1196">
        <f t="shared" si="75"/>
        <v>149.62621869759246</v>
      </c>
    </row>
    <row r="2374" spans="2:6">
      <c r="B2374" s="189">
        <v>39037</v>
      </c>
      <c r="C2374" s="2">
        <v>23436.27</v>
      </c>
      <c r="D2374" s="1196">
        <f t="shared" si="74"/>
        <v>181.00091518865631</v>
      </c>
      <c r="E2374" s="2">
        <v>1035.6400000000001</v>
      </c>
      <c r="F2374" s="1196">
        <f t="shared" si="75"/>
        <v>147.18740229100936</v>
      </c>
    </row>
    <row r="2375" spans="2:6">
      <c r="B2375" s="189">
        <v>39036</v>
      </c>
      <c r="C2375" s="2">
        <v>23659.439999999999</v>
      </c>
      <c r="D2375" s="1196">
        <f t="shared" si="74"/>
        <v>182.72448187578919</v>
      </c>
      <c r="E2375" s="2">
        <v>1035.6400000000001</v>
      </c>
      <c r="F2375" s="1196">
        <f t="shared" si="75"/>
        <v>147.18740229100936</v>
      </c>
    </row>
    <row r="2376" spans="2:6">
      <c r="B2376" s="189">
        <v>39035</v>
      </c>
      <c r="C2376" s="2">
        <v>23674.39</v>
      </c>
      <c r="D2376" s="1196">
        <f t="shared" si="74"/>
        <v>182.83994238559177</v>
      </c>
      <c r="E2376" s="2">
        <v>1017.89</v>
      </c>
      <c r="F2376" s="1196">
        <f t="shared" si="75"/>
        <v>144.66473380517891</v>
      </c>
    </row>
    <row r="2377" spans="2:6">
      <c r="B2377" s="189">
        <v>39034</v>
      </c>
      <c r="C2377" s="2">
        <v>23566.959999999999</v>
      </c>
      <c r="D2377" s="1196">
        <f t="shared" si="74"/>
        <v>182.01024856832831</v>
      </c>
      <c r="E2377" s="2">
        <v>1017.89</v>
      </c>
      <c r="F2377" s="1196">
        <f t="shared" si="75"/>
        <v>144.66473380517891</v>
      </c>
    </row>
    <row r="2378" spans="2:6">
      <c r="B2378" s="189">
        <v>39031</v>
      </c>
      <c r="C2378" s="2">
        <v>23819.21</v>
      </c>
      <c r="D2378" s="1196">
        <f t="shared" si="74"/>
        <v>183.95840332402699</v>
      </c>
      <c r="E2378" s="2">
        <v>1029.72</v>
      </c>
      <c r="F2378" s="1196">
        <f t="shared" si="75"/>
        <v>146.34603905517181</v>
      </c>
    </row>
    <row r="2379" spans="2:6">
      <c r="B2379" s="189">
        <v>39030</v>
      </c>
      <c r="C2379" s="2">
        <v>23684.67</v>
      </c>
      <c r="D2379" s="1196">
        <f t="shared" si="74"/>
        <v>182.91933596691419</v>
      </c>
      <c r="E2379" s="2">
        <v>1029.72</v>
      </c>
      <c r="F2379" s="1196">
        <f t="shared" si="75"/>
        <v>146.34603905517181</v>
      </c>
    </row>
    <row r="2380" spans="2:6">
      <c r="B2380" s="189">
        <v>39029</v>
      </c>
      <c r="C2380" s="2">
        <v>23952.68</v>
      </c>
      <c r="D2380" s="1196">
        <f t="shared" ref="D2380:D2443" si="76">C2380/$C$2759*100</f>
        <v>184.98920695234455</v>
      </c>
      <c r="E2380" s="2">
        <v>1029.72</v>
      </c>
      <c r="F2380" s="1196">
        <f t="shared" ref="F2380:F2443" si="77">E2380/$E$2759*100</f>
        <v>146.34603905517181</v>
      </c>
    </row>
    <row r="2381" spans="2:6">
      <c r="B2381" s="189">
        <v>39028</v>
      </c>
      <c r="C2381" s="2">
        <v>24022.61</v>
      </c>
      <c r="D2381" s="1196">
        <f t="shared" si="76"/>
        <v>185.52928410622366</v>
      </c>
      <c r="E2381" s="2">
        <v>1006.05</v>
      </c>
      <c r="F2381" s="1196">
        <f t="shared" si="77"/>
        <v>142.98200733350387</v>
      </c>
    </row>
    <row r="2382" spans="2:6">
      <c r="B2382" s="189">
        <v>39027</v>
      </c>
      <c r="C2382" s="2">
        <v>23950.99</v>
      </c>
      <c r="D2382" s="1196">
        <f t="shared" si="76"/>
        <v>184.97615489471471</v>
      </c>
      <c r="E2382" s="2">
        <v>1035.6400000000001</v>
      </c>
      <c r="F2382" s="1196">
        <f t="shared" si="77"/>
        <v>147.18740229100936</v>
      </c>
    </row>
    <row r="2383" spans="2:6">
      <c r="B2383" s="189">
        <v>39024</v>
      </c>
      <c r="C2383" s="2">
        <v>23590.57</v>
      </c>
      <c r="D2383" s="1196">
        <f t="shared" si="76"/>
        <v>182.19259121959507</v>
      </c>
      <c r="E2383" s="2">
        <v>1065.23</v>
      </c>
      <c r="F2383" s="1196">
        <f t="shared" si="77"/>
        <v>151.39279724851482</v>
      </c>
    </row>
    <row r="2384" spans="2:6">
      <c r="B2384" s="189">
        <v>39023</v>
      </c>
      <c r="C2384" s="2">
        <v>23527.62</v>
      </c>
      <c r="D2384" s="1196">
        <f t="shared" si="76"/>
        <v>181.70642138066054</v>
      </c>
      <c r="E2384" s="2">
        <v>1050.44</v>
      </c>
      <c r="F2384" s="1196">
        <f t="shared" si="77"/>
        <v>149.29081038060318</v>
      </c>
    </row>
    <row r="2385" spans="2:6">
      <c r="B2385" s="189">
        <v>39022</v>
      </c>
      <c r="C2385" s="2">
        <v>23600.52</v>
      </c>
      <c r="D2385" s="1196">
        <f t="shared" si="76"/>
        <v>182.26943617427972</v>
      </c>
      <c r="E2385" s="2">
        <v>1020.85</v>
      </c>
      <c r="F2385" s="1196">
        <f t="shared" si="77"/>
        <v>145.08541542309769</v>
      </c>
    </row>
    <row r="2386" spans="2:6">
      <c r="B2386" s="189">
        <v>39021</v>
      </c>
      <c r="C2386" s="2">
        <v>23338.16</v>
      </c>
      <c r="D2386" s="1196">
        <f t="shared" si="76"/>
        <v>180.24320076613262</v>
      </c>
      <c r="E2386" s="2">
        <v>1006.05</v>
      </c>
      <c r="F2386" s="1196">
        <f t="shared" si="77"/>
        <v>142.98200733350387</v>
      </c>
    </row>
    <row r="2387" spans="2:6">
      <c r="B2387" s="189">
        <v>39020</v>
      </c>
      <c r="C2387" s="2">
        <v>23200</v>
      </c>
      <c r="D2387" s="1196">
        <f t="shared" si="76"/>
        <v>179.17617574711446</v>
      </c>
      <c r="E2387" s="2">
        <v>1009.01</v>
      </c>
      <c r="F2387" s="1196">
        <f t="shared" si="77"/>
        <v>143.40268895142262</v>
      </c>
    </row>
    <row r="2388" spans="2:6">
      <c r="B2388" s="189">
        <v>39017</v>
      </c>
      <c r="C2388" s="2">
        <v>23062.26</v>
      </c>
      <c r="D2388" s="1196">
        <f t="shared" si="76"/>
        <v>178.11239443472618</v>
      </c>
      <c r="E2388" s="2">
        <v>1006.05</v>
      </c>
      <c r="F2388" s="1196">
        <f t="shared" si="77"/>
        <v>142.98200733350387</v>
      </c>
    </row>
    <row r="2389" spans="2:6">
      <c r="B2389" s="189">
        <v>39016</v>
      </c>
      <c r="C2389" s="2">
        <v>23212.71</v>
      </c>
      <c r="D2389" s="1196">
        <f t="shared" si="76"/>
        <v>179.27433648822421</v>
      </c>
      <c r="E2389" s="2">
        <v>1006.05</v>
      </c>
      <c r="F2389" s="1196">
        <f t="shared" si="77"/>
        <v>142.98200733350387</v>
      </c>
    </row>
    <row r="2390" spans="2:6">
      <c r="B2390" s="189">
        <v>39015</v>
      </c>
      <c r="C2390" s="2">
        <v>23489.48</v>
      </c>
      <c r="D2390" s="1196">
        <f t="shared" si="76"/>
        <v>181.41186192622112</v>
      </c>
      <c r="E2390" s="2">
        <v>1006.05</v>
      </c>
      <c r="F2390" s="1196">
        <f t="shared" si="77"/>
        <v>142.98200733350387</v>
      </c>
    </row>
    <row r="2391" spans="2:6">
      <c r="B2391" s="189">
        <v>39014</v>
      </c>
      <c r="C2391" s="2">
        <v>23532.81</v>
      </c>
      <c r="D2391" s="1196">
        <f t="shared" si="76"/>
        <v>181.74650432687295</v>
      </c>
      <c r="E2391" s="2">
        <v>1006.05</v>
      </c>
      <c r="F2391" s="1196">
        <f t="shared" si="77"/>
        <v>142.98200733350387</v>
      </c>
    </row>
    <row r="2392" spans="2:6">
      <c r="B2392" s="189">
        <v>39013</v>
      </c>
      <c r="C2392" s="2">
        <v>23469.79</v>
      </c>
      <c r="D2392" s="1196">
        <f t="shared" si="76"/>
        <v>181.25979387016679</v>
      </c>
      <c r="E2392" s="2">
        <v>976.46</v>
      </c>
      <c r="F2392" s="1196">
        <f t="shared" si="77"/>
        <v>138.77661237599841</v>
      </c>
    </row>
    <row r="2393" spans="2:6">
      <c r="B2393" s="189">
        <v>39010</v>
      </c>
      <c r="C2393" s="2">
        <v>23337.66</v>
      </c>
      <c r="D2393" s="1196">
        <f t="shared" si="76"/>
        <v>180.23933921062084</v>
      </c>
      <c r="E2393" s="2">
        <v>1006.05</v>
      </c>
      <c r="F2393" s="1196">
        <f t="shared" si="77"/>
        <v>142.98200733350387</v>
      </c>
    </row>
    <row r="2394" spans="2:6">
      <c r="B2394" s="189">
        <v>39009</v>
      </c>
      <c r="C2394" s="2">
        <v>23254.9</v>
      </c>
      <c r="D2394" s="1196">
        <f t="shared" si="76"/>
        <v>179.60017454230913</v>
      </c>
      <c r="E2394" s="2">
        <v>991.26</v>
      </c>
      <c r="F2394" s="1196">
        <f t="shared" si="77"/>
        <v>140.88002046559222</v>
      </c>
    </row>
    <row r="2395" spans="2:6">
      <c r="B2395" s="189">
        <v>39008</v>
      </c>
      <c r="C2395" s="2">
        <v>23209.26</v>
      </c>
      <c r="D2395" s="1196">
        <f t="shared" si="76"/>
        <v>179.24769175519282</v>
      </c>
      <c r="E2395" s="2">
        <v>1003.09</v>
      </c>
      <c r="F2395" s="1196">
        <f t="shared" si="77"/>
        <v>142.56132571558513</v>
      </c>
    </row>
    <row r="2396" spans="2:6">
      <c r="B2396" s="189">
        <v>39007</v>
      </c>
      <c r="C2396" s="2">
        <v>23155.11</v>
      </c>
      <c r="D2396" s="1196">
        <f t="shared" si="76"/>
        <v>178.82948529326583</v>
      </c>
      <c r="E2396" s="2">
        <v>1006.05</v>
      </c>
      <c r="F2396" s="1196">
        <f t="shared" si="77"/>
        <v>142.98200733350387</v>
      </c>
    </row>
    <row r="2397" spans="2:6">
      <c r="B2397" s="189">
        <v>39006</v>
      </c>
      <c r="C2397" s="2">
        <v>23141.09</v>
      </c>
      <c r="D2397" s="1196">
        <f t="shared" si="76"/>
        <v>178.72120727671521</v>
      </c>
      <c r="E2397" s="2">
        <v>991.26</v>
      </c>
      <c r="F2397" s="1196">
        <f t="shared" si="77"/>
        <v>140.88002046559222</v>
      </c>
    </row>
    <row r="2398" spans="2:6">
      <c r="B2398" s="189">
        <v>39003</v>
      </c>
      <c r="C2398" s="2">
        <v>22840.3</v>
      </c>
      <c r="D2398" s="1196">
        <f t="shared" si="76"/>
        <v>176.39817271193181</v>
      </c>
      <c r="E2398" s="2">
        <v>991.26</v>
      </c>
      <c r="F2398" s="1196">
        <f t="shared" si="77"/>
        <v>140.88002046559222</v>
      </c>
    </row>
    <row r="2399" spans="2:6">
      <c r="B2399" s="189">
        <v>39002</v>
      </c>
      <c r="C2399" s="2">
        <v>22751.49</v>
      </c>
      <c r="D2399" s="1196">
        <f t="shared" si="76"/>
        <v>175.71228322192746</v>
      </c>
      <c r="E2399" s="2">
        <v>991.26</v>
      </c>
      <c r="F2399" s="1196">
        <f t="shared" si="77"/>
        <v>140.88002046559222</v>
      </c>
    </row>
    <row r="2400" spans="2:6">
      <c r="B2400" s="189">
        <v>39001</v>
      </c>
      <c r="C2400" s="2">
        <v>22679.38</v>
      </c>
      <c r="D2400" s="1196">
        <f t="shared" si="76"/>
        <v>175.15536968601694</v>
      </c>
      <c r="E2400" s="2">
        <v>991.26</v>
      </c>
      <c r="F2400" s="1196">
        <f t="shared" si="77"/>
        <v>140.88002046559222</v>
      </c>
    </row>
    <row r="2401" spans="2:6">
      <c r="B2401" s="189">
        <v>39000</v>
      </c>
      <c r="C2401" s="2">
        <v>22799.56</v>
      </c>
      <c r="D2401" s="1196">
        <f t="shared" si="76"/>
        <v>176.08353316883108</v>
      </c>
      <c r="E2401" s="2">
        <v>991.26</v>
      </c>
      <c r="F2401" s="1196">
        <f t="shared" si="77"/>
        <v>140.88002046559222</v>
      </c>
    </row>
    <row r="2402" spans="2:6">
      <c r="B2402" s="189">
        <v>38999</v>
      </c>
      <c r="C2402" s="2">
        <v>22773.360000000001</v>
      </c>
      <c r="D2402" s="1196">
        <f t="shared" si="76"/>
        <v>175.88118766001321</v>
      </c>
      <c r="E2402" s="2">
        <v>982.38</v>
      </c>
      <c r="F2402" s="1196">
        <f t="shared" si="77"/>
        <v>139.61797561183593</v>
      </c>
    </row>
    <row r="2403" spans="2:6">
      <c r="B2403" s="189">
        <v>38996</v>
      </c>
      <c r="C2403" s="2">
        <v>22511.61</v>
      </c>
      <c r="D2403" s="1196">
        <f t="shared" si="76"/>
        <v>173.85966334959048</v>
      </c>
      <c r="E2403" s="2">
        <v>982.38</v>
      </c>
      <c r="F2403" s="1196">
        <f t="shared" si="77"/>
        <v>139.61797561183593</v>
      </c>
    </row>
    <row r="2404" spans="2:6">
      <c r="B2404" s="189">
        <v>38995</v>
      </c>
      <c r="C2404" s="2">
        <v>22475.14</v>
      </c>
      <c r="D2404" s="1196">
        <f t="shared" si="76"/>
        <v>173.57800149056041</v>
      </c>
      <c r="E2404" s="2">
        <v>982.38</v>
      </c>
      <c r="F2404" s="1196">
        <f t="shared" si="77"/>
        <v>139.61797561183593</v>
      </c>
    </row>
    <row r="2405" spans="2:6">
      <c r="B2405" s="189">
        <v>38994</v>
      </c>
      <c r="C2405" s="2">
        <v>22367.15</v>
      </c>
      <c r="D2405" s="1196">
        <f t="shared" si="76"/>
        <v>172.74398273112377</v>
      </c>
      <c r="E2405" s="2">
        <v>964.63</v>
      </c>
      <c r="F2405" s="1196">
        <f t="shared" si="77"/>
        <v>137.09530712600551</v>
      </c>
    </row>
    <row r="2406" spans="2:6">
      <c r="B2406" s="189">
        <v>38993</v>
      </c>
      <c r="C2406" s="2">
        <v>22274.14</v>
      </c>
      <c r="D2406" s="1196">
        <f t="shared" si="76"/>
        <v>172.02565617482034</v>
      </c>
      <c r="E2406" s="2">
        <v>935.04</v>
      </c>
      <c r="F2406" s="1196">
        <f t="shared" si="77"/>
        <v>132.88991216850005</v>
      </c>
    </row>
    <row r="2407" spans="2:6">
      <c r="B2407" s="189">
        <v>38992</v>
      </c>
      <c r="C2407" s="2">
        <v>22552.86</v>
      </c>
      <c r="D2407" s="1196">
        <f t="shared" si="76"/>
        <v>174.17824167931326</v>
      </c>
      <c r="E2407" s="2">
        <v>935.04</v>
      </c>
      <c r="F2407" s="1196">
        <f t="shared" si="77"/>
        <v>132.88991216850005</v>
      </c>
    </row>
    <row r="2408" spans="2:6">
      <c r="B2408" s="189">
        <v>38989</v>
      </c>
      <c r="C2408" s="2">
        <v>22374.58</v>
      </c>
      <c r="D2408" s="1196">
        <f t="shared" si="76"/>
        <v>172.801365446029</v>
      </c>
      <c r="E2408" s="2">
        <v>929.12</v>
      </c>
      <c r="F2408" s="1196">
        <f t="shared" si="77"/>
        <v>132.04854893266253</v>
      </c>
    </row>
    <row r="2409" spans="2:6">
      <c r="B2409" s="189">
        <v>38988</v>
      </c>
      <c r="C2409" s="2">
        <v>22491.3</v>
      </c>
      <c r="D2409" s="1196">
        <f t="shared" si="76"/>
        <v>173.70280696470152</v>
      </c>
      <c r="E2409" s="2">
        <v>929.12</v>
      </c>
      <c r="F2409" s="1196">
        <f t="shared" si="77"/>
        <v>132.04854893266253</v>
      </c>
    </row>
    <row r="2410" spans="2:6">
      <c r="B2410" s="189">
        <v>38987</v>
      </c>
      <c r="C2410" s="2">
        <v>22249.72</v>
      </c>
      <c r="D2410" s="1196">
        <f t="shared" si="76"/>
        <v>171.83705780362445</v>
      </c>
      <c r="E2410" s="2">
        <v>929.12</v>
      </c>
      <c r="F2410" s="1196">
        <f t="shared" si="77"/>
        <v>132.04854893266253</v>
      </c>
    </row>
    <row r="2411" spans="2:6">
      <c r="B2411" s="189">
        <v>38986</v>
      </c>
      <c r="C2411" s="2">
        <v>22162.65</v>
      </c>
      <c r="D2411" s="1196">
        <f t="shared" si="76"/>
        <v>171.16460652680115</v>
      </c>
      <c r="E2411" s="2">
        <v>923.2</v>
      </c>
      <c r="F2411" s="1196">
        <f t="shared" si="77"/>
        <v>131.20718569682498</v>
      </c>
    </row>
    <row r="2412" spans="2:6">
      <c r="B2412" s="189">
        <v>38982</v>
      </c>
      <c r="C2412" s="2">
        <v>22008.98</v>
      </c>
      <c r="D2412" s="1196">
        <f t="shared" si="76"/>
        <v>169.9777960558072</v>
      </c>
      <c r="E2412" s="2">
        <v>923.2</v>
      </c>
      <c r="F2412" s="1196">
        <f t="shared" si="77"/>
        <v>131.20718569682498</v>
      </c>
    </row>
    <row r="2413" spans="2:6">
      <c r="B2413" s="189">
        <v>38981</v>
      </c>
      <c r="C2413" s="2">
        <v>21886.400000000001</v>
      </c>
      <c r="D2413" s="1196">
        <f t="shared" si="76"/>
        <v>169.03109710653646</v>
      </c>
      <c r="E2413" s="2">
        <v>923.2</v>
      </c>
      <c r="F2413" s="1196">
        <f t="shared" si="77"/>
        <v>131.20718569682498</v>
      </c>
    </row>
    <row r="2414" spans="2:6">
      <c r="B2414" s="189">
        <v>38980</v>
      </c>
      <c r="C2414" s="2">
        <v>21627.42</v>
      </c>
      <c r="D2414" s="1196">
        <f t="shared" si="76"/>
        <v>167.03096581364903</v>
      </c>
      <c r="E2414" s="2">
        <v>923.2</v>
      </c>
      <c r="F2414" s="1196">
        <f t="shared" si="77"/>
        <v>131.20718569682498</v>
      </c>
    </row>
    <row r="2415" spans="2:6">
      <c r="B2415" s="189">
        <v>38979</v>
      </c>
      <c r="C2415" s="2">
        <v>21517.4</v>
      </c>
      <c r="D2415" s="1196">
        <f t="shared" si="76"/>
        <v>166.18126913883452</v>
      </c>
      <c r="E2415" s="2">
        <v>929.12</v>
      </c>
      <c r="F2415" s="1196">
        <f t="shared" si="77"/>
        <v>132.04854893266253</v>
      </c>
    </row>
    <row r="2416" spans="2:6">
      <c r="B2416" s="189">
        <v>38978</v>
      </c>
      <c r="C2416" s="2">
        <v>21418.43</v>
      </c>
      <c r="D2416" s="1196">
        <f t="shared" si="76"/>
        <v>165.41691284083055</v>
      </c>
      <c r="E2416" s="2">
        <v>935.04</v>
      </c>
      <c r="F2416" s="1196">
        <f t="shared" si="77"/>
        <v>132.88991216850005</v>
      </c>
    </row>
    <row r="2417" spans="2:6">
      <c r="B2417" s="189">
        <v>38975</v>
      </c>
      <c r="C2417" s="2">
        <v>21380.78</v>
      </c>
      <c r="D2417" s="1196">
        <f t="shared" si="76"/>
        <v>165.12613771079265</v>
      </c>
      <c r="E2417" s="2">
        <v>935.04</v>
      </c>
      <c r="F2417" s="1196">
        <f t="shared" si="77"/>
        <v>132.88991216850005</v>
      </c>
    </row>
    <row r="2418" spans="2:6">
      <c r="B2418" s="189">
        <v>38974</v>
      </c>
      <c r="C2418" s="2">
        <v>21471.200000000001</v>
      </c>
      <c r="D2418" s="1196">
        <f t="shared" si="76"/>
        <v>165.82446140954502</v>
      </c>
      <c r="E2418" s="2">
        <v>935.04</v>
      </c>
      <c r="F2418" s="1196">
        <f t="shared" si="77"/>
        <v>132.88991216850005</v>
      </c>
    </row>
    <row r="2419" spans="2:6">
      <c r="B2419" s="189">
        <v>38973</v>
      </c>
      <c r="C2419" s="2">
        <v>21318.22</v>
      </c>
      <c r="D2419" s="1196">
        <f t="shared" si="76"/>
        <v>164.64297988515736</v>
      </c>
      <c r="E2419" s="2">
        <v>952.79</v>
      </c>
      <c r="F2419" s="1196">
        <f t="shared" si="77"/>
        <v>135.41258065433047</v>
      </c>
    </row>
    <row r="2420" spans="2:6">
      <c r="B2420" s="189">
        <v>38972</v>
      </c>
      <c r="C2420" s="2">
        <v>21261.7</v>
      </c>
      <c r="D2420" s="1196">
        <f t="shared" si="76"/>
        <v>164.20646965010445</v>
      </c>
      <c r="E2420" s="2">
        <v>964.04</v>
      </c>
      <c r="F2420" s="1196">
        <f t="shared" si="77"/>
        <v>137.01145504675819</v>
      </c>
    </row>
    <row r="2421" spans="2:6">
      <c r="B2421" s="189">
        <v>38971</v>
      </c>
      <c r="C2421" s="2">
        <v>21054.39</v>
      </c>
      <c r="D2421" s="1196">
        <f t="shared" si="76"/>
        <v>162.60539150380555</v>
      </c>
      <c r="E2421" s="2">
        <v>965.81</v>
      </c>
      <c r="F2421" s="1196">
        <f t="shared" si="77"/>
        <v>137.26301128450015</v>
      </c>
    </row>
    <row r="2422" spans="2:6">
      <c r="B2422" s="189">
        <v>38968</v>
      </c>
      <c r="C2422" s="2">
        <v>21718.58</v>
      </c>
      <c r="D2422" s="1196">
        <f t="shared" si="76"/>
        <v>167.73500461455885</v>
      </c>
      <c r="E2422" s="2">
        <v>946.87</v>
      </c>
      <c r="F2422" s="1196">
        <f t="shared" si="77"/>
        <v>134.57121741849295</v>
      </c>
    </row>
    <row r="2423" spans="2:6">
      <c r="B2423" s="189">
        <v>38967</v>
      </c>
      <c r="C2423" s="2">
        <v>21884.880000000001</v>
      </c>
      <c r="D2423" s="1196">
        <f t="shared" si="76"/>
        <v>169.01935797778063</v>
      </c>
      <c r="E2423" s="2">
        <v>952.79</v>
      </c>
      <c r="F2423" s="1196">
        <f t="shared" si="77"/>
        <v>135.41258065433047</v>
      </c>
    </row>
    <row r="2424" spans="2:6">
      <c r="B2424" s="189">
        <v>38966</v>
      </c>
      <c r="C2424" s="2">
        <v>22375.73</v>
      </c>
      <c r="D2424" s="1196">
        <f t="shared" si="76"/>
        <v>172.8102470237061</v>
      </c>
      <c r="E2424" s="2">
        <v>952.79</v>
      </c>
      <c r="F2424" s="1196">
        <f t="shared" si="77"/>
        <v>135.41258065433047</v>
      </c>
    </row>
    <row r="2425" spans="2:6">
      <c r="B2425" s="189">
        <v>38965</v>
      </c>
      <c r="C2425" s="2">
        <v>22438.48</v>
      </c>
      <c r="D2425" s="1196">
        <f t="shared" si="76"/>
        <v>173.29487224043589</v>
      </c>
      <c r="E2425" s="2">
        <v>952.79</v>
      </c>
      <c r="F2425" s="1196">
        <f t="shared" si="77"/>
        <v>135.41258065433047</v>
      </c>
    </row>
    <row r="2426" spans="2:6">
      <c r="B2426" s="189">
        <v>38964</v>
      </c>
      <c r="C2426" s="2">
        <v>22480.54</v>
      </c>
      <c r="D2426" s="1196">
        <f t="shared" si="76"/>
        <v>173.61970629008778</v>
      </c>
      <c r="E2426" s="2">
        <v>952.79</v>
      </c>
      <c r="F2426" s="1196">
        <f t="shared" si="77"/>
        <v>135.41258065433047</v>
      </c>
    </row>
    <row r="2427" spans="2:6">
      <c r="B2427" s="189">
        <v>38961</v>
      </c>
      <c r="C2427" s="2">
        <v>22212.57</v>
      </c>
      <c r="D2427" s="1196">
        <f t="shared" si="76"/>
        <v>171.55014422909838</v>
      </c>
      <c r="E2427" s="2">
        <v>923.2</v>
      </c>
      <c r="F2427" s="1196">
        <f t="shared" si="77"/>
        <v>131.20718569682498</v>
      </c>
    </row>
    <row r="2428" spans="2:6">
      <c r="B2428" s="189">
        <v>38960</v>
      </c>
      <c r="C2428" s="2">
        <v>21953.8</v>
      </c>
      <c r="D2428" s="1196">
        <f t="shared" si="76"/>
        <v>169.55163478952591</v>
      </c>
      <c r="E2428" s="2">
        <v>923.2</v>
      </c>
      <c r="F2428" s="1196">
        <f t="shared" si="77"/>
        <v>131.20718569682498</v>
      </c>
    </row>
    <row r="2429" spans="2:6">
      <c r="B2429" s="189">
        <v>38959</v>
      </c>
      <c r="C2429" s="2">
        <v>22051.38</v>
      </c>
      <c r="D2429" s="1196">
        <f t="shared" si="76"/>
        <v>170.30525596320712</v>
      </c>
      <c r="E2429" s="2">
        <v>920.83</v>
      </c>
      <c r="F2429" s="1196">
        <f t="shared" si="77"/>
        <v>130.87035615815356</v>
      </c>
    </row>
    <row r="2430" spans="2:6">
      <c r="B2430" s="189">
        <v>38958</v>
      </c>
      <c r="C2430" s="2">
        <v>21670.240000000002</v>
      </c>
      <c r="D2430" s="1196">
        <f t="shared" si="76"/>
        <v>167.36166942767886</v>
      </c>
      <c r="E2430" s="2">
        <v>920.83</v>
      </c>
      <c r="F2430" s="1196">
        <f t="shared" si="77"/>
        <v>130.87035615815356</v>
      </c>
    </row>
    <row r="2431" spans="2:6">
      <c r="B2431" s="189">
        <v>38957</v>
      </c>
      <c r="C2431" s="2">
        <v>21945.34</v>
      </c>
      <c r="D2431" s="1196">
        <f t="shared" si="76"/>
        <v>169.48629727026642</v>
      </c>
      <c r="E2431" s="2">
        <v>917.88</v>
      </c>
      <c r="F2431" s="1196">
        <f t="shared" si="77"/>
        <v>130.45109576191695</v>
      </c>
    </row>
    <row r="2432" spans="2:6">
      <c r="B2432" s="189">
        <v>38954</v>
      </c>
      <c r="C2432" s="2">
        <v>21767.62</v>
      </c>
      <c r="D2432" s="1196">
        <f t="shared" si="76"/>
        <v>168.11374597915531</v>
      </c>
      <c r="E2432" s="2">
        <v>917.88</v>
      </c>
      <c r="F2432" s="1196">
        <f t="shared" si="77"/>
        <v>130.45109576191695</v>
      </c>
    </row>
    <row r="2433" spans="2:6">
      <c r="B2433" s="189">
        <v>38953</v>
      </c>
      <c r="C2433" s="2">
        <v>21664.66</v>
      </c>
      <c r="D2433" s="1196">
        <f t="shared" si="76"/>
        <v>167.31857446816727</v>
      </c>
      <c r="E2433" s="2">
        <v>917.28</v>
      </c>
      <c r="F2433" s="1196">
        <f t="shared" si="77"/>
        <v>130.36582246098746</v>
      </c>
    </row>
    <row r="2434" spans="2:6">
      <c r="B2434" s="189">
        <v>38952</v>
      </c>
      <c r="C2434" s="2">
        <v>21657.09</v>
      </c>
      <c r="D2434" s="1196">
        <f t="shared" si="76"/>
        <v>167.26011051771877</v>
      </c>
      <c r="E2434" s="2">
        <v>917.28</v>
      </c>
      <c r="F2434" s="1196">
        <f t="shared" si="77"/>
        <v>130.36582246098746</v>
      </c>
    </row>
    <row r="2435" spans="2:6">
      <c r="B2435" s="189">
        <v>38951</v>
      </c>
      <c r="C2435" s="2">
        <v>21990.14</v>
      </c>
      <c r="D2435" s="1196">
        <f t="shared" si="76"/>
        <v>169.8322926441229</v>
      </c>
      <c r="E2435" s="2">
        <v>946.87</v>
      </c>
      <c r="F2435" s="1196">
        <f t="shared" si="77"/>
        <v>134.57121741849295</v>
      </c>
    </row>
    <row r="2436" spans="2:6">
      <c r="B2436" s="189">
        <v>38950</v>
      </c>
      <c r="C2436" s="2">
        <v>21733.98</v>
      </c>
      <c r="D2436" s="1196">
        <f t="shared" si="76"/>
        <v>167.85394052432201</v>
      </c>
      <c r="E2436" s="2">
        <v>946.87</v>
      </c>
      <c r="F2436" s="1196">
        <f t="shared" si="77"/>
        <v>134.57121741849295</v>
      </c>
    </row>
    <row r="2437" spans="2:6">
      <c r="B2437" s="189">
        <v>38947</v>
      </c>
      <c r="C2437" s="2">
        <v>21279.32</v>
      </c>
      <c r="D2437" s="1196">
        <f t="shared" si="76"/>
        <v>164.34255086633996</v>
      </c>
      <c r="E2437" s="2">
        <v>967.59</v>
      </c>
      <c r="F2437" s="1196">
        <f t="shared" si="77"/>
        <v>137.51598874392428</v>
      </c>
    </row>
    <row r="2438" spans="2:6">
      <c r="B2438" s="189">
        <v>38946</v>
      </c>
      <c r="C2438" s="2">
        <v>21385.14</v>
      </c>
      <c r="D2438" s="1196">
        <f t="shared" si="76"/>
        <v>165.15981047485548</v>
      </c>
      <c r="E2438" s="2">
        <v>967.59</v>
      </c>
      <c r="F2438" s="1196">
        <f t="shared" si="77"/>
        <v>137.51598874392428</v>
      </c>
    </row>
    <row r="2439" spans="2:6">
      <c r="B2439" s="189">
        <v>38945</v>
      </c>
      <c r="C2439" s="2">
        <v>21080.52</v>
      </c>
      <c r="D2439" s="1196">
        <f t="shared" si="76"/>
        <v>162.80719639485176</v>
      </c>
      <c r="E2439" s="2">
        <v>976.46</v>
      </c>
      <c r="F2439" s="1196">
        <f t="shared" si="77"/>
        <v>138.77661237599841</v>
      </c>
    </row>
    <row r="2440" spans="2:6">
      <c r="B2440" s="189">
        <v>38944</v>
      </c>
      <c r="C2440" s="2">
        <v>20950.18</v>
      </c>
      <c r="D2440" s="1196">
        <f t="shared" si="76"/>
        <v>161.80056610403804</v>
      </c>
      <c r="E2440" s="2">
        <v>976.46</v>
      </c>
      <c r="F2440" s="1196">
        <f t="shared" si="77"/>
        <v>138.77661237599841</v>
      </c>
    </row>
    <row r="2441" spans="2:6">
      <c r="B2441" s="189">
        <v>38943</v>
      </c>
      <c r="C2441" s="2">
        <v>20770.57</v>
      </c>
      <c r="D2441" s="1196">
        <f t="shared" si="76"/>
        <v>160.41341813309236</v>
      </c>
      <c r="E2441" s="2">
        <v>976.46</v>
      </c>
      <c r="F2441" s="1196">
        <f t="shared" si="77"/>
        <v>138.77661237599841</v>
      </c>
    </row>
    <row r="2442" spans="2:6">
      <c r="B2442" s="189">
        <v>38940</v>
      </c>
      <c r="C2442" s="2">
        <v>20700.59</v>
      </c>
      <c r="D2442" s="1196">
        <f t="shared" si="76"/>
        <v>159.87295482366207</v>
      </c>
      <c r="E2442" s="2">
        <v>976.46</v>
      </c>
      <c r="F2442" s="1196">
        <f t="shared" si="77"/>
        <v>138.77661237599841</v>
      </c>
    </row>
    <row r="2443" spans="2:6">
      <c r="B2443" s="189">
        <v>38939</v>
      </c>
      <c r="C2443" s="2">
        <v>20540.080000000002</v>
      </c>
      <c r="D2443" s="1196">
        <f t="shared" si="76"/>
        <v>158.63331827326687</v>
      </c>
      <c r="E2443" s="2">
        <v>982.97</v>
      </c>
      <c r="F2443" s="1196">
        <f t="shared" si="77"/>
        <v>139.70182769108325</v>
      </c>
    </row>
    <row r="2444" spans="2:6">
      <c r="B2444" s="189">
        <v>38937</v>
      </c>
      <c r="C2444" s="2">
        <v>20793.45</v>
      </c>
      <c r="D2444" s="1196">
        <f t="shared" ref="D2444:D2507" si="78">C2444/$C$2759*100</f>
        <v>160.59012291331197</v>
      </c>
      <c r="E2444" s="2">
        <v>982.97</v>
      </c>
      <c r="F2444" s="1196">
        <f t="shared" ref="F2444:F2507" si="79">E2444/$E$2759*100</f>
        <v>139.70182769108325</v>
      </c>
    </row>
    <row r="2445" spans="2:6">
      <c r="B2445" s="189">
        <v>38936</v>
      </c>
      <c r="C2445" s="2">
        <v>20683.39</v>
      </c>
      <c r="D2445" s="1196">
        <f t="shared" si="78"/>
        <v>159.74011731405645</v>
      </c>
      <c r="E2445" s="2">
        <v>982.97</v>
      </c>
      <c r="F2445" s="1196">
        <f t="shared" si="79"/>
        <v>139.70182769108325</v>
      </c>
    </row>
    <row r="2446" spans="2:6">
      <c r="B2446" s="189">
        <v>38933</v>
      </c>
      <c r="C2446" s="2">
        <v>21001.68</v>
      </c>
      <c r="D2446" s="1196">
        <f t="shared" si="78"/>
        <v>162.19830632175254</v>
      </c>
      <c r="E2446" s="2">
        <v>982.38</v>
      </c>
      <c r="F2446" s="1196">
        <f t="shared" si="79"/>
        <v>139.61797561183593</v>
      </c>
    </row>
    <row r="2447" spans="2:6">
      <c r="B2447" s="189">
        <v>38932</v>
      </c>
      <c r="C2447" s="2">
        <v>20703.009999999998</v>
      </c>
      <c r="D2447" s="1196">
        <f t="shared" si="78"/>
        <v>159.89164475233912</v>
      </c>
      <c r="E2447" s="2">
        <v>994.81</v>
      </c>
      <c r="F2447" s="1196">
        <f t="shared" si="79"/>
        <v>141.38455416275829</v>
      </c>
    </row>
    <row r="2448" spans="2:6">
      <c r="B2448" s="189">
        <v>38931</v>
      </c>
      <c r="C2448" s="2">
        <v>20778.060000000001</v>
      </c>
      <c r="D2448" s="1196">
        <f t="shared" si="78"/>
        <v>160.47126423465903</v>
      </c>
      <c r="E2448" s="2">
        <v>994.81</v>
      </c>
      <c r="F2448" s="1196">
        <f t="shared" si="79"/>
        <v>141.38455416275829</v>
      </c>
    </row>
    <row r="2449" spans="2:6">
      <c r="B2449" s="189">
        <v>38930</v>
      </c>
      <c r="C2449" s="2">
        <v>20616.98</v>
      </c>
      <c r="D2449" s="1196">
        <f t="shared" si="78"/>
        <v>159.22722551098033</v>
      </c>
      <c r="E2449" s="2">
        <v>1006.05</v>
      </c>
      <c r="F2449" s="1196">
        <f t="shared" si="79"/>
        <v>142.98200733350387</v>
      </c>
    </row>
    <row r="2450" spans="2:6">
      <c r="B2450" s="189">
        <v>38929</v>
      </c>
      <c r="C2450" s="2">
        <v>20885.57</v>
      </c>
      <c r="D2450" s="1196">
        <f t="shared" si="78"/>
        <v>161.30157590080435</v>
      </c>
      <c r="E2450" s="2">
        <v>1006.05</v>
      </c>
      <c r="F2450" s="1196">
        <f t="shared" si="79"/>
        <v>142.98200733350387</v>
      </c>
    </row>
    <row r="2451" spans="2:6">
      <c r="B2451" s="189">
        <v>38926</v>
      </c>
      <c r="C2451" s="2">
        <v>20732.41</v>
      </c>
      <c r="D2451" s="1196">
        <f t="shared" si="78"/>
        <v>160.11870421643246</v>
      </c>
      <c r="E2451" s="2">
        <v>994.22</v>
      </c>
      <c r="F2451" s="1196">
        <f t="shared" si="79"/>
        <v>141.300702083511</v>
      </c>
    </row>
    <row r="2452" spans="2:6">
      <c r="B2452" s="189">
        <v>38925</v>
      </c>
      <c r="C2452" s="2">
        <v>20827.37</v>
      </c>
      <c r="D2452" s="1196">
        <f t="shared" si="78"/>
        <v>160.85209083923186</v>
      </c>
      <c r="E2452" s="2">
        <v>994.22</v>
      </c>
      <c r="F2452" s="1196">
        <f t="shared" si="79"/>
        <v>141.300702083511</v>
      </c>
    </row>
    <row r="2453" spans="2:6">
      <c r="B2453" s="189">
        <v>38924</v>
      </c>
      <c r="C2453" s="2">
        <v>20553.849999999999</v>
      </c>
      <c r="D2453" s="1196">
        <f t="shared" si="78"/>
        <v>158.73966551206155</v>
      </c>
      <c r="E2453" s="2">
        <v>994.22</v>
      </c>
      <c r="F2453" s="1196">
        <f t="shared" si="79"/>
        <v>141.300702083511</v>
      </c>
    </row>
    <row r="2454" spans="2:6">
      <c r="B2454" s="189">
        <v>38923</v>
      </c>
      <c r="C2454" s="2">
        <v>20413</v>
      </c>
      <c r="D2454" s="1196">
        <f t="shared" si="78"/>
        <v>157.65186532438997</v>
      </c>
      <c r="E2454" s="2">
        <v>975.87</v>
      </c>
      <c r="F2454" s="1196">
        <f t="shared" si="79"/>
        <v>138.69276029675109</v>
      </c>
    </row>
    <row r="2455" spans="2:6">
      <c r="B2455" s="189">
        <v>38922</v>
      </c>
      <c r="C2455" s="2">
        <v>20358.87</v>
      </c>
      <c r="D2455" s="1196">
        <f t="shared" si="78"/>
        <v>157.23381332468344</v>
      </c>
      <c r="E2455" s="2">
        <v>961.67</v>
      </c>
      <c r="F2455" s="1196">
        <f t="shared" si="79"/>
        <v>136.67462550808676</v>
      </c>
    </row>
    <row r="2456" spans="2:6">
      <c r="B2456" s="189">
        <v>38919</v>
      </c>
      <c r="C2456" s="2">
        <v>20179.650000000001</v>
      </c>
      <c r="D2456" s="1196">
        <f t="shared" si="78"/>
        <v>155.849677367037</v>
      </c>
      <c r="E2456" s="2">
        <v>994.22</v>
      </c>
      <c r="F2456" s="1196">
        <f t="shared" si="79"/>
        <v>141.300702083511</v>
      </c>
    </row>
    <row r="2457" spans="2:6">
      <c r="B2457" s="189">
        <v>38918</v>
      </c>
      <c r="C2457" s="2">
        <v>20520.86</v>
      </c>
      <c r="D2457" s="1196">
        <f t="shared" si="78"/>
        <v>158.48488007939358</v>
      </c>
      <c r="E2457" s="2">
        <v>994.22</v>
      </c>
      <c r="F2457" s="1196">
        <f t="shared" si="79"/>
        <v>141.300702083511</v>
      </c>
    </row>
    <row r="2458" spans="2:6">
      <c r="B2458" s="189">
        <v>38917</v>
      </c>
      <c r="C2458" s="2">
        <v>20795.599999999999</v>
      </c>
      <c r="D2458" s="1196">
        <f t="shared" si="78"/>
        <v>160.60672760201265</v>
      </c>
      <c r="E2458" s="2">
        <v>994.22</v>
      </c>
      <c r="F2458" s="1196">
        <f t="shared" si="79"/>
        <v>141.300702083511</v>
      </c>
    </row>
    <row r="2459" spans="2:6">
      <c r="B2459" s="189">
        <v>38916</v>
      </c>
      <c r="C2459" s="2">
        <v>20242.57</v>
      </c>
      <c r="D2459" s="1196">
        <f t="shared" si="78"/>
        <v>156.3356155126408</v>
      </c>
      <c r="E2459" s="2">
        <v>961.67</v>
      </c>
      <c r="F2459" s="1196">
        <f t="shared" si="79"/>
        <v>136.67462550808676</v>
      </c>
    </row>
    <row r="2460" spans="2:6">
      <c r="B2460" s="189">
        <v>38915</v>
      </c>
      <c r="C2460" s="2">
        <v>20268.57</v>
      </c>
      <c r="D2460" s="1196">
        <f t="shared" si="78"/>
        <v>156.53641639925397</v>
      </c>
      <c r="E2460" s="2">
        <v>961.67</v>
      </c>
      <c r="F2460" s="1196">
        <f t="shared" si="79"/>
        <v>136.67462550808676</v>
      </c>
    </row>
    <row r="2461" spans="2:6">
      <c r="B2461" s="189">
        <v>38912</v>
      </c>
      <c r="C2461" s="2">
        <v>20676.2</v>
      </c>
      <c r="D2461" s="1196">
        <f t="shared" si="78"/>
        <v>159.68458814579688</v>
      </c>
      <c r="E2461" s="2">
        <v>976.46</v>
      </c>
      <c r="F2461" s="1196">
        <f t="shared" si="79"/>
        <v>138.77661237599841</v>
      </c>
    </row>
    <row r="2462" spans="2:6">
      <c r="B2462" s="189">
        <v>38911</v>
      </c>
      <c r="C2462" s="2">
        <v>20963.97</v>
      </c>
      <c r="D2462" s="1196">
        <f t="shared" si="78"/>
        <v>161.90706780505323</v>
      </c>
      <c r="E2462" s="2">
        <v>932.08</v>
      </c>
      <c r="F2462" s="1196">
        <f t="shared" si="79"/>
        <v>132.46923055058127</v>
      </c>
    </row>
    <row r="2463" spans="2:6">
      <c r="B2463" s="189">
        <v>38910</v>
      </c>
      <c r="C2463" s="2">
        <v>21591.68</v>
      </c>
      <c r="D2463" s="1196">
        <f t="shared" si="78"/>
        <v>166.75494182566621</v>
      </c>
      <c r="E2463" s="2">
        <v>926.16</v>
      </c>
      <c r="F2463" s="1196">
        <f t="shared" si="79"/>
        <v>131.62786731474375</v>
      </c>
    </row>
    <row r="2464" spans="2:6">
      <c r="B2464" s="189">
        <v>38909</v>
      </c>
      <c r="C2464" s="2">
        <v>21267.97</v>
      </c>
      <c r="D2464" s="1196">
        <f t="shared" si="78"/>
        <v>164.25489355622233</v>
      </c>
      <c r="E2464" s="2">
        <v>946.87</v>
      </c>
      <c r="F2464" s="1196">
        <f t="shared" si="79"/>
        <v>134.57121741849295</v>
      </c>
    </row>
    <row r="2465" spans="2:6">
      <c r="B2465" s="189">
        <v>38908</v>
      </c>
      <c r="C2465" s="2">
        <v>21346.57</v>
      </c>
      <c r="D2465" s="1196">
        <f t="shared" si="78"/>
        <v>164.86193008267591</v>
      </c>
      <c r="E2465" s="2">
        <v>946.87</v>
      </c>
      <c r="F2465" s="1196">
        <f t="shared" si="79"/>
        <v>134.57121741849295</v>
      </c>
    </row>
    <row r="2466" spans="2:6">
      <c r="B2466" s="189">
        <v>38905</v>
      </c>
      <c r="C2466" s="2">
        <v>21358.31</v>
      </c>
      <c r="D2466" s="1196">
        <f t="shared" si="78"/>
        <v>164.95259940609276</v>
      </c>
      <c r="E2466" s="2">
        <v>932.08</v>
      </c>
      <c r="F2466" s="1196">
        <f t="shared" si="79"/>
        <v>132.46923055058127</v>
      </c>
    </row>
    <row r="2467" spans="2:6">
      <c r="B2467" s="189">
        <v>38904</v>
      </c>
      <c r="C2467" s="2">
        <v>21243.83</v>
      </c>
      <c r="D2467" s="1196">
        <f t="shared" si="78"/>
        <v>164.06845765611305</v>
      </c>
      <c r="E2467" s="2">
        <v>932.08</v>
      </c>
      <c r="F2467" s="1196">
        <f t="shared" si="79"/>
        <v>132.46923055058127</v>
      </c>
    </row>
    <row r="2468" spans="2:6">
      <c r="B2468" s="189">
        <v>38903</v>
      </c>
      <c r="C2468" s="2">
        <v>20935.919999999998</v>
      </c>
      <c r="D2468" s="1196">
        <f t="shared" si="78"/>
        <v>161.69043454084172</v>
      </c>
      <c r="E2468" s="2">
        <v>932.08</v>
      </c>
      <c r="F2468" s="1196">
        <f t="shared" si="79"/>
        <v>132.46923055058127</v>
      </c>
    </row>
    <row r="2469" spans="2:6">
      <c r="B2469" s="189">
        <v>38902</v>
      </c>
      <c r="C2469" s="2">
        <v>21368.16</v>
      </c>
      <c r="D2469" s="1196">
        <f t="shared" si="78"/>
        <v>165.02867204967507</v>
      </c>
      <c r="E2469" s="2">
        <v>932.08</v>
      </c>
      <c r="F2469" s="1196">
        <f t="shared" si="79"/>
        <v>132.46923055058127</v>
      </c>
    </row>
    <row r="2470" spans="2:6">
      <c r="B2470" s="189">
        <v>38901</v>
      </c>
      <c r="C2470" s="2">
        <v>21400.43</v>
      </c>
      <c r="D2470" s="1196">
        <f t="shared" si="78"/>
        <v>165.27789684240605</v>
      </c>
      <c r="E2470" s="2">
        <v>932.08</v>
      </c>
      <c r="F2470" s="1196">
        <f t="shared" si="79"/>
        <v>132.46923055058127</v>
      </c>
    </row>
    <row r="2471" spans="2:6">
      <c r="B2471" s="189">
        <v>38898</v>
      </c>
      <c r="C2471" s="2">
        <v>21237.87</v>
      </c>
      <c r="D2471" s="1196">
        <f t="shared" si="78"/>
        <v>164.02242791441248</v>
      </c>
      <c r="E2471" s="2">
        <v>858.1</v>
      </c>
      <c r="F2471" s="1196">
        <f t="shared" si="79"/>
        <v>121.95503254597652</v>
      </c>
    </row>
    <row r="2472" spans="2:6">
      <c r="B2472" s="189">
        <v>38897</v>
      </c>
      <c r="C2472" s="2">
        <v>20763.89</v>
      </c>
      <c r="D2472" s="1196">
        <f t="shared" si="78"/>
        <v>160.36182775145485</v>
      </c>
      <c r="E2472" s="2">
        <v>858.1</v>
      </c>
      <c r="F2472" s="1196">
        <f t="shared" si="79"/>
        <v>121.95503254597652</v>
      </c>
    </row>
    <row r="2473" spans="2:6">
      <c r="B2473" s="189">
        <v>38896</v>
      </c>
      <c r="C2473" s="2">
        <v>20211.5</v>
      </c>
      <c r="D2473" s="1196">
        <f t="shared" si="78"/>
        <v>156.0956584531381</v>
      </c>
      <c r="E2473" s="2">
        <v>932.08</v>
      </c>
      <c r="F2473" s="1196">
        <f t="shared" si="79"/>
        <v>132.46923055058127</v>
      </c>
    </row>
    <row r="2474" spans="2:6">
      <c r="B2474" s="189">
        <v>38895</v>
      </c>
      <c r="C2474" s="2">
        <v>20229.580000000002</v>
      </c>
      <c r="D2474" s="1196">
        <f t="shared" si="78"/>
        <v>156.23529230044448</v>
      </c>
      <c r="E2474" s="2">
        <v>932.08</v>
      </c>
      <c r="F2474" s="1196">
        <f t="shared" si="79"/>
        <v>132.46923055058127</v>
      </c>
    </row>
    <row r="2475" spans="2:6">
      <c r="B2475" s="189">
        <v>38894</v>
      </c>
      <c r="C2475" s="2">
        <v>20310.79</v>
      </c>
      <c r="D2475" s="1196">
        <f t="shared" si="78"/>
        <v>156.86248614666962</v>
      </c>
      <c r="E2475" s="2">
        <v>923.2</v>
      </c>
      <c r="F2475" s="1196">
        <f t="shared" si="79"/>
        <v>131.20718569682498</v>
      </c>
    </row>
    <row r="2476" spans="2:6">
      <c r="B2476" s="189">
        <v>38891</v>
      </c>
      <c r="C2476" s="2">
        <v>20499.830000000002</v>
      </c>
      <c r="D2476" s="1196">
        <f t="shared" si="78"/>
        <v>158.32246305456766</v>
      </c>
      <c r="E2476" s="2">
        <v>923.2</v>
      </c>
      <c r="F2476" s="1196">
        <f t="shared" si="79"/>
        <v>131.20718569682498</v>
      </c>
    </row>
    <row r="2477" spans="2:6">
      <c r="B2477" s="189">
        <v>38890</v>
      </c>
      <c r="C2477" s="2">
        <v>20696.66</v>
      </c>
      <c r="D2477" s="1196">
        <f t="shared" si="78"/>
        <v>159.84260299733938</v>
      </c>
      <c r="E2477" s="2">
        <v>914.41</v>
      </c>
      <c r="F2477" s="1196">
        <f t="shared" si="79"/>
        <v>129.95793183820811</v>
      </c>
    </row>
    <row r="2478" spans="2:6">
      <c r="B2478" s="189">
        <v>38889</v>
      </c>
      <c r="C2478" s="2">
        <v>20676.72</v>
      </c>
      <c r="D2478" s="1196">
        <f t="shared" si="78"/>
        <v>159.68860416352916</v>
      </c>
      <c r="E2478" s="2">
        <v>914.41</v>
      </c>
      <c r="F2478" s="1196">
        <f t="shared" si="79"/>
        <v>129.95793183820811</v>
      </c>
    </row>
    <row r="2479" spans="2:6">
      <c r="B2479" s="189">
        <v>38888</v>
      </c>
      <c r="C2479" s="2">
        <v>20282.52</v>
      </c>
      <c r="D2479" s="1196">
        <f t="shared" si="78"/>
        <v>156.64415379803293</v>
      </c>
      <c r="E2479" s="2">
        <v>908.55</v>
      </c>
      <c r="F2479" s="1196">
        <f t="shared" si="79"/>
        <v>129.12509593246352</v>
      </c>
    </row>
    <row r="2480" spans="2:6">
      <c r="B2480" s="189">
        <v>38887</v>
      </c>
      <c r="C2480" s="2">
        <v>19891.03</v>
      </c>
      <c r="D2480" s="1196">
        <f t="shared" si="78"/>
        <v>153.62063306341059</v>
      </c>
      <c r="E2480" s="2">
        <v>896.82</v>
      </c>
      <c r="F2480" s="1196">
        <f t="shared" si="79"/>
        <v>127.45800289929224</v>
      </c>
    </row>
    <row r="2481" spans="2:6">
      <c r="B2481" s="189">
        <v>38883</v>
      </c>
      <c r="C2481" s="2">
        <v>19698.939999999999</v>
      </c>
      <c r="D2481" s="1196">
        <f t="shared" si="78"/>
        <v>152.13710066689063</v>
      </c>
      <c r="E2481" s="2">
        <v>893.89</v>
      </c>
      <c r="F2481" s="1196">
        <f t="shared" si="79"/>
        <v>127.04158494641995</v>
      </c>
    </row>
    <row r="2482" spans="2:6">
      <c r="B2482" s="189">
        <v>38882</v>
      </c>
      <c r="C2482" s="2">
        <v>18753.72</v>
      </c>
      <c r="D2482" s="1196">
        <f t="shared" si="78"/>
        <v>144.83706166517999</v>
      </c>
      <c r="E2482" s="2">
        <v>879.24</v>
      </c>
      <c r="F2482" s="1196">
        <f t="shared" si="79"/>
        <v>124.95949518205849</v>
      </c>
    </row>
    <row r="2483" spans="2:6">
      <c r="B2483" s="189">
        <v>38881</v>
      </c>
      <c r="C2483" s="2">
        <v>18380.060000000001</v>
      </c>
      <c r="D2483" s="1196">
        <f t="shared" si="78"/>
        <v>141.95124400010815</v>
      </c>
      <c r="E2483" s="2">
        <v>908.55</v>
      </c>
      <c r="F2483" s="1196">
        <f t="shared" si="79"/>
        <v>129.12509593246352</v>
      </c>
    </row>
    <row r="2484" spans="2:6">
      <c r="B2484" s="189">
        <v>38880</v>
      </c>
      <c r="C2484" s="2">
        <v>19140.060000000001</v>
      </c>
      <c r="D2484" s="1196">
        <f t="shared" si="78"/>
        <v>147.82080837803085</v>
      </c>
      <c r="E2484" s="2">
        <v>908.55</v>
      </c>
      <c r="F2484" s="1196">
        <f t="shared" si="79"/>
        <v>129.12509593246352</v>
      </c>
    </row>
    <row r="2485" spans="2:6">
      <c r="B2485" s="189">
        <v>38877</v>
      </c>
      <c r="C2485" s="2">
        <v>19324.72</v>
      </c>
      <c r="D2485" s="1196">
        <f t="shared" si="78"/>
        <v>149.24695805964561</v>
      </c>
      <c r="E2485" s="2">
        <v>908.55</v>
      </c>
      <c r="F2485" s="1196">
        <f t="shared" si="79"/>
        <v>129.12509593246352</v>
      </c>
    </row>
    <row r="2486" spans="2:6">
      <c r="B2486" s="189">
        <v>38876</v>
      </c>
      <c r="C2486" s="2">
        <v>18414.689999999999</v>
      </c>
      <c r="D2486" s="1196">
        <f t="shared" si="78"/>
        <v>142.21869533485477</v>
      </c>
      <c r="E2486" s="2">
        <v>920.27</v>
      </c>
      <c r="F2486" s="1196">
        <f t="shared" si="79"/>
        <v>130.7907677439527</v>
      </c>
    </row>
    <row r="2487" spans="2:6">
      <c r="B2487" s="189">
        <v>38875</v>
      </c>
      <c r="C2487" s="2">
        <v>19690.8</v>
      </c>
      <c r="D2487" s="1196">
        <f t="shared" si="78"/>
        <v>152.07423454315867</v>
      </c>
      <c r="E2487" s="2">
        <v>908.55</v>
      </c>
      <c r="F2487" s="1196">
        <f t="shared" si="79"/>
        <v>129.12509593246352</v>
      </c>
    </row>
    <row r="2488" spans="2:6">
      <c r="B2488" s="189">
        <v>38874</v>
      </c>
      <c r="C2488" s="2">
        <v>20007.75</v>
      </c>
      <c r="D2488" s="1196">
        <f t="shared" si="78"/>
        <v>154.52207458208315</v>
      </c>
      <c r="E2488" s="2">
        <v>914.41</v>
      </c>
      <c r="F2488" s="1196">
        <f t="shared" si="79"/>
        <v>129.95793183820811</v>
      </c>
    </row>
    <row r="2489" spans="2:6">
      <c r="B2489" s="189">
        <v>38873</v>
      </c>
      <c r="C2489" s="2">
        <v>20856.419999999998</v>
      </c>
      <c r="D2489" s="1196">
        <f t="shared" si="78"/>
        <v>161.07644721446692</v>
      </c>
      <c r="E2489" s="2">
        <v>908.55</v>
      </c>
      <c r="F2489" s="1196">
        <f t="shared" si="79"/>
        <v>129.12509593246352</v>
      </c>
    </row>
    <row r="2490" spans="2:6">
      <c r="B2490" s="189">
        <v>38870</v>
      </c>
      <c r="C2490" s="2">
        <v>20874.86</v>
      </c>
      <c r="D2490" s="1196">
        <f t="shared" si="78"/>
        <v>161.21886138174179</v>
      </c>
      <c r="E2490" s="2">
        <v>902.69</v>
      </c>
      <c r="F2490" s="1196">
        <f t="shared" si="79"/>
        <v>128.29226002671899</v>
      </c>
    </row>
    <row r="2491" spans="2:6">
      <c r="B2491" s="189">
        <v>38869</v>
      </c>
      <c r="C2491" s="2">
        <v>20358.25</v>
      </c>
      <c r="D2491" s="1196">
        <f t="shared" si="78"/>
        <v>157.22902499584882</v>
      </c>
      <c r="E2491" s="2">
        <v>907.96</v>
      </c>
      <c r="F2491" s="1196">
        <f t="shared" si="79"/>
        <v>129.04124385321623</v>
      </c>
    </row>
    <row r="2492" spans="2:6">
      <c r="B2492" s="189">
        <v>38868</v>
      </c>
      <c r="C2492" s="2">
        <v>20565.46</v>
      </c>
      <c r="D2492" s="1196">
        <f t="shared" si="78"/>
        <v>158.82933083104535</v>
      </c>
      <c r="E2492" s="2">
        <v>879.24</v>
      </c>
      <c r="F2492" s="1196">
        <f t="shared" si="79"/>
        <v>124.95949518205849</v>
      </c>
    </row>
    <row r="2493" spans="2:6">
      <c r="B2493" s="189">
        <v>38867</v>
      </c>
      <c r="C2493" s="2">
        <v>20473.97</v>
      </c>
      <c r="D2493" s="1196">
        <f t="shared" si="78"/>
        <v>158.12274340349782</v>
      </c>
      <c r="E2493" s="2">
        <v>879.24</v>
      </c>
      <c r="F2493" s="1196">
        <f t="shared" si="79"/>
        <v>124.95949518205849</v>
      </c>
    </row>
    <row r="2494" spans="2:6">
      <c r="B2494" s="189">
        <v>38866</v>
      </c>
      <c r="C2494" s="2">
        <v>20829.18</v>
      </c>
      <c r="D2494" s="1196">
        <f t="shared" si="78"/>
        <v>160.86606967018454</v>
      </c>
      <c r="E2494" s="2">
        <v>896.82</v>
      </c>
      <c r="F2494" s="1196">
        <f t="shared" si="79"/>
        <v>127.45800289929224</v>
      </c>
    </row>
    <row r="2495" spans="2:6">
      <c r="B2495" s="189">
        <v>38863</v>
      </c>
      <c r="C2495" s="2">
        <v>20696.16</v>
      </c>
      <c r="D2495" s="1196">
        <f t="shared" si="78"/>
        <v>159.83874144182758</v>
      </c>
      <c r="E2495" s="2">
        <v>885.1</v>
      </c>
      <c r="F2495" s="1196">
        <f t="shared" si="79"/>
        <v>125.79233108780308</v>
      </c>
    </row>
    <row r="2496" spans="2:6">
      <c r="B2496" s="189">
        <v>38862</v>
      </c>
      <c r="C2496" s="2">
        <v>20026.38</v>
      </c>
      <c r="D2496" s="1196">
        <f t="shared" si="78"/>
        <v>154.66595614045252</v>
      </c>
      <c r="E2496" s="2">
        <v>908.55</v>
      </c>
      <c r="F2496" s="1196">
        <f t="shared" si="79"/>
        <v>129.12509593246352</v>
      </c>
    </row>
    <row r="2497" spans="2:6">
      <c r="B2497" s="189">
        <v>38861</v>
      </c>
      <c r="C2497" s="2">
        <v>20014.29</v>
      </c>
      <c r="D2497" s="1196">
        <f t="shared" si="78"/>
        <v>154.57258372817739</v>
      </c>
      <c r="E2497" s="2">
        <v>879.24</v>
      </c>
      <c r="F2497" s="1196">
        <f t="shared" si="79"/>
        <v>124.95949518205849</v>
      </c>
    </row>
    <row r="2498" spans="2:6">
      <c r="B2498" s="189">
        <v>38860</v>
      </c>
      <c r="C2498" s="2">
        <v>20394.580000000002</v>
      </c>
      <c r="D2498" s="1196">
        <f t="shared" si="78"/>
        <v>157.50960561933562</v>
      </c>
      <c r="E2498" s="2">
        <v>879.24</v>
      </c>
      <c r="F2498" s="1196">
        <f t="shared" si="79"/>
        <v>124.95949518205849</v>
      </c>
    </row>
    <row r="2499" spans="2:6">
      <c r="B2499" s="189">
        <v>38859</v>
      </c>
      <c r="C2499" s="2">
        <v>19641.52</v>
      </c>
      <c r="D2499" s="1196">
        <f t="shared" si="78"/>
        <v>151.69363963191654</v>
      </c>
      <c r="E2499" s="2">
        <v>879.24</v>
      </c>
      <c r="F2499" s="1196">
        <f t="shared" si="79"/>
        <v>124.95949518205849</v>
      </c>
    </row>
    <row r="2500" spans="2:6">
      <c r="B2500" s="189">
        <v>38856</v>
      </c>
      <c r="C2500" s="2">
        <v>20199.75</v>
      </c>
      <c r="D2500" s="1196">
        <f t="shared" si="78"/>
        <v>156.004911898611</v>
      </c>
      <c r="E2500" s="2">
        <v>899.76</v>
      </c>
      <c r="F2500" s="1196">
        <f t="shared" si="79"/>
        <v>127.87584207384668</v>
      </c>
    </row>
    <row r="2501" spans="2:6">
      <c r="B2501" s="189">
        <v>38855</v>
      </c>
      <c r="C2501" s="2">
        <v>20373.330000000002</v>
      </c>
      <c r="D2501" s="1196">
        <f t="shared" si="78"/>
        <v>157.34548951008446</v>
      </c>
      <c r="E2501" s="2">
        <v>890.96</v>
      </c>
      <c r="F2501" s="1196">
        <f t="shared" si="79"/>
        <v>126.62516699354767</v>
      </c>
    </row>
    <row r="2502" spans="2:6">
      <c r="B2502" s="189">
        <v>38854</v>
      </c>
      <c r="C2502" s="2">
        <v>20652.61</v>
      </c>
      <c r="D2502" s="1196">
        <f t="shared" si="78"/>
        <v>159.50239995675059</v>
      </c>
      <c r="E2502" s="2">
        <v>899.76</v>
      </c>
      <c r="F2502" s="1196">
        <f t="shared" si="79"/>
        <v>127.87584207384668</v>
      </c>
    </row>
    <row r="2503" spans="2:6">
      <c r="B2503" s="189">
        <v>38853</v>
      </c>
      <c r="C2503" s="2">
        <v>20812.95</v>
      </c>
      <c r="D2503" s="1196">
        <f t="shared" si="78"/>
        <v>160.7407235782718</v>
      </c>
      <c r="E2503" s="2">
        <v>899.76</v>
      </c>
      <c r="F2503" s="1196">
        <f t="shared" si="79"/>
        <v>127.87584207384668</v>
      </c>
    </row>
    <row r="2504" spans="2:6">
      <c r="B2504" s="189">
        <v>38852</v>
      </c>
      <c r="C2504" s="2">
        <v>20974.14</v>
      </c>
      <c r="D2504" s="1196">
        <f t="shared" si="78"/>
        <v>161.98561184416306</v>
      </c>
      <c r="E2504" s="2">
        <v>902.69</v>
      </c>
      <c r="F2504" s="1196">
        <f t="shared" si="79"/>
        <v>128.29226002671899</v>
      </c>
    </row>
    <row r="2505" spans="2:6">
      <c r="B2505" s="189">
        <v>38849</v>
      </c>
      <c r="C2505" s="2">
        <v>21781.46</v>
      </c>
      <c r="D2505" s="1196">
        <f t="shared" si="78"/>
        <v>168.22063383572171</v>
      </c>
      <c r="E2505" s="2">
        <v>902.69</v>
      </c>
      <c r="F2505" s="1196">
        <f t="shared" si="79"/>
        <v>128.29226002671899</v>
      </c>
    </row>
    <row r="2506" spans="2:6">
      <c r="B2506" s="189">
        <v>38848</v>
      </c>
      <c r="C2506" s="2">
        <v>22094.12</v>
      </c>
      <c r="D2506" s="1196">
        <f t="shared" si="78"/>
        <v>170.63534172835503</v>
      </c>
      <c r="E2506" s="2">
        <v>879.24</v>
      </c>
      <c r="F2506" s="1196">
        <f t="shared" si="79"/>
        <v>124.95949518205849</v>
      </c>
    </row>
    <row r="2507" spans="2:6">
      <c r="B2507" s="189">
        <v>38847</v>
      </c>
      <c r="C2507" s="2">
        <v>22024.03</v>
      </c>
      <c r="D2507" s="1196">
        <f t="shared" si="78"/>
        <v>170.09402887671212</v>
      </c>
      <c r="E2507" s="2">
        <v>926.13</v>
      </c>
      <c r="F2507" s="1196">
        <f t="shared" si="79"/>
        <v>131.62360364969729</v>
      </c>
    </row>
    <row r="2508" spans="2:6">
      <c r="B2508" s="189">
        <v>38846</v>
      </c>
      <c r="C2508" s="2">
        <v>21913.55</v>
      </c>
      <c r="D2508" s="1196">
        <f t="shared" ref="D2508:D2571" si="80">C2508/$C$2759*100</f>
        <v>169.24077957082673</v>
      </c>
      <c r="E2508" s="2">
        <v>893.89</v>
      </c>
      <c r="F2508" s="1196">
        <f t="shared" ref="F2508:F2571" si="81">E2508/$E$2759*100</f>
        <v>127.04158494641995</v>
      </c>
    </row>
    <row r="2509" spans="2:6">
      <c r="B2509" s="189">
        <v>38845</v>
      </c>
      <c r="C2509" s="2">
        <v>21756.9</v>
      </c>
      <c r="D2509" s="1196">
        <f t="shared" si="80"/>
        <v>168.03095422898252</v>
      </c>
      <c r="E2509" s="2">
        <v>885.1</v>
      </c>
      <c r="F2509" s="1196">
        <f t="shared" si="81"/>
        <v>125.79233108780308</v>
      </c>
    </row>
    <row r="2510" spans="2:6">
      <c r="B2510" s="189">
        <v>38842</v>
      </c>
      <c r="C2510" s="2">
        <v>21822.240000000002</v>
      </c>
      <c r="D2510" s="1196">
        <f t="shared" si="80"/>
        <v>168.53558230326342</v>
      </c>
      <c r="E2510" s="2">
        <v>879.24</v>
      </c>
      <c r="F2510" s="1196">
        <f t="shared" si="81"/>
        <v>124.95949518205849</v>
      </c>
    </row>
    <row r="2511" spans="2:6">
      <c r="B2511" s="189">
        <v>38841</v>
      </c>
      <c r="C2511" s="2">
        <v>21525.35</v>
      </c>
      <c r="D2511" s="1196">
        <f t="shared" si="80"/>
        <v>166.24266787147198</v>
      </c>
      <c r="E2511" s="2">
        <v>893.89</v>
      </c>
      <c r="F2511" s="1196">
        <f t="shared" si="81"/>
        <v>127.04158494641995</v>
      </c>
    </row>
    <row r="2512" spans="2:6">
      <c r="B2512" s="189">
        <v>38840</v>
      </c>
      <c r="C2512" s="2">
        <v>21362.71</v>
      </c>
      <c r="D2512" s="1196">
        <f t="shared" si="80"/>
        <v>164.98658109459652</v>
      </c>
      <c r="E2512" s="2">
        <v>893.89</v>
      </c>
      <c r="F2512" s="1196">
        <f t="shared" si="81"/>
        <v>127.04158494641995</v>
      </c>
    </row>
    <row r="2513" spans="2:6">
      <c r="B2513" s="189">
        <v>38839</v>
      </c>
      <c r="C2513" s="2">
        <v>21394.18</v>
      </c>
      <c r="D2513" s="1196">
        <f t="shared" si="80"/>
        <v>165.22962739850868</v>
      </c>
      <c r="E2513" s="2">
        <v>893.89</v>
      </c>
      <c r="F2513" s="1196">
        <f t="shared" si="81"/>
        <v>127.04158494641995</v>
      </c>
    </row>
    <row r="2514" spans="2:6">
      <c r="B2514" s="189">
        <v>38835</v>
      </c>
      <c r="C2514" s="2">
        <v>21135.51</v>
      </c>
      <c r="D2514" s="1196">
        <f t="shared" si="80"/>
        <v>163.23189027003858</v>
      </c>
      <c r="E2514" s="2">
        <v>937.86</v>
      </c>
      <c r="F2514" s="1196">
        <f t="shared" si="81"/>
        <v>133.2906966828686</v>
      </c>
    </row>
    <row r="2515" spans="2:6">
      <c r="B2515" s="189">
        <v>38833</v>
      </c>
      <c r="C2515" s="2">
        <v>21353.95</v>
      </c>
      <c r="D2515" s="1196">
        <f t="shared" si="80"/>
        <v>164.91892664202996</v>
      </c>
      <c r="E2515" s="2">
        <v>938.44</v>
      </c>
      <c r="F2515" s="1196">
        <f t="shared" si="81"/>
        <v>133.37312754043376</v>
      </c>
    </row>
    <row r="2516" spans="2:6">
      <c r="B2516" s="189">
        <v>38832</v>
      </c>
      <c r="C2516" s="2">
        <v>21030.74</v>
      </c>
      <c r="D2516" s="1196">
        <f t="shared" si="80"/>
        <v>162.42273992809785</v>
      </c>
      <c r="E2516" s="2">
        <v>937.86</v>
      </c>
      <c r="F2516" s="1196">
        <f t="shared" si="81"/>
        <v>133.2906966828686</v>
      </c>
    </row>
    <row r="2517" spans="2:6">
      <c r="B2517" s="189">
        <v>38831</v>
      </c>
      <c r="C2517" s="2">
        <v>21046.62</v>
      </c>
      <c r="D2517" s="1196">
        <f t="shared" si="80"/>
        <v>162.54538293115232</v>
      </c>
      <c r="E2517" s="2">
        <v>943.72</v>
      </c>
      <c r="F2517" s="1196">
        <f t="shared" si="81"/>
        <v>134.12353258861319</v>
      </c>
    </row>
    <row r="2518" spans="2:6">
      <c r="B2518" s="189">
        <v>38828</v>
      </c>
      <c r="C2518" s="2">
        <v>21029.02</v>
      </c>
      <c r="D2518" s="1196">
        <f t="shared" si="80"/>
        <v>162.40945617713729</v>
      </c>
      <c r="E2518" s="2">
        <v>920.27</v>
      </c>
      <c r="F2518" s="1196">
        <f t="shared" si="81"/>
        <v>130.7907677439527</v>
      </c>
    </row>
    <row r="2519" spans="2:6">
      <c r="B2519" s="189">
        <v>38827</v>
      </c>
      <c r="C2519" s="2">
        <v>20985.48</v>
      </c>
      <c r="D2519" s="1196">
        <f t="shared" si="80"/>
        <v>162.0731919231705</v>
      </c>
      <c r="E2519" s="2">
        <v>920.27</v>
      </c>
      <c r="F2519" s="1196">
        <f t="shared" si="81"/>
        <v>130.7907677439527</v>
      </c>
    </row>
    <row r="2520" spans="2:6">
      <c r="B2520" s="189">
        <v>38826</v>
      </c>
      <c r="C2520" s="2">
        <v>21100.61</v>
      </c>
      <c r="D2520" s="1196">
        <f t="shared" si="80"/>
        <v>162.96235369531556</v>
      </c>
      <c r="E2520" s="2">
        <v>892.13</v>
      </c>
      <c r="F2520" s="1196">
        <f t="shared" si="81"/>
        <v>126.79144993036013</v>
      </c>
    </row>
    <row r="2521" spans="2:6">
      <c r="B2521" s="189">
        <v>38825</v>
      </c>
      <c r="C2521" s="2">
        <v>20946.900000000001</v>
      </c>
      <c r="D2521" s="1196">
        <f t="shared" si="80"/>
        <v>161.77523429988071</v>
      </c>
      <c r="E2521" s="2">
        <v>867.52</v>
      </c>
      <c r="F2521" s="1196">
        <f t="shared" si="81"/>
        <v>123.29382337056933</v>
      </c>
    </row>
    <row r="2522" spans="2:6">
      <c r="B2522" s="189">
        <v>38820</v>
      </c>
      <c r="C2522" s="2">
        <v>20666.97</v>
      </c>
      <c r="D2522" s="1196">
        <f t="shared" si="80"/>
        <v>159.61330383104922</v>
      </c>
      <c r="E2522" s="2">
        <v>867.52</v>
      </c>
      <c r="F2522" s="1196">
        <f t="shared" si="81"/>
        <v>123.29382337056933</v>
      </c>
    </row>
    <row r="2523" spans="2:6">
      <c r="B2523" s="189">
        <v>38819</v>
      </c>
      <c r="C2523" s="2">
        <v>20722.88</v>
      </c>
      <c r="D2523" s="1196">
        <f t="shared" si="80"/>
        <v>160.04510296837773</v>
      </c>
      <c r="E2523" s="2">
        <v>861.65</v>
      </c>
      <c r="F2523" s="1196">
        <f t="shared" si="81"/>
        <v>122.4595662431426</v>
      </c>
    </row>
    <row r="2524" spans="2:6">
      <c r="B2524" s="189">
        <v>38818</v>
      </c>
      <c r="C2524" s="2">
        <v>20865.34</v>
      </c>
      <c r="D2524" s="1196">
        <f t="shared" si="80"/>
        <v>161.14533736479731</v>
      </c>
      <c r="E2524" s="2">
        <v>852.86</v>
      </c>
      <c r="F2524" s="1196">
        <f t="shared" si="81"/>
        <v>121.21031238452574</v>
      </c>
    </row>
    <row r="2525" spans="2:6">
      <c r="B2525" s="189">
        <v>38817</v>
      </c>
      <c r="C2525" s="2">
        <v>20725.8</v>
      </c>
      <c r="D2525" s="1196">
        <f t="shared" si="80"/>
        <v>160.06765445256659</v>
      </c>
      <c r="E2525" s="2">
        <v>858.72</v>
      </c>
      <c r="F2525" s="1196">
        <f t="shared" si="81"/>
        <v>122.04314829027032</v>
      </c>
    </row>
    <row r="2526" spans="2:6">
      <c r="B2526" s="189">
        <v>38814</v>
      </c>
      <c r="C2526" s="2">
        <v>20599.91</v>
      </c>
      <c r="D2526" s="1196">
        <f t="shared" si="80"/>
        <v>159.09539200580778</v>
      </c>
      <c r="E2526" s="2">
        <v>864.59</v>
      </c>
      <c r="F2526" s="1196">
        <f t="shared" si="81"/>
        <v>122.87740541769705</v>
      </c>
    </row>
    <row r="2527" spans="2:6">
      <c r="B2527" s="189">
        <v>38813</v>
      </c>
      <c r="C2527" s="2">
        <v>20631.27</v>
      </c>
      <c r="D2527" s="1196">
        <f t="shared" si="80"/>
        <v>159.33758876750736</v>
      </c>
      <c r="E2527" s="2">
        <v>873.38</v>
      </c>
      <c r="F2527" s="1196">
        <f t="shared" si="81"/>
        <v>124.12665927631392</v>
      </c>
    </row>
    <row r="2528" spans="2:6">
      <c r="B2528" s="189">
        <v>38812</v>
      </c>
      <c r="C2528" s="2">
        <v>20685.330000000002</v>
      </c>
      <c r="D2528" s="1196">
        <f t="shared" si="80"/>
        <v>159.7551001494422</v>
      </c>
      <c r="E2528" s="2">
        <v>873.38</v>
      </c>
      <c r="F2528" s="1196">
        <f t="shared" si="81"/>
        <v>124.12665927631392</v>
      </c>
    </row>
    <row r="2529" spans="2:6">
      <c r="B2529" s="189">
        <v>38811</v>
      </c>
      <c r="C2529" s="2">
        <v>20647.599999999999</v>
      </c>
      <c r="D2529" s="1196">
        <f t="shared" si="80"/>
        <v>159.46370717052244</v>
      </c>
      <c r="E2529" s="2">
        <v>876.31</v>
      </c>
      <c r="F2529" s="1196">
        <f t="shared" si="81"/>
        <v>124.54307722918621</v>
      </c>
    </row>
    <row r="2530" spans="2:6">
      <c r="B2530" s="189">
        <v>38810</v>
      </c>
      <c r="C2530" s="2">
        <v>20711.75</v>
      </c>
      <c r="D2530" s="1196">
        <f t="shared" si="80"/>
        <v>159.95914474268525</v>
      </c>
      <c r="E2530" s="2">
        <v>876.31</v>
      </c>
      <c r="F2530" s="1196">
        <f t="shared" si="81"/>
        <v>124.54307722918621</v>
      </c>
    </row>
    <row r="2531" spans="2:6">
      <c r="B2531" s="189">
        <v>38807</v>
      </c>
      <c r="C2531" s="2">
        <v>20351.740000000002</v>
      </c>
      <c r="D2531" s="1196">
        <f t="shared" si="80"/>
        <v>157.17874754308531</v>
      </c>
      <c r="E2531" s="2">
        <v>879.24</v>
      </c>
      <c r="F2531" s="1196">
        <f t="shared" si="81"/>
        <v>124.95949518205849</v>
      </c>
    </row>
    <row r="2532" spans="2:6">
      <c r="B2532" s="189">
        <v>38806</v>
      </c>
      <c r="C2532" s="2">
        <v>20677.96</v>
      </c>
      <c r="D2532" s="1196">
        <f t="shared" si="80"/>
        <v>159.69818082119841</v>
      </c>
      <c r="E2532" s="2">
        <v>879.24</v>
      </c>
      <c r="F2532" s="1196">
        <f t="shared" si="81"/>
        <v>124.95949518205849</v>
      </c>
    </row>
    <row r="2533" spans="2:6">
      <c r="B2533" s="189">
        <v>38805</v>
      </c>
      <c r="C2533" s="2">
        <v>20327.64</v>
      </c>
      <c r="D2533" s="1196">
        <f t="shared" si="80"/>
        <v>156.99262056741696</v>
      </c>
      <c r="E2533" s="2">
        <v>908.55</v>
      </c>
      <c r="F2533" s="1196">
        <f t="shared" si="81"/>
        <v>129.12509593246352</v>
      </c>
    </row>
    <row r="2534" spans="2:6">
      <c r="B2534" s="189">
        <v>38804</v>
      </c>
      <c r="C2534" s="2">
        <v>20200.150000000001</v>
      </c>
      <c r="D2534" s="1196">
        <f t="shared" si="80"/>
        <v>156.00800114302044</v>
      </c>
      <c r="E2534" s="2">
        <v>882.17</v>
      </c>
      <c r="F2534" s="1196">
        <f t="shared" si="81"/>
        <v>125.37591313493077</v>
      </c>
    </row>
    <row r="2535" spans="2:6">
      <c r="B2535" s="189">
        <v>38803</v>
      </c>
      <c r="C2535" s="2">
        <v>20438.48</v>
      </c>
      <c r="D2535" s="1196">
        <f t="shared" si="80"/>
        <v>157.84865019327086</v>
      </c>
      <c r="E2535" s="2">
        <v>882.17</v>
      </c>
      <c r="F2535" s="1196">
        <f t="shared" si="81"/>
        <v>125.37591313493077</v>
      </c>
    </row>
    <row r="2536" spans="2:6">
      <c r="B2536" s="189">
        <v>38800</v>
      </c>
      <c r="C2536" s="2">
        <v>20320.490000000002</v>
      </c>
      <c r="D2536" s="1196">
        <f t="shared" si="80"/>
        <v>156.93740032359838</v>
      </c>
      <c r="E2536" s="2">
        <v>879.24</v>
      </c>
      <c r="F2536" s="1196">
        <f t="shared" si="81"/>
        <v>124.95949518205849</v>
      </c>
    </row>
    <row r="2537" spans="2:6">
      <c r="B2537" s="189">
        <v>38799</v>
      </c>
      <c r="C2537" s="2">
        <v>20159.77</v>
      </c>
      <c r="D2537" s="1196">
        <f t="shared" si="80"/>
        <v>155.69614191988819</v>
      </c>
      <c r="E2537" s="2">
        <v>878.65</v>
      </c>
      <c r="F2537" s="1196">
        <f t="shared" si="81"/>
        <v>124.87564310281117</v>
      </c>
    </row>
    <row r="2538" spans="2:6">
      <c r="B2538" s="189">
        <v>38798</v>
      </c>
      <c r="C2538" s="2">
        <v>19991.48</v>
      </c>
      <c r="D2538" s="1196">
        <f t="shared" si="80"/>
        <v>154.39641956572947</v>
      </c>
      <c r="E2538" s="2">
        <v>867.52</v>
      </c>
      <c r="F2538" s="1196">
        <f t="shared" si="81"/>
        <v>123.29382337056933</v>
      </c>
    </row>
    <row r="2539" spans="2:6">
      <c r="B2539" s="189">
        <v>38796</v>
      </c>
      <c r="C2539" s="2">
        <v>20138.47</v>
      </c>
      <c r="D2539" s="1196">
        <f t="shared" si="80"/>
        <v>155.53163965508588</v>
      </c>
      <c r="E2539" s="2">
        <v>867.52</v>
      </c>
      <c r="F2539" s="1196">
        <f t="shared" si="81"/>
        <v>123.29382337056933</v>
      </c>
    </row>
    <row r="2540" spans="2:6">
      <c r="B2540" s="189">
        <v>38793</v>
      </c>
      <c r="C2540" s="2">
        <v>19820.669999999998</v>
      </c>
      <c r="D2540" s="1196">
        <f t="shared" si="80"/>
        <v>153.07723497179134</v>
      </c>
      <c r="E2540" s="2">
        <v>849.93</v>
      </c>
      <c r="F2540" s="1196">
        <f t="shared" si="81"/>
        <v>120.79389443165344</v>
      </c>
    </row>
    <row r="2541" spans="2:6">
      <c r="B2541" s="189">
        <v>38792</v>
      </c>
      <c r="C2541" s="2">
        <v>19631.96</v>
      </c>
      <c r="D2541" s="1196">
        <f t="shared" si="80"/>
        <v>151.61980669053108</v>
      </c>
      <c r="E2541" s="2">
        <v>849.93</v>
      </c>
      <c r="F2541" s="1196">
        <f t="shared" si="81"/>
        <v>120.79389443165344</v>
      </c>
    </row>
    <row r="2542" spans="2:6">
      <c r="B2542" s="189">
        <v>38791</v>
      </c>
      <c r="C2542" s="2">
        <v>19692.84</v>
      </c>
      <c r="D2542" s="1196">
        <f t="shared" si="80"/>
        <v>152.08998968964679</v>
      </c>
      <c r="E2542" s="2">
        <v>838.21</v>
      </c>
      <c r="F2542" s="1196">
        <f t="shared" si="81"/>
        <v>119.12822262016429</v>
      </c>
    </row>
    <row r="2543" spans="2:6">
      <c r="B2543" s="189">
        <v>38790</v>
      </c>
      <c r="C2543" s="2">
        <v>19289.68</v>
      </c>
      <c r="D2543" s="1196">
        <f t="shared" si="80"/>
        <v>148.97634024937926</v>
      </c>
      <c r="E2543" s="2">
        <v>849.93</v>
      </c>
      <c r="F2543" s="1196">
        <f t="shared" si="81"/>
        <v>120.79389443165344</v>
      </c>
    </row>
    <row r="2544" spans="2:6">
      <c r="B2544" s="189">
        <v>38789</v>
      </c>
      <c r="C2544" s="2">
        <v>18945.27</v>
      </c>
      <c r="D2544" s="1196">
        <f t="shared" si="80"/>
        <v>146.31642358174722</v>
      </c>
      <c r="E2544" s="2">
        <v>838.21</v>
      </c>
      <c r="F2544" s="1196">
        <f t="shared" si="81"/>
        <v>119.12822262016429</v>
      </c>
    </row>
    <row r="2545" spans="2:6">
      <c r="B2545" s="189">
        <v>38786</v>
      </c>
      <c r="C2545" s="2">
        <v>18753.05</v>
      </c>
      <c r="D2545" s="1196">
        <f t="shared" si="80"/>
        <v>144.83188718079415</v>
      </c>
      <c r="E2545" s="2">
        <v>849.93</v>
      </c>
      <c r="F2545" s="1196">
        <f t="shared" si="81"/>
        <v>120.79389443165344</v>
      </c>
    </row>
    <row r="2546" spans="2:6">
      <c r="B2546" s="189">
        <v>38785</v>
      </c>
      <c r="C2546" s="2">
        <v>18818.919999999998</v>
      </c>
      <c r="D2546" s="1196">
        <f t="shared" si="80"/>
        <v>145.34060850391754</v>
      </c>
      <c r="E2546" s="2">
        <v>855.79</v>
      </c>
      <c r="F2546" s="1196">
        <f t="shared" si="81"/>
        <v>121.62673033739802</v>
      </c>
    </row>
    <row r="2547" spans="2:6">
      <c r="B2547" s="189">
        <v>38784</v>
      </c>
      <c r="C2547" s="2">
        <v>18540.599999999999</v>
      </c>
      <c r="D2547" s="1196">
        <f t="shared" si="80"/>
        <v>143.19111224383406</v>
      </c>
      <c r="E2547" s="2">
        <v>864.59</v>
      </c>
      <c r="F2547" s="1196">
        <f t="shared" si="81"/>
        <v>122.87740541769705</v>
      </c>
    </row>
    <row r="2548" spans="2:6">
      <c r="B2548" s="189">
        <v>38783</v>
      </c>
      <c r="C2548" s="2">
        <v>18626.23</v>
      </c>
      <c r="D2548" s="1196">
        <f t="shared" si="80"/>
        <v>143.85244224078343</v>
      </c>
      <c r="E2548" s="2">
        <v>864.59</v>
      </c>
      <c r="F2548" s="1196">
        <f t="shared" si="81"/>
        <v>122.87740541769705</v>
      </c>
    </row>
    <row r="2549" spans="2:6">
      <c r="B2549" s="189">
        <v>38782</v>
      </c>
      <c r="C2549" s="2">
        <v>19369.849999999999</v>
      </c>
      <c r="D2549" s="1196">
        <f t="shared" si="80"/>
        <v>149.59550206013986</v>
      </c>
      <c r="E2549" s="2">
        <v>867.52</v>
      </c>
      <c r="F2549" s="1196">
        <f t="shared" si="81"/>
        <v>123.29382337056933</v>
      </c>
    </row>
    <row r="2550" spans="2:6">
      <c r="B2550" s="189">
        <v>38779</v>
      </c>
      <c r="C2550" s="2">
        <v>19299.560000000001</v>
      </c>
      <c r="D2550" s="1196">
        <f t="shared" si="80"/>
        <v>149.05264458629227</v>
      </c>
      <c r="E2550" s="2">
        <v>864.59</v>
      </c>
      <c r="F2550" s="1196">
        <f t="shared" si="81"/>
        <v>122.87740541769705</v>
      </c>
    </row>
    <row r="2551" spans="2:6">
      <c r="B2551" s="189">
        <v>38778</v>
      </c>
      <c r="C2551" s="2">
        <v>19391.13</v>
      </c>
      <c r="D2551" s="1196">
        <f t="shared" si="80"/>
        <v>149.75984986272169</v>
      </c>
      <c r="E2551" s="2">
        <v>864.59</v>
      </c>
      <c r="F2551" s="1196">
        <f t="shared" si="81"/>
        <v>122.87740541769705</v>
      </c>
    </row>
    <row r="2552" spans="2:6">
      <c r="B2552" s="189">
        <v>38776</v>
      </c>
      <c r="C2552" s="2">
        <v>19085.349999999999</v>
      </c>
      <c r="D2552" s="1196">
        <f t="shared" si="80"/>
        <v>147.39827697393065</v>
      </c>
      <c r="E2552" s="2">
        <v>878.65</v>
      </c>
      <c r="F2552" s="1196">
        <f t="shared" si="81"/>
        <v>124.87564310281117</v>
      </c>
    </row>
    <row r="2553" spans="2:6">
      <c r="B2553" s="189">
        <v>38775</v>
      </c>
      <c r="C2553" s="2">
        <v>19657.52</v>
      </c>
      <c r="D2553" s="1196">
        <f t="shared" si="80"/>
        <v>151.81720940829388</v>
      </c>
      <c r="E2553" s="2">
        <v>879.24</v>
      </c>
      <c r="F2553" s="1196">
        <f t="shared" si="81"/>
        <v>124.95949518205849</v>
      </c>
    </row>
    <row r="2554" spans="2:6">
      <c r="B2554" s="189">
        <v>38772</v>
      </c>
      <c r="C2554" s="2">
        <v>19486.12</v>
      </c>
      <c r="D2554" s="1196">
        <f t="shared" si="80"/>
        <v>150.4934681788518</v>
      </c>
      <c r="E2554" s="2">
        <v>879.83</v>
      </c>
      <c r="F2554" s="1196">
        <f t="shared" si="81"/>
        <v>125.04334726130581</v>
      </c>
    </row>
    <row r="2555" spans="2:6">
      <c r="B2555" s="189">
        <v>38771</v>
      </c>
      <c r="C2555" s="2">
        <v>19660.2</v>
      </c>
      <c r="D2555" s="1196">
        <f t="shared" si="80"/>
        <v>151.83790734583707</v>
      </c>
      <c r="E2555" s="2">
        <v>879.83</v>
      </c>
      <c r="F2555" s="1196">
        <f t="shared" si="81"/>
        <v>125.04334726130581</v>
      </c>
    </row>
    <row r="2556" spans="2:6">
      <c r="B2556" s="189">
        <v>38770</v>
      </c>
      <c r="C2556" s="2">
        <v>19684.45</v>
      </c>
      <c r="D2556" s="1196">
        <f t="shared" si="80"/>
        <v>152.02519278815893</v>
      </c>
      <c r="E2556" s="2">
        <v>879.24</v>
      </c>
      <c r="F2556" s="1196">
        <f t="shared" si="81"/>
        <v>124.95949518205849</v>
      </c>
    </row>
    <row r="2557" spans="2:6">
      <c r="B2557" s="189">
        <v>38769</v>
      </c>
      <c r="C2557" s="2">
        <v>19518.46</v>
      </c>
      <c r="D2557" s="1196">
        <f t="shared" si="80"/>
        <v>150.74323358935447</v>
      </c>
      <c r="E2557" s="2">
        <v>908.55</v>
      </c>
      <c r="F2557" s="1196">
        <f t="shared" si="81"/>
        <v>129.12509593246352</v>
      </c>
    </row>
    <row r="2558" spans="2:6">
      <c r="B2558" s="189">
        <v>38768</v>
      </c>
      <c r="C2558" s="2">
        <v>19388.64</v>
      </c>
      <c r="D2558" s="1196">
        <f t="shared" si="80"/>
        <v>149.74061931627298</v>
      </c>
      <c r="E2558" s="2">
        <v>893.89</v>
      </c>
      <c r="F2558" s="1196">
        <f t="shared" si="81"/>
        <v>127.04158494641995</v>
      </c>
    </row>
    <row r="2559" spans="2:6">
      <c r="B2559" s="189">
        <v>38765</v>
      </c>
      <c r="C2559" s="2">
        <v>19389.32</v>
      </c>
      <c r="D2559" s="1196">
        <f t="shared" si="80"/>
        <v>149.74587103176901</v>
      </c>
      <c r="E2559" s="2">
        <v>902.69</v>
      </c>
      <c r="F2559" s="1196">
        <f t="shared" si="81"/>
        <v>128.29226002671899</v>
      </c>
    </row>
    <row r="2560" spans="2:6">
      <c r="B2560" s="189">
        <v>38764</v>
      </c>
      <c r="C2560" s="2">
        <v>18665.13</v>
      </c>
      <c r="D2560" s="1196">
        <f t="shared" si="80"/>
        <v>144.1528712596008</v>
      </c>
      <c r="E2560" s="2">
        <v>908.55</v>
      </c>
      <c r="F2560" s="1196">
        <f t="shared" si="81"/>
        <v>129.12509593246352</v>
      </c>
    </row>
    <row r="2561" spans="2:6">
      <c r="B2561" s="189">
        <v>38763</v>
      </c>
      <c r="C2561" s="2">
        <v>18734.36</v>
      </c>
      <c r="D2561" s="1196">
        <f t="shared" si="80"/>
        <v>144.6875422357634</v>
      </c>
      <c r="E2561" s="2">
        <v>908.55</v>
      </c>
      <c r="F2561" s="1196">
        <f t="shared" si="81"/>
        <v>129.12509593246352</v>
      </c>
    </row>
    <row r="2562" spans="2:6">
      <c r="B2562" s="189">
        <v>38762</v>
      </c>
      <c r="C2562" s="2">
        <v>18750.43</v>
      </c>
      <c r="D2562" s="1196">
        <f t="shared" si="80"/>
        <v>144.81165262991237</v>
      </c>
      <c r="E2562" s="2">
        <v>923.2</v>
      </c>
      <c r="F2562" s="1196">
        <f t="shared" si="81"/>
        <v>131.20718569682498</v>
      </c>
    </row>
    <row r="2563" spans="2:6">
      <c r="B2563" s="189">
        <v>38761</v>
      </c>
      <c r="C2563" s="2">
        <v>18970.150000000001</v>
      </c>
      <c r="D2563" s="1196">
        <f t="shared" si="80"/>
        <v>146.50857458401393</v>
      </c>
      <c r="E2563" s="2">
        <v>926.13</v>
      </c>
      <c r="F2563" s="1196">
        <f t="shared" si="81"/>
        <v>131.62360364969729</v>
      </c>
    </row>
    <row r="2564" spans="2:6">
      <c r="B2564" s="189">
        <v>38758</v>
      </c>
      <c r="C2564" s="2">
        <v>19395.080000000002</v>
      </c>
      <c r="D2564" s="1196">
        <f t="shared" si="80"/>
        <v>149.79035615126489</v>
      </c>
      <c r="E2564" s="2">
        <v>923.2</v>
      </c>
      <c r="F2564" s="1196">
        <f t="shared" si="81"/>
        <v>131.20718569682498</v>
      </c>
    </row>
    <row r="2565" spans="2:6">
      <c r="B2565" s="189">
        <v>38757</v>
      </c>
      <c r="C2565" s="2">
        <v>19469.59</v>
      </c>
      <c r="D2565" s="1196">
        <f t="shared" si="80"/>
        <v>150.36580515363198</v>
      </c>
      <c r="E2565" s="2">
        <v>890.96</v>
      </c>
      <c r="F2565" s="1196">
        <f t="shared" si="81"/>
        <v>126.62516699354767</v>
      </c>
    </row>
    <row r="2566" spans="2:6">
      <c r="B2566" s="189">
        <v>38756</v>
      </c>
      <c r="C2566" s="2">
        <v>19201.3</v>
      </c>
      <c r="D2566" s="1196">
        <f t="shared" si="80"/>
        <v>148.29377169711503</v>
      </c>
      <c r="E2566" s="2">
        <v>907.96</v>
      </c>
      <c r="F2566" s="1196">
        <f t="shared" si="81"/>
        <v>129.04124385321623</v>
      </c>
    </row>
    <row r="2567" spans="2:6">
      <c r="B2567" s="189">
        <v>38755</v>
      </c>
      <c r="C2567" s="2">
        <v>19633.830000000002</v>
      </c>
      <c r="D2567" s="1196">
        <f t="shared" si="80"/>
        <v>151.6342489081452</v>
      </c>
      <c r="E2567" s="2">
        <v>896.82</v>
      </c>
      <c r="F2567" s="1196">
        <f t="shared" si="81"/>
        <v>127.45800289929224</v>
      </c>
    </row>
    <row r="2568" spans="2:6">
      <c r="B2568" s="189">
        <v>38754</v>
      </c>
      <c r="C2568" s="2">
        <v>19769.18</v>
      </c>
      <c r="D2568" s="1196">
        <f t="shared" si="80"/>
        <v>152.6795719851871</v>
      </c>
      <c r="E2568" s="2">
        <v>896.82</v>
      </c>
      <c r="F2568" s="1196">
        <f t="shared" si="81"/>
        <v>127.45800289929224</v>
      </c>
    </row>
    <row r="2569" spans="2:6">
      <c r="B2569" s="189">
        <v>38751</v>
      </c>
      <c r="C2569" s="2">
        <v>19505.990000000002</v>
      </c>
      <c r="D2569" s="1196">
        <f t="shared" si="80"/>
        <v>150.64692639489041</v>
      </c>
      <c r="E2569" s="2">
        <v>896.82</v>
      </c>
      <c r="F2569" s="1196">
        <f t="shared" si="81"/>
        <v>127.45800289929224</v>
      </c>
    </row>
    <row r="2570" spans="2:6">
      <c r="B2570" s="189">
        <v>38750</v>
      </c>
      <c r="C2570" s="2">
        <v>20076.7</v>
      </c>
      <c r="D2570" s="1196">
        <f t="shared" si="80"/>
        <v>155.05458308715919</v>
      </c>
      <c r="E2570" s="2">
        <v>908.55</v>
      </c>
      <c r="F2570" s="1196">
        <f t="shared" si="81"/>
        <v>129.12509593246352</v>
      </c>
    </row>
    <row r="2571" spans="2:6">
      <c r="B2571" s="189">
        <v>38749</v>
      </c>
      <c r="C2571" s="2">
        <v>20040.95</v>
      </c>
      <c r="D2571" s="1196">
        <f t="shared" si="80"/>
        <v>154.77848186806611</v>
      </c>
      <c r="E2571" s="2">
        <v>893.89</v>
      </c>
      <c r="F2571" s="1196">
        <f t="shared" si="81"/>
        <v>127.04158494641995</v>
      </c>
    </row>
    <row r="2572" spans="2:6">
      <c r="B2572" s="189">
        <v>38748</v>
      </c>
      <c r="C2572" s="2">
        <v>19745.16</v>
      </c>
      <c r="D2572" s="1196">
        <f t="shared" ref="D2572:D2635" si="82">C2572/$C$2759*100</f>
        <v>152.49406285840061</v>
      </c>
      <c r="E2572" s="2">
        <v>893.89</v>
      </c>
      <c r="F2572" s="1196">
        <f t="shared" ref="F2572:F2635" si="83">E2572/$E$2759*100</f>
        <v>127.04158494641995</v>
      </c>
    </row>
    <row r="2573" spans="2:6">
      <c r="B2573" s="189">
        <v>38747</v>
      </c>
      <c r="C2573" s="2">
        <v>19589.939999999999</v>
      </c>
      <c r="D2573" s="1196">
        <f t="shared" si="82"/>
        <v>151.29528156532012</v>
      </c>
      <c r="E2573" s="2">
        <v>885.1</v>
      </c>
      <c r="F2573" s="1196">
        <f t="shared" si="83"/>
        <v>125.79233108780308</v>
      </c>
    </row>
    <row r="2574" spans="2:6">
      <c r="B2574" s="189">
        <v>38744</v>
      </c>
      <c r="C2574" s="2">
        <v>19718.47</v>
      </c>
      <c r="D2574" s="1196">
        <f t="shared" si="82"/>
        <v>152.28793302518122</v>
      </c>
      <c r="E2574" s="2">
        <v>908.55</v>
      </c>
      <c r="F2574" s="1196">
        <f t="shared" si="83"/>
        <v>129.12509593246352</v>
      </c>
    </row>
    <row r="2575" spans="2:6">
      <c r="B2575" s="189">
        <v>38743</v>
      </c>
      <c r="C2575" s="2">
        <v>19414.12</v>
      </c>
      <c r="D2575" s="1196">
        <f t="shared" si="82"/>
        <v>149.93740418515387</v>
      </c>
      <c r="E2575" s="2">
        <v>908.55</v>
      </c>
      <c r="F2575" s="1196">
        <f t="shared" si="83"/>
        <v>129.12509593246352</v>
      </c>
    </row>
    <row r="2576" spans="2:6">
      <c r="B2576" s="189">
        <v>38742</v>
      </c>
      <c r="C2576" s="2">
        <v>19262.400000000001</v>
      </c>
      <c r="D2576" s="1196">
        <f t="shared" si="82"/>
        <v>148.76565378065592</v>
      </c>
      <c r="E2576" s="2">
        <v>902.69</v>
      </c>
      <c r="F2576" s="1196">
        <f t="shared" si="83"/>
        <v>128.29226002671899</v>
      </c>
    </row>
    <row r="2577" spans="2:6">
      <c r="B2577" s="189">
        <v>38741</v>
      </c>
      <c r="C2577" s="2">
        <v>19016.93</v>
      </c>
      <c r="D2577" s="1196">
        <f t="shared" si="82"/>
        <v>146.86986171769715</v>
      </c>
      <c r="E2577" s="2">
        <v>885.1</v>
      </c>
      <c r="F2577" s="1196">
        <f t="shared" si="83"/>
        <v>125.79233108780308</v>
      </c>
    </row>
    <row r="2578" spans="2:6">
      <c r="B2578" s="189">
        <v>38740</v>
      </c>
      <c r="C2578" s="2">
        <v>18797.95</v>
      </c>
      <c r="D2578" s="1196">
        <f t="shared" si="82"/>
        <v>145.17865486575303</v>
      </c>
      <c r="E2578" s="2">
        <v>885.1</v>
      </c>
      <c r="F2578" s="1196">
        <f t="shared" si="83"/>
        <v>125.79233108780308</v>
      </c>
    </row>
    <row r="2579" spans="2:6">
      <c r="B2579" s="189">
        <v>38737</v>
      </c>
      <c r="C2579" s="2">
        <v>18880.43</v>
      </c>
      <c r="D2579" s="1196">
        <f t="shared" si="82"/>
        <v>145.81565706297812</v>
      </c>
      <c r="E2579" s="2">
        <v>890.96</v>
      </c>
      <c r="F2579" s="1196">
        <f t="shared" si="83"/>
        <v>126.62516699354767</v>
      </c>
    </row>
    <row r="2580" spans="2:6">
      <c r="B2580" s="189">
        <v>38736</v>
      </c>
      <c r="C2580" s="2">
        <v>18730.61</v>
      </c>
      <c r="D2580" s="1196">
        <f t="shared" si="82"/>
        <v>144.65858056942497</v>
      </c>
      <c r="E2580" s="2">
        <v>890.96</v>
      </c>
      <c r="F2580" s="1196">
        <f t="shared" si="83"/>
        <v>126.62516699354767</v>
      </c>
    </row>
    <row r="2581" spans="2:6">
      <c r="B2581" s="189">
        <v>38735</v>
      </c>
      <c r="C2581" s="2">
        <v>18304.080000000002</v>
      </c>
      <c r="D2581" s="1196">
        <f t="shared" si="82"/>
        <v>141.36444202453634</v>
      </c>
      <c r="E2581" s="2">
        <v>879.24</v>
      </c>
      <c r="F2581" s="1196">
        <f t="shared" si="83"/>
        <v>124.95949518205849</v>
      </c>
    </row>
    <row r="2582" spans="2:6">
      <c r="B2582" s="189">
        <v>38734</v>
      </c>
      <c r="C2582" s="2">
        <v>18261.009999999998</v>
      </c>
      <c r="D2582" s="1196">
        <f t="shared" si="82"/>
        <v>141.0318076327506</v>
      </c>
      <c r="E2582" s="2">
        <v>890.96</v>
      </c>
      <c r="F2582" s="1196">
        <f t="shared" si="83"/>
        <v>126.62516699354767</v>
      </c>
    </row>
    <row r="2583" spans="2:6">
      <c r="B2583" s="189">
        <v>38733</v>
      </c>
      <c r="C2583" s="2">
        <v>18328.7</v>
      </c>
      <c r="D2583" s="1196">
        <f t="shared" si="82"/>
        <v>141.55458501793694</v>
      </c>
      <c r="E2583" s="2">
        <v>917.34</v>
      </c>
      <c r="F2583" s="1196">
        <f t="shared" si="83"/>
        <v>130.37434979108042</v>
      </c>
    </row>
    <row r="2584" spans="2:6">
      <c r="B2584" s="189">
        <v>38730</v>
      </c>
      <c r="C2584" s="2">
        <v>18567.64</v>
      </c>
      <c r="D2584" s="1196">
        <f t="shared" si="82"/>
        <v>143.39994516591173</v>
      </c>
      <c r="E2584" s="2">
        <v>917.34</v>
      </c>
      <c r="F2584" s="1196">
        <f t="shared" si="83"/>
        <v>130.37434979108042</v>
      </c>
    </row>
    <row r="2585" spans="2:6">
      <c r="B2585" s="189">
        <v>38729</v>
      </c>
      <c r="C2585" s="2">
        <v>18577</v>
      </c>
      <c r="D2585" s="1196">
        <f t="shared" si="82"/>
        <v>143.47223348509246</v>
      </c>
      <c r="E2585" s="2">
        <v>917.34</v>
      </c>
      <c r="F2585" s="1196">
        <f t="shared" si="83"/>
        <v>130.37434979108042</v>
      </c>
    </row>
    <row r="2586" spans="2:6">
      <c r="B2586" s="189">
        <v>38728</v>
      </c>
      <c r="C2586" s="2">
        <v>18594.16</v>
      </c>
      <c r="D2586" s="1196">
        <f t="shared" si="82"/>
        <v>143.60476207025715</v>
      </c>
      <c r="E2586" s="2">
        <v>920.27</v>
      </c>
      <c r="F2586" s="1196">
        <f t="shared" si="83"/>
        <v>130.7907677439527</v>
      </c>
    </row>
    <row r="2587" spans="2:6">
      <c r="B2587" s="189">
        <v>38727</v>
      </c>
      <c r="C2587" s="2">
        <v>18473.34</v>
      </c>
      <c r="D2587" s="1196">
        <f t="shared" si="82"/>
        <v>142.67165579638791</v>
      </c>
      <c r="E2587" s="2">
        <v>920.27</v>
      </c>
      <c r="F2587" s="1196">
        <f t="shared" si="83"/>
        <v>130.7907677439527</v>
      </c>
    </row>
    <row r="2588" spans="2:6">
      <c r="B2588" s="189">
        <v>38726</v>
      </c>
      <c r="C2588" s="2">
        <v>18554.490000000002</v>
      </c>
      <c r="D2588" s="1196">
        <f t="shared" si="82"/>
        <v>143.29838625595164</v>
      </c>
      <c r="E2588" s="2">
        <v>903.27</v>
      </c>
      <c r="F2588" s="1196">
        <f t="shared" si="83"/>
        <v>128.37469088428412</v>
      </c>
    </row>
    <row r="2589" spans="2:6">
      <c r="B2589" s="189">
        <v>38723</v>
      </c>
      <c r="C2589" s="2">
        <v>18414.849999999999</v>
      </c>
      <c r="D2589" s="1196">
        <f t="shared" si="82"/>
        <v>142.21993103261858</v>
      </c>
      <c r="E2589" s="2">
        <v>903.27</v>
      </c>
      <c r="F2589" s="1196">
        <f t="shared" si="83"/>
        <v>128.37469088428412</v>
      </c>
    </row>
    <row r="2590" spans="2:6">
      <c r="B2590" s="189">
        <v>38722</v>
      </c>
      <c r="C2590" s="2">
        <v>18244.64</v>
      </c>
      <c r="D2590" s="1196">
        <f t="shared" si="82"/>
        <v>140.90538030529459</v>
      </c>
      <c r="E2590" s="2">
        <v>877.87</v>
      </c>
      <c r="F2590" s="1196">
        <f t="shared" si="83"/>
        <v>124.76478781160284</v>
      </c>
    </row>
    <row r="2591" spans="2:6">
      <c r="B2591" s="189">
        <v>38721</v>
      </c>
      <c r="C2591" s="2">
        <v>18415.34</v>
      </c>
      <c r="D2591" s="1196">
        <f t="shared" si="82"/>
        <v>142.22371535702013</v>
      </c>
      <c r="E2591" s="2">
        <v>877.87</v>
      </c>
      <c r="F2591" s="1196">
        <f t="shared" si="83"/>
        <v>124.76478781160284</v>
      </c>
    </row>
    <row r="2592" spans="2:6">
      <c r="B2592" s="189">
        <v>38720</v>
      </c>
      <c r="C2592" s="2">
        <v>18355.7</v>
      </c>
      <c r="D2592" s="1196">
        <f t="shared" si="82"/>
        <v>141.76310901557366</v>
      </c>
      <c r="E2592" s="2">
        <v>877.87</v>
      </c>
      <c r="F2592" s="1196">
        <f t="shared" si="83"/>
        <v>124.76478781160284</v>
      </c>
    </row>
    <row r="2593" spans="2:6">
      <c r="B2593" s="189">
        <v>38716</v>
      </c>
      <c r="C2593" s="2">
        <v>18096.54</v>
      </c>
      <c r="D2593" s="1196">
        <f t="shared" si="82"/>
        <v>139.76158756270203</v>
      </c>
      <c r="E2593" s="2">
        <v>877.87</v>
      </c>
      <c r="F2593" s="1196">
        <f t="shared" si="83"/>
        <v>124.76478781160284</v>
      </c>
    </row>
    <row r="2594" spans="2:6">
      <c r="B2594" s="189">
        <v>38715</v>
      </c>
      <c r="C2594" s="2">
        <v>18172.45</v>
      </c>
      <c r="D2594" s="1196">
        <f t="shared" si="82"/>
        <v>140.34784892050217</v>
      </c>
      <c r="E2594" s="2">
        <v>877.87</v>
      </c>
      <c r="F2594" s="1196">
        <f t="shared" si="83"/>
        <v>124.76478781160284</v>
      </c>
    </row>
    <row r="2595" spans="2:6">
      <c r="B2595" s="189">
        <v>38714</v>
      </c>
      <c r="C2595" s="2">
        <v>18078.03</v>
      </c>
      <c r="D2595" s="1196">
        <f t="shared" si="82"/>
        <v>139.61863277765551</v>
      </c>
      <c r="E2595" s="2">
        <v>891.98</v>
      </c>
      <c r="F2595" s="1196">
        <f t="shared" si="83"/>
        <v>126.77013160512777</v>
      </c>
    </row>
    <row r="2596" spans="2:6">
      <c r="B2596" s="189">
        <v>38713</v>
      </c>
      <c r="C2596" s="2">
        <v>18312.14</v>
      </c>
      <c r="D2596" s="1196">
        <f t="shared" si="82"/>
        <v>141.42669029938639</v>
      </c>
      <c r="E2596" s="2">
        <v>891.98</v>
      </c>
      <c r="F2596" s="1196">
        <f t="shared" si="83"/>
        <v>126.77013160512777</v>
      </c>
    </row>
    <row r="2597" spans="2:6">
      <c r="B2597" s="189">
        <v>38709</v>
      </c>
      <c r="C2597" s="2">
        <v>18123.93</v>
      </c>
      <c r="D2597" s="1196">
        <f t="shared" si="82"/>
        <v>139.97312357363793</v>
      </c>
      <c r="E2597" s="2">
        <v>900.45</v>
      </c>
      <c r="F2597" s="1196">
        <f t="shared" si="83"/>
        <v>127.9739063699156</v>
      </c>
    </row>
    <row r="2598" spans="2:6">
      <c r="B2598" s="189">
        <v>38708</v>
      </c>
      <c r="C2598" s="2">
        <v>18049.13</v>
      </c>
      <c r="D2598" s="1196">
        <f t="shared" si="82"/>
        <v>139.39543486907397</v>
      </c>
      <c r="E2598" s="2">
        <v>891.98</v>
      </c>
      <c r="F2598" s="1196">
        <f t="shared" si="83"/>
        <v>126.77013160512777</v>
      </c>
    </row>
    <row r="2599" spans="2:6">
      <c r="B2599" s="189">
        <v>38707</v>
      </c>
      <c r="C2599" s="2">
        <v>17898.18</v>
      </c>
      <c r="D2599" s="1196">
        <f t="shared" si="82"/>
        <v>138.22963126006417</v>
      </c>
      <c r="E2599" s="2">
        <v>903.27</v>
      </c>
      <c r="F2599" s="1196">
        <f t="shared" si="83"/>
        <v>128.37469088428412</v>
      </c>
    </row>
    <row r="2600" spans="2:6">
      <c r="B2600" s="189">
        <v>38706</v>
      </c>
      <c r="C2600" s="2">
        <v>17761.64</v>
      </c>
      <c r="D2600" s="1196">
        <f t="shared" si="82"/>
        <v>137.17511768090424</v>
      </c>
      <c r="E2600" s="2">
        <v>903.27</v>
      </c>
      <c r="F2600" s="1196">
        <f t="shared" si="83"/>
        <v>128.37469088428412</v>
      </c>
    </row>
    <row r="2601" spans="2:6">
      <c r="B2601" s="189">
        <v>38705</v>
      </c>
      <c r="C2601" s="2">
        <v>17869.849999999999</v>
      </c>
      <c r="D2601" s="1196">
        <f t="shared" si="82"/>
        <v>138.01083552476607</v>
      </c>
      <c r="E2601" s="2">
        <v>903.27</v>
      </c>
      <c r="F2601" s="1196">
        <f t="shared" si="83"/>
        <v>128.37469088428412</v>
      </c>
    </row>
    <row r="2602" spans="2:6">
      <c r="B2602" s="189">
        <v>38701</v>
      </c>
      <c r="C2602" s="2">
        <v>17658.29</v>
      </c>
      <c r="D2602" s="1196">
        <f t="shared" si="82"/>
        <v>136.37693415661698</v>
      </c>
      <c r="E2602" s="2">
        <v>903.27</v>
      </c>
      <c r="F2602" s="1196">
        <f t="shared" si="83"/>
        <v>128.37469088428412</v>
      </c>
    </row>
    <row r="2603" spans="2:6">
      <c r="B2603" s="189">
        <v>38700</v>
      </c>
      <c r="C2603" s="2">
        <v>17458.77</v>
      </c>
      <c r="D2603" s="1196">
        <f t="shared" si="82"/>
        <v>134.83601904519179</v>
      </c>
      <c r="E2603" s="2">
        <v>925.85</v>
      </c>
      <c r="F2603" s="1196">
        <f t="shared" si="83"/>
        <v>131.58380944259687</v>
      </c>
    </row>
    <row r="2604" spans="2:6">
      <c r="B2604" s="189">
        <v>38699</v>
      </c>
      <c r="C2604" s="2">
        <v>17426.37</v>
      </c>
      <c r="D2604" s="1196">
        <f t="shared" si="82"/>
        <v>134.58579024802771</v>
      </c>
      <c r="E2604" s="2">
        <v>900.45</v>
      </c>
      <c r="F2604" s="1196">
        <f t="shared" si="83"/>
        <v>127.9739063699156</v>
      </c>
    </row>
    <row r="2605" spans="2:6">
      <c r="B2605" s="189">
        <v>38698</v>
      </c>
      <c r="C2605" s="2">
        <v>17587.36</v>
      </c>
      <c r="D2605" s="1196">
        <f t="shared" si="82"/>
        <v>135.82913389171426</v>
      </c>
      <c r="E2605" s="2">
        <v>900.45</v>
      </c>
      <c r="F2605" s="1196">
        <f t="shared" si="83"/>
        <v>127.9739063699156</v>
      </c>
    </row>
    <row r="2606" spans="2:6">
      <c r="B2606" s="189">
        <v>38695</v>
      </c>
      <c r="C2606" s="2">
        <v>17393.990000000002</v>
      </c>
      <c r="D2606" s="1196">
        <f t="shared" si="82"/>
        <v>134.33571591308413</v>
      </c>
      <c r="E2606" s="2">
        <v>889.16</v>
      </c>
      <c r="F2606" s="1196">
        <f t="shared" si="83"/>
        <v>126.36934709075922</v>
      </c>
    </row>
    <row r="2607" spans="2:6">
      <c r="B2607" s="189">
        <v>38694</v>
      </c>
      <c r="C2607" s="2">
        <v>17251.82</v>
      </c>
      <c r="D2607" s="1196">
        <f t="shared" si="82"/>
        <v>133.2377212188614</v>
      </c>
      <c r="E2607" s="2">
        <v>875.04</v>
      </c>
      <c r="F2607" s="1196">
        <f t="shared" si="83"/>
        <v>124.36258207555213</v>
      </c>
    </row>
    <row r="2608" spans="2:6">
      <c r="B2608" s="189">
        <v>38693</v>
      </c>
      <c r="C2608" s="2">
        <v>17292.38</v>
      </c>
      <c r="D2608" s="1196">
        <f t="shared" si="82"/>
        <v>133.55097060197789</v>
      </c>
      <c r="E2608" s="2">
        <v>875.04</v>
      </c>
      <c r="F2608" s="1196">
        <f t="shared" si="83"/>
        <v>124.36258207555213</v>
      </c>
    </row>
    <row r="2609" spans="2:6">
      <c r="B2609" s="189">
        <v>38692</v>
      </c>
      <c r="C2609" s="2">
        <v>17016.47</v>
      </c>
      <c r="D2609" s="1196">
        <f t="shared" si="82"/>
        <v>131.42008703946124</v>
      </c>
      <c r="E2609" s="2">
        <v>880.69</v>
      </c>
      <c r="F2609" s="1196">
        <f t="shared" si="83"/>
        <v>125.16557232597141</v>
      </c>
    </row>
    <row r="2610" spans="2:6">
      <c r="B2610" s="189">
        <v>38691</v>
      </c>
      <c r="C2610" s="2">
        <v>16858.73</v>
      </c>
      <c r="D2610" s="1196">
        <f t="shared" si="82"/>
        <v>130.20184350660134</v>
      </c>
      <c r="E2610" s="2">
        <v>875.04</v>
      </c>
      <c r="F2610" s="1196">
        <f t="shared" si="83"/>
        <v>124.36258207555213</v>
      </c>
    </row>
    <row r="2611" spans="2:6">
      <c r="B2611" s="189">
        <v>38688</v>
      </c>
      <c r="C2611" s="2">
        <v>16940.830000000002</v>
      </c>
      <c r="D2611" s="1196">
        <f t="shared" si="82"/>
        <v>130.83591092163746</v>
      </c>
      <c r="E2611" s="2">
        <v>875.04</v>
      </c>
      <c r="F2611" s="1196">
        <f t="shared" si="83"/>
        <v>124.36258207555213</v>
      </c>
    </row>
    <row r="2612" spans="2:6">
      <c r="B2612" s="189">
        <v>38687</v>
      </c>
      <c r="C2612" s="2">
        <v>16800.93</v>
      </c>
      <c r="D2612" s="1196">
        <f t="shared" si="82"/>
        <v>129.75544768943828</v>
      </c>
      <c r="E2612" s="2">
        <v>875.04</v>
      </c>
      <c r="F2612" s="1196">
        <f t="shared" si="83"/>
        <v>124.36258207555213</v>
      </c>
    </row>
    <row r="2613" spans="2:6">
      <c r="B2613" s="189">
        <v>38686</v>
      </c>
      <c r="C2613" s="2">
        <v>16774.54</v>
      </c>
      <c r="D2613" s="1196">
        <f t="shared" si="82"/>
        <v>129.55163478952593</v>
      </c>
      <c r="E2613" s="2">
        <v>880.69</v>
      </c>
      <c r="F2613" s="1196">
        <f t="shared" si="83"/>
        <v>125.16557232597141</v>
      </c>
    </row>
    <row r="2614" spans="2:6">
      <c r="B2614" s="189">
        <v>38685</v>
      </c>
      <c r="C2614" s="2">
        <v>17030.53</v>
      </c>
      <c r="D2614" s="1196">
        <f t="shared" si="82"/>
        <v>131.52867398045279</v>
      </c>
      <c r="E2614" s="2">
        <v>881.25</v>
      </c>
      <c r="F2614" s="1196">
        <f t="shared" si="83"/>
        <v>125.24516074017225</v>
      </c>
    </row>
    <row r="2615" spans="2:6">
      <c r="B2615" s="189">
        <v>38684</v>
      </c>
      <c r="C2615" s="2">
        <v>17196.689999999999</v>
      </c>
      <c r="D2615" s="1196">
        <f t="shared" si="82"/>
        <v>132.81194610813128</v>
      </c>
      <c r="E2615" s="2">
        <v>881.25</v>
      </c>
      <c r="F2615" s="1196">
        <f t="shared" si="83"/>
        <v>125.24516074017225</v>
      </c>
    </row>
    <row r="2616" spans="2:6">
      <c r="B2616" s="189">
        <v>38681</v>
      </c>
      <c r="C2616" s="2">
        <v>17318.27</v>
      </c>
      <c r="D2616" s="1196">
        <f t="shared" si="82"/>
        <v>133.75092194637844</v>
      </c>
      <c r="E2616" s="2">
        <v>880.69</v>
      </c>
      <c r="F2616" s="1196">
        <f t="shared" si="83"/>
        <v>125.16557232597141</v>
      </c>
    </row>
    <row r="2617" spans="2:6">
      <c r="B2617" s="189">
        <v>38680</v>
      </c>
      <c r="C2617" s="2">
        <v>17450.66</v>
      </c>
      <c r="D2617" s="1196">
        <f t="shared" si="82"/>
        <v>134.77338461479053</v>
      </c>
      <c r="E2617" s="2">
        <v>880.69</v>
      </c>
      <c r="F2617" s="1196">
        <f t="shared" si="83"/>
        <v>125.16557232597141</v>
      </c>
    </row>
    <row r="2618" spans="2:6">
      <c r="B2618" s="189">
        <v>38679</v>
      </c>
      <c r="C2618" s="2">
        <v>17236.04</v>
      </c>
      <c r="D2618" s="1196">
        <f t="shared" si="82"/>
        <v>133.11585052690927</v>
      </c>
      <c r="E2618" s="2">
        <v>875.04</v>
      </c>
      <c r="F2618" s="1196">
        <f t="shared" si="83"/>
        <v>124.36258207555213</v>
      </c>
    </row>
    <row r="2619" spans="2:6">
      <c r="B2619" s="189">
        <v>38678</v>
      </c>
      <c r="C2619" s="2">
        <v>17287.53</v>
      </c>
      <c r="D2619" s="1196">
        <f t="shared" si="82"/>
        <v>133.51351351351352</v>
      </c>
      <c r="E2619" s="2">
        <v>882.95</v>
      </c>
      <c r="F2619" s="1196">
        <f t="shared" si="83"/>
        <v>125.48676842613911</v>
      </c>
    </row>
    <row r="2620" spans="2:6">
      <c r="B2620" s="189">
        <v>38677</v>
      </c>
      <c r="C2620" s="2">
        <v>17439.84</v>
      </c>
      <c r="D2620" s="1196">
        <f t="shared" si="82"/>
        <v>134.68982055351537</v>
      </c>
      <c r="E2620" s="2">
        <v>877.87</v>
      </c>
      <c r="F2620" s="1196">
        <f t="shared" si="83"/>
        <v>124.76478781160284</v>
      </c>
    </row>
    <row r="2621" spans="2:6">
      <c r="B2621" s="189">
        <v>38674</v>
      </c>
      <c r="C2621" s="2">
        <v>17468.97</v>
      </c>
      <c r="D2621" s="1196">
        <f t="shared" si="82"/>
        <v>134.91479477763232</v>
      </c>
      <c r="E2621" s="2">
        <v>875.04</v>
      </c>
      <c r="F2621" s="1196">
        <f t="shared" si="83"/>
        <v>124.36258207555213</v>
      </c>
    </row>
    <row r="2622" spans="2:6">
      <c r="B2622" s="189">
        <v>38673</v>
      </c>
      <c r="C2622" s="2">
        <v>17288.02</v>
      </c>
      <c r="D2622" s="1196">
        <f t="shared" si="82"/>
        <v>133.51729783791509</v>
      </c>
      <c r="E2622" s="2">
        <v>875.04</v>
      </c>
      <c r="F2622" s="1196">
        <f t="shared" si="83"/>
        <v>124.36258207555213</v>
      </c>
    </row>
    <row r="2623" spans="2:6">
      <c r="B2623" s="189">
        <v>38672</v>
      </c>
      <c r="C2623" s="2">
        <v>17127.189999999999</v>
      </c>
      <c r="D2623" s="1196">
        <f t="shared" si="82"/>
        <v>132.27518989199228</v>
      </c>
      <c r="E2623" s="2">
        <v>875.04</v>
      </c>
      <c r="F2623" s="1196">
        <f t="shared" si="83"/>
        <v>124.36258207555213</v>
      </c>
    </row>
    <row r="2624" spans="2:6">
      <c r="B2624" s="189">
        <v>38671</v>
      </c>
      <c r="C2624" s="2">
        <v>17294.72</v>
      </c>
      <c r="D2624" s="1196">
        <f t="shared" si="82"/>
        <v>133.56904268177308</v>
      </c>
      <c r="E2624" s="2">
        <v>872.22</v>
      </c>
      <c r="F2624" s="1196">
        <f t="shared" si="83"/>
        <v>123.9617975611836</v>
      </c>
    </row>
    <row r="2625" spans="2:6">
      <c r="B2625" s="189">
        <v>38670</v>
      </c>
      <c r="C2625" s="2">
        <v>17394.38</v>
      </c>
      <c r="D2625" s="1196">
        <f t="shared" si="82"/>
        <v>134.33872792638334</v>
      </c>
      <c r="E2625" s="2">
        <v>875.04</v>
      </c>
      <c r="F2625" s="1196">
        <f t="shared" si="83"/>
        <v>124.36258207555213</v>
      </c>
    </row>
    <row r="2626" spans="2:6">
      <c r="B2626" s="189">
        <v>38667</v>
      </c>
      <c r="C2626" s="2">
        <v>17107.54</v>
      </c>
      <c r="D2626" s="1196">
        <f t="shared" si="82"/>
        <v>132.12343076037891</v>
      </c>
      <c r="E2626" s="2">
        <v>846.82</v>
      </c>
      <c r="F2626" s="1196">
        <f t="shared" si="83"/>
        <v>120.35189448850232</v>
      </c>
    </row>
    <row r="2627" spans="2:6">
      <c r="B2627" s="189">
        <v>38666</v>
      </c>
      <c r="C2627" s="2">
        <v>16999.57</v>
      </c>
      <c r="D2627" s="1196">
        <f t="shared" si="82"/>
        <v>131.28956646316269</v>
      </c>
      <c r="E2627" s="2">
        <v>841.17</v>
      </c>
      <c r="F2627" s="1196">
        <f t="shared" si="83"/>
        <v>119.54890423808304</v>
      </c>
    </row>
    <row r="2628" spans="2:6">
      <c r="B2628" s="189">
        <v>38665</v>
      </c>
      <c r="C2628" s="2">
        <v>16818.89</v>
      </c>
      <c r="D2628" s="1196">
        <f t="shared" si="82"/>
        <v>129.8941547634218</v>
      </c>
      <c r="E2628" s="2">
        <v>841.17</v>
      </c>
      <c r="F2628" s="1196">
        <f t="shared" si="83"/>
        <v>119.54890423808304</v>
      </c>
    </row>
    <row r="2629" spans="2:6">
      <c r="B2629" s="189">
        <v>38664</v>
      </c>
      <c r="C2629" s="2">
        <v>16789.349999999999</v>
      </c>
      <c r="D2629" s="1196">
        <f t="shared" si="82"/>
        <v>129.66601406378518</v>
      </c>
      <c r="E2629" s="2">
        <v>827.06</v>
      </c>
      <c r="F2629" s="1196">
        <f t="shared" si="83"/>
        <v>117.54356044455814</v>
      </c>
    </row>
    <row r="2630" spans="2:6">
      <c r="B2630" s="189">
        <v>38663</v>
      </c>
      <c r="C2630" s="2">
        <v>17057.84</v>
      </c>
      <c r="D2630" s="1196">
        <f t="shared" si="82"/>
        <v>131.73959214250687</v>
      </c>
      <c r="E2630" s="2">
        <v>824.24</v>
      </c>
      <c r="F2630" s="1196">
        <f t="shared" si="83"/>
        <v>117.1427759301896</v>
      </c>
    </row>
    <row r="2631" spans="2:6">
      <c r="B2631" s="189">
        <v>38660</v>
      </c>
      <c r="C2631" s="2">
        <v>16881.88</v>
      </c>
      <c r="D2631" s="1196">
        <f t="shared" si="82"/>
        <v>130.38063352679728</v>
      </c>
      <c r="E2631" s="2">
        <v>818.59</v>
      </c>
      <c r="F2631" s="1196">
        <f t="shared" si="83"/>
        <v>116.33978567977033</v>
      </c>
    </row>
    <row r="2632" spans="2:6">
      <c r="B2632" s="189">
        <v>38659</v>
      </c>
      <c r="C2632" s="2">
        <v>16967.22</v>
      </c>
      <c r="D2632" s="1196">
        <f t="shared" si="82"/>
        <v>131.03972382154981</v>
      </c>
      <c r="E2632" s="2">
        <v>818.59</v>
      </c>
      <c r="F2632" s="1196">
        <f t="shared" si="83"/>
        <v>116.33978567977033</v>
      </c>
    </row>
    <row r="2633" spans="2:6">
      <c r="B2633" s="189">
        <v>38658</v>
      </c>
      <c r="C2633" s="2">
        <v>16566.939999999999</v>
      </c>
      <c r="D2633" s="1196">
        <f t="shared" si="82"/>
        <v>127.94831694103017</v>
      </c>
      <c r="E2633" s="2">
        <v>798.83</v>
      </c>
      <c r="F2633" s="1196">
        <f t="shared" si="83"/>
        <v>113.53145163582616</v>
      </c>
    </row>
    <row r="2634" spans="2:6">
      <c r="B2634" s="189">
        <v>38657</v>
      </c>
      <c r="C2634" s="2">
        <v>16558.07</v>
      </c>
      <c r="D2634" s="1196">
        <f t="shared" si="82"/>
        <v>127.87981294625101</v>
      </c>
      <c r="E2634" s="2">
        <v>790.36</v>
      </c>
      <c r="F2634" s="1196">
        <f t="shared" si="83"/>
        <v>112.32767687103835</v>
      </c>
    </row>
    <row r="2635" spans="2:6">
      <c r="B2635" s="189">
        <v>38656</v>
      </c>
      <c r="C2635" s="2">
        <v>16433.099999999999</v>
      </c>
      <c r="D2635" s="1196">
        <f t="shared" si="82"/>
        <v>126.9146557616339</v>
      </c>
      <c r="E2635" s="2">
        <v>824.24</v>
      </c>
      <c r="F2635" s="1196">
        <f t="shared" si="83"/>
        <v>117.1427759301896</v>
      </c>
    </row>
    <row r="2636" spans="2:6">
      <c r="B2636" s="189">
        <v>38653</v>
      </c>
      <c r="C2636" s="2">
        <v>16237.19</v>
      </c>
      <c r="D2636" s="1196">
        <f t="shared" ref="D2636:D2699" si="84">C2636/$C$2759*100</f>
        <v>125.40162108100385</v>
      </c>
      <c r="E2636" s="2">
        <v>824.24</v>
      </c>
      <c r="F2636" s="1196">
        <f t="shared" ref="F2636:F2699" si="85">E2636/$E$2759*100</f>
        <v>117.1427759301896</v>
      </c>
    </row>
    <row r="2637" spans="2:6">
      <c r="B2637" s="189">
        <v>38652</v>
      </c>
      <c r="C2637" s="2">
        <v>16249.06</v>
      </c>
      <c r="D2637" s="1196">
        <f t="shared" si="84"/>
        <v>125.49329440885377</v>
      </c>
      <c r="E2637" s="2">
        <v>818.59</v>
      </c>
      <c r="F2637" s="1196">
        <f t="shared" si="85"/>
        <v>116.33978567977033</v>
      </c>
    </row>
    <row r="2638" spans="2:6">
      <c r="B2638" s="189">
        <v>38651</v>
      </c>
      <c r="C2638" s="2">
        <v>16442.68</v>
      </c>
      <c r="D2638" s="1196">
        <f t="shared" si="84"/>
        <v>126.98864316523984</v>
      </c>
      <c r="E2638" s="2">
        <v>818.59</v>
      </c>
      <c r="F2638" s="1196">
        <f t="shared" si="85"/>
        <v>116.33978567977033</v>
      </c>
    </row>
    <row r="2639" spans="2:6">
      <c r="B2639" s="189">
        <v>38650</v>
      </c>
      <c r="C2639" s="2">
        <v>16100.26</v>
      </c>
      <c r="D2639" s="1196">
        <f t="shared" si="84"/>
        <v>124.34409548854471</v>
      </c>
      <c r="E2639" s="2">
        <v>818.59</v>
      </c>
      <c r="F2639" s="1196">
        <f t="shared" si="85"/>
        <v>116.33978567977033</v>
      </c>
    </row>
    <row r="2640" spans="2:6">
      <c r="B2640" s="189">
        <v>38649</v>
      </c>
      <c r="C2640" s="2">
        <v>16005.74</v>
      </c>
      <c r="D2640" s="1196">
        <f t="shared" si="84"/>
        <v>123.61410703459568</v>
      </c>
      <c r="E2640" s="2">
        <v>818.59</v>
      </c>
      <c r="F2640" s="1196">
        <f t="shared" si="85"/>
        <v>116.33978567977033</v>
      </c>
    </row>
    <row r="2641" spans="2:6">
      <c r="B2641" s="189">
        <v>38646</v>
      </c>
      <c r="C2641" s="2">
        <v>15616.02</v>
      </c>
      <c r="D2641" s="1196">
        <f t="shared" si="84"/>
        <v>120.60425620648509</v>
      </c>
      <c r="E2641" s="2">
        <v>818.59</v>
      </c>
      <c r="F2641" s="1196">
        <f t="shared" si="85"/>
        <v>116.33978567977033</v>
      </c>
    </row>
    <row r="2642" spans="2:6">
      <c r="B2642" s="189">
        <v>38645</v>
      </c>
      <c r="C2642" s="2">
        <v>15834.22</v>
      </c>
      <c r="D2642" s="1196">
        <f t="shared" si="84"/>
        <v>122.28943903183081</v>
      </c>
      <c r="E2642" s="2">
        <v>846.82</v>
      </c>
      <c r="F2642" s="1196">
        <f t="shared" si="85"/>
        <v>120.35189448850232</v>
      </c>
    </row>
    <row r="2643" spans="2:6">
      <c r="B2643" s="189">
        <v>38644</v>
      </c>
      <c r="C2643" s="2">
        <v>15539.6</v>
      </c>
      <c r="D2643" s="1196">
        <f t="shared" si="84"/>
        <v>120.01405606206292</v>
      </c>
      <c r="E2643" s="2">
        <v>810.12</v>
      </c>
      <c r="F2643" s="1196">
        <f t="shared" si="85"/>
        <v>115.13601091498251</v>
      </c>
    </row>
    <row r="2644" spans="2:6">
      <c r="B2644" s="189">
        <v>38643</v>
      </c>
      <c r="C2644" s="2">
        <v>15827.31</v>
      </c>
      <c r="D2644" s="1196">
        <f t="shared" si="84"/>
        <v>122.23607233465785</v>
      </c>
      <c r="E2644" s="2">
        <v>810.12</v>
      </c>
      <c r="F2644" s="1196">
        <f t="shared" si="85"/>
        <v>115.13601091498251</v>
      </c>
    </row>
    <row r="2645" spans="2:6">
      <c r="B2645" s="189">
        <v>38642</v>
      </c>
      <c r="C2645" s="2">
        <v>15926.6</v>
      </c>
      <c r="D2645" s="1196">
        <f t="shared" si="84"/>
        <v>123.00290002818937</v>
      </c>
      <c r="E2645" s="2">
        <v>810.12</v>
      </c>
      <c r="F2645" s="1196">
        <f t="shared" si="85"/>
        <v>115.13601091498251</v>
      </c>
    </row>
    <row r="2646" spans="2:6">
      <c r="B2646" s="189">
        <v>38639</v>
      </c>
      <c r="C2646" s="2">
        <v>15661.79</v>
      </c>
      <c r="D2646" s="1196">
        <f t="shared" si="84"/>
        <v>120.95774299803448</v>
      </c>
      <c r="E2646" s="2">
        <v>831.57</v>
      </c>
      <c r="F2646" s="1196">
        <f t="shared" si="85"/>
        <v>118.1845314232114</v>
      </c>
    </row>
    <row r="2647" spans="2:6">
      <c r="B2647" s="189">
        <v>38638</v>
      </c>
      <c r="C2647" s="2">
        <v>15935.3</v>
      </c>
      <c r="D2647" s="1196">
        <f t="shared" si="84"/>
        <v>123.07009109409452</v>
      </c>
      <c r="E2647" s="2">
        <v>846.82</v>
      </c>
      <c r="F2647" s="1196">
        <f t="shared" si="85"/>
        <v>120.35189448850232</v>
      </c>
    </row>
    <row r="2648" spans="2:6">
      <c r="B2648" s="189">
        <v>38637</v>
      </c>
      <c r="C2648" s="2">
        <v>16332.45</v>
      </c>
      <c r="D2648" s="1196">
        <f t="shared" si="84"/>
        <v>126.13732463711034</v>
      </c>
      <c r="E2648" s="2">
        <v>846.82</v>
      </c>
      <c r="F2648" s="1196">
        <f t="shared" si="85"/>
        <v>120.35189448850232</v>
      </c>
    </row>
    <row r="2649" spans="2:6">
      <c r="B2649" s="189">
        <v>38636</v>
      </c>
      <c r="C2649" s="2">
        <v>16303.9</v>
      </c>
      <c r="D2649" s="1196">
        <f t="shared" si="84"/>
        <v>125.91682981738703</v>
      </c>
      <c r="E2649" s="2">
        <v>846.82</v>
      </c>
      <c r="F2649" s="1196">
        <f t="shared" si="85"/>
        <v>120.35189448850232</v>
      </c>
    </row>
    <row r="2650" spans="2:6">
      <c r="B2650" s="189">
        <v>38635</v>
      </c>
      <c r="C2650" s="2">
        <v>16132.23</v>
      </c>
      <c r="D2650" s="1196">
        <f t="shared" si="84"/>
        <v>124.59100334796862</v>
      </c>
      <c r="E2650" s="2">
        <v>846.82</v>
      </c>
      <c r="F2650" s="1196">
        <f t="shared" si="85"/>
        <v>120.35189448850232</v>
      </c>
    </row>
    <row r="2651" spans="2:6">
      <c r="B2651" s="189">
        <v>38632</v>
      </c>
      <c r="C2651" s="2">
        <v>16136.26</v>
      </c>
      <c r="D2651" s="1196">
        <f t="shared" si="84"/>
        <v>124.62212748539368</v>
      </c>
      <c r="E2651" s="2">
        <v>846.82</v>
      </c>
      <c r="F2651" s="1196">
        <f t="shared" si="85"/>
        <v>120.35189448850232</v>
      </c>
    </row>
    <row r="2652" spans="2:6">
      <c r="B2652" s="189">
        <v>38631</v>
      </c>
      <c r="C2652" s="2">
        <v>16298.13</v>
      </c>
      <c r="D2652" s="1196">
        <f t="shared" si="84"/>
        <v>125.87226746678097</v>
      </c>
      <c r="E2652" s="2">
        <v>846.82</v>
      </c>
      <c r="F2652" s="1196">
        <f t="shared" si="85"/>
        <v>120.35189448850232</v>
      </c>
    </row>
    <row r="2653" spans="2:6">
      <c r="B2653" s="189">
        <v>38630</v>
      </c>
      <c r="C2653" s="2">
        <v>16589.96</v>
      </c>
      <c r="D2653" s="1196">
        <f t="shared" si="84"/>
        <v>128.12610295679306</v>
      </c>
      <c r="E2653" s="2">
        <v>846.82</v>
      </c>
      <c r="F2653" s="1196">
        <f t="shared" si="85"/>
        <v>120.35189448850232</v>
      </c>
    </row>
    <row r="2654" spans="2:6">
      <c r="B2654" s="189">
        <v>38629</v>
      </c>
      <c r="C2654" s="2">
        <v>16694.07</v>
      </c>
      <c r="D2654" s="1196">
        <f t="shared" si="84"/>
        <v>128.93015604545823</v>
      </c>
      <c r="E2654" s="2">
        <v>846.82</v>
      </c>
      <c r="F2654" s="1196">
        <f t="shared" si="85"/>
        <v>120.35189448850232</v>
      </c>
    </row>
    <row r="2655" spans="2:6">
      <c r="B2655" s="189">
        <v>38628</v>
      </c>
      <c r="C2655" s="2">
        <v>16661.66</v>
      </c>
      <c r="D2655" s="1196">
        <f t="shared" si="84"/>
        <v>128.67985001718392</v>
      </c>
      <c r="E2655" s="2">
        <v>858.11</v>
      </c>
      <c r="F2655" s="1196">
        <f t="shared" si="85"/>
        <v>121.95645376765869</v>
      </c>
    </row>
    <row r="2656" spans="2:6">
      <c r="B2656" s="189">
        <v>38625</v>
      </c>
      <c r="C2656" s="2">
        <v>16875.650000000001</v>
      </c>
      <c r="D2656" s="1196">
        <f t="shared" si="84"/>
        <v>130.33251854512037</v>
      </c>
      <c r="E2656" s="2">
        <v>869.4</v>
      </c>
      <c r="F2656" s="1196">
        <f t="shared" si="85"/>
        <v>123.56101304681503</v>
      </c>
    </row>
    <row r="2657" spans="2:6">
      <c r="B2657" s="189">
        <v>38624</v>
      </c>
      <c r="C2657" s="2">
        <v>16668.509999999998</v>
      </c>
      <c r="D2657" s="1196">
        <f t="shared" si="84"/>
        <v>128.73275332769543</v>
      </c>
      <c r="E2657" s="2">
        <v>869.4</v>
      </c>
      <c r="F2657" s="1196">
        <f t="shared" si="85"/>
        <v>123.56101304681503</v>
      </c>
    </row>
    <row r="2658" spans="2:6">
      <c r="B2658" s="189">
        <v>38623</v>
      </c>
      <c r="C2658" s="2">
        <v>16638.38</v>
      </c>
      <c r="D2658" s="1196">
        <f t="shared" si="84"/>
        <v>128.50005599255493</v>
      </c>
      <c r="E2658" s="2">
        <v>869.4</v>
      </c>
      <c r="F2658" s="1196">
        <f t="shared" si="85"/>
        <v>123.56101304681503</v>
      </c>
    </row>
    <row r="2659" spans="2:6">
      <c r="B2659" s="189">
        <v>38622</v>
      </c>
      <c r="C2659" s="2">
        <v>16453.02</v>
      </c>
      <c r="D2659" s="1196">
        <f t="shared" si="84"/>
        <v>127.06850013322368</v>
      </c>
      <c r="E2659" s="2">
        <v>866.58</v>
      </c>
      <c r="F2659" s="1196">
        <f t="shared" si="85"/>
        <v>123.1602285324465</v>
      </c>
    </row>
    <row r="2660" spans="2:6">
      <c r="B2660" s="189">
        <v>38621</v>
      </c>
      <c r="C2660" s="2">
        <v>16392.84</v>
      </c>
      <c r="D2660" s="1196">
        <f t="shared" si="84"/>
        <v>126.60372331182448</v>
      </c>
      <c r="E2660" s="2">
        <v>866.58</v>
      </c>
      <c r="F2660" s="1196">
        <f t="shared" si="85"/>
        <v>123.1602285324465</v>
      </c>
    </row>
    <row r="2661" spans="2:6">
      <c r="B2661" s="189">
        <v>38618</v>
      </c>
      <c r="C2661" s="2">
        <v>16140.45</v>
      </c>
      <c r="D2661" s="1196">
        <f t="shared" si="84"/>
        <v>124.65448732058249</v>
      </c>
      <c r="E2661" s="2">
        <v>877.3</v>
      </c>
      <c r="F2661" s="1196">
        <f t="shared" si="85"/>
        <v>124.68377817571985</v>
      </c>
    </row>
    <row r="2662" spans="2:6">
      <c r="B2662" s="189">
        <v>38617</v>
      </c>
      <c r="C2662" s="2">
        <v>16227.98</v>
      </c>
      <c r="D2662" s="1196">
        <f t="shared" si="84"/>
        <v>125.33049122847666</v>
      </c>
      <c r="E2662" s="2">
        <v>886.34</v>
      </c>
      <c r="F2662" s="1196">
        <f t="shared" si="85"/>
        <v>125.96856257639067</v>
      </c>
    </row>
    <row r="2663" spans="2:6">
      <c r="B2663" s="189">
        <v>38616</v>
      </c>
      <c r="C2663" s="2">
        <v>16435.150000000001</v>
      </c>
      <c r="D2663" s="1196">
        <f t="shared" si="84"/>
        <v>126.93048813923227</v>
      </c>
      <c r="E2663" s="2">
        <v>886.34</v>
      </c>
      <c r="F2663" s="1196">
        <f t="shared" si="85"/>
        <v>125.96856257639067</v>
      </c>
    </row>
    <row r="2664" spans="2:6">
      <c r="B2664" s="189">
        <v>38615</v>
      </c>
      <c r="C2664" s="2">
        <v>16359.06</v>
      </c>
      <c r="D2664" s="1196">
        <f t="shared" si="84"/>
        <v>126.34283662144784</v>
      </c>
      <c r="E2664" s="2">
        <v>880.69</v>
      </c>
      <c r="F2664" s="1196">
        <f t="shared" si="85"/>
        <v>125.16557232597141</v>
      </c>
    </row>
    <row r="2665" spans="2:6">
      <c r="B2665" s="189">
        <v>38614</v>
      </c>
      <c r="C2665" s="2">
        <v>16472.830000000002</v>
      </c>
      <c r="D2665" s="1196">
        <f t="shared" si="84"/>
        <v>127.22149496260084</v>
      </c>
      <c r="E2665" s="2">
        <v>886.34</v>
      </c>
      <c r="F2665" s="1196">
        <f t="shared" si="85"/>
        <v>125.96856257639067</v>
      </c>
    </row>
    <row r="2666" spans="2:6">
      <c r="B2666" s="189">
        <v>38611</v>
      </c>
      <c r="C2666" s="2">
        <v>16372.93</v>
      </c>
      <c r="D2666" s="1196">
        <f t="shared" si="84"/>
        <v>126.44995617134495</v>
      </c>
      <c r="E2666" s="2">
        <v>869.4</v>
      </c>
      <c r="F2666" s="1196">
        <f t="shared" si="85"/>
        <v>123.56101304681503</v>
      </c>
    </row>
    <row r="2667" spans="2:6">
      <c r="B2667" s="189">
        <v>38610</v>
      </c>
      <c r="C2667" s="2">
        <v>16148.66</v>
      </c>
      <c r="D2667" s="1196">
        <f t="shared" si="84"/>
        <v>124.71789406208609</v>
      </c>
      <c r="E2667" s="2">
        <v>866.58</v>
      </c>
      <c r="F2667" s="1196">
        <f t="shared" si="85"/>
        <v>123.1602285324465</v>
      </c>
    </row>
    <row r="2668" spans="2:6">
      <c r="B2668" s="189">
        <v>38609</v>
      </c>
      <c r="C2668" s="2">
        <v>15984.66</v>
      </c>
      <c r="D2668" s="1196">
        <f t="shared" si="84"/>
        <v>123.45130385421857</v>
      </c>
      <c r="E2668" s="2">
        <v>860.93</v>
      </c>
      <c r="F2668" s="1196">
        <f t="shared" si="85"/>
        <v>122.35723828202723</v>
      </c>
    </row>
    <row r="2669" spans="2:6">
      <c r="B2669" s="189">
        <v>38608</v>
      </c>
      <c r="C2669" s="2">
        <v>15940.18</v>
      </c>
      <c r="D2669" s="1196">
        <f t="shared" si="84"/>
        <v>123.10777987588961</v>
      </c>
      <c r="E2669" s="2">
        <v>847.38</v>
      </c>
      <c r="F2669" s="1196">
        <f t="shared" si="85"/>
        <v>120.43148290270315</v>
      </c>
    </row>
    <row r="2670" spans="2:6">
      <c r="B2670" s="189">
        <v>38607</v>
      </c>
      <c r="C2670" s="2">
        <v>16047.29</v>
      </c>
      <c r="D2670" s="1196">
        <f t="shared" si="84"/>
        <v>123.93500229762553</v>
      </c>
      <c r="E2670" s="2">
        <v>847.38</v>
      </c>
      <c r="F2670" s="1196">
        <f t="shared" si="85"/>
        <v>120.43148290270315</v>
      </c>
    </row>
    <row r="2671" spans="2:6">
      <c r="B2671" s="189">
        <v>38604</v>
      </c>
      <c r="C2671" s="2">
        <v>15890.19</v>
      </c>
      <c r="D2671" s="1196">
        <f t="shared" si="84"/>
        <v>122.72170155582072</v>
      </c>
      <c r="E2671" s="2">
        <v>847.38</v>
      </c>
      <c r="F2671" s="1196">
        <f t="shared" si="85"/>
        <v>120.43148290270315</v>
      </c>
    </row>
    <row r="2672" spans="2:6">
      <c r="B2672" s="189">
        <v>38603</v>
      </c>
      <c r="C2672" s="2">
        <v>15849.37</v>
      </c>
      <c r="D2672" s="1196">
        <f t="shared" si="84"/>
        <v>122.40644416383807</v>
      </c>
      <c r="E2672" s="2">
        <v>860.93</v>
      </c>
      <c r="F2672" s="1196">
        <f t="shared" si="85"/>
        <v>122.35723828202723</v>
      </c>
    </row>
    <row r="2673" spans="2:6">
      <c r="B2673" s="189">
        <v>38602</v>
      </c>
      <c r="C2673" s="2">
        <v>15939.88</v>
      </c>
      <c r="D2673" s="1196">
        <f t="shared" si="84"/>
        <v>123.10546294258253</v>
      </c>
      <c r="E2673" s="2">
        <v>875.61</v>
      </c>
      <c r="F2673" s="1196">
        <f t="shared" si="85"/>
        <v>124.44359171143515</v>
      </c>
    </row>
    <row r="2674" spans="2:6">
      <c r="B2674" s="189">
        <v>38601</v>
      </c>
      <c r="C2674" s="2">
        <v>15844.5</v>
      </c>
      <c r="D2674" s="1196">
        <f t="shared" si="84"/>
        <v>122.36883261315323</v>
      </c>
      <c r="E2674" s="2">
        <v>903.27</v>
      </c>
      <c r="F2674" s="1196">
        <f t="shared" si="85"/>
        <v>128.37469088428412</v>
      </c>
    </row>
    <row r="2675" spans="2:6">
      <c r="B2675" s="189">
        <v>38600</v>
      </c>
      <c r="C2675" s="2">
        <v>15685.89</v>
      </c>
      <c r="D2675" s="1196">
        <f t="shared" si="84"/>
        <v>121.14386997370281</v>
      </c>
      <c r="E2675" s="2">
        <v>903.27</v>
      </c>
      <c r="F2675" s="1196">
        <f t="shared" si="85"/>
        <v>128.37469088428412</v>
      </c>
    </row>
    <row r="2676" spans="2:6">
      <c r="B2676" s="189">
        <v>38597</v>
      </c>
      <c r="C2676" s="2">
        <v>15766.35</v>
      </c>
      <c r="D2676" s="1196">
        <f t="shared" si="84"/>
        <v>121.76527148666025</v>
      </c>
      <c r="E2676" s="2">
        <v>903.27</v>
      </c>
      <c r="F2676" s="1196">
        <f t="shared" si="85"/>
        <v>128.37469088428412</v>
      </c>
    </row>
    <row r="2677" spans="2:6">
      <c r="B2677" s="189">
        <v>38596</v>
      </c>
      <c r="C2677" s="2">
        <v>15678.27</v>
      </c>
      <c r="D2677" s="1196">
        <f t="shared" si="84"/>
        <v>121.08501986770312</v>
      </c>
      <c r="E2677" s="2">
        <v>903.27</v>
      </c>
      <c r="F2677" s="1196">
        <f t="shared" si="85"/>
        <v>128.37469088428412</v>
      </c>
    </row>
    <row r="2678" spans="2:6">
      <c r="B2678" s="189">
        <v>38595</v>
      </c>
      <c r="C2678" s="2">
        <v>15414.01</v>
      </c>
      <c r="D2678" s="1196">
        <f t="shared" si="84"/>
        <v>119.04411054861119</v>
      </c>
      <c r="E2678" s="2">
        <v>903.27</v>
      </c>
      <c r="F2678" s="1196">
        <f t="shared" si="85"/>
        <v>128.37469088428412</v>
      </c>
    </row>
    <row r="2679" spans="2:6">
      <c r="B2679" s="189">
        <v>38594</v>
      </c>
      <c r="C2679" s="2">
        <v>15300.52</v>
      </c>
      <c r="D2679" s="1196">
        <f t="shared" si="84"/>
        <v>118.16761467854482</v>
      </c>
      <c r="E2679" s="2">
        <v>903.27</v>
      </c>
      <c r="F2679" s="1196">
        <f t="shared" si="85"/>
        <v>128.37469088428412</v>
      </c>
    </row>
    <row r="2680" spans="2:6">
      <c r="B2680" s="189">
        <v>38593</v>
      </c>
      <c r="C2680" s="2">
        <v>15266.42</v>
      </c>
      <c r="D2680" s="1196">
        <f t="shared" si="84"/>
        <v>117.90425659264065</v>
      </c>
      <c r="E2680" s="2">
        <v>903.27</v>
      </c>
      <c r="F2680" s="1196">
        <f t="shared" si="85"/>
        <v>128.37469088428412</v>
      </c>
    </row>
    <row r="2681" spans="2:6">
      <c r="B2681" s="189">
        <v>38590</v>
      </c>
      <c r="C2681" s="2">
        <v>15298.74</v>
      </c>
      <c r="D2681" s="1196">
        <f t="shared" si="84"/>
        <v>118.15386754092283</v>
      </c>
      <c r="E2681" s="2">
        <v>903.27</v>
      </c>
      <c r="F2681" s="1196">
        <f t="shared" si="85"/>
        <v>128.37469088428412</v>
      </c>
    </row>
    <row r="2682" spans="2:6">
      <c r="B2682" s="189">
        <v>38589</v>
      </c>
      <c r="C2682" s="2">
        <v>15382.89</v>
      </c>
      <c r="D2682" s="1196">
        <f t="shared" si="84"/>
        <v>118.8037673335573</v>
      </c>
      <c r="E2682" s="2">
        <v>909.48</v>
      </c>
      <c r="F2682" s="1196">
        <f t="shared" si="85"/>
        <v>129.25726954890425</v>
      </c>
    </row>
    <row r="2683" spans="2:6">
      <c r="B2683" s="189">
        <v>38588</v>
      </c>
      <c r="C2683" s="2">
        <v>15435.07</v>
      </c>
      <c r="D2683" s="1196">
        <f t="shared" si="84"/>
        <v>119.20675926676785</v>
      </c>
      <c r="E2683" s="2">
        <v>903.27</v>
      </c>
      <c r="F2683" s="1196">
        <f t="shared" si="85"/>
        <v>128.37469088428412</v>
      </c>
    </row>
    <row r="2684" spans="2:6">
      <c r="B2684" s="189">
        <v>38587</v>
      </c>
      <c r="C2684" s="2">
        <v>15675.66</v>
      </c>
      <c r="D2684" s="1196">
        <f t="shared" si="84"/>
        <v>121.06486254793157</v>
      </c>
      <c r="E2684" s="2">
        <v>903.27</v>
      </c>
      <c r="F2684" s="1196">
        <f t="shared" si="85"/>
        <v>128.37469088428412</v>
      </c>
    </row>
    <row r="2685" spans="2:6">
      <c r="B2685" s="189">
        <v>38586</v>
      </c>
      <c r="C2685" s="2">
        <v>15679.91</v>
      </c>
      <c r="D2685" s="1196">
        <f t="shared" si="84"/>
        <v>121.09768576978179</v>
      </c>
      <c r="E2685" s="2">
        <v>875.04</v>
      </c>
      <c r="F2685" s="1196">
        <f t="shared" si="85"/>
        <v>124.36258207555213</v>
      </c>
    </row>
    <row r="2686" spans="2:6">
      <c r="B2686" s="189">
        <v>38583</v>
      </c>
      <c r="C2686" s="2">
        <v>15625.59</v>
      </c>
      <c r="D2686" s="1196">
        <f t="shared" si="84"/>
        <v>120.67816637898079</v>
      </c>
      <c r="E2686" s="2">
        <v>875.04</v>
      </c>
      <c r="F2686" s="1196">
        <f t="shared" si="85"/>
        <v>124.36258207555213</v>
      </c>
    </row>
    <row r="2687" spans="2:6">
      <c r="B2687" s="189">
        <v>38582</v>
      </c>
      <c r="C2687" s="2">
        <v>15473.6</v>
      </c>
      <c r="D2687" s="1196">
        <f t="shared" si="84"/>
        <v>119.50433073450648</v>
      </c>
      <c r="E2687" s="2">
        <v>908.92</v>
      </c>
      <c r="F2687" s="1196">
        <f t="shared" si="85"/>
        <v>129.17768113470339</v>
      </c>
    </row>
    <row r="2688" spans="2:6">
      <c r="B2688" s="189">
        <v>38581</v>
      </c>
      <c r="C2688" s="2">
        <v>15515.28</v>
      </c>
      <c r="D2688" s="1196">
        <f t="shared" si="84"/>
        <v>119.82623000196939</v>
      </c>
      <c r="E2688" s="2">
        <v>903.27</v>
      </c>
      <c r="F2688" s="1196">
        <f t="shared" si="85"/>
        <v>128.37469088428412</v>
      </c>
    </row>
    <row r="2689" spans="2:6">
      <c r="B2689" s="189">
        <v>38580</v>
      </c>
      <c r="C2689" s="2">
        <v>15716.67</v>
      </c>
      <c r="D2689" s="1196">
        <f t="shared" si="84"/>
        <v>121.38158733100867</v>
      </c>
      <c r="E2689" s="2">
        <v>903.27</v>
      </c>
      <c r="F2689" s="1196">
        <f t="shared" si="85"/>
        <v>128.37469088428412</v>
      </c>
    </row>
    <row r="2690" spans="2:6">
      <c r="B2690" s="189">
        <v>38579</v>
      </c>
      <c r="C2690" s="2">
        <v>15854.48</v>
      </c>
      <c r="D2690" s="1196">
        <f t="shared" si="84"/>
        <v>122.44590926116858</v>
      </c>
      <c r="E2690" s="2">
        <v>903.27</v>
      </c>
      <c r="F2690" s="1196">
        <f t="shared" si="85"/>
        <v>128.37469088428412</v>
      </c>
    </row>
    <row r="2691" spans="2:6">
      <c r="B2691" s="189">
        <v>38576</v>
      </c>
      <c r="C2691" s="2">
        <v>15775.9</v>
      </c>
      <c r="D2691" s="1196">
        <f t="shared" si="84"/>
        <v>121.83902719693546</v>
      </c>
      <c r="E2691" s="2">
        <v>858.11</v>
      </c>
      <c r="F2691" s="1196">
        <f t="shared" si="85"/>
        <v>121.95645376765869</v>
      </c>
    </row>
    <row r="2692" spans="2:6">
      <c r="B2692" s="189">
        <v>38575</v>
      </c>
      <c r="C2692" s="2">
        <v>15709.78</v>
      </c>
      <c r="D2692" s="1196">
        <f t="shared" si="84"/>
        <v>121.32837509605621</v>
      </c>
      <c r="E2692" s="2">
        <v>846.82</v>
      </c>
      <c r="F2692" s="1196">
        <f t="shared" si="85"/>
        <v>120.35189448850232</v>
      </c>
    </row>
    <row r="2693" spans="2:6">
      <c r="B2693" s="189">
        <v>38574</v>
      </c>
      <c r="C2693" s="2">
        <v>15736.91</v>
      </c>
      <c r="D2693" s="1196">
        <f t="shared" si="84"/>
        <v>121.53790309812599</v>
      </c>
      <c r="E2693" s="2">
        <v>846.82</v>
      </c>
      <c r="F2693" s="1196">
        <f t="shared" si="85"/>
        <v>120.35189448850232</v>
      </c>
    </row>
    <row r="2694" spans="2:6">
      <c r="B2694" s="189">
        <v>38572</v>
      </c>
      <c r="C2694" s="2">
        <v>15604.47</v>
      </c>
      <c r="D2694" s="1196">
        <f t="shared" si="84"/>
        <v>120.51505427416271</v>
      </c>
      <c r="E2694" s="2">
        <v>846.82</v>
      </c>
      <c r="F2694" s="1196">
        <f t="shared" si="85"/>
        <v>120.35189448850232</v>
      </c>
    </row>
    <row r="2695" spans="2:6">
      <c r="B2695" s="189">
        <v>38569</v>
      </c>
      <c r="C2695" s="2">
        <v>15464.37</v>
      </c>
      <c r="D2695" s="1196">
        <f t="shared" si="84"/>
        <v>119.43304641975882</v>
      </c>
      <c r="E2695" s="2">
        <v>846.82</v>
      </c>
      <c r="F2695" s="1196">
        <f t="shared" si="85"/>
        <v>120.35189448850232</v>
      </c>
    </row>
    <row r="2696" spans="2:6">
      <c r="B2696" s="189">
        <v>38568</v>
      </c>
      <c r="C2696" s="2">
        <v>15470.33</v>
      </c>
      <c r="D2696" s="1196">
        <f t="shared" si="84"/>
        <v>119.47907616145936</v>
      </c>
      <c r="E2696" s="2">
        <v>846.82</v>
      </c>
      <c r="F2696" s="1196">
        <f t="shared" si="85"/>
        <v>120.35189448850232</v>
      </c>
    </row>
    <row r="2697" spans="2:6">
      <c r="B2697" s="189">
        <v>38567</v>
      </c>
      <c r="C2697" s="2">
        <v>15430.8</v>
      </c>
      <c r="D2697" s="1196">
        <f t="shared" si="84"/>
        <v>119.17378158269713</v>
      </c>
      <c r="E2697" s="2">
        <v>832.7</v>
      </c>
      <c r="F2697" s="1196">
        <f t="shared" si="85"/>
        <v>118.34512947329526</v>
      </c>
    </row>
    <row r="2698" spans="2:6">
      <c r="B2698" s="189">
        <v>38566</v>
      </c>
      <c r="C2698" s="2">
        <v>15326.44</v>
      </c>
      <c r="D2698" s="1196">
        <f t="shared" si="84"/>
        <v>118.36779771627607</v>
      </c>
      <c r="E2698" s="2">
        <v>821.41</v>
      </c>
      <c r="F2698" s="1196">
        <f t="shared" si="85"/>
        <v>116.74057019413888</v>
      </c>
    </row>
    <row r="2699" spans="2:6">
      <c r="B2699" s="189">
        <v>38565</v>
      </c>
      <c r="C2699" s="2">
        <v>15202.79</v>
      </c>
      <c r="D2699" s="1196">
        <f t="shared" si="84"/>
        <v>117.41283503821009</v>
      </c>
      <c r="E2699" s="2">
        <v>821.41</v>
      </c>
      <c r="F2699" s="1196">
        <f t="shared" si="85"/>
        <v>116.74057019413888</v>
      </c>
    </row>
    <row r="2700" spans="2:6">
      <c r="B2700" s="189">
        <v>38562</v>
      </c>
      <c r="C2700" s="2">
        <v>15143.64</v>
      </c>
      <c r="D2700" s="1196">
        <f t="shared" ref="D2700:D2758" si="86">C2700/$C$2759*100</f>
        <v>116.95601302116518</v>
      </c>
      <c r="E2700" s="2">
        <v>821.41</v>
      </c>
      <c r="F2700" s="1196">
        <f t="shared" ref="F2700:F2758" si="87">E2700/$E$2759*100</f>
        <v>116.74057019413888</v>
      </c>
    </row>
    <row r="2701" spans="2:6">
      <c r="B2701" s="189">
        <v>38561</v>
      </c>
      <c r="C2701" s="2">
        <v>15219.56</v>
      </c>
      <c r="D2701" s="1196">
        <f t="shared" si="86"/>
        <v>117.54235161007558</v>
      </c>
      <c r="E2701" s="2">
        <v>818.59</v>
      </c>
      <c r="F2701" s="1196">
        <f t="shared" si="87"/>
        <v>116.33978567977033</v>
      </c>
    </row>
    <row r="2702" spans="2:6">
      <c r="B2702" s="189">
        <v>38560</v>
      </c>
      <c r="C2702" s="2">
        <v>15120.49</v>
      </c>
      <c r="D2702" s="1196">
        <f t="shared" si="86"/>
        <v>116.77722300096924</v>
      </c>
      <c r="E2702" s="2">
        <v>818.59</v>
      </c>
      <c r="F2702" s="1196">
        <f t="shared" si="87"/>
        <v>116.33978567977033</v>
      </c>
    </row>
    <row r="2703" spans="2:6">
      <c r="B2703" s="189">
        <v>38559</v>
      </c>
      <c r="C2703" s="2">
        <v>15058.32</v>
      </c>
      <c r="D2703" s="1196">
        <f t="shared" si="86"/>
        <v>116.29707718863314</v>
      </c>
      <c r="E2703" s="2">
        <v>818.59</v>
      </c>
      <c r="F2703" s="1196">
        <f t="shared" si="87"/>
        <v>116.33978567977033</v>
      </c>
    </row>
    <row r="2704" spans="2:6">
      <c r="B2704" s="189">
        <v>38558</v>
      </c>
      <c r="C2704" s="2">
        <v>15137.71</v>
      </c>
      <c r="D2704" s="1196">
        <f t="shared" si="86"/>
        <v>116.91021497279534</v>
      </c>
      <c r="E2704" s="2">
        <v>818.59</v>
      </c>
      <c r="F2704" s="1196">
        <f t="shared" si="87"/>
        <v>116.33978567977033</v>
      </c>
    </row>
    <row r="2705" spans="2:6">
      <c r="B2705" s="189">
        <v>38555</v>
      </c>
      <c r="C2705" s="2">
        <v>15023.56</v>
      </c>
      <c r="D2705" s="1196">
        <f t="shared" si="86"/>
        <v>116.0286218494534</v>
      </c>
      <c r="E2705" s="2">
        <v>798.83</v>
      </c>
      <c r="F2705" s="1196">
        <f t="shared" si="87"/>
        <v>113.53145163582616</v>
      </c>
    </row>
    <row r="2706" spans="2:6">
      <c r="B2706" s="189">
        <v>38554</v>
      </c>
      <c r="C2706" s="2">
        <v>14921.48</v>
      </c>
      <c r="D2706" s="1196">
        <f t="shared" si="86"/>
        <v>115.24024667616611</v>
      </c>
      <c r="E2706" s="2">
        <v>801.65</v>
      </c>
      <c r="F2706" s="1196">
        <f t="shared" si="87"/>
        <v>113.9322361501947</v>
      </c>
    </row>
    <row r="2707" spans="2:6">
      <c r="B2707" s="189">
        <v>38553</v>
      </c>
      <c r="C2707" s="2">
        <v>14878.22</v>
      </c>
      <c r="D2707" s="1196">
        <f t="shared" si="86"/>
        <v>114.90614489328593</v>
      </c>
      <c r="E2707" s="2">
        <v>801.65</v>
      </c>
      <c r="F2707" s="1196">
        <f t="shared" si="87"/>
        <v>113.9322361501947</v>
      </c>
    </row>
    <row r="2708" spans="2:6">
      <c r="B2708" s="189">
        <v>38552</v>
      </c>
      <c r="C2708" s="2">
        <v>14867.95</v>
      </c>
      <c r="D2708" s="1196">
        <f t="shared" si="86"/>
        <v>114.82682854307373</v>
      </c>
      <c r="E2708" s="2">
        <v>804.48</v>
      </c>
      <c r="F2708" s="1196">
        <f t="shared" si="87"/>
        <v>114.33444188624541</v>
      </c>
    </row>
    <row r="2709" spans="2:6">
      <c r="B2709" s="189">
        <v>38551</v>
      </c>
      <c r="C2709" s="2">
        <v>14766.5</v>
      </c>
      <c r="D2709" s="1196">
        <f t="shared" si="86"/>
        <v>114.04331892973127</v>
      </c>
      <c r="E2709" s="2">
        <v>804.48</v>
      </c>
      <c r="F2709" s="1196">
        <f t="shared" si="87"/>
        <v>114.33444188624541</v>
      </c>
    </row>
    <row r="2710" spans="2:6">
      <c r="B2710" s="189">
        <v>38548</v>
      </c>
      <c r="C2710" s="2">
        <v>14720.93</v>
      </c>
      <c r="D2710" s="1196">
        <f t="shared" si="86"/>
        <v>113.69137676038663</v>
      </c>
      <c r="E2710" s="2">
        <v>790.36</v>
      </c>
      <c r="F2710" s="1196">
        <f t="shared" si="87"/>
        <v>112.32767687103835</v>
      </c>
    </row>
    <row r="2711" spans="2:6">
      <c r="B2711" s="189">
        <v>38547</v>
      </c>
      <c r="C2711" s="2">
        <v>14779.95</v>
      </c>
      <c r="D2711" s="1196">
        <f t="shared" si="86"/>
        <v>114.14719477299846</v>
      </c>
      <c r="E2711" s="2">
        <v>790.36</v>
      </c>
      <c r="F2711" s="1196">
        <f t="shared" si="87"/>
        <v>112.32767687103835</v>
      </c>
    </row>
    <row r="2712" spans="2:6">
      <c r="B2712" s="189">
        <v>38546</v>
      </c>
      <c r="C2712" s="2">
        <v>14671.87</v>
      </c>
      <c r="D2712" s="1196">
        <f t="shared" si="86"/>
        <v>113.31248093356967</v>
      </c>
      <c r="E2712" s="2">
        <v>750.84</v>
      </c>
      <c r="F2712" s="1196">
        <f t="shared" si="87"/>
        <v>106.71100878315001</v>
      </c>
    </row>
    <row r="2713" spans="2:6">
      <c r="B2713" s="189">
        <v>38545</v>
      </c>
      <c r="C2713" s="2">
        <v>14511.08</v>
      </c>
      <c r="D2713" s="1196">
        <f t="shared" si="86"/>
        <v>112.07068191208782</v>
      </c>
      <c r="E2713" s="2">
        <v>750.84</v>
      </c>
      <c r="F2713" s="1196">
        <f t="shared" si="87"/>
        <v>106.71100878315001</v>
      </c>
    </row>
    <row r="2714" spans="2:6">
      <c r="B2714" s="189">
        <v>38544</v>
      </c>
      <c r="C2714" s="2">
        <v>14515.59</v>
      </c>
      <c r="D2714" s="1196">
        <f t="shared" si="86"/>
        <v>112.1055131428042</v>
      </c>
      <c r="E2714" s="2">
        <v>750.84</v>
      </c>
      <c r="F2714" s="1196">
        <f t="shared" si="87"/>
        <v>106.71100878315001</v>
      </c>
    </row>
    <row r="2715" spans="2:6">
      <c r="B2715" s="189">
        <v>38541</v>
      </c>
      <c r="C2715" s="2">
        <v>14457.8</v>
      </c>
      <c r="D2715" s="1196">
        <f t="shared" si="86"/>
        <v>111.65919455675134</v>
      </c>
      <c r="E2715" s="2">
        <v>750.84</v>
      </c>
      <c r="F2715" s="1196">
        <f t="shared" si="87"/>
        <v>106.71100878315001</v>
      </c>
    </row>
    <row r="2716" spans="2:6">
      <c r="B2716" s="189">
        <v>38540</v>
      </c>
      <c r="C2716" s="2">
        <v>14302.11</v>
      </c>
      <c r="D2716" s="1196">
        <f t="shared" si="86"/>
        <v>110.45678340148979</v>
      </c>
      <c r="E2716" s="2">
        <v>750.84</v>
      </c>
      <c r="F2716" s="1196">
        <f t="shared" si="87"/>
        <v>106.71100878315001</v>
      </c>
    </row>
    <row r="2717" spans="2:6">
      <c r="B2717" s="189">
        <v>38539</v>
      </c>
      <c r="C2717" s="2">
        <v>14394.63</v>
      </c>
      <c r="D2717" s="1196">
        <f t="shared" si="86"/>
        <v>111.17132563339165</v>
      </c>
      <c r="E2717" s="2">
        <v>762.14</v>
      </c>
      <c r="F2717" s="1196">
        <f t="shared" si="87"/>
        <v>108.31698928398852</v>
      </c>
    </row>
    <row r="2718" spans="2:6">
      <c r="B2718" s="189">
        <v>38538</v>
      </c>
      <c r="C2718" s="2">
        <v>14362.42</v>
      </c>
      <c r="D2718" s="1196">
        <f t="shared" si="86"/>
        <v>110.92256422732206</v>
      </c>
      <c r="E2718" s="2">
        <v>761.57</v>
      </c>
      <c r="F2718" s="1196">
        <f t="shared" si="87"/>
        <v>108.23597964810551</v>
      </c>
    </row>
    <row r="2719" spans="2:6">
      <c r="B2719" s="189">
        <v>38537</v>
      </c>
      <c r="C2719" s="2">
        <v>14309.81</v>
      </c>
      <c r="D2719" s="1196">
        <f t="shared" si="86"/>
        <v>110.51625135637137</v>
      </c>
      <c r="E2719" s="2">
        <v>762.14</v>
      </c>
      <c r="F2719" s="1196">
        <f t="shared" si="87"/>
        <v>108.31698928398852</v>
      </c>
    </row>
    <row r="2720" spans="2:6">
      <c r="B2720" s="189">
        <v>38534</v>
      </c>
      <c r="C2720" s="2">
        <v>14244.13</v>
      </c>
      <c r="D2720" s="1196">
        <f t="shared" si="86"/>
        <v>110.00899742434247</v>
      </c>
      <c r="E2720" s="2">
        <v>762.14</v>
      </c>
      <c r="F2720" s="1196">
        <f t="shared" si="87"/>
        <v>108.31698928398852</v>
      </c>
    </row>
    <row r="2721" spans="2:6">
      <c r="B2721" s="189">
        <v>38533</v>
      </c>
      <c r="C2721" s="2">
        <v>14154.73</v>
      </c>
      <c r="D2721" s="1196">
        <f t="shared" si="86"/>
        <v>109.31855129883419</v>
      </c>
      <c r="E2721" s="2">
        <v>762.14</v>
      </c>
      <c r="F2721" s="1196">
        <f t="shared" si="87"/>
        <v>108.31698928398852</v>
      </c>
    </row>
    <row r="2722" spans="2:6">
      <c r="B2722" s="189">
        <v>38532</v>
      </c>
      <c r="C2722" s="2">
        <v>14183.47</v>
      </c>
      <c r="D2722" s="1196">
        <f t="shared" si="86"/>
        <v>109.54051350965194</v>
      </c>
      <c r="E2722" s="2">
        <v>762.14</v>
      </c>
      <c r="F2722" s="1196">
        <f t="shared" si="87"/>
        <v>108.31698928398852</v>
      </c>
    </row>
    <row r="2723" spans="2:6">
      <c r="B2723" s="189">
        <v>38531</v>
      </c>
      <c r="C2723" s="2">
        <v>14065.84</v>
      </c>
      <c r="D2723" s="1196">
        <f t="shared" si="86"/>
        <v>108.63204395994795</v>
      </c>
      <c r="E2723" s="2">
        <v>762.14</v>
      </c>
      <c r="F2723" s="1196">
        <f t="shared" si="87"/>
        <v>108.31698928398852</v>
      </c>
    </row>
    <row r="2724" spans="2:6">
      <c r="B2724" s="189">
        <v>38530</v>
      </c>
      <c r="C2724" s="2">
        <v>14047.98</v>
      </c>
      <c r="D2724" s="1196">
        <f t="shared" si="86"/>
        <v>108.49410919706676</v>
      </c>
      <c r="E2724" s="2">
        <v>773.43</v>
      </c>
      <c r="F2724" s="1196">
        <f t="shared" si="87"/>
        <v>109.92154856314487</v>
      </c>
    </row>
    <row r="2725" spans="2:6">
      <c r="B2725" s="189">
        <v>38527</v>
      </c>
      <c r="C2725" s="2">
        <v>14103.92</v>
      </c>
      <c r="D2725" s="1196">
        <f t="shared" si="86"/>
        <v>108.92614002772598</v>
      </c>
      <c r="E2725" s="2">
        <v>767.84</v>
      </c>
      <c r="F2725" s="1196">
        <f t="shared" si="87"/>
        <v>109.12708564281857</v>
      </c>
    </row>
    <row r="2726" spans="2:6">
      <c r="B2726" s="189">
        <v>38526</v>
      </c>
      <c r="C2726" s="2">
        <v>14278.43</v>
      </c>
      <c r="D2726" s="1196">
        <f t="shared" si="86"/>
        <v>110.27390013245136</v>
      </c>
      <c r="E2726" s="2">
        <v>767.84</v>
      </c>
      <c r="F2726" s="1196">
        <f t="shared" si="87"/>
        <v>109.12708564281857</v>
      </c>
    </row>
    <row r="2727" spans="2:6">
      <c r="B2727" s="189">
        <v>38525</v>
      </c>
      <c r="C2727" s="2">
        <v>14313.51</v>
      </c>
      <c r="D2727" s="1196">
        <f t="shared" si="86"/>
        <v>110.54482686715863</v>
      </c>
      <c r="E2727" s="2">
        <v>770.08</v>
      </c>
      <c r="F2727" s="1196">
        <f t="shared" si="87"/>
        <v>109.44543929962197</v>
      </c>
    </row>
    <row r="2728" spans="2:6">
      <c r="B2728" s="189">
        <v>38524</v>
      </c>
      <c r="C2728" s="2">
        <v>14311.91</v>
      </c>
      <c r="D2728" s="1196">
        <f t="shared" si="86"/>
        <v>110.5324698895209</v>
      </c>
      <c r="E2728" s="2">
        <v>773.43</v>
      </c>
      <c r="F2728" s="1196">
        <f t="shared" si="87"/>
        <v>109.92154856314487</v>
      </c>
    </row>
    <row r="2729" spans="2:6">
      <c r="B2729" s="189">
        <v>38523</v>
      </c>
      <c r="C2729" s="2">
        <v>14345.63</v>
      </c>
      <c r="D2729" s="1196">
        <f t="shared" si="86"/>
        <v>110.79289319323608</v>
      </c>
      <c r="E2729" s="2">
        <v>781.8</v>
      </c>
      <c r="F2729" s="1196">
        <f t="shared" si="87"/>
        <v>111.1111111111111</v>
      </c>
    </row>
    <row r="2730" spans="2:6">
      <c r="B2730" s="189">
        <v>38520</v>
      </c>
      <c r="C2730" s="2">
        <v>14326.59</v>
      </c>
      <c r="D2730" s="1196">
        <f t="shared" si="86"/>
        <v>110.6458451593471</v>
      </c>
      <c r="E2730" s="2">
        <v>781.8</v>
      </c>
      <c r="F2730" s="1196">
        <f t="shared" si="87"/>
        <v>111.1111111111111</v>
      </c>
    </row>
    <row r="2731" spans="2:6">
      <c r="B2731" s="189">
        <v>38518</v>
      </c>
      <c r="C2731" s="2">
        <v>14210.74</v>
      </c>
      <c r="D2731" s="1196">
        <f t="shared" si="86"/>
        <v>109.75112274726506</v>
      </c>
      <c r="E2731" s="2">
        <v>781.8</v>
      </c>
      <c r="F2731" s="1196">
        <f t="shared" si="87"/>
        <v>111.1111111111111</v>
      </c>
    </row>
    <row r="2732" spans="2:6">
      <c r="B2732" s="189">
        <v>38517</v>
      </c>
      <c r="C2732" s="2">
        <v>14224.28</v>
      </c>
      <c r="D2732" s="1196">
        <f t="shared" si="86"/>
        <v>109.85569367052437</v>
      </c>
      <c r="E2732" s="2">
        <v>753.88</v>
      </c>
      <c r="F2732" s="1196">
        <f t="shared" si="87"/>
        <v>107.14306017452601</v>
      </c>
    </row>
    <row r="2733" spans="2:6">
      <c r="B2733" s="189">
        <v>38516</v>
      </c>
      <c r="C2733" s="2">
        <v>14223.31</v>
      </c>
      <c r="D2733" s="1196">
        <f t="shared" si="86"/>
        <v>109.8482022528315</v>
      </c>
      <c r="E2733" s="2">
        <v>742.71</v>
      </c>
      <c r="F2733" s="1196">
        <f t="shared" si="87"/>
        <v>105.55555555555556</v>
      </c>
    </row>
    <row r="2734" spans="2:6">
      <c r="B2734" s="189">
        <v>38513</v>
      </c>
      <c r="C2734" s="2">
        <v>14029.06</v>
      </c>
      <c r="D2734" s="1196">
        <f t="shared" si="86"/>
        <v>108.34798793650057</v>
      </c>
      <c r="E2734" s="2">
        <v>742.71</v>
      </c>
      <c r="F2734" s="1196">
        <f t="shared" si="87"/>
        <v>105.55555555555556</v>
      </c>
    </row>
    <row r="2735" spans="2:6">
      <c r="B2735" s="189">
        <v>38512</v>
      </c>
      <c r="C2735" s="2">
        <v>14001.86</v>
      </c>
      <c r="D2735" s="1196">
        <f t="shared" si="86"/>
        <v>108.13791931665915</v>
      </c>
      <c r="E2735" s="2">
        <v>742.71</v>
      </c>
      <c r="F2735" s="1196">
        <f t="shared" si="87"/>
        <v>105.55555555555556</v>
      </c>
    </row>
    <row r="2736" spans="2:6">
      <c r="B2736" s="189">
        <v>38511</v>
      </c>
      <c r="C2736" s="2">
        <v>14000.44</v>
      </c>
      <c r="D2736" s="1196">
        <f t="shared" si="86"/>
        <v>108.12695249900565</v>
      </c>
      <c r="E2736" s="2">
        <v>756.12</v>
      </c>
      <c r="F2736" s="1196">
        <f t="shared" si="87"/>
        <v>107.46141383132941</v>
      </c>
    </row>
    <row r="2737" spans="2:6">
      <c r="B2737" s="189">
        <v>38510</v>
      </c>
      <c r="C2737" s="2">
        <v>13980.26</v>
      </c>
      <c r="D2737" s="1196">
        <f t="shared" si="86"/>
        <v>107.97110011854976</v>
      </c>
      <c r="E2737" s="2">
        <v>759.47</v>
      </c>
      <c r="F2737" s="1196">
        <f t="shared" si="87"/>
        <v>107.93752309485234</v>
      </c>
    </row>
    <row r="2738" spans="2:6">
      <c r="B2738" s="189">
        <v>38509</v>
      </c>
      <c r="C2738" s="2">
        <v>14087.43</v>
      </c>
      <c r="D2738" s="1196">
        <f t="shared" si="86"/>
        <v>108.79878592694709</v>
      </c>
      <c r="E2738" s="2">
        <v>759.47</v>
      </c>
      <c r="F2738" s="1196">
        <f t="shared" si="87"/>
        <v>107.93752309485234</v>
      </c>
    </row>
    <row r="2739" spans="2:6">
      <c r="B2739" s="189">
        <v>38506</v>
      </c>
      <c r="C2739" s="2">
        <v>14020.86</v>
      </c>
      <c r="D2739" s="1196">
        <f t="shared" si="86"/>
        <v>108.28465842610721</v>
      </c>
      <c r="E2739" s="2">
        <v>759.47</v>
      </c>
      <c r="F2739" s="1196">
        <f t="shared" si="87"/>
        <v>107.93752309485234</v>
      </c>
    </row>
    <row r="2740" spans="2:6">
      <c r="B2740" s="189">
        <v>38505</v>
      </c>
      <c r="C2740" s="2">
        <v>13965.33</v>
      </c>
      <c r="D2740" s="1196">
        <f t="shared" si="86"/>
        <v>107.85579407096766</v>
      </c>
      <c r="E2740" s="2">
        <v>748.3</v>
      </c>
      <c r="F2740" s="1196">
        <f t="shared" si="87"/>
        <v>106.35001847588185</v>
      </c>
    </row>
    <row r="2741" spans="2:6">
      <c r="B2741" s="189">
        <v>38504</v>
      </c>
      <c r="C2741" s="2">
        <v>13859.48</v>
      </c>
      <c r="D2741" s="1196">
        <f t="shared" si="86"/>
        <v>107.03830276912146</v>
      </c>
      <c r="E2741" s="2">
        <v>737.69</v>
      </c>
      <c r="F2741" s="1196">
        <f t="shared" si="87"/>
        <v>104.84210227111225</v>
      </c>
    </row>
    <row r="2742" spans="2:6">
      <c r="B2742" s="189">
        <v>38503</v>
      </c>
      <c r="C2742" s="2">
        <v>13787.02</v>
      </c>
      <c r="D2742" s="1196">
        <f t="shared" si="86"/>
        <v>106.47868614435268</v>
      </c>
      <c r="E2742" s="2">
        <v>759.47</v>
      </c>
      <c r="F2742" s="1196">
        <f t="shared" si="87"/>
        <v>107.93752309485234</v>
      </c>
    </row>
    <row r="2743" spans="2:6">
      <c r="B2743" s="189">
        <v>38502</v>
      </c>
      <c r="C2743" s="2">
        <v>13916.3</v>
      </c>
      <c r="D2743" s="1196">
        <f t="shared" si="86"/>
        <v>107.47712993748142</v>
      </c>
      <c r="E2743" s="2">
        <v>762.82</v>
      </c>
      <c r="F2743" s="1196">
        <f t="shared" si="87"/>
        <v>108.41363235837527</v>
      </c>
    </row>
    <row r="2744" spans="2:6">
      <c r="B2744" s="189">
        <v>38499</v>
      </c>
      <c r="C2744" s="2">
        <v>13770.34</v>
      </c>
      <c r="D2744" s="1196">
        <f t="shared" si="86"/>
        <v>106.34986465247931</v>
      </c>
      <c r="E2744" s="2">
        <v>762.82</v>
      </c>
      <c r="F2744" s="1196">
        <f t="shared" si="87"/>
        <v>108.41363235837527</v>
      </c>
    </row>
    <row r="2745" spans="2:6">
      <c r="B2745" s="189">
        <v>38498</v>
      </c>
      <c r="C2745" s="2">
        <v>13705.2</v>
      </c>
      <c r="D2745" s="1196">
        <f t="shared" si="86"/>
        <v>105.84678120040316</v>
      </c>
      <c r="E2745" s="2">
        <v>753.88</v>
      </c>
      <c r="F2745" s="1196">
        <f t="shared" si="87"/>
        <v>107.14306017452601</v>
      </c>
    </row>
    <row r="2746" spans="2:6">
      <c r="B2746" s="189">
        <v>38497</v>
      </c>
      <c r="C2746" s="2">
        <v>13469.48</v>
      </c>
      <c r="D2746" s="1196">
        <f t="shared" si="86"/>
        <v>104.02628946992427</v>
      </c>
      <c r="E2746" s="2">
        <v>753.88</v>
      </c>
      <c r="F2746" s="1196">
        <f t="shared" si="87"/>
        <v>107.14306017452601</v>
      </c>
    </row>
    <row r="2747" spans="2:6">
      <c r="B2747" s="189">
        <v>38496</v>
      </c>
      <c r="C2747" s="2">
        <v>13533.47</v>
      </c>
      <c r="D2747" s="1196">
        <f t="shared" si="86"/>
        <v>104.5204913443233</v>
      </c>
      <c r="E2747" s="2">
        <v>753.88</v>
      </c>
      <c r="F2747" s="1196">
        <f t="shared" si="87"/>
        <v>107.14306017452601</v>
      </c>
    </row>
    <row r="2748" spans="2:6">
      <c r="B2748" s="189">
        <v>38495</v>
      </c>
      <c r="C2748" s="2">
        <v>13483.9</v>
      </c>
      <c r="D2748" s="1196">
        <f t="shared" si="86"/>
        <v>104.13765673088433</v>
      </c>
      <c r="E2748" s="2">
        <v>753.88</v>
      </c>
      <c r="F2748" s="1196">
        <f t="shared" si="87"/>
        <v>107.14306017452601</v>
      </c>
    </row>
    <row r="2749" spans="2:6">
      <c r="B2749" s="189">
        <v>38492</v>
      </c>
      <c r="C2749" s="2">
        <v>13418.33</v>
      </c>
      <c r="D2749" s="1196">
        <f t="shared" si="86"/>
        <v>103.63125234106802</v>
      </c>
      <c r="E2749" s="2">
        <v>753.88</v>
      </c>
      <c r="F2749" s="1196">
        <f t="shared" si="87"/>
        <v>107.14306017452601</v>
      </c>
    </row>
    <row r="2750" spans="2:6">
      <c r="B2750" s="189">
        <v>38491</v>
      </c>
      <c r="C2750" s="2">
        <v>13234</v>
      </c>
      <c r="D2750" s="1196">
        <f t="shared" si="86"/>
        <v>102.20765128609106</v>
      </c>
      <c r="E2750" s="2">
        <v>753.88</v>
      </c>
      <c r="F2750" s="1196">
        <f t="shared" si="87"/>
        <v>107.14306017452601</v>
      </c>
    </row>
    <row r="2751" spans="2:6">
      <c r="B2751" s="189">
        <v>38490</v>
      </c>
      <c r="C2751" s="2">
        <v>13268.93</v>
      </c>
      <c r="D2751" s="1196">
        <f t="shared" si="86"/>
        <v>102.4774195541448</v>
      </c>
      <c r="E2751" s="2">
        <v>753.88</v>
      </c>
      <c r="F2751" s="1196">
        <f t="shared" si="87"/>
        <v>107.14306017452601</v>
      </c>
    </row>
    <row r="2752" spans="2:6">
      <c r="B2752" s="189">
        <v>38489</v>
      </c>
      <c r="C2752" s="2">
        <v>13108.34</v>
      </c>
      <c r="D2752" s="1196">
        <f t="shared" si="86"/>
        <v>101.2371651548677</v>
      </c>
      <c r="E2752" s="2">
        <v>725.96</v>
      </c>
      <c r="F2752" s="1196">
        <f t="shared" si="87"/>
        <v>103.17500923794094</v>
      </c>
    </row>
    <row r="2753" spans="2:6">
      <c r="B2753" s="189">
        <v>38488</v>
      </c>
      <c r="C2753" s="2">
        <v>13097.34</v>
      </c>
      <c r="D2753" s="1196">
        <f t="shared" si="86"/>
        <v>101.15221093360829</v>
      </c>
      <c r="E2753" s="2">
        <v>734.34</v>
      </c>
      <c r="F2753" s="1196">
        <f t="shared" si="87"/>
        <v>104.36599300758932</v>
      </c>
    </row>
    <row r="2754" spans="2:6">
      <c r="B2754" s="189">
        <v>38485</v>
      </c>
      <c r="C2754" s="2">
        <v>12954.15</v>
      </c>
      <c r="D2754" s="1196">
        <f t="shared" si="86"/>
        <v>100.04633866614149</v>
      </c>
      <c r="E2754" s="2">
        <v>725.96</v>
      </c>
      <c r="F2754" s="1196">
        <f t="shared" si="87"/>
        <v>103.17500923794094</v>
      </c>
    </row>
    <row r="2755" spans="2:6">
      <c r="B2755" s="189">
        <v>38484</v>
      </c>
      <c r="C2755" s="2">
        <v>13157.21</v>
      </c>
      <c r="D2755" s="1196">
        <f t="shared" si="86"/>
        <v>101.61459359059015</v>
      </c>
      <c r="E2755" s="2">
        <v>714.79</v>
      </c>
      <c r="F2755" s="1196">
        <f t="shared" si="87"/>
        <v>101.58750461897046</v>
      </c>
    </row>
    <row r="2756" spans="2:6">
      <c r="B2756" s="189">
        <v>38483</v>
      </c>
      <c r="C2756" s="2">
        <v>13106.1</v>
      </c>
      <c r="D2756" s="1196">
        <f t="shared" si="86"/>
        <v>101.21986538617487</v>
      </c>
      <c r="E2756" s="2">
        <v>725.96</v>
      </c>
      <c r="F2756" s="1196">
        <f t="shared" si="87"/>
        <v>103.17500923794094</v>
      </c>
    </row>
    <row r="2757" spans="2:6">
      <c r="B2757" s="189">
        <v>38482</v>
      </c>
      <c r="C2757" s="2">
        <v>13087.57</v>
      </c>
      <c r="D2757" s="1196">
        <f t="shared" si="86"/>
        <v>101.07675613890788</v>
      </c>
      <c r="E2757" s="2">
        <v>725.96</v>
      </c>
      <c r="F2757" s="1196">
        <f t="shared" si="87"/>
        <v>103.17500923794094</v>
      </c>
    </row>
    <row r="2758" spans="2:6">
      <c r="B2758" s="189">
        <v>38481</v>
      </c>
      <c r="C2758" s="2">
        <v>13159.53</v>
      </c>
      <c r="D2758" s="1196">
        <f t="shared" si="86"/>
        <v>101.63251120816487</v>
      </c>
      <c r="E2758" s="2">
        <v>725.96</v>
      </c>
      <c r="F2758" s="1196">
        <f t="shared" si="87"/>
        <v>103.17500923794094</v>
      </c>
    </row>
    <row r="2759" spans="2:6">
      <c r="B2759" s="189">
        <v>38478</v>
      </c>
      <c r="C2759" s="2">
        <v>12948.15</v>
      </c>
      <c r="D2759" s="2">
        <v>100</v>
      </c>
      <c r="E2759" s="2">
        <v>703.62</v>
      </c>
      <c r="F2759" s="2">
        <v>100</v>
      </c>
    </row>
    <row r="2760" spans="2:6" s="33" customFormat="1">
      <c r="B2760" s="745"/>
      <c r="D2760" s="745"/>
    </row>
    <row r="2761" spans="2:6">
      <c r="B2761" s="189">
        <v>38477</v>
      </c>
      <c r="C2761">
        <v>12809.73</v>
      </c>
    </row>
    <row r="2762" spans="2:6">
      <c r="B2762" s="189">
        <v>38476</v>
      </c>
      <c r="C2762">
        <v>12671.07</v>
      </c>
    </row>
    <row r="2763" spans="2:6">
      <c r="B2763" s="189">
        <v>38475</v>
      </c>
      <c r="C2763">
        <v>12675.38</v>
      </c>
    </row>
    <row r="2764" spans="2:6">
      <c r="B2764" s="189">
        <v>38471</v>
      </c>
      <c r="C2764">
        <v>12555.96</v>
      </c>
    </row>
    <row r="2765" spans="2:6">
      <c r="B2765" s="189">
        <v>38470</v>
      </c>
      <c r="C2765">
        <v>12467.3</v>
      </c>
    </row>
    <row r="2766" spans="2:6">
      <c r="B2766" s="189">
        <v>38468</v>
      </c>
      <c r="C2766">
        <v>12793.12</v>
      </c>
    </row>
    <row r="2767" spans="2:6">
      <c r="B2767" s="189">
        <v>38467</v>
      </c>
      <c r="C2767">
        <v>12779.99</v>
      </c>
    </row>
    <row r="2768" spans="2:6">
      <c r="B2768" s="189">
        <v>38464</v>
      </c>
      <c r="C2768">
        <v>12751.37</v>
      </c>
    </row>
    <row r="2769" spans="2:3">
      <c r="B2769" s="189">
        <v>38463</v>
      </c>
      <c r="C2769">
        <v>12788.04</v>
      </c>
    </row>
    <row r="2770" spans="2:3">
      <c r="B2770" s="189">
        <v>38462</v>
      </c>
      <c r="C2770">
        <v>12897.71</v>
      </c>
    </row>
    <row r="2771" spans="2:3">
      <c r="B2771" s="189">
        <v>38461</v>
      </c>
      <c r="C2771">
        <v>12967.44</v>
      </c>
    </row>
    <row r="2772" spans="2:3">
      <c r="B2772" s="189">
        <v>38460</v>
      </c>
      <c r="C2772">
        <v>12906.4</v>
      </c>
    </row>
    <row r="2773" spans="2:3">
      <c r="B2773" s="189">
        <v>38457</v>
      </c>
      <c r="C2773">
        <v>13075.65</v>
      </c>
    </row>
    <row r="2774" spans="2:3">
      <c r="B2774" s="189">
        <v>38456</v>
      </c>
      <c r="C2774">
        <v>13119.26</v>
      </c>
    </row>
    <row r="2775" spans="2:3">
      <c r="B2775" s="189">
        <v>38455</v>
      </c>
      <c r="C2775">
        <v>13019.77</v>
      </c>
    </row>
    <row r="2776" spans="2:3">
      <c r="B2776" s="189">
        <v>38454</v>
      </c>
      <c r="C2776">
        <v>13173.39</v>
      </c>
    </row>
    <row r="2777" spans="2:3">
      <c r="B2777" s="189">
        <v>38453</v>
      </c>
      <c r="C2777">
        <v>13253.8</v>
      </c>
    </row>
    <row r="2778" spans="2:3">
      <c r="B2778" s="189">
        <v>38450</v>
      </c>
      <c r="C2778">
        <v>13312.88</v>
      </c>
    </row>
    <row r="2779" spans="2:3">
      <c r="B2779" s="189">
        <v>38449</v>
      </c>
      <c r="C2779">
        <v>13216.97</v>
      </c>
    </row>
    <row r="2780" spans="2:3">
      <c r="B2780" s="189">
        <v>38448</v>
      </c>
      <c r="C2780">
        <v>13242.36</v>
      </c>
    </row>
    <row r="2781" spans="2:3">
      <c r="B2781" s="189">
        <v>38447</v>
      </c>
      <c r="C2781">
        <v>13257.61</v>
      </c>
    </row>
    <row r="2782" spans="2:3">
      <c r="B2782" s="189">
        <v>38446</v>
      </c>
      <c r="C2782">
        <v>13272.15</v>
      </c>
    </row>
    <row r="2783" spans="2:3">
      <c r="B2783" s="189">
        <v>38443</v>
      </c>
      <c r="C2783">
        <v>13432.14</v>
      </c>
    </row>
    <row r="2784" spans="2:3">
      <c r="B2784" s="189">
        <v>38442</v>
      </c>
      <c r="C2784">
        <v>13298.58</v>
      </c>
    </row>
    <row r="2785" spans="2:3">
      <c r="B2785" s="189">
        <v>38441</v>
      </c>
      <c r="C2785">
        <v>13176.18</v>
      </c>
    </row>
    <row r="2786" spans="2:3">
      <c r="B2786" s="189">
        <v>38440</v>
      </c>
      <c r="C2786">
        <v>13214.11</v>
      </c>
    </row>
    <row r="2787" spans="2:3">
      <c r="B2787" s="189">
        <v>38435</v>
      </c>
      <c r="C2787">
        <v>13191.47</v>
      </c>
    </row>
    <row r="2788" spans="2:3">
      <c r="B2788" s="189">
        <v>38434</v>
      </c>
      <c r="C2788">
        <v>13297.13</v>
      </c>
    </row>
    <row r="2789" spans="2:3">
      <c r="B2789" s="189">
        <v>38433</v>
      </c>
      <c r="C2789">
        <v>13465.53</v>
      </c>
    </row>
    <row r="2790" spans="2:3">
      <c r="B2790" s="189">
        <v>38429</v>
      </c>
      <c r="C2790">
        <v>13593.17</v>
      </c>
    </row>
    <row r="2791" spans="2:3">
      <c r="B2791" s="189">
        <v>38428</v>
      </c>
      <c r="C2791">
        <v>13703.85</v>
      </c>
    </row>
    <row r="2792" spans="2:3">
      <c r="B2792" s="189">
        <v>38427</v>
      </c>
      <c r="C2792">
        <v>13555.05</v>
      </c>
    </row>
    <row r="2793" spans="2:3">
      <c r="B2793" s="189">
        <v>38426</v>
      </c>
      <c r="C2793">
        <v>13588.93</v>
      </c>
    </row>
    <row r="2794" spans="2:3">
      <c r="B2794" s="189">
        <v>38425</v>
      </c>
      <c r="C2794">
        <v>13595.11</v>
      </c>
    </row>
    <row r="2795" spans="2:3">
      <c r="B2795" s="189">
        <v>38422</v>
      </c>
      <c r="C2795">
        <v>13508.05</v>
      </c>
    </row>
    <row r="2796" spans="2:3">
      <c r="B2796" s="189">
        <v>38421</v>
      </c>
      <c r="C2796">
        <v>13570.88</v>
      </c>
    </row>
    <row r="2797" spans="2:3">
      <c r="B2797" s="189">
        <v>38420</v>
      </c>
      <c r="C2797">
        <v>13587.78</v>
      </c>
    </row>
    <row r="2798" spans="2:3">
      <c r="B2798" s="189">
        <v>38419</v>
      </c>
      <c r="C2798">
        <v>13542.11</v>
      </c>
    </row>
    <row r="2799" spans="2:3">
      <c r="B2799" s="189">
        <v>38418</v>
      </c>
      <c r="C2799">
        <v>13541.47</v>
      </c>
    </row>
    <row r="2800" spans="2:3">
      <c r="B2800" s="189">
        <v>38415</v>
      </c>
      <c r="C2800">
        <v>13634.73</v>
      </c>
    </row>
    <row r="2801" spans="2:3">
      <c r="B2801" s="189">
        <v>38414</v>
      </c>
      <c r="C2801">
        <v>13541.02</v>
      </c>
    </row>
    <row r="2802" spans="2:3">
      <c r="B2802" s="189">
        <v>38413</v>
      </c>
      <c r="C2802">
        <v>13456.89</v>
      </c>
    </row>
    <row r="2803" spans="2:3">
      <c r="B2803" s="189">
        <v>38412</v>
      </c>
      <c r="C2803">
        <v>13488.97</v>
      </c>
    </row>
    <row r="2804" spans="2:3">
      <c r="B2804" s="189">
        <v>38411</v>
      </c>
      <c r="C2804">
        <v>13476.59</v>
      </c>
    </row>
    <row r="2805" spans="2:3">
      <c r="B2805" s="189">
        <v>38408</v>
      </c>
      <c r="C2805">
        <v>13375.55</v>
      </c>
    </row>
    <row r="2806" spans="2:3">
      <c r="B2806" s="189">
        <v>38407</v>
      </c>
      <c r="C2806">
        <v>13308.3</v>
      </c>
    </row>
    <row r="2807" spans="2:3">
      <c r="B2807" s="189">
        <v>38406</v>
      </c>
      <c r="C2807">
        <v>13232.91</v>
      </c>
    </row>
    <row r="2808" spans="2:3">
      <c r="B2808" s="189">
        <v>38405</v>
      </c>
      <c r="C2808">
        <v>13250.01</v>
      </c>
    </row>
    <row r="2809" spans="2:3">
      <c r="B2809" s="189">
        <v>38404</v>
      </c>
      <c r="C2809">
        <v>13346.39</v>
      </c>
    </row>
    <row r="2810" spans="2:3">
      <c r="B2810" s="189">
        <v>38401</v>
      </c>
      <c r="C2810">
        <v>13302.62</v>
      </c>
    </row>
    <row r="2811" spans="2:3">
      <c r="B2811" s="189">
        <v>38400</v>
      </c>
      <c r="C2811">
        <v>13259.76</v>
      </c>
    </row>
    <row r="2812" spans="2:3">
      <c r="B2812" s="189">
        <v>38399</v>
      </c>
      <c r="C2812">
        <v>13181.08</v>
      </c>
    </row>
    <row r="2813" spans="2:3">
      <c r="B2813" s="189">
        <v>38398</v>
      </c>
      <c r="C2813">
        <v>13089.28</v>
      </c>
    </row>
    <row r="2814" spans="2:3">
      <c r="B2814" s="189">
        <v>38397</v>
      </c>
      <c r="C2814">
        <v>13132.42</v>
      </c>
    </row>
    <row r="2815" spans="2:3">
      <c r="B2815" s="189">
        <v>38394</v>
      </c>
      <c r="C2815">
        <v>13085.19</v>
      </c>
    </row>
    <row r="2816" spans="2:3">
      <c r="B2816" s="189">
        <v>38393</v>
      </c>
      <c r="C2816">
        <v>13086.46</v>
      </c>
    </row>
    <row r="2817" spans="2:3">
      <c r="B2817" s="189">
        <v>38392</v>
      </c>
      <c r="C2817">
        <v>13107.5</v>
      </c>
    </row>
    <row r="2818" spans="2:3">
      <c r="B2818" s="189">
        <v>38391</v>
      </c>
      <c r="C2818">
        <v>13083.46</v>
      </c>
    </row>
    <row r="2819" spans="2:3">
      <c r="B2819" s="189">
        <v>38390</v>
      </c>
      <c r="C2819">
        <v>13046.67</v>
      </c>
    </row>
    <row r="2820" spans="2:3">
      <c r="B2820" s="189">
        <v>38387</v>
      </c>
      <c r="C2820">
        <v>13002.21</v>
      </c>
    </row>
    <row r="2821" spans="2:3">
      <c r="B2821" s="189">
        <v>38386</v>
      </c>
      <c r="C2821">
        <v>13016.6</v>
      </c>
    </row>
    <row r="2822" spans="2:3">
      <c r="B2822" s="189">
        <v>38385</v>
      </c>
      <c r="C2822">
        <v>12957.71</v>
      </c>
    </row>
    <row r="2823" spans="2:3">
      <c r="B2823" s="189">
        <v>38384</v>
      </c>
      <c r="C2823">
        <v>12957.44</v>
      </c>
    </row>
    <row r="2824" spans="2:3">
      <c r="B2824" s="189">
        <v>38383</v>
      </c>
      <c r="C2824">
        <v>12798.55</v>
      </c>
    </row>
    <row r="2825" spans="2:3">
      <c r="B2825" s="189">
        <v>38380</v>
      </c>
      <c r="C2825">
        <v>12699.81</v>
      </c>
    </row>
    <row r="2826" spans="2:3">
      <c r="B2826" s="189">
        <v>38379</v>
      </c>
      <c r="C2826">
        <v>12710.04</v>
      </c>
    </row>
    <row r="2827" spans="2:3">
      <c r="B2827" s="189">
        <v>38378</v>
      </c>
      <c r="C2827">
        <v>12607.42</v>
      </c>
    </row>
    <row r="2828" spans="2:3">
      <c r="B2828" s="189">
        <v>38377</v>
      </c>
      <c r="C2828">
        <v>12517.66</v>
      </c>
    </row>
    <row r="2829" spans="2:3">
      <c r="B2829" s="189">
        <v>38376</v>
      </c>
      <c r="C2829">
        <v>12530.3</v>
      </c>
    </row>
    <row r="2830" spans="2:3">
      <c r="B2830" s="189">
        <v>38373</v>
      </c>
      <c r="C2830">
        <v>12497.84</v>
      </c>
    </row>
    <row r="2831" spans="2:3">
      <c r="B2831" s="189">
        <v>38372</v>
      </c>
      <c r="C2831">
        <v>12469.56</v>
      </c>
    </row>
    <row r="2832" spans="2:3">
      <c r="B2832" s="189">
        <v>38371</v>
      </c>
      <c r="C2832">
        <v>12511.85</v>
      </c>
    </row>
    <row r="2833" spans="2:3">
      <c r="B2833" s="189">
        <v>38370</v>
      </c>
      <c r="C2833">
        <v>12609.72</v>
      </c>
    </row>
    <row r="2834" spans="2:3">
      <c r="B2834" s="189">
        <v>38369</v>
      </c>
      <c r="C2834">
        <v>12707.74</v>
      </c>
    </row>
    <row r="2835" spans="2:3">
      <c r="B2835" s="189">
        <v>38366</v>
      </c>
      <c r="C2835">
        <v>12782.27</v>
      </c>
    </row>
    <row r="2836" spans="2:3">
      <c r="B2836" s="189">
        <v>38365</v>
      </c>
      <c r="C2836">
        <v>12754.53</v>
      </c>
    </row>
    <row r="2837" spans="2:3">
      <c r="B2837" s="189">
        <v>38364</v>
      </c>
      <c r="C2837">
        <v>12724.79</v>
      </c>
    </row>
    <row r="2838" spans="2:3">
      <c r="B2838" s="189">
        <v>38363</v>
      </c>
      <c r="C2838">
        <v>12664.89</v>
      </c>
    </row>
    <row r="2839" spans="2:3">
      <c r="B2839" s="189">
        <v>38362</v>
      </c>
      <c r="C2839">
        <v>12663.45</v>
      </c>
    </row>
    <row r="2840" spans="2:3">
      <c r="B2840" s="189">
        <v>38359</v>
      </c>
      <c r="C2840">
        <v>12714.89</v>
      </c>
    </row>
    <row r="2841" spans="2:3">
      <c r="B2841" s="189">
        <v>38358</v>
      </c>
      <c r="C2841">
        <v>12800.52</v>
      </c>
    </row>
    <row r="2842" spans="2:3">
      <c r="B2842" s="189">
        <v>38357</v>
      </c>
      <c r="C2842">
        <v>12677.71</v>
      </c>
    </row>
    <row r="2843" spans="2:3">
      <c r="B2843" s="189">
        <v>38356</v>
      </c>
      <c r="C2843">
        <v>12714.52</v>
      </c>
    </row>
    <row r="2844" spans="2:3">
      <c r="B2844" s="189">
        <v>38355</v>
      </c>
      <c r="C2844">
        <v>12784.34</v>
      </c>
    </row>
    <row r="2845" spans="2:3">
      <c r="B2845" s="189">
        <v>38352</v>
      </c>
      <c r="C2845">
        <v>12656.86</v>
      </c>
    </row>
    <row r="2846" spans="2:3">
      <c r="B2846" s="189">
        <v>38351</v>
      </c>
      <c r="C2846">
        <v>12675.77</v>
      </c>
    </row>
    <row r="2847" spans="2:3">
      <c r="B2847" s="189">
        <v>38350</v>
      </c>
      <c r="C2847">
        <v>12611.08</v>
      </c>
    </row>
    <row r="2848" spans="2:3">
      <c r="B2848" s="189">
        <v>38349</v>
      </c>
      <c r="C2848">
        <v>12593.38</v>
      </c>
    </row>
    <row r="2849" spans="2:3">
      <c r="B2849" s="189">
        <v>38345</v>
      </c>
      <c r="C2849">
        <v>12529.23</v>
      </c>
    </row>
    <row r="2850" spans="2:3">
      <c r="B2850" s="189">
        <v>38344</v>
      </c>
      <c r="C2850">
        <v>12504.06</v>
      </c>
    </row>
    <row r="2851" spans="2:3">
      <c r="B2851" s="189">
        <v>38343</v>
      </c>
      <c r="C2851">
        <v>12496.1</v>
      </c>
    </row>
    <row r="2852" spans="2:3">
      <c r="B2852" s="189">
        <v>38342</v>
      </c>
      <c r="C2852">
        <v>12450.63</v>
      </c>
    </row>
    <row r="2853" spans="2:3">
      <c r="B2853" s="189">
        <v>38341</v>
      </c>
      <c r="C2853">
        <v>12458.41</v>
      </c>
    </row>
    <row r="2854" spans="2:3">
      <c r="B2854" s="189">
        <v>38338</v>
      </c>
      <c r="C2854">
        <v>12389.8</v>
      </c>
    </row>
    <row r="2855" spans="2:3">
      <c r="B2855" s="189">
        <v>38336</v>
      </c>
      <c r="C2855">
        <v>12265.32</v>
      </c>
    </row>
    <row r="2856" spans="2:3">
      <c r="B2856" s="189">
        <v>38335</v>
      </c>
      <c r="C2856">
        <v>12219.59</v>
      </c>
    </row>
    <row r="2857" spans="2:3">
      <c r="B2857" s="189">
        <v>38334</v>
      </c>
      <c r="C2857">
        <v>12146.76</v>
      </c>
    </row>
    <row r="2858" spans="2:3">
      <c r="B2858" s="189">
        <v>38331</v>
      </c>
      <c r="C2858">
        <v>12135.49</v>
      </c>
    </row>
    <row r="2859" spans="2:3">
      <c r="B2859" s="189">
        <v>38330</v>
      </c>
      <c r="C2859">
        <v>12146.2</v>
      </c>
    </row>
    <row r="2860" spans="2:3">
      <c r="B2860" s="189">
        <v>38329</v>
      </c>
      <c r="C2860">
        <v>12205.18</v>
      </c>
    </row>
    <row r="2861" spans="2:3">
      <c r="B2861" s="189">
        <v>38328</v>
      </c>
      <c r="C2861">
        <v>12313.01</v>
      </c>
    </row>
    <row r="2862" spans="2:3">
      <c r="B2862" s="189">
        <v>38327</v>
      </c>
      <c r="C2862">
        <v>12306.22</v>
      </c>
    </row>
    <row r="2863" spans="2:3">
      <c r="B2863" s="189">
        <v>38324</v>
      </c>
      <c r="C2863">
        <v>12500.26</v>
      </c>
    </row>
    <row r="2864" spans="2:3">
      <c r="B2864" s="189">
        <v>38323</v>
      </c>
      <c r="C2864">
        <v>12608</v>
      </c>
    </row>
    <row r="2865" spans="2:3">
      <c r="B2865" s="189">
        <v>38322</v>
      </c>
      <c r="C2865">
        <v>12577.93</v>
      </c>
    </row>
    <row r="2866" spans="2:3">
      <c r="B2866" s="189">
        <v>38321</v>
      </c>
      <c r="C2866">
        <v>12490.79</v>
      </c>
    </row>
    <row r="2867" spans="2:3">
      <c r="B2867" s="189">
        <v>38320</v>
      </c>
      <c r="C2867">
        <v>12513.26</v>
      </c>
    </row>
    <row r="2868" spans="2:3">
      <c r="B2868" s="189">
        <v>38317</v>
      </c>
      <c r="C2868">
        <v>12438.51</v>
      </c>
    </row>
    <row r="2869" spans="2:3">
      <c r="B2869" s="189">
        <v>38316</v>
      </c>
      <c r="C2869">
        <v>12398.77</v>
      </c>
    </row>
    <row r="2870" spans="2:3">
      <c r="B2870" s="189">
        <v>38315</v>
      </c>
      <c r="C2870">
        <v>12283.61</v>
      </c>
    </row>
    <row r="2871" spans="2:3">
      <c r="B2871" s="189">
        <v>38314</v>
      </c>
      <c r="C2871">
        <v>12246.28</v>
      </c>
    </row>
    <row r="2872" spans="2:3">
      <c r="B2872" s="189">
        <v>38313</v>
      </c>
      <c r="C2872">
        <v>12236.5</v>
      </c>
    </row>
    <row r="2873" spans="2:3">
      <c r="B2873" s="189">
        <v>38310</v>
      </c>
      <c r="C2873">
        <v>12337.31</v>
      </c>
    </row>
    <row r="2874" spans="2:3">
      <c r="B2874" s="189">
        <v>38309</v>
      </c>
      <c r="C2874">
        <v>12352.84</v>
      </c>
    </row>
    <row r="2875" spans="2:3">
      <c r="B2875" s="189">
        <v>38308</v>
      </c>
      <c r="C2875">
        <v>12251.62</v>
      </c>
    </row>
    <row r="2876" spans="2:3">
      <c r="B2876" s="189">
        <v>38307</v>
      </c>
      <c r="C2876">
        <v>12215.2</v>
      </c>
    </row>
    <row r="2877" spans="2:3">
      <c r="B2877" s="189">
        <v>38306</v>
      </c>
      <c r="C2877">
        <v>12263.87</v>
      </c>
    </row>
    <row r="2878" spans="2:3">
      <c r="B2878" s="189">
        <v>38303</v>
      </c>
      <c r="C2878">
        <v>12212.87</v>
      </c>
    </row>
    <row r="2879" spans="2:3">
      <c r="B2879" s="189">
        <v>38302</v>
      </c>
      <c r="C2879">
        <v>12322.14</v>
      </c>
    </row>
    <row r="2880" spans="2:3">
      <c r="B2880" s="189">
        <v>38301</v>
      </c>
      <c r="C2880">
        <v>12190.21</v>
      </c>
    </row>
    <row r="2881" spans="2:3">
      <c r="B2881" s="189">
        <v>38300</v>
      </c>
      <c r="C2881">
        <v>12229.63</v>
      </c>
    </row>
    <row r="2882" spans="2:3">
      <c r="B2882" s="189">
        <v>38299</v>
      </c>
      <c r="C2882">
        <v>12083.57</v>
      </c>
    </row>
    <row r="2883" spans="2:3">
      <c r="B2883" s="189">
        <v>38296</v>
      </c>
      <c r="C2883">
        <v>12062.85</v>
      </c>
    </row>
    <row r="2884" spans="2:3">
      <c r="B2884" s="189">
        <v>38295</v>
      </c>
      <c r="C2884">
        <v>11892.73</v>
      </c>
    </row>
    <row r="2885" spans="2:3">
      <c r="B2885" s="189">
        <v>38294</v>
      </c>
      <c r="C2885">
        <v>11845.39</v>
      </c>
    </row>
    <row r="2886" spans="2:3">
      <c r="B2886" s="189">
        <v>38293</v>
      </c>
      <c r="C2886">
        <v>11805.98</v>
      </c>
    </row>
    <row r="2887" spans="2:3">
      <c r="B2887" s="189">
        <v>38292</v>
      </c>
      <c r="C2887">
        <v>11768.52</v>
      </c>
    </row>
    <row r="2888" spans="2:3">
      <c r="B2888" s="189">
        <v>38289</v>
      </c>
      <c r="C2888">
        <v>11655.31</v>
      </c>
    </row>
    <row r="2889" spans="2:3">
      <c r="B2889" s="189">
        <v>38288</v>
      </c>
      <c r="C2889">
        <v>11629.78</v>
      </c>
    </row>
    <row r="2890" spans="2:3">
      <c r="B2890" s="189">
        <v>38287</v>
      </c>
      <c r="C2890">
        <v>11796.63</v>
      </c>
    </row>
    <row r="2891" spans="2:3">
      <c r="B2891" s="189">
        <v>38286</v>
      </c>
      <c r="C2891">
        <v>11793.27</v>
      </c>
    </row>
    <row r="2892" spans="2:3">
      <c r="B2892" s="189">
        <v>38285</v>
      </c>
      <c r="C2892">
        <v>11622.43</v>
      </c>
    </row>
    <row r="2893" spans="2:3">
      <c r="B2893" s="189">
        <v>38282</v>
      </c>
      <c r="C2893">
        <v>11647.15</v>
      </c>
    </row>
    <row r="2894" spans="2:3">
      <c r="B2894" s="189">
        <v>38281</v>
      </c>
      <c r="C2894">
        <v>11655.85</v>
      </c>
    </row>
    <row r="2895" spans="2:3">
      <c r="B2895" s="189">
        <v>38280</v>
      </c>
      <c r="C2895">
        <v>11604.06</v>
      </c>
    </row>
    <row r="2896" spans="2:3">
      <c r="B2896" s="189">
        <v>38279</v>
      </c>
      <c r="C2896">
        <v>11692.71</v>
      </c>
    </row>
    <row r="2897" spans="2:3">
      <c r="B2897" s="189">
        <v>38278</v>
      </c>
      <c r="C2897">
        <v>11741.57</v>
      </c>
    </row>
    <row r="2898" spans="2:3">
      <c r="B2898" s="189">
        <v>38275</v>
      </c>
      <c r="C2898">
        <v>11834.82</v>
      </c>
    </row>
    <row r="2899" spans="2:3">
      <c r="B2899" s="189">
        <v>38274</v>
      </c>
      <c r="C2899">
        <v>11816.87</v>
      </c>
    </row>
    <row r="2900" spans="2:3">
      <c r="B2900" s="189">
        <v>38273</v>
      </c>
      <c r="C2900">
        <v>11796.93</v>
      </c>
    </row>
    <row r="2901" spans="2:3">
      <c r="B2901" s="189">
        <v>38272</v>
      </c>
      <c r="C2901">
        <v>11918.98</v>
      </c>
    </row>
    <row r="2902" spans="2:3">
      <c r="B2902" s="189">
        <v>38271</v>
      </c>
      <c r="C2902">
        <v>12063.11</v>
      </c>
    </row>
    <row r="2903" spans="2:3">
      <c r="B2903" s="189">
        <v>38268</v>
      </c>
      <c r="C2903">
        <v>12115.36</v>
      </c>
    </row>
    <row r="2904" spans="2:3">
      <c r="B2904" s="189">
        <v>38267</v>
      </c>
      <c r="C2904">
        <v>12087.27</v>
      </c>
    </row>
    <row r="2905" spans="2:3">
      <c r="B2905" s="189">
        <v>38266</v>
      </c>
      <c r="C2905">
        <v>11925</v>
      </c>
    </row>
    <row r="2906" spans="2:3">
      <c r="B2906" s="189">
        <v>38265</v>
      </c>
      <c r="C2906">
        <v>11857.01</v>
      </c>
    </row>
    <row r="2907" spans="2:3">
      <c r="B2907" s="189">
        <v>38264</v>
      </c>
      <c r="C2907">
        <v>11795.02</v>
      </c>
    </row>
    <row r="2908" spans="2:3">
      <c r="B2908" s="189">
        <v>38261</v>
      </c>
      <c r="C2908">
        <v>11871.82</v>
      </c>
    </row>
    <row r="2909" spans="2:3">
      <c r="B2909" s="189">
        <v>38260</v>
      </c>
      <c r="C2909">
        <v>11761</v>
      </c>
    </row>
    <row r="2910" spans="2:3">
      <c r="B2910" s="189">
        <v>38259</v>
      </c>
      <c r="C2910">
        <v>11709.7</v>
      </c>
    </row>
    <row r="2911" spans="2:3">
      <c r="B2911" s="189">
        <v>38258</v>
      </c>
      <c r="C2911">
        <v>11602.38</v>
      </c>
    </row>
    <row r="2912" spans="2:3">
      <c r="B2912" s="189">
        <v>38257</v>
      </c>
      <c r="C2912">
        <v>11451.13</v>
      </c>
    </row>
    <row r="2913" spans="2:3">
      <c r="B2913" s="189">
        <v>38253</v>
      </c>
      <c r="C2913">
        <v>11515.07</v>
      </c>
    </row>
    <row r="2914" spans="2:3">
      <c r="B2914" s="189">
        <v>38252</v>
      </c>
      <c r="C2914">
        <v>11559.78</v>
      </c>
    </row>
    <row r="2915" spans="2:3">
      <c r="B2915" s="189">
        <v>38251</v>
      </c>
      <c r="C2915">
        <v>11513.85</v>
      </c>
    </row>
    <row r="2916" spans="2:3">
      <c r="B2916" s="189">
        <v>38250</v>
      </c>
      <c r="C2916">
        <v>11459.78</v>
      </c>
    </row>
    <row r="2917" spans="2:3">
      <c r="B2917" s="189">
        <v>38247</v>
      </c>
      <c r="C2917">
        <v>11513.26</v>
      </c>
    </row>
    <row r="2918" spans="2:3">
      <c r="B2918" s="189">
        <v>38246</v>
      </c>
      <c r="C2918">
        <v>11412.55</v>
      </c>
    </row>
    <row r="2919" spans="2:3">
      <c r="B2919" s="189">
        <v>38245</v>
      </c>
      <c r="C2919">
        <v>11219.67</v>
      </c>
    </row>
    <row r="2920" spans="2:3">
      <c r="B2920" s="189">
        <v>38244</v>
      </c>
      <c r="C2920">
        <v>11266.42</v>
      </c>
    </row>
    <row r="2921" spans="2:3">
      <c r="B2921" s="189">
        <v>38243</v>
      </c>
      <c r="C2921">
        <v>11238.02</v>
      </c>
    </row>
    <row r="2922" spans="2:3">
      <c r="B2922" s="189">
        <v>38240</v>
      </c>
      <c r="C2922">
        <v>11226.82</v>
      </c>
    </row>
    <row r="2923" spans="2:3">
      <c r="B2923" s="189">
        <v>38239</v>
      </c>
      <c r="C2923">
        <v>11253.61</v>
      </c>
    </row>
    <row r="2924" spans="2:3">
      <c r="B2924" s="189">
        <v>38238</v>
      </c>
      <c r="C2924">
        <v>11183.74</v>
      </c>
    </row>
    <row r="2925" spans="2:3">
      <c r="B2925" s="189">
        <v>38237</v>
      </c>
      <c r="C2925">
        <v>11136.36</v>
      </c>
    </row>
    <row r="2926" spans="2:3">
      <c r="B2926" s="189">
        <v>38236</v>
      </c>
      <c r="C2926">
        <v>11244.21</v>
      </c>
    </row>
    <row r="2927" spans="2:3">
      <c r="B2927" s="189">
        <v>38233</v>
      </c>
      <c r="C2927">
        <v>11223.91</v>
      </c>
    </row>
    <row r="2928" spans="2:3">
      <c r="B2928" s="189">
        <v>38232</v>
      </c>
      <c r="C2928">
        <v>11152.19</v>
      </c>
    </row>
    <row r="2929" spans="2:3">
      <c r="B2929" s="189">
        <v>38231</v>
      </c>
      <c r="C2929">
        <v>11145.12</v>
      </c>
    </row>
    <row r="2930" spans="2:3">
      <c r="B2930" s="189">
        <v>38230</v>
      </c>
      <c r="C2930">
        <v>11160.44</v>
      </c>
    </row>
    <row r="2931" spans="2:3">
      <c r="B2931" s="189">
        <v>38229</v>
      </c>
      <c r="C2931">
        <v>11158</v>
      </c>
    </row>
    <row r="2932" spans="2:3">
      <c r="B2932" s="189">
        <v>38226</v>
      </c>
      <c r="C2932">
        <v>11163.35</v>
      </c>
    </row>
    <row r="2933" spans="2:3">
      <c r="B2933" s="189">
        <v>38225</v>
      </c>
      <c r="C2933">
        <v>11017.06</v>
      </c>
    </row>
    <row r="2934" spans="2:3">
      <c r="B2934" s="189">
        <v>38224</v>
      </c>
      <c r="C2934">
        <v>10970.4</v>
      </c>
    </row>
    <row r="2935" spans="2:3">
      <c r="B2935" s="189">
        <v>38223</v>
      </c>
      <c r="C2935">
        <v>11042.21</v>
      </c>
    </row>
    <row r="2936" spans="2:3">
      <c r="B2936" s="189">
        <v>38222</v>
      </c>
      <c r="C2936">
        <v>11166.09</v>
      </c>
    </row>
    <row r="2937" spans="2:3">
      <c r="B2937" s="189">
        <v>38219</v>
      </c>
      <c r="C2937">
        <v>10938.15</v>
      </c>
    </row>
    <row r="2938" spans="2:3">
      <c r="B2938" s="189">
        <v>38218</v>
      </c>
      <c r="C2938">
        <v>10881.24</v>
      </c>
    </row>
    <row r="2939" spans="2:3">
      <c r="B2939" s="189">
        <v>38217</v>
      </c>
      <c r="C2939">
        <v>10687.33</v>
      </c>
    </row>
    <row r="2940" spans="2:3">
      <c r="B2940" s="189">
        <v>38216</v>
      </c>
      <c r="C2940">
        <v>10745.53</v>
      </c>
    </row>
    <row r="2941" spans="2:3">
      <c r="B2941" s="189">
        <v>38215</v>
      </c>
      <c r="C2941">
        <v>10823.87</v>
      </c>
    </row>
    <row r="2942" spans="2:3">
      <c r="B2942" s="189">
        <v>38212</v>
      </c>
      <c r="C2942">
        <v>10567.57</v>
      </c>
    </row>
    <row r="2943" spans="2:3">
      <c r="B2943" s="189">
        <v>38211</v>
      </c>
      <c r="C2943">
        <v>10496.33</v>
      </c>
    </row>
    <row r="2944" spans="2:3">
      <c r="B2944" s="189">
        <v>38210</v>
      </c>
      <c r="C2944">
        <v>10154.299999999999</v>
      </c>
    </row>
    <row r="2945" spans="2:3">
      <c r="B2945" s="189">
        <v>38209</v>
      </c>
      <c r="C2945">
        <v>10180.41</v>
      </c>
    </row>
    <row r="2946" spans="2:3">
      <c r="B2946" s="189">
        <v>38205</v>
      </c>
      <c r="C2946">
        <v>10227.51</v>
      </c>
    </row>
    <row r="2947" spans="2:3">
      <c r="B2947" s="189">
        <v>38204</v>
      </c>
      <c r="C2947">
        <v>10419.49</v>
      </c>
    </row>
    <row r="2948" spans="2:3">
      <c r="B2948" s="189">
        <v>38203</v>
      </c>
      <c r="C2948">
        <v>10447.73</v>
      </c>
    </row>
    <row r="2949" spans="2:3">
      <c r="B2949" s="189">
        <v>38202</v>
      </c>
      <c r="C2949">
        <v>10433.17</v>
      </c>
    </row>
    <row r="2950" spans="2:3">
      <c r="B2950" s="189">
        <v>38201</v>
      </c>
      <c r="C2950">
        <v>10360.19</v>
      </c>
    </row>
    <row r="2951" spans="2:3">
      <c r="B2951" s="189">
        <v>38198</v>
      </c>
      <c r="C2951">
        <v>10305.89</v>
      </c>
    </row>
    <row r="2952" spans="2:3">
      <c r="B2952" s="189">
        <v>38197</v>
      </c>
      <c r="C2952">
        <v>10245.15</v>
      </c>
    </row>
    <row r="2953" spans="2:3">
      <c r="B2953" s="189">
        <v>38196</v>
      </c>
      <c r="C2953">
        <v>10228.52</v>
      </c>
    </row>
    <row r="2954" spans="2:3">
      <c r="B2954" s="189">
        <v>38195</v>
      </c>
      <c r="C2954">
        <v>10163.43</v>
      </c>
    </row>
    <row r="2955" spans="2:3">
      <c r="B2955" s="189">
        <v>38194</v>
      </c>
      <c r="C2955">
        <v>10072.86</v>
      </c>
    </row>
    <row r="2956" spans="2:3">
      <c r="B2956" s="189">
        <v>38191</v>
      </c>
      <c r="C2956">
        <v>10063.790000000001</v>
      </c>
    </row>
    <row r="2957" spans="2:3">
      <c r="B2957" s="189">
        <v>38190</v>
      </c>
      <c r="C2957">
        <v>9989.2199999999993</v>
      </c>
    </row>
    <row r="2958" spans="2:3">
      <c r="B2958" s="189">
        <v>38189</v>
      </c>
      <c r="C2958">
        <v>10131.27</v>
      </c>
    </row>
    <row r="2959" spans="2:3">
      <c r="B2959" s="189">
        <v>38188</v>
      </c>
      <c r="C2959">
        <v>9911.43</v>
      </c>
    </row>
    <row r="2960" spans="2:3">
      <c r="B2960" s="189">
        <v>38187</v>
      </c>
      <c r="C2960">
        <v>9904.92</v>
      </c>
    </row>
    <row r="2961" spans="2:3">
      <c r="B2961" s="189">
        <v>38184</v>
      </c>
      <c r="C2961">
        <v>10018.07</v>
      </c>
    </row>
    <row r="2962" spans="2:3">
      <c r="B2962" s="189">
        <v>38183</v>
      </c>
      <c r="C2962">
        <v>10131.11</v>
      </c>
    </row>
    <row r="2963" spans="2:3">
      <c r="B2963" s="189">
        <v>38182</v>
      </c>
      <c r="C2963">
        <v>10099.280000000001</v>
      </c>
    </row>
    <row r="2964" spans="2:3">
      <c r="B2964" s="189">
        <v>38181</v>
      </c>
      <c r="C2964">
        <v>10173.049999999999</v>
      </c>
    </row>
    <row r="2965" spans="2:3">
      <c r="B2965" s="189">
        <v>38180</v>
      </c>
      <c r="C2965">
        <v>10029.16</v>
      </c>
    </row>
    <row r="2966" spans="2:3">
      <c r="B2966" s="189">
        <v>38177</v>
      </c>
      <c r="C2966">
        <v>10044.719999999999</v>
      </c>
    </row>
    <row r="2967" spans="2:3">
      <c r="B2967" s="189">
        <v>38176</v>
      </c>
      <c r="C2967">
        <v>9942.76</v>
      </c>
    </row>
    <row r="2968" spans="2:3">
      <c r="B2968" s="189">
        <v>38175</v>
      </c>
      <c r="C2968">
        <v>10037.74</v>
      </c>
    </row>
    <row r="2969" spans="2:3">
      <c r="B2969" s="189">
        <v>38174</v>
      </c>
      <c r="C2969">
        <v>10083.93</v>
      </c>
    </row>
    <row r="2970" spans="2:3">
      <c r="B2970" s="189">
        <v>38173</v>
      </c>
      <c r="C2970">
        <v>10092.99</v>
      </c>
    </row>
    <row r="2971" spans="2:3">
      <c r="B2971" s="189">
        <v>38170</v>
      </c>
      <c r="C2971">
        <v>10053.469999999999</v>
      </c>
    </row>
    <row r="2972" spans="2:3">
      <c r="B2972" s="189">
        <v>38169</v>
      </c>
      <c r="C2972">
        <v>10138.23</v>
      </c>
    </row>
    <row r="2973" spans="2:3">
      <c r="B2973" s="189">
        <v>38168</v>
      </c>
      <c r="C2973">
        <v>10108.61</v>
      </c>
    </row>
    <row r="2974" spans="2:3">
      <c r="B2974" s="189">
        <v>38167</v>
      </c>
      <c r="C2974">
        <v>10129.879999999999</v>
      </c>
    </row>
    <row r="2975" spans="2:3">
      <c r="B2975" s="189">
        <v>38166</v>
      </c>
      <c r="C2975">
        <v>10152.049999999999</v>
      </c>
    </row>
    <row r="2976" spans="2:3">
      <c r="B2976" s="189">
        <v>38163</v>
      </c>
      <c r="C2976">
        <v>10220.14</v>
      </c>
    </row>
    <row r="2977" spans="2:3">
      <c r="B2977" s="189">
        <v>38162</v>
      </c>
      <c r="C2977">
        <v>10188.870000000001</v>
      </c>
    </row>
    <row r="2978" spans="2:3">
      <c r="B2978" s="189">
        <v>38161</v>
      </c>
      <c r="C2978">
        <v>9982.09</v>
      </c>
    </row>
    <row r="2979" spans="2:3">
      <c r="B2979" s="189">
        <v>38160</v>
      </c>
      <c r="C2979">
        <v>10043.950000000001</v>
      </c>
    </row>
    <row r="2980" spans="2:3">
      <c r="B2980" s="189">
        <v>38159</v>
      </c>
      <c r="C2980">
        <v>10109.52</v>
      </c>
    </row>
    <row r="2981" spans="2:3">
      <c r="B2981" s="189">
        <v>38156</v>
      </c>
      <c r="C2981">
        <v>10179.44</v>
      </c>
    </row>
    <row r="2982" spans="2:3">
      <c r="B2982" s="189">
        <v>38155</v>
      </c>
      <c r="C2982">
        <v>10182.299999999999</v>
      </c>
    </row>
    <row r="2983" spans="2:3">
      <c r="B2983" s="189">
        <v>38153</v>
      </c>
      <c r="C2983">
        <v>10100.9</v>
      </c>
    </row>
    <row r="2984" spans="2:3">
      <c r="B2984" s="189">
        <v>38152</v>
      </c>
      <c r="C2984">
        <v>10181.31</v>
      </c>
    </row>
    <row r="2985" spans="2:3">
      <c r="B2985" s="189">
        <v>38149</v>
      </c>
      <c r="C2985">
        <v>10203.66</v>
      </c>
    </row>
    <row r="2986" spans="2:3">
      <c r="B2986" s="189">
        <v>38148</v>
      </c>
      <c r="C2986">
        <v>10315.76</v>
      </c>
    </row>
    <row r="2987" spans="2:3">
      <c r="B2987" s="189">
        <v>38147</v>
      </c>
      <c r="C2987">
        <v>10419.52</v>
      </c>
    </row>
    <row r="2988" spans="2:3">
      <c r="B2988" s="189">
        <v>38146</v>
      </c>
      <c r="C2988">
        <v>10483.790000000001</v>
      </c>
    </row>
    <row r="2989" spans="2:3">
      <c r="B2989" s="189">
        <v>38145</v>
      </c>
      <c r="C2989">
        <v>10366.11</v>
      </c>
    </row>
    <row r="2990" spans="2:3">
      <c r="B2990" s="189">
        <v>38142</v>
      </c>
      <c r="C2990">
        <v>10191.33</v>
      </c>
    </row>
    <row r="2991" spans="2:3">
      <c r="B2991" s="189">
        <v>38141</v>
      </c>
      <c r="C2991">
        <v>10228.75</v>
      </c>
    </row>
    <row r="2992" spans="2:3">
      <c r="B2992" s="189">
        <v>38140</v>
      </c>
      <c r="C2992">
        <v>10317.879999999999</v>
      </c>
    </row>
    <row r="2993" spans="2:3">
      <c r="B2993" s="189">
        <v>38139</v>
      </c>
      <c r="C2993">
        <v>10308.469999999999</v>
      </c>
    </row>
    <row r="2994" spans="2:3">
      <c r="B2994" s="189">
        <v>38138</v>
      </c>
      <c r="C2994">
        <v>10413.81</v>
      </c>
    </row>
    <row r="2995" spans="2:3">
      <c r="B2995" s="189">
        <v>38135</v>
      </c>
      <c r="C2995">
        <v>10307.219999999999</v>
      </c>
    </row>
    <row r="2996" spans="2:3">
      <c r="B2996" s="189">
        <v>38134</v>
      </c>
      <c r="C2996">
        <v>10388.14</v>
      </c>
    </row>
    <row r="2997" spans="2:3">
      <c r="B2997" s="189">
        <v>38133</v>
      </c>
      <c r="C2997">
        <v>10200.57</v>
      </c>
    </row>
    <row r="2998" spans="2:3">
      <c r="B2998" s="189">
        <v>38132</v>
      </c>
      <c r="C2998">
        <v>10051.85</v>
      </c>
    </row>
    <row r="2999" spans="2:3">
      <c r="B2999" s="189">
        <v>38131</v>
      </c>
      <c r="C2999">
        <v>9989.2000000000007</v>
      </c>
    </row>
    <row r="3000" spans="2:3">
      <c r="B3000" s="189">
        <v>38128</v>
      </c>
      <c r="C3000">
        <v>10157.469999999999</v>
      </c>
    </row>
    <row r="3001" spans="2:3">
      <c r="B3001" s="189">
        <v>38127</v>
      </c>
      <c r="C3001">
        <v>10049.25</v>
      </c>
    </row>
    <row r="3002" spans="2:3">
      <c r="B3002" s="189">
        <v>38126</v>
      </c>
      <c r="C3002">
        <v>10090.76</v>
      </c>
    </row>
    <row r="3003" spans="2:3">
      <c r="B3003" s="189">
        <v>38125</v>
      </c>
      <c r="C3003">
        <v>9748.1</v>
      </c>
    </row>
    <row r="3004" spans="2:3">
      <c r="B3004" s="189">
        <v>38124</v>
      </c>
      <c r="C3004">
        <v>9808.31</v>
      </c>
    </row>
    <row r="3005" spans="2:3">
      <c r="B3005" s="189">
        <v>38121</v>
      </c>
      <c r="C3005">
        <v>9766.7199999999993</v>
      </c>
    </row>
    <row r="3006" spans="2:3">
      <c r="B3006" s="189">
        <v>38120</v>
      </c>
      <c r="C3006">
        <v>10031.19</v>
      </c>
    </row>
    <row r="3007" spans="2:3">
      <c r="B3007" s="189">
        <v>38119</v>
      </c>
      <c r="C3007">
        <v>10016.379999999999</v>
      </c>
    </row>
    <row r="3008" spans="2:3">
      <c r="B3008" s="189">
        <v>38118</v>
      </c>
      <c r="C3008">
        <v>10127.6</v>
      </c>
    </row>
    <row r="3009" spans="2:3">
      <c r="B3009" s="189">
        <v>38117</v>
      </c>
      <c r="C3009">
        <v>10064.81</v>
      </c>
    </row>
    <row r="3010" spans="2:3">
      <c r="B3010" s="189">
        <v>38114</v>
      </c>
      <c r="C3010">
        <v>10407.9</v>
      </c>
    </row>
    <row r="3011" spans="2:3">
      <c r="B3011" s="189">
        <v>38113</v>
      </c>
      <c r="C3011">
        <v>10413.5</v>
      </c>
    </row>
    <row r="3012" spans="2:3">
      <c r="B3012" s="189">
        <v>38112</v>
      </c>
      <c r="C3012">
        <v>10574.77</v>
      </c>
    </row>
    <row r="3013" spans="2:3">
      <c r="B3013" s="189">
        <v>38111</v>
      </c>
      <c r="C3013">
        <v>10539.51</v>
      </c>
    </row>
    <row r="3014" spans="2:3">
      <c r="B3014" s="189">
        <v>38110</v>
      </c>
      <c r="C3014">
        <v>10400.18</v>
      </c>
    </row>
    <row r="3015" spans="2:3">
      <c r="B3015" s="189">
        <v>38107</v>
      </c>
      <c r="C3015">
        <v>10385.799999999999</v>
      </c>
    </row>
    <row r="3016" spans="2:3">
      <c r="B3016" s="189">
        <v>38106</v>
      </c>
      <c r="C3016">
        <v>10526.55</v>
      </c>
    </row>
    <row r="3017" spans="2:3">
      <c r="B3017" s="189">
        <v>38105</v>
      </c>
      <c r="C3017">
        <v>10611.52</v>
      </c>
    </row>
    <row r="3018" spans="2:3">
      <c r="B3018" s="189">
        <v>38103</v>
      </c>
      <c r="C3018">
        <v>10655.55</v>
      </c>
    </row>
    <row r="3019" spans="2:3">
      <c r="B3019" s="189">
        <v>38100</v>
      </c>
      <c r="C3019">
        <v>10639</v>
      </c>
    </row>
    <row r="3020" spans="2:3">
      <c r="B3020" s="189">
        <v>38099</v>
      </c>
      <c r="C3020">
        <v>10667.48</v>
      </c>
    </row>
    <row r="3021" spans="2:3">
      <c r="B3021" s="189">
        <v>38098</v>
      </c>
      <c r="C3021">
        <v>10658.56</v>
      </c>
    </row>
    <row r="3022" spans="2:3">
      <c r="B3022" s="189">
        <v>38097</v>
      </c>
      <c r="C3022">
        <v>10764.85</v>
      </c>
    </row>
    <row r="3023" spans="2:3">
      <c r="B3023" s="189">
        <v>38096</v>
      </c>
      <c r="C3023">
        <v>10705.81</v>
      </c>
    </row>
    <row r="3024" spans="2:3">
      <c r="B3024" s="189">
        <v>38093</v>
      </c>
      <c r="C3024">
        <v>10757.16</v>
      </c>
    </row>
    <row r="3025" spans="2:3">
      <c r="B3025" s="189">
        <v>38092</v>
      </c>
      <c r="C3025">
        <v>10828.19</v>
      </c>
    </row>
    <row r="3026" spans="2:3">
      <c r="B3026" s="189">
        <v>38090</v>
      </c>
      <c r="C3026">
        <v>10979.56</v>
      </c>
    </row>
    <row r="3027" spans="2:3">
      <c r="B3027" s="189">
        <v>38085</v>
      </c>
      <c r="C3027">
        <v>10846.37</v>
      </c>
    </row>
    <row r="3028" spans="2:3">
      <c r="B3028" s="189">
        <v>38084</v>
      </c>
      <c r="C3028">
        <v>10825.83</v>
      </c>
    </row>
    <row r="3029" spans="2:3">
      <c r="B3029" s="189">
        <v>38083</v>
      </c>
      <c r="C3029">
        <v>10904.04</v>
      </c>
    </row>
    <row r="3030" spans="2:3">
      <c r="B3030" s="189">
        <v>38082</v>
      </c>
      <c r="C3030">
        <v>10862.17</v>
      </c>
    </row>
    <row r="3031" spans="2:3">
      <c r="B3031" s="189">
        <v>38079</v>
      </c>
      <c r="C3031">
        <v>10890.61</v>
      </c>
    </row>
    <row r="3032" spans="2:3">
      <c r="B3032" s="189">
        <v>38078</v>
      </c>
      <c r="C3032">
        <v>10765.55</v>
      </c>
    </row>
    <row r="3033" spans="2:3">
      <c r="B3033" s="189">
        <v>38077</v>
      </c>
      <c r="C3033">
        <v>10692.56</v>
      </c>
    </row>
    <row r="3034" spans="2:3">
      <c r="B3034" s="189">
        <v>38076</v>
      </c>
      <c r="C3034">
        <v>10605.47</v>
      </c>
    </row>
    <row r="3035" spans="2:3">
      <c r="B3035" s="189">
        <v>38075</v>
      </c>
      <c r="C3035">
        <v>10617.35</v>
      </c>
    </row>
    <row r="3036" spans="2:3">
      <c r="B3036" s="189">
        <v>38072</v>
      </c>
      <c r="C3036">
        <v>10653.2</v>
      </c>
    </row>
    <row r="3037" spans="2:3">
      <c r="B3037" s="189">
        <v>38071</v>
      </c>
      <c r="C3037">
        <v>10534.4</v>
      </c>
    </row>
    <row r="3038" spans="2:3">
      <c r="B3038" s="189">
        <v>38070</v>
      </c>
      <c r="C3038">
        <v>10545</v>
      </c>
    </row>
    <row r="3039" spans="2:3">
      <c r="B3039" s="189">
        <v>38069</v>
      </c>
      <c r="C3039">
        <v>10660.34</v>
      </c>
    </row>
    <row r="3040" spans="2:3">
      <c r="B3040" s="189">
        <v>38065</v>
      </c>
      <c r="C3040">
        <v>10815.99</v>
      </c>
    </row>
    <row r="3041" spans="2:3">
      <c r="B3041" s="189">
        <v>38064</v>
      </c>
      <c r="C3041">
        <v>10910.07</v>
      </c>
    </row>
    <row r="3042" spans="2:3">
      <c r="B3042" s="189">
        <v>38063</v>
      </c>
      <c r="C3042">
        <v>10761.01</v>
      </c>
    </row>
    <row r="3043" spans="2:3">
      <c r="B3043" s="189">
        <v>38062</v>
      </c>
      <c r="C3043">
        <v>10736.04</v>
      </c>
    </row>
    <row r="3044" spans="2:3">
      <c r="B3044" s="189">
        <v>38061</v>
      </c>
      <c r="C3044">
        <v>10657.04</v>
      </c>
    </row>
    <row r="3045" spans="2:3">
      <c r="B3045" s="189">
        <v>38058</v>
      </c>
      <c r="C3045">
        <v>10757.89</v>
      </c>
    </row>
    <row r="3046" spans="2:3">
      <c r="B3046" s="189">
        <v>38057</v>
      </c>
      <c r="C3046">
        <v>10720.93</v>
      </c>
    </row>
    <row r="3047" spans="2:3">
      <c r="B3047" s="189">
        <v>38056</v>
      </c>
      <c r="C3047">
        <v>10896.26</v>
      </c>
    </row>
    <row r="3048" spans="2:3">
      <c r="B3048" s="189">
        <v>38055</v>
      </c>
      <c r="C3048">
        <v>11000.11</v>
      </c>
    </row>
    <row r="3049" spans="2:3">
      <c r="B3049" s="189">
        <v>38054</v>
      </c>
      <c r="C3049">
        <v>11018.56</v>
      </c>
    </row>
    <row r="3050" spans="2:3">
      <c r="B3050" s="189">
        <v>38051</v>
      </c>
      <c r="C3050">
        <v>11096.55</v>
      </c>
    </row>
    <row r="3051" spans="2:3">
      <c r="B3051" s="189">
        <v>38050</v>
      </c>
      <c r="C3051">
        <v>11142.65</v>
      </c>
    </row>
    <row r="3052" spans="2:3">
      <c r="B3052" s="189">
        <v>38049</v>
      </c>
      <c r="C3052">
        <v>11178.5</v>
      </c>
    </row>
    <row r="3053" spans="2:3">
      <c r="B3053" s="189">
        <v>38048</v>
      </c>
      <c r="C3053">
        <v>11155.59</v>
      </c>
    </row>
    <row r="3054" spans="2:3">
      <c r="B3054" s="189">
        <v>38047</v>
      </c>
      <c r="C3054">
        <v>11035.65</v>
      </c>
    </row>
    <row r="3055" spans="2:3">
      <c r="B3055" s="189">
        <v>38044</v>
      </c>
      <c r="C3055">
        <v>10895.86</v>
      </c>
    </row>
    <row r="3056" spans="2:3">
      <c r="B3056" s="189">
        <v>38043</v>
      </c>
      <c r="C3056">
        <v>10821.72</v>
      </c>
    </row>
    <row r="3057" spans="2:3">
      <c r="B3057" s="189">
        <v>38042</v>
      </c>
      <c r="C3057">
        <v>10752.12</v>
      </c>
    </row>
    <row r="3058" spans="2:3">
      <c r="B3058" s="189">
        <v>38041</v>
      </c>
      <c r="C3058">
        <v>10714.5</v>
      </c>
    </row>
    <row r="3059" spans="2:3">
      <c r="B3059" s="189">
        <v>38040</v>
      </c>
      <c r="C3059">
        <v>10855.17</v>
      </c>
    </row>
    <row r="3060" spans="2:3">
      <c r="B3060" s="189">
        <v>38037</v>
      </c>
      <c r="C3060">
        <v>10983.91</v>
      </c>
    </row>
    <row r="3061" spans="2:3">
      <c r="B3061" s="189">
        <v>38036</v>
      </c>
      <c r="C3061">
        <v>11019.19</v>
      </c>
    </row>
    <row r="3062" spans="2:3">
      <c r="B3062" s="189">
        <v>38035</v>
      </c>
      <c r="C3062">
        <v>10935.49</v>
      </c>
    </row>
    <row r="3063" spans="2:3">
      <c r="B3063" s="189">
        <v>38034</v>
      </c>
      <c r="C3063">
        <v>10947.74</v>
      </c>
    </row>
    <row r="3064" spans="2:3">
      <c r="B3064" s="189">
        <v>38033</v>
      </c>
      <c r="C3064">
        <v>10847.91</v>
      </c>
    </row>
    <row r="3065" spans="2:3">
      <c r="B3065" s="189">
        <v>38030</v>
      </c>
      <c r="C3065">
        <v>10825.36</v>
      </c>
    </row>
    <row r="3066" spans="2:3">
      <c r="B3066" s="189">
        <v>38029</v>
      </c>
      <c r="C3066">
        <v>10818.19</v>
      </c>
    </row>
    <row r="3067" spans="2:3">
      <c r="B3067" s="189">
        <v>38028</v>
      </c>
      <c r="C3067">
        <v>10828.72</v>
      </c>
    </row>
    <row r="3068" spans="2:3">
      <c r="B3068" s="189">
        <v>38027</v>
      </c>
      <c r="C3068">
        <v>10926.27</v>
      </c>
    </row>
    <row r="3069" spans="2:3">
      <c r="B3069" s="189">
        <v>38026</v>
      </c>
      <c r="C3069">
        <v>10885.8</v>
      </c>
    </row>
    <row r="3070" spans="2:3">
      <c r="B3070" s="189">
        <v>38023</v>
      </c>
      <c r="C3070">
        <v>10809.75</v>
      </c>
    </row>
    <row r="3071" spans="2:3">
      <c r="B3071" s="189">
        <v>38022</v>
      </c>
      <c r="C3071">
        <v>10651.1</v>
      </c>
    </row>
    <row r="3072" spans="2:3">
      <c r="B3072" s="189">
        <v>38021</v>
      </c>
      <c r="C3072">
        <v>10758.17</v>
      </c>
    </row>
    <row r="3073" spans="2:3">
      <c r="B3073" s="189">
        <v>38020</v>
      </c>
      <c r="C3073">
        <v>10817.77</v>
      </c>
    </row>
    <row r="3074" spans="2:3">
      <c r="B3074" s="189">
        <v>38019</v>
      </c>
      <c r="C3074">
        <v>10833.69</v>
      </c>
    </row>
    <row r="3075" spans="2:3">
      <c r="B3075" s="189">
        <v>38016</v>
      </c>
      <c r="C3075">
        <v>10849.25</v>
      </c>
    </row>
    <row r="3076" spans="2:3">
      <c r="B3076" s="189">
        <v>38015</v>
      </c>
      <c r="C3076">
        <v>10854.39</v>
      </c>
    </row>
    <row r="3077" spans="2:3">
      <c r="B3077" s="189">
        <v>38014</v>
      </c>
      <c r="C3077">
        <v>10862.12</v>
      </c>
    </row>
    <row r="3078" spans="2:3">
      <c r="B3078" s="189">
        <v>38013</v>
      </c>
      <c r="C3078">
        <v>11064.74</v>
      </c>
    </row>
    <row r="3079" spans="2:3">
      <c r="B3079" s="189">
        <v>38012</v>
      </c>
      <c r="C3079">
        <v>11117.15</v>
      </c>
    </row>
    <row r="3080" spans="2:3">
      <c r="B3080" s="189">
        <v>38009</v>
      </c>
      <c r="C3080">
        <v>11067.02</v>
      </c>
    </row>
    <row r="3081" spans="2:3">
      <c r="B3081" s="189">
        <v>38008</v>
      </c>
      <c r="C3081">
        <v>11001.63</v>
      </c>
    </row>
    <row r="3082" spans="2:3">
      <c r="B3082" s="189">
        <v>38007</v>
      </c>
      <c r="C3082">
        <v>10911.99</v>
      </c>
    </row>
    <row r="3083" spans="2:3">
      <c r="B3083" s="189">
        <v>38006</v>
      </c>
      <c r="C3083">
        <v>10971.3</v>
      </c>
    </row>
    <row r="3084" spans="2:3">
      <c r="B3084" s="189">
        <v>38005</v>
      </c>
      <c r="C3084">
        <v>10983.02</v>
      </c>
    </row>
    <row r="3085" spans="2:3">
      <c r="B3085" s="189">
        <v>38002</v>
      </c>
      <c r="C3085">
        <v>11009.46</v>
      </c>
    </row>
    <row r="3086" spans="2:3">
      <c r="B3086" s="189">
        <v>38001</v>
      </c>
      <c r="C3086">
        <v>10920.66</v>
      </c>
    </row>
    <row r="3087" spans="2:3">
      <c r="B3087" s="189">
        <v>38000</v>
      </c>
      <c r="C3087">
        <v>10943.4</v>
      </c>
    </row>
    <row r="3088" spans="2:3">
      <c r="B3088" s="189">
        <v>37999</v>
      </c>
      <c r="C3088">
        <v>10873.22</v>
      </c>
    </row>
    <row r="3089" spans="2:3">
      <c r="B3089" s="189">
        <v>37998</v>
      </c>
      <c r="C3089">
        <v>10712.59</v>
      </c>
    </row>
    <row r="3090" spans="2:3">
      <c r="B3090" s="189">
        <v>37995</v>
      </c>
      <c r="C3090">
        <v>10577.85</v>
      </c>
    </row>
    <row r="3091" spans="2:3">
      <c r="B3091" s="189">
        <v>37994</v>
      </c>
      <c r="C3091">
        <v>10507.74</v>
      </c>
    </row>
    <row r="3092" spans="2:3">
      <c r="B3092" s="189">
        <v>37993</v>
      </c>
      <c r="C3092">
        <v>10513.64</v>
      </c>
    </row>
    <row r="3093" spans="2:3">
      <c r="B3093" s="189">
        <v>37992</v>
      </c>
      <c r="C3093">
        <v>10499.14</v>
      </c>
    </row>
    <row r="3094" spans="2:3">
      <c r="B3094" s="189">
        <v>37991</v>
      </c>
      <c r="C3094">
        <v>10394.39</v>
      </c>
    </row>
    <row r="3095" spans="2:3">
      <c r="B3095" s="189">
        <v>37988</v>
      </c>
      <c r="C3095">
        <v>10510.88</v>
      </c>
    </row>
    <row r="3096" spans="2:3">
      <c r="B3096" s="189">
        <v>37986</v>
      </c>
      <c r="C3096">
        <v>10387.219999999999</v>
      </c>
    </row>
    <row r="3097" spans="2:3">
      <c r="B3097" s="189">
        <v>37985</v>
      </c>
      <c r="C3097">
        <v>10380.66</v>
      </c>
    </row>
    <row r="3098" spans="2:3">
      <c r="B3098" s="189">
        <v>37984</v>
      </c>
      <c r="C3098">
        <v>10325.719999999999</v>
      </c>
    </row>
    <row r="3099" spans="2:3">
      <c r="B3099" s="189">
        <v>37979</v>
      </c>
      <c r="C3099">
        <v>10326.81</v>
      </c>
    </row>
    <row r="3100" spans="2:3">
      <c r="B3100" s="189">
        <v>37978</v>
      </c>
      <c r="C3100">
        <v>10340.219999999999</v>
      </c>
    </row>
    <row r="3101" spans="2:3">
      <c r="B3101" s="189">
        <v>37977</v>
      </c>
      <c r="C3101">
        <v>10314.709999999999</v>
      </c>
    </row>
    <row r="3102" spans="2:3">
      <c r="B3102" s="189">
        <v>37974</v>
      </c>
      <c r="C3102">
        <v>10229.76</v>
      </c>
    </row>
    <row r="3103" spans="2:3">
      <c r="B3103" s="189">
        <v>37973</v>
      </c>
      <c r="C3103">
        <v>10095.33</v>
      </c>
    </row>
    <row r="3104" spans="2:3">
      <c r="B3104" s="189">
        <v>37972</v>
      </c>
      <c r="C3104">
        <v>9920.0400000000009</v>
      </c>
    </row>
    <row r="3105" spans="2:3">
      <c r="B3105" s="189">
        <v>37970</v>
      </c>
      <c r="C3105">
        <v>9856.98</v>
      </c>
    </row>
    <row r="3106" spans="2:3">
      <c r="B3106" s="189">
        <v>37967</v>
      </c>
      <c r="C3106">
        <v>9783.4</v>
      </c>
    </row>
    <row r="3107" spans="2:3">
      <c r="B3107" s="189">
        <v>37966</v>
      </c>
      <c r="C3107">
        <v>9747.75</v>
      </c>
    </row>
    <row r="3108" spans="2:3">
      <c r="B3108" s="189">
        <v>37965</v>
      </c>
      <c r="C3108">
        <v>9784.1299999999992</v>
      </c>
    </row>
    <row r="3109" spans="2:3">
      <c r="B3109" s="189">
        <v>37964</v>
      </c>
      <c r="C3109">
        <v>9861.09</v>
      </c>
    </row>
    <row r="3110" spans="2:3">
      <c r="B3110" s="189">
        <v>37963</v>
      </c>
      <c r="C3110">
        <v>9779.27</v>
      </c>
    </row>
    <row r="3111" spans="2:3">
      <c r="B3111" s="189">
        <v>37960</v>
      </c>
      <c r="C3111">
        <v>9783.57</v>
      </c>
    </row>
    <row r="3112" spans="2:3">
      <c r="B3112" s="189">
        <v>37959</v>
      </c>
      <c r="C3112">
        <v>9598.2199999999993</v>
      </c>
    </row>
    <row r="3113" spans="2:3">
      <c r="B3113" s="189">
        <v>37958</v>
      </c>
      <c r="C3113">
        <v>9708.07</v>
      </c>
    </row>
    <row r="3114" spans="2:3">
      <c r="B3114" s="189">
        <v>37957</v>
      </c>
      <c r="C3114">
        <v>9847.4599999999991</v>
      </c>
    </row>
    <row r="3115" spans="2:3">
      <c r="B3115" s="189">
        <v>37956</v>
      </c>
      <c r="C3115">
        <v>9927.6299999999992</v>
      </c>
    </row>
    <row r="3116" spans="2:3">
      <c r="B3116" s="189">
        <v>37953</v>
      </c>
      <c r="C3116">
        <v>9729.6</v>
      </c>
    </row>
    <row r="3117" spans="2:3">
      <c r="B3117" s="189">
        <v>37952</v>
      </c>
      <c r="C3117">
        <v>9645.86</v>
      </c>
    </row>
    <row r="3118" spans="2:3">
      <c r="B3118" s="189">
        <v>37951</v>
      </c>
      <c r="C3118">
        <v>9601.32</v>
      </c>
    </row>
    <row r="3119" spans="2:3">
      <c r="B3119" s="189">
        <v>37950</v>
      </c>
      <c r="C3119">
        <v>9651.32</v>
      </c>
    </row>
    <row r="3120" spans="2:3">
      <c r="B3120" s="189">
        <v>37949</v>
      </c>
      <c r="C3120">
        <v>9584.51</v>
      </c>
    </row>
    <row r="3121" spans="2:3">
      <c r="B3121" s="189">
        <v>37946</v>
      </c>
      <c r="C3121">
        <v>9576.4599999999991</v>
      </c>
    </row>
    <row r="3122" spans="2:3">
      <c r="B3122" s="189">
        <v>37945</v>
      </c>
      <c r="C3122">
        <v>9519.51</v>
      </c>
    </row>
    <row r="3123" spans="2:3">
      <c r="B3123" s="189">
        <v>37944</v>
      </c>
      <c r="C3123">
        <v>9657.66</v>
      </c>
    </row>
    <row r="3124" spans="2:3">
      <c r="B3124" s="189">
        <v>37943</v>
      </c>
      <c r="C3124">
        <v>9700.2099999999991</v>
      </c>
    </row>
    <row r="3125" spans="2:3">
      <c r="B3125" s="189">
        <v>37942</v>
      </c>
      <c r="C3125">
        <v>9710.91</v>
      </c>
    </row>
    <row r="3126" spans="2:3">
      <c r="B3126" s="189">
        <v>37939</v>
      </c>
      <c r="C3126">
        <v>9914.01</v>
      </c>
    </row>
    <row r="3127" spans="2:3">
      <c r="B3127" s="189">
        <v>37938</v>
      </c>
      <c r="C3127">
        <v>9864.33</v>
      </c>
    </row>
    <row r="3128" spans="2:3">
      <c r="B3128" s="189">
        <v>37937</v>
      </c>
      <c r="C3128">
        <v>9827.34</v>
      </c>
    </row>
    <row r="3129" spans="2:3">
      <c r="B3129" s="189">
        <v>37936</v>
      </c>
      <c r="C3129">
        <v>9766.2900000000009</v>
      </c>
    </row>
    <row r="3130" spans="2:3">
      <c r="B3130" s="189">
        <v>37935</v>
      </c>
      <c r="C3130">
        <v>9887.3799999999992</v>
      </c>
    </row>
    <row r="3131" spans="2:3">
      <c r="B3131" s="189">
        <v>37932</v>
      </c>
      <c r="C3131">
        <v>9928.84</v>
      </c>
    </row>
    <row r="3132" spans="2:3">
      <c r="B3132" s="189">
        <v>37931</v>
      </c>
      <c r="C3132">
        <v>9888.2199999999993</v>
      </c>
    </row>
    <row r="3133" spans="2:3">
      <c r="B3133" s="189">
        <v>37930</v>
      </c>
      <c r="C3133">
        <v>9792.2099999999991</v>
      </c>
    </row>
    <row r="3134" spans="2:3">
      <c r="B3134" s="189">
        <v>37929</v>
      </c>
      <c r="C3134">
        <v>9815.3700000000008</v>
      </c>
    </row>
    <row r="3135" spans="2:3">
      <c r="B3135" s="189">
        <v>37928</v>
      </c>
      <c r="C3135">
        <v>9775.77</v>
      </c>
    </row>
    <row r="3136" spans="2:3">
      <c r="B3136" s="189">
        <v>37925</v>
      </c>
      <c r="C3136">
        <v>9765.2999999999993</v>
      </c>
    </row>
    <row r="3137" spans="2:3">
      <c r="B3137" s="189">
        <v>37924</v>
      </c>
      <c r="C3137">
        <v>9813.94</v>
      </c>
    </row>
    <row r="3138" spans="2:3">
      <c r="B3138" s="189">
        <v>37923</v>
      </c>
      <c r="C3138">
        <v>9695.8799999999992</v>
      </c>
    </row>
    <row r="3139" spans="2:3">
      <c r="B3139" s="189">
        <v>37922</v>
      </c>
      <c r="C3139">
        <v>9644.84</v>
      </c>
    </row>
    <row r="3140" spans="2:3">
      <c r="B3140" s="189">
        <v>37921</v>
      </c>
      <c r="C3140">
        <v>9502.59</v>
      </c>
    </row>
    <row r="3141" spans="2:3">
      <c r="B3141" s="189">
        <v>37918</v>
      </c>
      <c r="C3141">
        <v>9498.25</v>
      </c>
    </row>
    <row r="3142" spans="2:3">
      <c r="B3142" s="189">
        <v>37917</v>
      </c>
      <c r="C3142">
        <v>9528.51</v>
      </c>
    </row>
    <row r="3143" spans="2:3">
      <c r="B3143" s="189">
        <v>37916</v>
      </c>
      <c r="C3143">
        <v>9607.18</v>
      </c>
    </row>
    <row r="3144" spans="2:3">
      <c r="B3144" s="189">
        <v>37915</v>
      </c>
      <c r="C3144">
        <v>9732.9</v>
      </c>
    </row>
    <row r="3145" spans="2:3">
      <c r="B3145" s="189">
        <v>37914</v>
      </c>
      <c r="C3145">
        <v>9807.18</v>
      </c>
    </row>
    <row r="3146" spans="2:3">
      <c r="B3146" s="189">
        <v>37911</v>
      </c>
      <c r="C3146">
        <v>9854.68</v>
      </c>
    </row>
    <row r="3147" spans="2:3">
      <c r="B3147" s="189">
        <v>37910</v>
      </c>
      <c r="C3147">
        <v>9656.36</v>
      </c>
    </row>
    <row r="3148" spans="2:3">
      <c r="B3148" s="189">
        <v>37909</v>
      </c>
      <c r="C3148">
        <v>9623.7800000000007</v>
      </c>
    </row>
    <row r="3149" spans="2:3">
      <c r="B3149" s="189">
        <v>37908</v>
      </c>
      <c r="C3149">
        <v>9545.0300000000007</v>
      </c>
    </row>
    <row r="3150" spans="2:3">
      <c r="B3150" s="189">
        <v>37907</v>
      </c>
      <c r="C3150">
        <v>9637.2900000000009</v>
      </c>
    </row>
    <row r="3151" spans="2:3">
      <c r="B3151" s="189">
        <v>37904</v>
      </c>
      <c r="C3151">
        <v>9488.4599999999991</v>
      </c>
    </row>
    <row r="3152" spans="2:3">
      <c r="B3152" s="189">
        <v>37903</v>
      </c>
      <c r="C3152">
        <v>9431.57</v>
      </c>
    </row>
    <row r="3153" spans="2:3">
      <c r="B3153" s="189">
        <v>37902</v>
      </c>
      <c r="C3153">
        <v>9240.58</v>
      </c>
    </row>
    <row r="3154" spans="2:3">
      <c r="B3154" s="189">
        <v>37901</v>
      </c>
      <c r="C3154">
        <v>9099.2800000000007</v>
      </c>
    </row>
    <row r="3155" spans="2:3">
      <c r="B3155" s="189">
        <v>37900</v>
      </c>
      <c r="C3155">
        <v>9205.74</v>
      </c>
    </row>
    <row r="3156" spans="2:3">
      <c r="B3156" s="189">
        <v>37897</v>
      </c>
      <c r="C3156">
        <v>9106.7800000000007</v>
      </c>
    </row>
    <row r="3157" spans="2:3">
      <c r="B3157" s="189">
        <v>37896</v>
      </c>
      <c r="C3157">
        <v>8964.66</v>
      </c>
    </row>
    <row r="3158" spans="2:3">
      <c r="B3158" s="189">
        <v>37895</v>
      </c>
      <c r="C3158">
        <v>8864.68</v>
      </c>
    </row>
    <row r="3159" spans="2:3">
      <c r="B3159" s="189">
        <v>37894</v>
      </c>
      <c r="C3159">
        <v>8925.69</v>
      </c>
    </row>
    <row r="3160" spans="2:3">
      <c r="B3160" s="189">
        <v>37893</v>
      </c>
      <c r="C3160">
        <v>9147.9699999999993</v>
      </c>
    </row>
    <row r="3161" spans="2:3">
      <c r="B3161" s="189">
        <v>37890</v>
      </c>
      <c r="C3161">
        <v>9105.51</v>
      </c>
    </row>
    <row r="3162" spans="2:3">
      <c r="B3162" s="189">
        <v>37889</v>
      </c>
      <c r="C3162">
        <v>9137.34</v>
      </c>
    </row>
    <row r="3163" spans="2:3">
      <c r="B3163" s="189">
        <v>37887</v>
      </c>
      <c r="C3163">
        <v>9156.39</v>
      </c>
    </row>
    <row r="3164" spans="2:3">
      <c r="B3164" s="189">
        <v>37886</v>
      </c>
      <c r="C3164">
        <v>9284.26</v>
      </c>
    </row>
    <row r="3165" spans="2:3">
      <c r="B3165" s="189">
        <v>37883</v>
      </c>
      <c r="C3165">
        <v>9413.15</v>
      </c>
    </row>
    <row r="3166" spans="2:3">
      <c r="B3166" s="189">
        <v>37882</v>
      </c>
      <c r="C3166">
        <v>9416.98</v>
      </c>
    </row>
    <row r="3167" spans="2:3">
      <c r="B3167" s="189">
        <v>37881</v>
      </c>
      <c r="C3167">
        <v>9417.6200000000008</v>
      </c>
    </row>
    <row r="3168" spans="2:3">
      <c r="B3168" s="189">
        <v>37880</v>
      </c>
      <c r="C3168">
        <v>9504.73</v>
      </c>
    </row>
    <row r="3169" spans="2:3">
      <c r="B3169" s="189">
        <v>37879</v>
      </c>
      <c r="C3169">
        <v>9375.7800000000007</v>
      </c>
    </row>
    <row r="3170" spans="2:3">
      <c r="B3170" s="189">
        <v>37876</v>
      </c>
      <c r="C3170">
        <v>9374.14</v>
      </c>
    </row>
    <row r="3171" spans="2:3">
      <c r="B3171" s="189">
        <v>37875</v>
      </c>
      <c r="C3171">
        <v>9421.57</v>
      </c>
    </row>
    <row r="3172" spans="2:3">
      <c r="B3172" s="189">
        <v>37874</v>
      </c>
      <c r="C3172">
        <v>9453.31</v>
      </c>
    </row>
    <row r="3173" spans="2:3">
      <c r="B3173" s="189">
        <v>37873</v>
      </c>
      <c r="C3173">
        <v>9631.8799999999992</v>
      </c>
    </row>
    <row r="3174" spans="2:3">
      <c r="B3174" s="189">
        <v>37872</v>
      </c>
      <c r="C3174">
        <v>9536</v>
      </c>
    </row>
    <row r="3175" spans="2:3">
      <c r="B3175" s="189">
        <v>37869</v>
      </c>
      <c r="C3175">
        <v>9498.09</v>
      </c>
    </row>
    <row r="3176" spans="2:3">
      <c r="B3176" s="189">
        <v>37868</v>
      </c>
      <c r="C3176">
        <v>9303.9599999999991</v>
      </c>
    </row>
    <row r="3177" spans="2:3">
      <c r="B3177" s="189">
        <v>37867</v>
      </c>
      <c r="C3177">
        <v>9313.98</v>
      </c>
    </row>
    <row r="3178" spans="2:3">
      <c r="B3178" s="189">
        <v>37866</v>
      </c>
      <c r="C3178">
        <v>9210.3799999999992</v>
      </c>
    </row>
    <row r="3179" spans="2:3">
      <c r="B3179" s="189">
        <v>37865</v>
      </c>
      <c r="C3179">
        <v>9357.32</v>
      </c>
    </row>
    <row r="3180" spans="2:3">
      <c r="B3180" s="189">
        <v>37862</v>
      </c>
      <c r="C3180">
        <v>9226.2000000000007</v>
      </c>
    </row>
    <row r="3181" spans="2:3">
      <c r="B3181" s="189">
        <v>37861</v>
      </c>
      <c r="C3181">
        <v>9190.66</v>
      </c>
    </row>
    <row r="3182" spans="2:3">
      <c r="B3182" s="189">
        <v>37860</v>
      </c>
      <c r="C3182">
        <v>9146.2800000000007</v>
      </c>
    </row>
    <row r="3183" spans="2:3">
      <c r="B3183" s="189">
        <v>37859</v>
      </c>
      <c r="C3183">
        <v>9098.5499999999993</v>
      </c>
    </row>
    <row r="3184" spans="2:3">
      <c r="B3184" s="189">
        <v>37858</v>
      </c>
      <c r="C3184">
        <v>9260.65</v>
      </c>
    </row>
    <row r="3185" spans="2:3">
      <c r="B3185" s="189">
        <v>37855</v>
      </c>
      <c r="C3185">
        <v>9338.75</v>
      </c>
    </row>
    <row r="3186" spans="2:3">
      <c r="B3186" s="189">
        <v>37854</v>
      </c>
      <c r="C3186">
        <v>9337.52</v>
      </c>
    </row>
    <row r="3187" spans="2:3">
      <c r="B3187" s="189">
        <v>37853</v>
      </c>
      <c r="C3187">
        <v>9156.3799999999992</v>
      </c>
    </row>
    <row r="3188" spans="2:3">
      <c r="B3188" s="189">
        <v>37852</v>
      </c>
      <c r="C3188">
        <v>9125.26</v>
      </c>
    </row>
    <row r="3189" spans="2:3">
      <c r="B3189" s="189">
        <v>37851</v>
      </c>
      <c r="C3189">
        <v>9041.15</v>
      </c>
    </row>
    <row r="3190" spans="2:3">
      <c r="B3190" s="189">
        <v>37848</v>
      </c>
      <c r="C3190">
        <v>9018.65</v>
      </c>
    </row>
    <row r="3191" spans="2:3">
      <c r="B3191" s="189">
        <v>37847</v>
      </c>
      <c r="C3191">
        <v>8990.69</v>
      </c>
    </row>
    <row r="3192" spans="2:3">
      <c r="B3192" s="189">
        <v>37846</v>
      </c>
      <c r="C3192">
        <v>9072.6</v>
      </c>
    </row>
    <row r="3193" spans="2:3">
      <c r="B3193" s="189">
        <v>37845</v>
      </c>
      <c r="C3193">
        <v>8984.35</v>
      </c>
    </row>
    <row r="3194" spans="2:3">
      <c r="B3194" s="189">
        <v>37844</v>
      </c>
      <c r="C3194">
        <v>8905.18</v>
      </c>
    </row>
    <row r="3195" spans="2:3">
      <c r="B3195" s="189">
        <v>37841</v>
      </c>
      <c r="C3195">
        <v>8863.61</v>
      </c>
    </row>
    <row r="3196" spans="2:3">
      <c r="B3196" s="189">
        <v>37840</v>
      </c>
      <c r="C3196">
        <v>8754.76</v>
      </c>
    </row>
    <row r="3197" spans="2:3">
      <c r="B3197" s="189">
        <v>37839</v>
      </c>
      <c r="C3197">
        <v>8809.1</v>
      </c>
    </row>
    <row r="3198" spans="2:3">
      <c r="B3198" s="189">
        <v>37838</v>
      </c>
      <c r="C3198">
        <v>8866.36</v>
      </c>
    </row>
    <row r="3199" spans="2:3">
      <c r="B3199" s="189">
        <v>37837</v>
      </c>
      <c r="C3199">
        <v>8850.4500000000007</v>
      </c>
    </row>
    <row r="3200" spans="2:3">
      <c r="B3200" s="189">
        <v>37834</v>
      </c>
      <c r="C3200">
        <v>8806.91</v>
      </c>
    </row>
    <row r="3201" spans="2:3">
      <c r="B3201" s="189">
        <v>37833</v>
      </c>
      <c r="C3201">
        <v>8809.6299999999992</v>
      </c>
    </row>
    <row r="3202" spans="2:3">
      <c r="B3202" s="189">
        <v>37832</v>
      </c>
      <c r="C3202">
        <v>8736.57</v>
      </c>
    </row>
    <row r="3203" spans="2:3">
      <c r="B3203" s="189">
        <v>37831</v>
      </c>
      <c r="C3203">
        <v>8731.7900000000009</v>
      </c>
    </row>
    <row r="3204" spans="2:3">
      <c r="B3204" s="189">
        <v>37830</v>
      </c>
      <c r="C3204">
        <v>8780.7800000000007</v>
      </c>
    </row>
    <row r="3205" spans="2:3">
      <c r="B3205" s="189">
        <v>37827</v>
      </c>
      <c r="C3205">
        <v>8747.23</v>
      </c>
    </row>
    <row r="3206" spans="2:3">
      <c r="B3206" s="189">
        <v>37826</v>
      </c>
      <c r="C3206">
        <v>8664.9500000000007</v>
      </c>
    </row>
    <row r="3207" spans="2:3">
      <c r="B3207" s="189">
        <v>37825</v>
      </c>
      <c r="C3207">
        <v>8539.98</v>
      </c>
    </row>
    <row r="3208" spans="2:3">
      <c r="B3208" s="189">
        <v>37824</v>
      </c>
      <c r="C3208">
        <v>8533.0300000000007</v>
      </c>
    </row>
    <row r="3209" spans="2:3">
      <c r="B3209" s="189">
        <v>37823</v>
      </c>
      <c r="C3209">
        <v>8567.16</v>
      </c>
    </row>
    <row r="3210" spans="2:3">
      <c r="B3210" s="189">
        <v>37820</v>
      </c>
      <c r="C3210">
        <v>8579.6299999999992</v>
      </c>
    </row>
    <row r="3211" spans="2:3">
      <c r="B3211" s="189">
        <v>37819</v>
      </c>
      <c r="C3211">
        <v>8607.91</v>
      </c>
    </row>
    <row r="3212" spans="2:3">
      <c r="B3212" s="189">
        <v>37818</v>
      </c>
      <c r="C3212">
        <v>8756</v>
      </c>
    </row>
    <row r="3213" spans="2:3">
      <c r="B3213" s="189">
        <v>37817</v>
      </c>
      <c r="C3213">
        <v>8775.2199999999993</v>
      </c>
    </row>
    <row r="3214" spans="2:3">
      <c r="B3214" s="189">
        <v>37816</v>
      </c>
      <c r="C3214">
        <v>8859.65</v>
      </c>
    </row>
    <row r="3215" spans="2:3">
      <c r="B3215" s="189">
        <v>37813</v>
      </c>
      <c r="C3215">
        <v>8644.7800000000007</v>
      </c>
    </row>
    <row r="3216" spans="2:3">
      <c r="B3216" s="189">
        <v>37812</v>
      </c>
      <c r="C3216">
        <v>8557.7800000000007</v>
      </c>
    </row>
    <row r="3217" spans="2:3">
      <c r="B3217" s="189">
        <v>37811</v>
      </c>
      <c r="C3217">
        <v>8629.1200000000008</v>
      </c>
    </row>
    <row r="3218" spans="2:3">
      <c r="B3218" s="189">
        <v>37810</v>
      </c>
      <c r="C3218">
        <v>8756.18</v>
      </c>
    </row>
    <row r="3219" spans="2:3">
      <c r="B3219" s="189">
        <v>37809</v>
      </c>
      <c r="C3219">
        <v>8521.91</v>
      </c>
    </row>
    <row r="3220" spans="2:3">
      <c r="B3220" s="189">
        <v>37806</v>
      </c>
      <c r="C3220">
        <v>8498.74</v>
      </c>
    </row>
    <row r="3221" spans="2:3">
      <c r="B3221" s="189">
        <v>37805</v>
      </c>
      <c r="C3221">
        <v>8578.56</v>
      </c>
    </row>
    <row r="3222" spans="2:3">
      <c r="B3222" s="189">
        <v>37804</v>
      </c>
      <c r="C3222">
        <v>8396.92</v>
      </c>
    </row>
    <row r="3223" spans="2:3">
      <c r="B3223" s="189">
        <v>37803</v>
      </c>
      <c r="C3223">
        <v>8302.3799999999992</v>
      </c>
    </row>
    <row r="3224" spans="2:3">
      <c r="B3224" s="189">
        <v>37802</v>
      </c>
      <c r="C3224">
        <v>8352.2000000000007</v>
      </c>
    </row>
    <row r="3225" spans="2:3">
      <c r="B3225" s="189">
        <v>37799</v>
      </c>
      <c r="C3225">
        <v>8347.23</v>
      </c>
    </row>
    <row r="3226" spans="2:3">
      <c r="B3226" s="189">
        <v>37798</v>
      </c>
      <c r="C3226">
        <v>8374.61</v>
      </c>
    </row>
    <row r="3227" spans="2:3">
      <c r="B3227" s="189">
        <v>37797</v>
      </c>
      <c r="C3227">
        <v>8452.76</v>
      </c>
    </row>
    <row r="3228" spans="2:3">
      <c r="B3228" s="189">
        <v>37796</v>
      </c>
      <c r="C3228">
        <v>8551.68</v>
      </c>
    </row>
    <row r="3229" spans="2:3">
      <c r="B3229" s="189">
        <v>37795</v>
      </c>
      <c r="C3229">
        <v>8749.48</v>
      </c>
    </row>
    <row r="3230" spans="2:3">
      <c r="B3230" s="189">
        <v>37792</v>
      </c>
      <c r="C3230">
        <v>8854.1200000000008</v>
      </c>
    </row>
    <row r="3231" spans="2:3">
      <c r="B3231" s="189">
        <v>37791</v>
      </c>
      <c r="C3231">
        <v>8909.43</v>
      </c>
    </row>
    <row r="3232" spans="2:3">
      <c r="B3232" s="189">
        <v>37790</v>
      </c>
      <c r="C3232">
        <v>8868.91</v>
      </c>
    </row>
    <row r="3233" spans="2:3">
      <c r="B3233" s="189">
        <v>37789</v>
      </c>
      <c r="C3233">
        <v>8843.2099999999991</v>
      </c>
    </row>
    <row r="3234" spans="2:3">
      <c r="B3234" s="189">
        <v>37785</v>
      </c>
      <c r="C3234">
        <v>8712.8700000000008</v>
      </c>
    </row>
    <row r="3235" spans="2:3">
      <c r="B3235" s="189">
        <v>37784</v>
      </c>
      <c r="C3235">
        <v>8677.34</v>
      </c>
    </row>
    <row r="3236" spans="2:3">
      <c r="B3236" s="189">
        <v>37783</v>
      </c>
      <c r="C3236">
        <v>8717.26</v>
      </c>
    </row>
    <row r="3237" spans="2:3">
      <c r="B3237" s="189">
        <v>37782</v>
      </c>
      <c r="C3237">
        <v>8758</v>
      </c>
    </row>
    <row r="3238" spans="2:3">
      <c r="B3238" s="189">
        <v>37781</v>
      </c>
      <c r="C3238">
        <v>8716.2199999999993</v>
      </c>
    </row>
    <row r="3239" spans="2:3">
      <c r="B3239" s="189">
        <v>37778</v>
      </c>
      <c r="C3239">
        <v>8860.6</v>
      </c>
    </row>
    <row r="3240" spans="2:3">
      <c r="B3240" s="189">
        <v>37777</v>
      </c>
      <c r="C3240">
        <v>8726.77</v>
      </c>
    </row>
    <row r="3241" spans="2:3">
      <c r="B3241" s="189">
        <v>37776</v>
      </c>
      <c r="C3241">
        <v>8748.84</v>
      </c>
    </row>
    <row r="3242" spans="2:3">
      <c r="B3242" s="189">
        <v>37775</v>
      </c>
      <c r="C3242">
        <v>8609.5300000000007</v>
      </c>
    </row>
    <row r="3243" spans="2:3">
      <c r="B3243" s="189">
        <v>37774</v>
      </c>
      <c r="C3243">
        <v>8667.23</v>
      </c>
    </row>
    <row r="3244" spans="2:3">
      <c r="B3244" s="189">
        <v>37771</v>
      </c>
      <c r="C3244">
        <v>8564.33</v>
      </c>
    </row>
    <row r="3245" spans="2:3">
      <c r="B3245" s="189">
        <v>37770</v>
      </c>
      <c r="C3245">
        <v>8501.65</v>
      </c>
    </row>
    <row r="3246" spans="2:3">
      <c r="B3246" s="189">
        <v>37769</v>
      </c>
      <c r="C3246">
        <v>8580.6200000000008</v>
      </c>
    </row>
    <row r="3247" spans="2:3">
      <c r="B3247" s="189">
        <v>37768</v>
      </c>
      <c r="C3247">
        <v>8418.7000000000007</v>
      </c>
    </row>
    <row r="3248" spans="2:3">
      <c r="B3248" s="189">
        <v>37767</v>
      </c>
      <c r="C3248">
        <v>8350.6</v>
      </c>
    </row>
    <row r="3249" spans="2:3">
      <c r="B3249" s="189">
        <v>37764</v>
      </c>
      <c r="C3249">
        <v>8254.52</v>
      </c>
    </row>
    <row r="3250" spans="2:3">
      <c r="B3250" s="189">
        <v>37763</v>
      </c>
      <c r="C3250">
        <v>8165.31</v>
      </c>
    </row>
    <row r="3251" spans="2:3">
      <c r="B3251" s="189">
        <v>37762</v>
      </c>
      <c r="C3251">
        <v>8108.52</v>
      </c>
    </row>
    <row r="3252" spans="2:3">
      <c r="B3252" s="189">
        <v>37761</v>
      </c>
      <c r="C3252">
        <v>8110.68</v>
      </c>
    </row>
    <row r="3253" spans="2:3">
      <c r="B3253" s="189">
        <v>37760</v>
      </c>
      <c r="C3253">
        <v>8203.5300000000007</v>
      </c>
    </row>
    <row r="3254" spans="2:3">
      <c r="B3254" s="189">
        <v>37757</v>
      </c>
      <c r="C3254">
        <v>8158.66</v>
      </c>
    </row>
    <row r="3255" spans="2:3">
      <c r="B3255" s="189">
        <v>37756</v>
      </c>
      <c r="C3255">
        <v>8247.1299999999992</v>
      </c>
    </row>
    <row r="3256" spans="2:3">
      <c r="B3256" s="189">
        <v>37755</v>
      </c>
      <c r="C3256">
        <v>8035.17</v>
      </c>
    </row>
    <row r="3257" spans="2:3">
      <c r="B3257" s="189">
        <v>37754</v>
      </c>
      <c r="C3257">
        <v>7885.39</v>
      </c>
    </row>
    <row r="3258" spans="2:3">
      <c r="B3258" s="189">
        <v>37753</v>
      </c>
      <c r="C3258">
        <v>7817.69</v>
      </c>
    </row>
    <row r="3259" spans="2:3">
      <c r="B3259" s="189">
        <v>37750</v>
      </c>
      <c r="C3259">
        <v>7593.49</v>
      </c>
    </row>
    <row r="3260" spans="2:3">
      <c r="B3260" s="189">
        <v>37749</v>
      </c>
      <c r="C3260">
        <v>7564.89</v>
      </c>
    </row>
    <row r="3261" spans="2:3">
      <c r="B3261" s="189">
        <v>37748</v>
      </c>
      <c r="C3261">
        <v>7685.49</v>
      </c>
    </row>
    <row r="3262" spans="2:3">
      <c r="B3262" s="189">
        <v>37747</v>
      </c>
      <c r="C3262">
        <v>7722.27</v>
      </c>
    </row>
    <row r="3263" spans="2:3">
      <c r="B3263" s="189">
        <v>37746</v>
      </c>
      <c r="C3263">
        <v>7644.95</v>
      </c>
    </row>
    <row r="3264" spans="2:3">
      <c r="B3264" s="189">
        <v>37743</v>
      </c>
      <c r="C3264">
        <v>7659.39</v>
      </c>
    </row>
    <row r="3265" spans="2:3">
      <c r="B3265" s="189">
        <v>37741</v>
      </c>
      <c r="C3265">
        <v>7510.4</v>
      </c>
    </row>
    <row r="3266" spans="2:3">
      <c r="B3266" s="189">
        <v>37740</v>
      </c>
      <c r="C3266">
        <v>7384.01</v>
      </c>
    </row>
    <row r="3267" spans="2:3">
      <c r="B3267" s="189">
        <v>37736</v>
      </c>
      <c r="C3267">
        <v>7361.15</v>
      </c>
    </row>
    <row r="3268" spans="2:3">
      <c r="B3268" s="189">
        <v>37735</v>
      </c>
      <c r="C3268">
        <v>7492.46</v>
      </c>
    </row>
    <row r="3269" spans="2:3">
      <c r="B3269" s="189">
        <v>37734</v>
      </c>
      <c r="C3269">
        <v>7748.25</v>
      </c>
    </row>
    <row r="3270" spans="2:3">
      <c r="B3270" s="189">
        <v>37733</v>
      </c>
      <c r="C3270">
        <v>7746.15</v>
      </c>
    </row>
    <row r="3271" spans="2:3">
      <c r="B3271" s="189">
        <v>37728</v>
      </c>
      <c r="C3271">
        <v>7761.55</v>
      </c>
    </row>
    <row r="3272" spans="2:3">
      <c r="B3272" s="189">
        <v>37727</v>
      </c>
      <c r="C3272">
        <v>7824.13</v>
      </c>
    </row>
    <row r="3273" spans="2:3">
      <c r="B3273" s="189">
        <v>37726</v>
      </c>
      <c r="C3273">
        <v>7842.25</v>
      </c>
    </row>
    <row r="3274" spans="2:3">
      <c r="B3274" s="189">
        <v>37725</v>
      </c>
      <c r="C3274">
        <v>7868.97</v>
      </c>
    </row>
    <row r="3275" spans="2:3">
      <c r="B3275" s="189">
        <v>37722</v>
      </c>
      <c r="C3275">
        <v>7818.13</v>
      </c>
    </row>
    <row r="3276" spans="2:3">
      <c r="B3276" s="189">
        <v>37721</v>
      </c>
      <c r="C3276">
        <v>7756.65</v>
      </c>
    </row>
    <row r="3277" spans="2:3">
      <c r="B3277" s="189">
        <v>37720</v>
      </c>
      <c r="C3277">
        <v>7872.11</v>
      </c>
    </row>
    <row r="3278" spans="2:3">
      <c r="B3278" s="189">
        <v>37719</v>
      </c>
      <c r="C3278">
        <v>7958.38</v>
      </c>
    </row>
    <row r="3279" spans="2:3">
      <c r="B3279" s="189">
        <v>37718</v>
      </c>
      <c r="C3279">
        <v>8077.62</v>
      </c>
    </row>
    <row r="3280" spans="2:3">
      <c r="B3280" s="189">
        <v>37715</v>
      </c>
      <c r="C3280">
        <v>7878.98</v>
      </c>
    </row>
    <row r="3281" spans="2:3">
      <c r="B3281" s="189">
        <v>37714</v>
      </c>
      <c r="C3281">
        <v>7922.65</v>
      </c>
    </row>
    <row r="3282" spans="2:3">
      <c r="B3282" s="189">
        <v>37713</v>
      </c>
      <c r="C3282">
        <v>7915.64</v>
      </c>
    </row>
    <row r="3283" spans="2:3">
      <c r="B3283" s="189">
        <v>37712</v>
      </c>
      <c r="C3283">
        <v>7786.02</v>
      </c>
    </row>
    <row r="3284" spans="2:3">
      <c r="B3284" s="189">
        <v>37711</v>
      </c>
      <c r="C3284">
        <v>7679.88</v>
      </c>
    </row>
    <row r="3285" spans="2:3">
      <c r="B3285" s="189">
        <v>37708</v>
      </c>
      <c r="C3285">
        <v>7735.86</v>
      </c>
    </row>
    <row r="3286" spans="2:3">
      <c r="B3286" s="189">
        <v>37707</v>
      </c>
      <c r="C3286">
        <v>7795.81</v>
      </c>
    </row>
    <row r="3287" spans="2:3">
      <c r="B3287" s="189">
        <v>37706</v>
      </c>
      <c r="C3287">
        <v>7838.3</v>
      </c>
    </row>
    <row r="3288" spans="2:3">
      <c r="B3288" s="189">
        <v>37705</v>
      </c>
      <c r="C3288">
        <v>7932.57</v>
      </c>
    </row>
    <row r="3289" spans="2:3">
      <c r="B3289" s="189">
        <v>37704</v>
      </c>
      <c r="C3289">
        <v>8026.83</v>
      </c>
    </row>
    <row r="3290" spans="2:3">
      <c r="B3290" s="189">
        <v>37700</v>
      </c>
      <c r="C3290">
        <v>8139.31</v>
      </c>
    </row>
    <row r="3291" spans="2:3">
      <c r="B3291" s="189">
        <v>37699</v>
      </c>
      <c r="C3291">
        <v>8292.07</v>
      </c>
    </row>
    <row r="3292" spans="2:3">
      <c r="B3292" s="189">
        <v>37698</v>
      </c>
      <c r="C3292">
        <v>8278.5499999999993</v>
      </c>
    </row>
    <row r="3293" spans="2:3">
      <c r="B3293" s="189">
        <v>37697</v>
      </c>
      <c r="C3293">
        <v>8047.78</v>
      </c>
    </row>
    <row r="3294" spans="2:3">
      <c r="B3294" s="189">
        <v>37694</v>
      </c>
      <c r="C3294">
        <v>8081.24</v>
      </c>
    </row>
    <row r="3295" spans="2:3">
      <c r="B3295" s="189">
        <v>37693</v>
      </c>
      <c r="C3295">
        <v>7977.99</v>
      </c>
    </row>
    <row r="3296" spans="2:3">
      <c r="B3296" s="189">
        <v>37692</v>
      </c>
      <c r="C3296">
        <v>7769.65</v>
      </c>
    </row>
    <row r="3297" spans="2:3">
      <c r="B3297" s="189">
        <v>37691</v>
      </c>
      <c r="C3297">
        <v>7766.04</v>
      </c>
    </row>
    <row r="3298" spans="2:3">
      <c r="B3298" s="189">
        <v>37690</v>
      </c>
      <c r="C3298">
        <v>7853.26</v>
      </c>
    </row>
    <row r="3299" spans="2:3">
      <c r="B3299" s="189">
        <v>37687</v>
      </c>
      <c r="C3299">
        <v>7973.71</v>
      </c>
    </row>
    <row r="3300" spans="2:3">
      <c r="B3300" s="189">
        <v>37686</v>
      </c>
      <c r="C3300">
        <v>8134.38</v>
      </c>
    </row>
    <row r="3301" spans="2:3">
      <c r="B3301" s="189">
        <v>37685</v>
      </c>
      <c r="C3301">
        <v>8190.79</v>
      </c>
    </row>
    <row r="3302" spans="2:3">
      <c r="B3302" s="189">
        <v>37684</v>
      </c>
      <c r="C3302">
        <v>8317.58</v>
      </c>
    </row>
    <row r="3303" spans="2:3">
      <c r="B3303" s="189">
        <v>37683</v>
      </c>
      <c r="C3303">
        <v>8423.99</v>
      </c>
    </row>
    <row r="3304" spans="2:3">
      <c r="B3304" s="189">
        <v>37680</v>
      </c>
      <c r="C3304">
        <v>8402.09</v>
      </c>
    </row>
    <row r="3305" spans="2:3">
      <c r="B3305" s="189">
        <v>37679</v>
      </c>
      <c r="C3305">
        <v>8303.92</v>
      </c>
    </row>
    <row r="3306" spans="2:3">
      <c r="B3306" s="189">
        <v>37678</v>
      </c>
      <c r="C3306">
        <v>8276.59</v>
      </c>
    </row>
    <row r="3307" spans="2:3">
      <c r="B3307" s="189">
        <v>37677</v>
      </c>
      <c r="C3307">
        <v>8390.84</v>
      </c>
    </row>
    <row r="3308" spans="2:3">
      <c r="B3308" s="189">
        <v>37676</v>
      </c>
      <c r="C3308">
        <v>8543.51</v>
      </c>
    </row>
    <row r="3309" spans="2:3">
      <c r="B3309" s="189">
        <v>37673</v>
      </c>
      <c r="C3309">
        <v>8497.34</v>
      </c>
    </row>
    <row r="3310" spans="2:3">
      <c r="B3310" s="189">
        <v>37672</v>
      </c>
      <c r="C3310">
        <v>8426.5300000000007</v>
      </c>
    </row>
    <row r="3311" spans="2:3">
      <c r="B3311" s="189">
        <v>37671</v>
      </c>
      <c r="C3311">
        <v>8570.7999999999993</v>
      </c>
    </row>
    <row r="3312" spans="2:3">
      <c r="B3312" s="189">
        <v>37670</v>
      </c>
      <c r="C3312">
        <v>8639.15</v>
      </c>
    </row>
    <row r="3313" spans="2:3">
      <c r="B3313" s="189">
        <v>37669</v>
      </c>
      <c r="C3313">
        <v>8679.34</v>
      </c>
    </row>
    <row r="3314" spans="2:3">
      <c r="B3314" s="189">
        <v>37666</v>
      </c>
      <c r="C3314">
        <v>8596.9699999999993</v>
      </c>
    </row>
    <row r="3315" spans="2:3">
      <c r="B3315" s="189">
        <v>37665</v>
      </c>
      <c r="C3315">
        <v>8551.3799999999992</v>
      </c>
    </row>
    <row r="3316" spans="2:3">
      <c r="B3316" s="189">
        <v>37664</v>
      </c>
      <c r="C3316">
        <v>8689.19</v>
      </c>
    </row>
    <row r="3317" spans="2:3">
      <c r="B3317" s="189">
        <v>37663</v>
      </c>
      <c r="C3317">
        <v>8770.11</v>
      </c>
    </row>
    <row r="3318" spans="2:3">
      <c r="B3318" s="189">
        <v>37662</v>
      </c>
      <c r="C3318">
        <v>8769.34</v>
      </c>
    </row>
    <row r="3319" spans="2:3">
      <c r="B3319" s="189">
        <v>37659</v>
      </c>
      <c r="C3319">
        <v>8806.33</v>
      </c>
    </row>
    <row r="3320" spans="2:3">
      <c r="B3320" s="189">
        <v>37658</v>
      </c>
      <c r="C3320">
        <v>8819.7000000000007</v>
      </c>
    </row>
    <row r="3321" spans="2:3">
      <c r="B3321" s="189">
        <v>37657</v>
      </c>
      <c r="C3321">
        <v>8869.23</v>
      </c>
    </row>
    <row r="3322" spans="2:3">
      <c r="B3322" s="189">
        <v>37656</v>
      </c>
      <c r="C3322">
        <v>8774.2800000000007</v>
      </c>
    </row>
    <row r="3323" spans="2:3">
      <c r="B3323" s="189">
        <v>37655</v>
      </c>
      <c r="C3323">
        <v>8858.64</v>
      </c>
    </row>
    <row r="3324" spans="2:3">
      <c r="B3324" s="189">
        <v>37652</v>
      </c>
      <c r="C3324">
        <v>8798.35</v>
      </c>
    </row>
    <row r="3325" spans="2:3">
      <c r="B3325" s="189">
        <v>37651</v>
      </c>
      <c r="C3325">
        <v>8932.92</v>
      </c>
    </row>
    <row r="3326" spans="2:3">
      <c r="B3326" s="189">
        <v>37650</v>
      </c>
      <c r="C3326">
        <v>8953.23</v>
      </c>
    </row>
    <row r="3327" spans="2:3">
      <c r="B3327" s="189">
        <v>37649</v>
      </c>
      <c r="C3327">
        <v>9009.33</v>
      </c>
    </row>
    <row r="3328" spans="2:3">
      <c r="B3328" s="189">
        <v>37648</v>
      </c>
      <c r="C3328">
        <v>9038.5400000000009</v>
      </c>
    </row>
    <row r="3329" spans="2:3">
      <c r="B3329" s="189">
        <v>37645</v>
      </c>
      <c r="C3329">
        <v>9210.57</v>
      </c>
    </row>
    <row r="3330" spans="2:3">
      <c r="B3330" s="189">
        <v>37644</v>
      </c>
      <c r="C3330">
        <v>9304.52</v>
      </c>
    </row>
    <row r="3331" spans="2:3">
      <c r="B3331" s="189">
        <v>37643</v>
      </c>
      <c r="C3331">
        <v>9445.8799999999992</v>
      </c>
    </row>
    <row r="3332" spans="2:3">
      <c r="B3332" s="189">
        <v>37642</v>
      </c>
      <c r="C3332">
        <v>9504.19</v>
      </c>
    </row>
    <row r="3333" spans="2:3">
      <c r="B3333" s="189">
        <v>37641</v>
      </c>
      <c r="C3333">
        <v>9485.48</v>
      </c>
    </row>
    <row r="3334" spans="2:3">
      <c r="B3334" s="189">
        <v>37638</v>
      </c>
      <c r="C3334">
        <v>9488.42</v>
      </c>
    </row>
    <row r="3335" spans="2:3">
      <c r="B3335" s="189">
        <v>37637</v>
      </c>
      <c r="C3335">
        <v>9468.5300000000007</v>
      </c>
    </row>
    <row r="3336" spans="2:3">
      <c r="B3336" s="189">
        <v>37636</v>
      </c>
      <c r="C3336">
        <v>9529.76</v>
      </c>
    </row>
    <row r="3337" spans="2:3">
      <c r="B3337" s="189">
        <v>37635</v>
      </c>
      <c r="C3337">
        <v>9579.52</v>
      </c>
    </row>
    <row r="3338" spans="2:3">
      <c r="B3338" s="189">
        <v>37634</v>
      </c>
      <c r="C3338">
        <v>9503.6</v>
      </c>
    </row>
    <row r="3339" spans="2:3">
      <c r="B3339" s="189">
        <v>37631</v>
      </c>
      <c r="C3339">
        <v>9308.98</v>
      </c>
    </row>
    <row r="3340" spans="2:3">
      <c r="B3340" s="189">
        <v>37630</v>
      </c>
      <c r="C3340">
        <v>9347.73</v>
      </c>
    </row>
    <row r="3341" spans="2:3">
      <c r="B3341" s="189">
        <v>37629</v>
      </c>
      <c r="C3341">
        <v>9378.5400000000009</v>
      </c>
    </row>
    <row r="3342" spans="2:3">
      <c r="B3342" s="189">
        <v>37628</v>
      </c>
      <c r="C3342">
        <v>9381.08</v>
      </c>
    </row>
    <row r="3343" spans="2:3">
      <c r="B3343" s="189">
        <v>37627</v>
      </c>
      <c r="C3343">
        <v>9303.75</v>
      </c>
    </row>
    <row r="3344" spans="2:3">
      <c r="B3344" s="189">
        <v>37624</v>
      </c>
      <c r="C3344">
        <v>9343.92</v>
      </c>
    </row>
    <row r="3345" spans="2:3">
      <c r="B3345" s="189">
        <v>37623</v>
      </c>
      <c r="C3345">
        <v>9266.8799999999992</v>
      </c>
    </row>
    <row r="3346" spans="2:3">
      <c r="B3346" s="189">
        <v>37621</v>
      </c>
      <c r="C3346">
        <v>9277.2199999999993</v>
      </c>
    </row>
    <row r="3347" spans="2:3">
      <c r="B3347" s="189">
        <v>37620</v>
      </c>
      <c r="C3347">
        <v>9358.9</v>
      </c>
    </row>
    <row r="3348" spans="2:3">
      <c r="B3348" s="189">
        <v>37617</v>
      </c>
      <c r="C3348">
        <v>9399.08</v>
      </c>
    </row>
    <row r="3349" spans="2:3">
      <c r="B3349" s="189">
        <v>37614</v>
      </c>
      <c r="C3349">
        <v>9362.2900000000009</v>
      </c>
    </row>
    <row r="3350" spans="2:3">
      <c r="B3350" s="189">
        <v>37613</v>
      </c>
      <c r="C3350">
        <v>9383.01</v>
      </c>
    </row>
    <row r="3351" spans="2:3">
      <c r="B3351" s="189">
        <v>37610</v>
      </c>
      <c r="C3351">
        <v>9343.35</v>
      </c>
    </row>
    <row r="3352" spans="2:3">
      <c r="B3352" s="189">
        <v>37609</v>
      </c>
      <c r="C3352">
        <v>9442.2800000000007</v>
      </c>
    </row>
    <row r="3353" spans="2:3">
      <c r="B3353" s="189">
        <v>37608</v>
      </c>
      <c r="C3353">
        <v>9490.6</v>
      </c>
    </row>
    <row r="3354" spans="2:3">
      <c r="B3354" s="189">
        <v>37607</v>
      </c>
      <c r="C3354">
        <v>9505.93</v>
      </c>
    </row>
    <row r="3355" spans="2:3">
      <c r="B3355" s="189">
        <v>37603</v>
      </c>
      <c r="C3355">
        <v>9083.83</v>
      </c>
    </row>
    <row r="3356" spans="2:3">
      <c r="B3356" s="189">
        <v>37602</v>
      </c>
      <c r="C3356">
        <v>9053.32</v>
      </c>
    </row>
    <row r="3357" spans="2:3">
      <c r="B3357" s="189">
        <v>37601</v>
      </c>
      <c r="C3357">
        <v>9066.1</v>
      </c>
    </row>
    <row r="3358" spans="2:3">
      <c r="B3358" s="189">
        <v>37600</v>
      </c>
      <c r="C3358">
        <v>9142.61</v>
      </c>
    </row>
    <row r="3359" spans="2:3">
      <c r="B3359" s="189">
        <v>37599</v>
      </c>
      <c r="C3359">
        <v>9346.86</v>
      </c>
    </row>
    <row r="3360" spans="2:3">
      <c r="B3360" s="189">
        <v>37596</v>
      </c>
      <c r="C3360">
        <v>9326.5400000000009</v>
      </c>
    </row>
    <row r="3361" spans="2:3">
      <c r="B3361" s="189">
        <v>37595</v>
      </c>
      <c r="C3361">
        <v>9421.18</v>
      </c>
    </row>
    <row r="3362" spans="2:3">
      <c r="B3362" s="189">
        <v>37594</v>
      </c>
      <c r="C3362">
        <v>9529.02</v>
      </c>
    </row>
    <row r="3363" spans="2:3">
      <c r="B3363" s="189">
        <v>37593</v>
      </c>
      <c r="C3363">
        <v>9562.89</v>
      </c>
    </row>
    <row r="3364" spans="2:3">
      <c r="B3364" s="189">
        <v>37592</v>
      </c>
      <c r="C3364">
        <v>9632.01</v>
      </c>
    </row>
    <row r="3365" spans="2:3">
      <c r="B3365" s="189">
        <v>37589</v>
      </c>
      <c r="C3365">
        <v>9563.74</v>
      </c>
    </row>
    <row r="3366" spans="2:3">
      <c r="B3366" s="189">
        <v>37588</v>
      </c>
      <c r="C3366">
        <v>9478.68</v>
      </c>
    </row>
    <row r="3367" spans="2:3">
      <c r="B3367" s="189">
        <v>37587</v>
      </c>
      <c r="C3367">
        <v>9367.7800000000007</v>
      </c>
    </row>
    <row r="3368" spans="2:3">
      <c r="B3368" s="189">
        <v>37586</v>
      </c>
      <c r="C3368">
        <v>9239.1299999999992</v>
      </c>
    </row>
    <row r="3369" spans="2:3">
      <c r="B3369" s="189">
        <v>37585</v>
      </c>
      <c r="C3369">
        <v>9492.86</v>
      </c>
    </row>
    <row r="3370" spans="2:3">
      <c r="B3370" s="189">
        <v>37582</v>
      </c>
      <c r="C3370">
        <v>9726.0400000000009</v>
      </c>
    </row>
    <row r="3371" spans="2:3">
      <c r="B3371" s="189">
        <v>37581</v>
      </c>
      <c r="C3371">
        <v>9805.2099999999991</v>
      </c>
    </row>
    <row r="3372" spans="2:3">
      <c r="B3372" s="189">
        <v>37580</v>
      </c>
      <c r="C3372">
        <v>9740.75</v>
      </c>
    </row>
    <row r="3373" spans="2:3">
      <c r="B3373" s="189">
        <v>37579</v>
      </c>
      <c r="C3373">
        <v>9747.56</v>
      </c>
    </row>
    <row r="3374" spans="2:3">
      <c r="B3374" s="189">
        <v>37578</v>
      </c>
      <c r="C3374">
        <v>9840.41</v>
      </c>
    </row>
    <row r="3375" spans="2:3">
      <c r="B3375" s="189">
        <v>37575</v>
      </c>
      <c r="C3375">
        <v>9697.44</v>
      </c>
    </row>
    <row r="3376" spans="2:3">
      <c r="B3376" s="189">
        <v>37574</v>
      </c>
      <c r="C3376">
        <v>9680.85</v>
      </c>
    </row>
    <row r="3377" spans="2:3">
      <c r="B3377" s="189">
        <v>37573</v>
      </c>
      <c r="C3377">
        <v>9643.75</v>
      </c>
    </row>
    <row r="3378" spans="2:3">
      <c r="B3378" s="189">
        <v>37572</v>
      </c>
      <c r="C3378">
        <v>9660.7000000000007</v>
      </c>
    </row>
    <row r="3379" spans="2:3">
      <c r="B3379" s="189">
        <v>37571</v>
      </c>
      <c r="C3379">
        <v>9660.9599999999991</v>
      </c>
    </row>
    <row r="3380" spans="2:3">
      <c r="B3380" s="189">
        <v>37568</v>
      </c>
      <c r="C3380">
        <v>9656.9699999999993</v>
      </c>
    </row>
    <row r="3381" spans="2:3">
      <c r="B3381" s="189">
        <v>37567</v>
      </c>
      <c r="C3381">
        <v>9716.7000000000007</v>
      </c>
    </row>
    <row r="3382" spans="2:3">
      <c r="B3382" s="189">
        <v>37566</v>
      </c>
      <c r="C3382">
        <v>9644.2800000000007</v>
      </c>
    </row>
    <row r="3383" spans="2:3">
      <c r="B3383" s="189">
        <v>37565</v>
      </c>
      <c r="C3383">
        <v>9628.84</v>
      </c>
    </row>
    <row r="3384" spans="2:3">
      <c r="B3384" s="189">
        <v>37564</v>
      </c>
      <c r="C3384">
        <v>9561.81</v>
      </c>
    </row>
    <row r="3385" spans="2:3">
      <c r="B3385" s="189">
        <v>37561</v>
      </c>
      <c r="C3385">
        <v>9636.27</v>
      </c>
    </row>
    <row r="3386" spans="2:3">
      <c r="B3386" s="189">
        <v>37560</v>
      </c>
      <c r="C3386">
        <v>9376.23</v>
      </c>
    </row>
    <row r="3387" spans="2:3">
      <c r="B3387" s="189">
        <v>37559</v>
      </c>
      <c r="C3387">
        <v>9330.6299999999992</v>
      </c>
    </row>
    <row r="3388" spans="2:3">
      <c r="B3388" s="189">
        <v>37558</v>
      </c>
      <c r="C3388">
        <v>9331.2800000000007</v>
      </c>
    </row>
    <row r="3389" spans="2:3">
      <c r="B3389" s="189">
        <v>37557</v>
      </c>
      <c r="C3389">
        <v>9580.94</v>
      </c>
    </row>
    <row r="3390" spans="2:3">
      <c r="B3390" s="189">
        <v>37554</v>
      </c>
      <c r="C3390">
        <v>9617.89</v>
      </c>
    </row>
    <row r="3391" spans="2:3">
      <c r="B3391" s="189">
        <v>37553</v>
      </c>
      <c r="C3391">
        <v>9778.14</v>
      </c>
    </row>
    <row r="3392" spans="2:3">
      <c r="B3392" s="189">
        <v>37552</v>
      </c>
      <c r="C3392">
        <v>9718.44</v>
      </c>
    </row>
    <row r="3393" spans="2:3">
      <c r="B3393" s="189">
        <v>37551</v>
      </c>
      <c r="C3393">
        <v>9737.6</v>
      </c>
    </row>
    <row r="3394" spans="2:3">
      <c r="B3394" s="189">
        <v>37550</v>
      </c>
      <c r="C3394">
        <v>9577.89</v>
      </c>
    </row>
    <row r="3395" spans="2:3">
      <c r="B3395" s="189">
        <v>37547</v>
      </c>
      <c r="C3395">
        <v>9602.86</v>
      </c>
    </row>
    <row r="3396" spans="2:3">
      <c r="B3396" s="189">
        <v>37546</v>
      </c>
      <c r="C3396">
        <v>9615.84</v>
      </c>
    </row>
    <row r="3397" spans="2:3">
      <c r="B3397" s="189">
        <v>37545</v>
      </c>
      <c r="C3397">
        <v>9566.91</v>
      </c>
    </row>
    <row r="3398" spans="2:3">
      <c r="B3398" s="189">
        <v>37544</v>
      </c>
      <c r="C3398">
        <v>9694.31</v>
      </c>
    </row>
    <row r="3399" spans="2:3">
      <c r="B3399" s="189">
        <v>37543</v>
      </c>
      <c r="C3399">
        <v>9428.02</v>
      </c>
    </row>
    <row r="3400" spans="2:3">
      <c r="B3400" s="189">
        <v>37540</v>
      </c>
      <c r="C3400">
        <v>9398.8700000000008</v>
      </c>
    </row>
    <row r="3401" spans="2:3">
      <c r="B3401" s="189">
        <v>37539</v>
      </c>
      <c r="C3401">
        <v>9119.2800000000007</v>
      </c>
    </row>
    <row r="3402" spans="2:3">
      <c r="B3402" s="189">
        <v>37538</v>
      </c>
      <c r="C3402">
        <v>9190.89</v>
      </c>
    </row>
    <row r="3403" spans="2:3">
      <c r="B3403" s="189">
        <v>37537</v>
      </c>
      <c r="C3403">
        <v>9306.09</v>
      </c>
    </row>
    <row r="3404" spans="2:3">
      <c r="B3404" s="189">
        <v>37536</v>
      </c>
      <c r="C3404">
        <v>9284.19</v>
      </c>
    </row>
    <row r="3405" spans="2:3">
      <c r="B3405" s="189">
        <v>37533</v>
      </c>
      <c r="C3405">
        <v>9531.48</v>
      </c>
    </row>
    <row r="3406" spans="2:3">
      <c r="B3406" s="189">
        <v>37532</v>
      </c>
      <c r="C3406">
        <v>9501.2000000000007</v>
      </c>
    </row>
    <row r="3407" spans="2:3">
      <c r="B3407" s="189">
        <v>37531</v>
      </c>
      <c r="C3407">
        <v>9530.81</v>
      </c>
    </row>
    <row r="3408" spans="2:3">
      <c r="B3408" s="189">
        <v>37530</v>
      </c>
      <c r="C3408">
        <v>9525.11</v>
      </c>
    </row>
    <row r="3409" spans="2:3">
      <c r="B3409" s="189">
        <v>37529</v>
      </c>
      <c r="C3409">
        <v>9465.33</v>
      </c>
    </row>
    <row r="3410" spans="2:3">
      <c r="B3410" s="189">
        <v>37526</v>
      </c>
      <c r="C3410">
        <v>9640.9</v>
      </c>
    </row>
    <row r="3411" spans="2:3">
      <c r="B3411" s="189">
        <v>37525</v>
      </c>
      <c r="C3411">
        <v>9555.15</v>
      </c>
    </row>
    <row r="3412" spans="2:3">
      <c r="B3412" s="189">
        <v>37524</v>
      </c>
      <c r="C3412">
        <v>9418.15</v>
      </c>
    </row>
    <row r="3413" spans="2:3">
      <c r="B3413" s="189">
        <v>37522</v>
      </c>
      <c r="C3413">
        <v>9482.83</v>
      </c>
    </row>
    <row r="3414" spans="2:3">
      <c r="B3414" s="189">
        <v>37519</v>
      </c>
      <c r="C3414">
        <v>9546.52</v>
      </c>
    </row>
    <row r="3415" spans="2:3">
      <c r="B3415" s="189">
        <v>37518</v>
      </c>
      <c r="C3415">
        <v>9451.4</v>
      </c>
    </row>
    <row r="3416" spans="2:3">
      <c r="B3416" s="189">
        <v>37517</v>
      </c>
      <c r="C3416">
        <v>9582.1</v>
      </c>
    </row>
    <row r="3417" spans="2:3">
      <c r="B3417" s="189">
        <v>37516</v>
      </c>
      <c r="C3417">
        <v>9745.15</v>
      </c>
    </row>
    <row r="3418" spans="2:3">
      <c r="B3418" s="189">
        <v>37515</v>
      </c>
      <c r="C3418">
        <v>9774.16</v>
      </c>
    </row>
    <row r="3419" spans="2:3">
      <c r="B3419" s="189">
        <v>37512</v>
      </c>
      <c r="C3419">
        <v>9683.91</v>
      </c>
    </row>
    <row r="3420" spans="2:3">
      <c r="B3420" s="189">
        <v>37511</v>
      </c>
      <c r="C3420">
        <v>9788.11</v>
      </c>
    </row>
    <row r="3421" spans="2:3">
      <c r="B3421" s="189">
        <v>37510</v>
      </c>
      <c r="C3421">
        <v>9941.5400000000009</v>
      </c>
    </row>
    <row r="3422" spans="2:3">
      <c r="B3422" s="189">
        <v>37509</v>
      </c>
      <c r="C3422">
        <v>9867.32</v>
      </c>
    </row>
    <row r="3423" spans="2:3">
      <c r="B3423" s="189">
        <v>37508</v>
      </c>
      <c r="C3423">
        <v>9662.58</v>
      </c>
    </row>
    <row r="3424" spans="2:3">
      <c r="B3424" s="189">
        <v>37505</v>
      </c>
      <c r="C3424">
        <v>9540.1</v>
      </c>
    </row>
    <row r="3425" spans="2:3">
      <c r="B3425" s="189">
        <v>37504</v>
      </c>
      <c r="C3425">
        <v>9412.7000000000007</v>
      </c>
    </row>
    <row r="3426" spans="2:3">
      <c r="B3426" s="189">
        <v>37503</v>
      </c>
      <c r="C3426">
        <v>9498.0400000000009</v>
      </c>
    </row>
    <row r="3427" spans="2:3">
      <c r="B3427" s="189">
        <v>37502</v>
      </c>
      <c r="C3427">
        <v>9561.74</v>
      </c>
    </row>
    <row r="3428" spans="2:3">
      <c r="B3428" s="189">
        <v>37501</v>
      </c>
      <c r="C3428">
        <v>9748.42</v>
      </c>
    </row>
    <row r="3429" spans="2:3">
      <c r="B3429" s="189">
        <v>37498</v>
      </c>
      <c r="C3429">
        <v>9677.26</v>
      </c>
    </row>
    <row r="3430" spans="2:3">
      <c r="B3430" s="189">
        <v>37497</v>
      </c>
      <c r="C3430">
        <v>9660.23</v>
      </c>
    </row>
    <row r="3431" spans="2:3">
      <c r="B3431" s="189">
        <v>37496</v>
      </c>
      <c r="C3431">
        <v>9709.2800000000007</v>
      </c>
    </row>
    <row r="3432" spans="2:3">
      <c r="B3432" s="189">
        <v>37495</v>
      </c>
      <c r="C3432">
        <v>9796.34</v>
      </c>
    </row>
    <row r="3433" spans="2:3">
      <c r="B3433" s="189">
        <v>37494</v>
      </c>
      <c r="C3433">
        <v>9601.7800000000007</v>
      </c>
    </row>
    <row r="3434" spans="2:3">
      <c r="B3434" s="189">
        <v>37491</v>
      </c>
      <c r="C3434">
        <v>9802.42</v>
      </c>
    </row>
    <row r="3435" spans="2:3">
      <c r="B3435" s="189">
        <v>37490</v>
      </c>
      <c r="C3435">
        <v>9809.99</v>
      </c>
    </row>
    <row r="3436" spans="2:3">
      <c r="B3436" s="189">
        <v>37489</v>
      </c>
      <c r="C3436">
        <v>9682.41</v>
      </c>
    </row>
    <row r="3437" spans="2:3">
      <c r="B3437" s="189">
        <v>37488</v>
      </c>
      <c r="C3437">
        <v>9489.1299999999992</v>
      </c>
    </row>
    <row r="3438" spans="2:3">
      <c r="B3438" s="189">
        <v>37487</v>
      </c>
      <c r="C3438">
        <v>9447.86</v>
      </c>
    </row>
    <row r="3439" spans="2:3">
      <c r="B3439" s="189">
        <v>37484</v>
      </c>
      <c r="C3439">
        <v>9437.7000000000007</v>
      </c>
    </row>
    <row r="3440" spans="2:3">
      <c r="B3440" s="189">
        <v>37483</v>
      </c>
      <c r="C3440">
        <v>9469.73</v>
      </c>
    </row>
    <row r="3441" spans="2:3">
      <c r="B3441" s="189">
        <v>37482</v>
      </c>
      <c r="C3441">
        <v>9309.7800000000007</v>
      </c>
    </row>
    <row r="3442" spans="2:3">
      <c r="B3442" s="189">
        <v>37481</v>
      </c>
      <c r="C3442">
        <v>9399.6200000000008</v>
      </c>
    </row>
    <row r="3443" spans="2:3">
      <c r="B3443" s="189">
        <v>37480</v>
      </c>
      <c r="C3443">
        <v>9306.15</v>
      </c>
    </row>
    <row r="3444" spans="2:3">
      <c r="B3444" s="189">
        <v>37476</v>
      </c>
      <c r="C3444">
        <v>9272.59</v>
      </c>
    </row>
    <row r="3445" spans="2:3">
      <c r="B3445" s="189">
        <v>37475</v>
      </c>
      <c r="C3445">
        <v>9191.65</v>
      </c>
    </row>
    <row r="3446" spans="2:3">
      <c r="B3446" s="189">
        <v>37474</v>
      </c>
      <c r="C3446">
        <v>9052.7000000000007</v>
      </c>
    </row>
    <row r="3447" spans="2:3">
      <c r="B3447" s="189">
        <v>37473</v>
      </c>
      <c r="C3447">
        <v>8871.2000000000007</v>
      </c>
    </row>
    <row r="3448" spans="2:3">
      <c r="B3448" s="189">
        <v>37470</v>
      </c>
      <c r="C3448">
        <v>9019.81</v>
      </c>
    </row>
    <row r="3449" spans="2:3">
      <c r="B3449" s="189">
        <v>37469</v>
      </c>
      <c r="C3449">
        <v>9216.2999999999993</v>
      </c>
    </row>
    <row r="3450" spans="2:3">
      <c r="B3450" s="189">
        <v>37468</v>
      </c>
      <c r="C3450">
        <v>9239.02</v>
      </c>
    </row>
    <row r="3451" spans="2:3">
      <c r="B3451" s="189">
        <v>37467</v>
      </c>
      <c r="C3451">
        <v>9536.7000000000007</v>
      </c>
    </row>
    <row r="3452" spans="2:3">
      <c r="B3452" s="189">
        <v>37466</v>
      </c>
      <c r="C3452">
        <v>9382.98</v>
      </c>
    </row>
    <row r="3453" spans="2:3">
      <c r="B3453" s="189">
        <v>37463</v>
      </c>
      <c r="C3453">
        <v>9468.89</v>
      </c>
    </row>
    <row r="3454" spans="2:3">
      <c r="B3454" s="189">
        <v>37462</v>
      </c>
      <c r="C3454">
        <v>9618.51</v>
      </c>
    </row>
    <row r="3455" spans="2:3">
      <c r="B3455" s="189">
        <v>37461</v>
      </c>
      <c r="C3455">
        <v>9393.5300000000007</v>
      </c>
    </row>
    <row r="3456" spans="2:3">
      <c r="B3456" s="189">
        <v>37460</v>
      </c>
      <c r="C3456">
        <v>9637.61</v>
      </c>
    </row>
    <row r="3457" spans="2:3">
      <c r="B3457" s="189">
        <v>37459</v>
      </c>
      <c r="C3457">
        <v>9920.1200000000008</v>
      </c>
    </row>
    <row r="3458" spans="2:3">
      <c r="B3458" s="189">
        <v>37456</v>
      </c>
      <c r="C3458">
        <v>10219.67</v>
      </c>
    </row>
    <row r="3459" spans="2:3">
      <c r="B3459" s="189">
        <v>37455</v>
      </c>
      <c r="C3459">
        <v>10358.540000000001</v>
      </c>
    </row>
    <row r="3460" spans="2:3">
      <c r="B3460" s="189">
        <v>37454</v>
      </c>
      <c r="C3460">
        <v>10284.379999999999</v>
      </c>
    </row>
    <row r="3461" spans="2:3">
      <c r="B3461" s="189">
        <v>37453</v>
      </c>
      <c r="C3461">
        <v>10194.700000000001</v>
      </c>
    </row>
    <row r="3462" spans="2:3">
      <c r="B3462" s="189">
        <v>37452</v>
      </c>
      <c r="C3462">
        <v>10167.66</v>
      </c>
    </row>
    <row r="3463" spans="2:3">
      <c r="B3463" s="189">
        <v>37449</v>
      </c>
      <c r="C3463">
        <v>10161.44</v>
      </c>
    </row>
    <row r="3464" spans="2:3">
      <c r="B3464" s="189">
        <v>37448</v>
      </c>
      <c r="C3464">
        <v>10222.280000000001</v>
      </c>
    </row>
    <row r="3465" spans="2:3">
      <c r="B3465" s="189">
        <v>37447</v>
      </c>
      <c r="C3465">
        <v>10313.450000000001</v>
      </c>
    </row>
    <row r="3466" spans="2:3">
      <c r="B3466" s="189">
        <v>37446</v>
      </c>
      <c r="C3466">
        <v>10512.95</v>
      </c>
    </row>
    <row r="3467" spans="2:3">
      <c r="B3467" s="189">
        <v>37445</v>
      </c>
      <c r="C3467">
        <v>10620.49</v>
      </c>
    </row>
    <row r="3468" spans="2:3">
      <c r="B3468" s="189">
        <v>37442</v>
      </c>
      <c r="C3468">
        <v>10538.31</v>
      </c>
    </row>
    <row r="3469" spans="2:3">
      <c r="B3469" s="189">
        <v>37441</v>
      </c>
      <c r="C3469">
        <v>10405.200000000001</v>
      </c>
    </row>
    <row r="3470" spans="2:3">
      <c r="B3470" s="189">
        <v>37440</v>
      </c>
      <c r="C3470">
        <v>10327.02</v>
      </c>
    </row>
    <row r="3471" spans="2:3">
      <c r="B3471" s="189">
        <v>37439</v>
      </c>
      <c r="C3471">
        <v>10591.83</v>
      </c>
    </row>
    <row r="3472" spans="2:3">
      <c r="B3472" s="189">
        <v>37438</v>
      </c>
      <c r="C3472">
        <v>10618.2</v>
      </c>
    </row>
    <row r="3473" spans="2:3">
      <c r="B3473" s="189">
        <v>37435</v>
      </c>
      <c r="C3473">
        <v>10657.73</v>
      </c>
    </row>
    <row r="3474" spans="2:3">
      <c r="B3474" s="189">
        <v>37434</v>
      </c>
      <c r="C3474">
        <v>10549.2</v>
      </c>
    </row>
    <row r="3475" spans="2:3">
      <c r="B3475" s="189">
        <v>37433</v>
      </c>
      <c r="C3475">
        <v>10464.51</v>
      </c>
    </row>
    <row r="3476" spans="2:3">
      <c r="B3476" s="189">
        <v>37432</v>
      </c>
      <c r="C3476">
        <v>10668.3</v>
      </c>
    </row>
    <row r="3477" spans="2:3">
      <c r="B3477" s="189">
        <v>37431</v>
      </c>
      <c r="C3477">
        <v>10801.33</v>
      </c>
    </row>
    <row r="3478" spans="2:3">
      <c r="B3478" s="189">
        <v>37428</v>
      </c>
      <c r="C3478">
        <v>10815.08</v>
      </c>
    </row>
    <row r="3479" spans="2:3">
      <c r="B3479" s="189">
        <v>37427</v>
      </c>
      <c r="C3479">
        <v>10853.81</v>
      </c>
    </row>
    <row r="3480" spans="2:3">
      <c r="B3480" s="189">
        <v>37426</v>
      </c>
      <c r="C3480">
        <v>10833.61</v>
      </c>
    </row>
    <row r="3481" spans="2:3">
      <c r="B3481" s="189">
        <v>37425</v>
      </c>
      <c r="C3481">
        <v>10871.77</v>
      </c>
    </row>
    <row r="3482" spans="2:3">
      <c r="B3482" s="189">
        <v>37421</v>
      </c>
      <c r="C3482">
        <v>10897.51</v>
      </c>
    </row>
    <row r="3483" spans="2:3">
      <c r="B3483" s="189">
        <v>37420</v>
      </c>
      <c r="C3483">
        <v>10920.76</v>
      </c>
    </row>
    <row r="3484" spans="2:3">
      <c r="B3484" s="189">
        <v>37419</v>
      </c>
      <c r="C3484">
        <v>11106.33</v>
      </c>
    </row>
    <row r="3485" spans="2:3">
      <c r="B3485" s="189">
        <v>37418</v>
      </c>
      <c r="C3485">
        <v>10967.16</v>
      </c>
    </row>
    <row r="3486" spans="2:3">
      <c r="B3486" s="189">
        <v>37417</v>
      </c>
      <c r="C3486">
        <v>11009.73</v>
      </c>
    </row>
    <row r="3487" spans="2:3">
      <c r="B3487" s="189">
        <v>37414</v>
      </c>
      <c r="C3487">
        <v>11045.79</v>
      </c>
    </row>
    <row r="3488" spans="2:3">
      <c r="B3488" s="189">
        <v>37413</v>
      </c>
      <c r="C3488">
        <v>11120.64</v>
      </c>
    </row>
    <row r="3489" spans="2:3">
      <c r="B3489" s="189">
        <v>37412</v>
      </c>
      <c r="C3489">
        <v>11264.87</v>
      </c>
    </row>
    <row r="3490" spans="2:3">
      <c r="B3490" s="189">
        <v>37411</v>
      </c>
      <c r="C3490">
        <v>11363.33</v>
      </c>
    </row>
    <row r="3491" spans="2:3">
      <c r="B3491" s="189">
        <v>37410</v>
      </c>
      <c r="C3491">
        <v>11380.84</v>
      </c>
    </row>
    <row r="3492" spans="2:3">
      <c r="B3492" s="189">
        <v>37407</v>
      </c>
      <c r="C3492">
        <v>11185.02</v>
      </c>
    </row>
    <row r="3493" spans="2:3">
      <c r="B3493" s="189">
        <v>37406</v>
      </c>
      <c r="C3493">
        <v>11152.29</v>
      </c>
    </row>
    <row r="3494" spans="2:3">
      <c r="B3494" s="189">
        <v>37405</v>
      </c>
      <c r="C3494">
        <v>11320.4</v>
      </c>
    </row>
    <row r="3495" spans="2:3">
      <c r="B3495" s="189">
        <v>37404</v>
      </c>
      <c r="C3495">
        <v>11392.9</v>
      </c>
    </row>
    <row r="3496" spans="2:3">
      <c r="B3496" s="189">
        <v>37403</v>
      </c>
      <c r="C3496">
        <v>11439.03</v>
      </c>
    </row>
    <row r="3497" spans="2:3">
      <c r="B3497" s="189">
        <v>37400</v>
      </c>
      <c r="C3497">
        <v>11591.46</v>
      </c>
    </row>
    <row r="3498" spans="2:3">
      <c r="B3498" s="189">
        <v>37399</v>
      </c>
      <c r="C3498">
        <v>11529.32</v>
      </c>
    </row>
    <row r="3499" spans="2:3">
      <c r="B3499" s="189">
        <v>37398</v>
      </c>
      <c r="C3499">
        <v>11669.67</v>
      </c>
    </row>
    <row r="3500" spans="2:3">
      <c r="B3500" s="189">
        <v>37397</v>
      </c>
      <c r="C3500">
        <v>11545.54</v>
      </c>
    </row>
    <row r="3501" spans="2:3">
      <c r="B3501" s="189">
        <v>37396</v>
      </c>
      <c r="C3501">
        <v>11464.87</v>
      </c>
    </row>
    <row r="3502" spans="2:3">
      <c r="B3502" s="189">
        <v>37393</v>
      </c>
      <c r="C3502">
        <v>11417.06</v>
      </c>
    </row>
    <row r="3503" spans="2:3">
      <c r="B3503" s="189">
        <v>37392</v>
      </c>
      <c r="C3503">
        <v>11509.26</v>
      </c>
    </row>
    <row r="3504" spans="2:3">
      <c r="B3504" s="189">
        <v>37391</v>
      </c>
      <c r="C3504">
        <v>11510.65</v>
      </c>
    </row>
    <row r="3505" spans="2:3">
      <c r="B3505" s="189">
        <v>37390</v>
      </c>
      <c r="C3505">
        <v>11552.17</v>
      </c>
    </row>
    <row r="3506" spans="2:3">
      <c r="B3506" s="189">
        <v>37389</v>
      </c>
      <c r="C3506">
        <v>11459.32</v>
      </c>
    </row>
    <row r="3507" spans="2:3">
      <c r="B3507" s="189">
        <v>37386</v>
      </c>
      <c r="C3507">
        <v>11503.22</v>
      </c>
    </row>
    <row r="3508" spans="2:3">
      <c r="B3508" s="189">
        <v>37385</v>
      </c>
      <c r="C3508">
        <v>11465.9</v>
      </c>
    </row>
    <row r="3509" spans="2:3">
      <c r="B3509" s="189">
        <v>37384</v>
      </c>
      <c r="C3509">
        <v>11478.43</v>
      </c>
    </row>
    <row r="3510" spans="2:3">
      <c r="B3510" s="189">
        <v>37383</v>
      </c>
      <c r="C3510">
        <v>11292.42</v>
      </c>
    </row>
    <row r="3511" spans="2:3">
      <c r="B3511" s="189">
        <v>37382</v>
      </c>
      <c r="C3511">
        <v>11295.6</v>
      </c>
    </row>
    <row r="3512" spans="2:3">
      <c r="B3512" s="189">
        <v>37379</v>
      </c>
      <c r="C3512">
        <v>11111.76</v>
      </c>
    </row>
    <row r="3513" spans="2:3">
      <c r="B3513" s="189">
        <v>37378</v>
      </c>
      <c r="C3513">
        <v>11009.72</v>
      </c>
    </row>
    <row r="3514" spans="2:3">
      <c r="B3514" s="189">
        <v>37376</v>
      </c>
      <c r="C3514">
        <v>10992.12</v>
      </c>
    </row>
    <row r="3515" spans="2:3">
      <c r="B3515" s="189">
        <v>37375</v>
      </c>
      <c r="C3515">
        <v>11039.44</v>
      </c>
    </row>
    <row r="3516" spans="2:3">
      <c r="B3516" s="189">
        <v>37372</v>
      </c>
      <c r="C3516">
        <v>11139.59</v>
      </c>
    </row>
    <row r="3517" spans="2:3">
      <c r="B3517" s="189">
        <v>37371</v>
      </c>
      <c r="C3517">
        <v>11293.68</v>
      </c>
    </row>
    <row r="3518" spans="2:3">
      <c r="B3518" s="189">
        <v>37370</v>
      </c>
      <c r="C3518">
        <v>11255.91</v>
      </c>
    </row>
    <row r="3519" spans="2:3">
      <c r="B3519" s="189">
        <v>37369</v>
      </c>
      <c r="C3519">
        <v>11325.34</v>
      </c>
    </row>
    <row r="3520" spans="2:3">
      <c r="B3520" s="189">
        <v>37368</v>
      </c>
      <c r="C3520">
        <v>11469.96</v>
      </c>
    </row>
    <row r="3521" spans="2:3">
      <c r="B3521" s="189">
        <v>37365</v>
      </c>
      <c r="C3521">
        <v>11474.25</v>
      </c>
    </row>
    <row r="3522" spans="2:3">
      <c r="B3522" s="189">
        <v>37364</v>
      </c>
      <c r="C3522">
        <v>11438.58</v>
      </c>
    </row>
    <row r="3523" spans="2:3">
      <c r="B3523" s="189">
        <v>37363</v>
      </c>
      <c r="C3523">
        <v>11470.8</v>
      </c>
    </row>
    <row r="3524" spans="2:3">
      <c r="B3524" s="189">
        <v>37362</v>
      </c>
      <c r="C3524">
        <v>11332.47</v>
      </c>
    </row>
    <row r="3525" spans="2:3">
      <c r="B3525" s="189">
        <v>37361</v>
      </c>
      <c r="C3525">
        <v>11195.8</v>
      </c>
    </row>
    <row r="3526" spans="2:3">
      <c r="B3526" s="189">
        <v>37358</v>
      </c>
      <c r="C3526">
        <v>11184.82</v>
      </c>
    </row>
    <row r="3527" spans="2:3">
      <c r="B3527" s="189">
        <v>37357</v>
      </c>
      <c r="C3527">
        <v>11303.38</v>
      </c>
    </row>
    <row r="3528" spans="2:3">
      <c r="B3528" s="189">
        <v>37356</v>
      </c>
      <c r="C3528">
        <v>11333.46</v>
      </c>
    </row>
    <row r="3529" spans="2:3">
      <c r="B3529" s="189">
        <v>37355</v>
      </c>
      <c r="C3529">
        <v>11270.91</v>
      </c>
    </row>
    <row r="3530" spans="2:3">
      <c r="B3530" s="189">
        <v>37354</v>
      </c>
      <c r="C3530">
        <v>11224.8</v>
      </c>
    </row>
    <row r="3531" spans="2:3">
      <c r="B3531" s="189">
        <v>37351</v>
      </c>
      <c r="C3531">
        <v>11332.75</v>
      </c>
    </row>
    <row r="3532" spans="2:3">
      <c r="B3532" s="189">
        <v>37350</v>
      </c>
      <c r="C3532">
        <v>11321.93</v>
      </c>
    </row>
    <row r="3533" spans="2:3">
      <c r="B3533" s="189">
        <v>37349</v>
      </c>
      <c r="C3533">
        <v>11220.13</v>
      </c>
    </row>
    <row r="3534" spans="2:3">
      <c r="B3534" s="189">
        <v>37348</v>
      </c>
      <c r="C3534">
        <v>11263.76</v>
      </c>
    </row>
    <row r="3535" spans="2:3">
      <c r="B3535" s="189">
        <v>37343</v>
      </c>
      <c r="C3535">
        <v>10999.48</v>
      </c>
    </row>
    <row r="3536" spans="2:3">
      <c r="B3536" s="189">
        <v>37342</v>
      </c>
      <c r="C3536">
        <v>11040.53</v>
      </c>
    </row>
    <row r="3537" spans="2:3">
      <c r="B3537" s="189">
        <v>37341</v>
      </c>
      <c r="C3537">
        <v>11114.46</v>
      </c>
    </row>
    <row r="3538" spans="2:3">
      <c r="B3538" s="189">
        <v>37340</v>
      </c>
      <c r="C3538">
        <v>11121</v>
      </c>
    </row>
    <row r="3539" spans="2:3">
      <c r="B3539" s="189">
        <v>37337</v>
      </c>
      <c r="C3539">
        <v>11104.43</v>
      </c>
    </row>
    <row r="3540" spans="2:3">
      <c r="B3540" s="189">
        <v>37335</v>
      </c>
      <c r="C3540">
        <v>11167.02</v>
      </c>
    </row>
    <row r="3541" spans="2:3">
      <c r="B3541" s="189">
        <v>37334</v>
      </c>
      <c r="C3541">
        <v>11291.99</v>
      </c>
    </row>
    <row r="3542" spans="2:3">
      <c r="B3542" s="189">
        <v>37333</v>
      </c>
      <c r="C3542">
        <v>11311.35</v>
      </c>
    </row>
    <row r="3543" spans="2:3">
      <c r="B3543" s="189">
        <v>37330</v>
      </c>
      <c r="C3543">
        <v>11145.48</v>
      </c>
    </row>
    <row r="3544" spans="2:3">
      <c r="B3544" s="189">
        <v>37329</v>
      </c>
      <c r="C3544">
        <v>11084.01</v>
      </c>
    </row>
    <row r="3545" spans="2:3">
      <c r="B3545" s="189">
        <v>37328</v>
      </c>
      <c r="C3545">
        <v>11088.44</v>
      </c>
    </row>
    <row r="3546" spans="2:3">
      <c r="B3546" s="189">
        <v>37327</v>
      </c>
      <c r="C3546">
        <v>11031.32</v>
      </c>
    </row>
    <row r="3547" spans="2:3">
      <c r="B3547" s="189">
        <v>37326</v>
      </c>
      <c r="C3547">
        <v>11113.65</v>
      </c>
    </row>
    <row r="3548" spans="2:3">
      <c r="B3548" s="189">
        <v>37323</v>
      </c>
      <c r="C3548">
        <v>11227.65</v>
      </c>
    </row>
    <row r="3549" spans="2:3">
      <c r="B3549" s="189">
        <v>37322</v>
      </c>
      <c r="C3549">
        <v>11069.03</v>
      </c>
    </row>
    <row r="3550" spans="2:3">
      <c r="B3550" s="189">
        <v>37321</v>
      </c>
      <c r="C3550">
        <v>10902.33</v>
      </c>
    </row>
    <row r="3551" spans="2:3">
      <c r="B3551" s="189">
        <v>37320</v>
      </c>
      <c r="C3551">
        <v>10933.22</v>
      </c>
    </row>
    <row r="3552" spans="2:3">
      <c r="B3552" s="189">
        <v>37319</v>
      </c>
      <c r="C3552">
        <v>10854.74</v>
      </c>
    </row>
    <row r="3553" spans="2:3">
      <c r="B3553" s="189">
        <v>37316</v>
      </c>
      <c r="C3553">
        <v>10786.9</v>
      </c>
    </row>
    <row r="3554" spans="2:3">
      <c r="B3554" s="189">
        <v>37315</v>
      </c>
      <c r="C3554">
        <v>10859.72</v>
      </c>
    </row>
    <row r="3555" spans="2:3">
      <c r="B3555" s="189">
        <v>37314</v>
      </c>
      <c r="C3555">
        <v>11005.27</v>
      </c>
    </row>
    <row r="3556" spans="2:3">
      <c r="B3556" s="189">
        <v>37313</v>
      </c>
      <c r="C3556">
        <v>10891.03</v>
      </c>
    </row>
    <row r="3557" spans="2:3">
      <c r="B3557" s="189">
        <v>37312</v>
      </c>
      <c r="C3557">
        <v>10788.5</v>
      </c>
    </row>
    <row r="3558" spans="2:3">
      <c r="B3558" s="189">
        <v>37309</v>
      </c>
      <c r="C3558">
        <v>10635.37</v>
      </c>
    </row>
    <row r="3559" spans="2:3">
      <c r="B3559" s="189">
        <v>37308</v>
      </c>
      <c r="C3559">
        <v>10560.58</v>
      </c>
    </row>
    <row r="3560" spans="2:3">
      <c r="B3560" s="189">
        <v>37307</v>
      </c>
      <c r="C3560">
        <v>10696.97</v>
      </c>
    </row>
    <row r="3561" spans="2:3">
      <c r="B3561" s="189">
        <v>37306</v>
      </c>
      <c r="C3561">
        <v>10884.79</v>
      </c>
    </row>
    <row r="3562" spans="2:3">
      <c r="B3562" s="189">
        <v>37305</v>
      </c>
      <c r="C3562">
        <v>11025.26</v>
      </c>
    </row>
    <row r="3563" spans="2:3">
      <c r="B3563" s="189">
        <v>37302</v>
      </c>
      <c r="C3563">
        <v>11078.37</v>
      </c>
    </row>
    <row r="3564" spans="2:3">
      <c r="B3564" s="189">
        <v>37301</v>
      </c>
      <c r="C3564">
        <v>11186.98</v>
      </c>
    </row>
    <row r="3565" spans="2:3">
      <c r="B3565" s="189">
        <v>37300</v>
      </c>
      <c r="C3565">
        <v>10940.33</v>
      </c>
    </row>
    <row r="3566" spans="2:3">
      <c r="B3566" s="189">
        <v>37299</v>
      </c>
      <c r="C3566">
        <v>10831.71</v>
      </c>
    </row>
    <row r="3567" spans="2:3">
      <c r="B3567" s="189">
        <v>37298</v>
      </c>
      <c r="C3567">
        <v>10756.49</v>
      </c>
    </row>
    <row r="3568" spans="2:3">
      <c r="B3568" s="189">
        <v>37295</v>
      </c>
      <c r="C3568">
        <v>10676.61</v>
      </c>
    </row>
    <row r="3569" spans="2:3">
      <c r="B3569" s="189">
        <v>37294</v>
      </c>
      <c r="C3569">
        <v>10656.87</v>
      </c>
    </row>
    <row r="3570" spans="2:3">
      <c r="B3570" s="189">
        <v>37293</v>
      </c>
      <c r="C3570">
        <v>10731.39</v>
      </c>
    </row>
    <row r="3571" spans="2:3">
      <c r="B3571" s="189">
        <v>37292</v>
      </c>
      <c r="C3571">
        <v>10635.43</v>
      </c>
    </row>
    <row r="3572" spans="2:3">
      <c r="B3572" s="189">
        <v>37291</v>
      </c>
      <c r="C3572">
        <v>10617.45</v>
      </c>
    </row>
    <row r="3573" spans="2:3">
      <c r="B3573" s="189">
        <v>37288</v>
      </c>
      <c r="C3573">
        <v>10569.56</v>
      </c>
    </row>
    <row r="3574" spans="2:3">
      <c r="B3574" s="189">
        <v>37287</v>
      </c>
      <c r="C3574">
        <v>10318.92</v>
      </c>
    </row>
    <row r="3575" spans="2:3">
      <c r="B3575" s="189">
        <v>37286</v>
      </c>
      <c r="C3575">
        <v>10200.030000000001</v>
      </c>
    </row>
    <row r="3576" spans="2:3">
      <c r="B3576" s="189">
        <v>37285</v>
      </c>
      <c r="C3576">
        <v>10276.85</v>
      </c>
    </row>
    <row r="3577" spans="2:3">
      <c r="B3577" s="189">
        <v>37284</v>
      </c>
      <c r="C3577">
        <v>10354.209999999999</v>
      </c>
    </row>
    <row r="3578" spans="2:3">
      <c r="B3578" s="189">
        <v>37281</v>
      </c>
      <c r="C3578">
        <v>10262.92</v>
      </c>
    </row>
    <row r="3579" spans="2:3">
      <c r="B3579" s="189">
        <v>37280</v>
      </c>
      <c r="C3579">
        <v>10407.5</v>
      </c>
    </row>
    <row r="3580" spans="2:3">
      <c r="B3580" s="189">
        <v>37279</v>
      </c>
      <c r="C3580">
        <v>10338.07</v>
      </c>
    </row>
    <row r="3581" spans="2:3">
      <c r="B3581" s="189">
        <v>37278</v>
      </c>
      <c r="C3581">
        <v>10417.209999999999</v>
      </c>
    </row>
    <row r="3582" spans="2:3">
      <c r="B3582" s="189">
        <v>37277</v>
      </c>
      <c r="C3582">
        <v>10331.39</v>
      </c>
    </row>
    <row r="3583" spans="2:3">
      <c r="B3583" s="189">
        <v>37274</v>
      </c>
      <c r="C3583">
        <v>10342.379999999999</v>
      </c>
    </row>
    <row r="3584" spans="2:3">
      <c r="B3584" s="189">
        <v>37273</v>
      </c>
      <c r="C3584">
        <v>10445.06</v>
      </c>
    </row>
    <row r="3585" spans="2:3">
      <c r="B3585" s="189">
        <v>37272</v>
      </c>
      <c r="C3585">
        <v>10635.38</v>
      </c>
    </row>
    <row r="3586" spans="2:3">
      <c r="B3586" s="189">
        <v>37271</v>
      </c>
      <c r="C3586">
        <v>10766.6</v>
      </c>
    </row>
    <row r="3587" spans="2:3">
      <c r="B3587" s="189">
        <v>37270</v>
      </c>
      <c r="C3587">
        <v>10699.42</v>
      </c>
    </row>
    <row r="3588" spans="2:3">
      <c r="B3588" s="189">
        <v>37267</v>
      </c>
      <c r="C3588">
        <v>10911.71</v>
      </c>
    </row>
    <row r="3589" spans="2:3">
      <c r="B3589" s="189">
        <v>37266</v>
      </c>
      <c r="C3589">
        <v>10852.26</v>
      </c>
    </row>
    <row r="3590" spans="2:3">
      <c r="B3590" s="189">
        <v>37265</v>
      </c>
      <c r="C3590">
        <v>10712.27</v>
      </c>
    </row>
    <row r="3591" spans="2:3">
      <c r="B3591" s="189">
        <v>37264</v>
      </c>
      <c r="C3591">
        <v>10775.87</v>
      </c>
    </row>
    <row r="3592" spans="2:3">
      <c r="B3592" s="189">
        <v>37263</v>
      </c>
      <c r="C3592">
        <v>10795.17</v>
      </c>
    </row>
    <row r="3593" spans="2:3">
      <c r="B3593" s="189">
        <v>37260</v>
      </c>
      <c r="C3593">
        <v>10828.05</v>
      </c>
    </row>
    <row r="3594" spans="2:3">
      <c r="B3594" s="189">
        <v>37259</v>
      </c>
      <c r="C3594">
        <v>10783.27</v>
      </c>
    </row>
    <row r="3595" spans="2:3">
      <c r="B3595" s="189">
        <v>37258</v>
      </c>
      <c r="C3595">
        <v>10653.52</v>
      </c>
    </row>
    <row r="3596" spans="2:3">
      <c r="B3596" s="189">
        <v>37256</v>
      </c>
      <c r="C3596">
        <v>10441.68</v>
      </c>
    </row>
    <row r="3597" spans="2:3">
      <c r="B3597" s="189">
        <v>37253</v>
      </c>
      <c r="C3597">
        <v>10361.280000000001</v>
      </c>
    </row>
    <row r="3598" spans="2:3">
      <c r="B3598" s="189">
        <v>37252</v>
      </c>
      <c r="C3598">
        <v>10264.51</v>
      </c>
    </row>
    <row r="3599" spans="2:3">
      <c r="B3599" s="189">
        <v>37249</v>
      </c>
      <c r="C3599">
        <v>10333.799999999999</v>
      </c>
    </row>
    <row r="3600" spans="2:3">
      <c r="B3600" s="189">
        <v>37246</v>
      </c>
      <c r="C3600">
        <v>10412.969999999999</v>
      </c>
    </row>
    <row r="3601" spans="2:3">
      <c r="B3601" s="189">
        <v>37245</v>
      </c>
      <c r="C3601">
        <v>11007.93</v>
      </c>
    </row>
    <row r="3602" spans="2:3">
      <c r="B3602" s="189">
        <v>37244</v>
      </c>
      <c r="C3602">
        <v>10619.12</v>
      </c>
    </row>
    <row r="3603" spans="2:3">
      <c r="B3603" s="189">
        <v>37243</v>
      </c>
      <c r="C3603">
        <v>10536.29</v>
      </c>
    </row>
    <row r="3604" spans="2:3">
      <c r="B3604" s="189">
        <v>37239</v>
      </c>
      <c r="C3604">
        <v>10422.540000000001</v>
      </c>
    </row>
    <row r="3605" spans="2:3">
      <c r="B3605" s="189">
        <v>37238</v>
      </c>
      <c r="C3605">
        <v>9930.02</v>
      </c>
    </row>
    <row r="3606" spans="2:3">
      <c r="B3606" s="189">
        <v>37237</v>
      </c>
      <c r="C3606">
        <v>9786.08</v>
      </c>
    </row>
    <row r="3607" spans="2:3">
      <c r="B3607" s="189">
        <v>37236</v>
      </c>
      <c r="C3607">
        <v>9825.58</v>
      </c>
    </row>
    <row r="3608" spans="2:3">
      <c r="B3608" s="189">
        <v>37235</v>
      </c>
      <c r="C3608">
        <v>10030.17</v>
      </c>
    </row>
    <row r="3609" spans="2:3">
      <c r="B3609" s="189">
        <v>37232</v>
      </c>
      <c r="C3609">
        <v>9983.23</v>
      </c>
    </row>
    <row r="3610" spans="2:3">
      <c r="B3610" s="189">
        <v>37231</v>
      </c>
      <c r="C3610">
        <v>9999.26</v>
      </c>
    </row>
    <row r="3611" spans="2:3">
      <c r="B3611" s="189">
        <v>37230</v>
      </c>
      <c r="C3611">
        <v>9821.1299999999992</v>
      </c>
    </row>
    <row r="3612" spans="2:3">
      <c r="B3612" s="189">
        <v>37229</v>
      </c>
      <c r="C3612">
        <v>9627.1</v>
      </c>
    </row>
    <row r="3613" spans="2:3">
      <c r="B3613" s="189">
        <v>37228</v>
      </c>
      <c r="C3613">
        <v>9472.2900000000009</v>
      </c>
    </row>
    <row r="3614" spans="2:3">
      <c r="B3614" s="189">
        <v>37225</v>
      </c>
      <c r="C3614">
        <v>9404.06</v>
      </c>
    </row>
    <row r="3615" spans="2:3">
      <c r="B3615" s="189">
        <v>37224</v>
      </c>
      <c r="C3615">
        <v>9192.69</v>
      </c>
    </row>
    <row r="3616" spans="2:3">
      <c r="B3616" s="189">
        <v>37223</v>
      </c>
      <c r="C3616">
        <v>9218.2999999999993</v>
      </c>
    </row>
    <row r="3617" spans="2:3">
      <c r="B3617" s="189">
        <v>37222</v>
      </c>
      <c r="C3617">
        <v>9295.83</v>
      </c>
    </row>
    <row r="3618" spans="2:3">
      <c r="B3618" s="189">
        <v>37221</v>
      </c>
      <c r="C3618">
        <v>9322.57</v>
      </c>
    </row>
    <row r="3619" spans="2:3">
      <c r="B3619" s="189">
        <v>37218</v>
      </c>
      <c r="C3619">
        <v>9213.0499999999993</v>
      </c>
    </row>
    <row r="3620" spans="2:3">
      <c r="B3620" s="189">
        <v>37217</v>
      </c>
      <c r="C3620">
        <v>9228.66</v>
      </c>
    </row>
    <row r="3621" spans="2:3">
      <c r="B3621" s="189">
        <v>37216</v>
      </c>
      <c r="C3621">
        <v>9292.74</v>
      </c>
    </row>
    <row r="3622" spans="2:3">
      <c r="B3622" s="189">
        <v>37215</v>
      </c>
      <c r="C3622">
        <v>9249.41</v>
      </c>
    </row>
    <row r="3623" spans="2:3">
      <c r="B3623" s="189">
        <v>37214</v>
      </c>
      <c r="C3623">
        <v>9233.9</v>
      </c>
    </row>
    <row r="3624" spans="2:3">
      <c r="B3624" s="189">
        <v>37211</v>
      </c>
      <c r="C3624">
        <v>9060.89</v>
      </c>
    </row>
    <row r="3625" spans="2:3">
      <c r="B3625" s="189">
        <v>37210</v>
      </c>
      <c r="C3625">
        <v>9234.07</v>
      </c>
    </row>
    <row r="3626" spans="2:3">
      <c r="B3626" s="189">
        <v>37209</v>
      </c>
      <c r="C3626">
        <v>9147.77</v>
      </c>
    </row>
    <row r="3627" spans="2:3">
      <c r="B3627" s="189">
        <v>37208</v>
      </c>
      <c r="C3627">
        <v>8883.0499999999993</v>
      </c>
    </row>
    <row r="3628" spans="2:3">
      <c r="B3628" s="189">
        <v>37207</v>
      </c>
      <c r="C3628">
        <v>8755.19</v>
      </c>
    </row>
    <row r="3629" spans="2:3">
      <c r="B3629" s="189">
        <v>37204</v>
      </c>
      <c r="C3629">
        <v>8655.33</v>
      </c>
    </row>
    <row r="3630" spans="2:3">
      <c r="B3630" s="189">
        <v>37203</v>
      </c>
      <c r="C3630">
        <v>8629.74</v>
      </c>
    </row>
    <row r="3631" spans="2:3">
      <c r="B3631" s="189">
        <v>37202</v>
      </c>
      <c r="C3631">
        <v>8631.32</v>
      </c>
    </row>
    <row r="3632" spans="2:3">
      <c r="B3632" s="189">
        <v>37201</v>
      </c>
      <c r="C3632">
        <v>8574.48</v>
      </c>
    </row>
    <row r="3633" spans="2:3">
      <c r="B3633" s="189">
        <v>37200</v>
      </c>
      <c r="C3633">
        <v>8675.34</v>
      </c>
    </row>
    <row r="3634" spans="2:3">
      <c r="B3634" s="189">
        <v>37197</v>
      </c>
      <c r="C3634">
        <v>8648.75</v>
      </c>
    </row>
    <row r="3635" spans="2:3">
      <c r="B3635" s="189">
        <v>37196</v>
      </c>
      <c r="C3635">
        <v>8576.86</v>
      </c>
    </row>
    <row r="3636" spans="2:3">
      <c r="B3636" s="189">
        <v>37195</v>
      </c>
      <c r="C3636">
        <v>8473.51</v>
      </c>
    </row>
    <row r="3637" spans="2:3">
      <c r="B3637" s="189">
        <v>37194</v>
      </c>
      <c r="C3637">
        <v>8428.33</v>
      </c>
    </row>
    <row r="3638" spans="2:3">
      <c r="B3638" s="189">
        <v>37193</v>
      </c>
      <c r="C3638">
        <v>8544.7800000000007</v>
      </c>
    </row>
    <row r="3639" spans="2:3">
      <c r="B3639" s="189">
        <v>37190</v>
      </c>
      <c r="C3639">
        <v>8498.1299999999992</v>
      </c>
    </row>
    <row r="3640" spans="2:3">
      <c r="B3640" s="189">
        <v>37189</v>
      </c>
      <c r="C3640">
        <v>8518.6</v>
      </c>
    </row>
    <row r="3641" spans="2:3">
      <c r="B3641" s="189">
        <v>37188</v>
      </c>
      <c r="C3641">
        <v>8507.2900000000009</v>
      </c>
    </row>
    <row r="3642" spans="2:3">
      <c r="B3642" s="189">
        <v>37187</v>
      </c>
      <c r="C3642">
        <v>8514.17</v>
      </c>
    </row>
    <row r="3643" spans="2:3">
      <c r="B3643" s="189">
        <v>37186</v>
      </c>
      <c r="C3643">
        <v>8493.69</v>
      </c>
    </row>
    <row r="3644" spans="2:3">
      <c r="B3644" s="189">
        <v>37183</v>
      </c>
      <c r="C3644">
        <v>8418.5400000000009</v>
      </c>
    </row>
    <row r="3645" spans="2:3">
      <c r="B3645" s="189">
        <v>37182</v>
      </c>
      <c r="C3645">
        <v>8439.4500000000007</v>
      </c>
    </row>
    <row r="3646" spans="2:3">
      <c r="B3646" s="189">
        <v>37181</v>
      </c>
      <c r="C3646">
        <v>8582.82</v>
      </c>
    </row>
    <row r="3647" spans="2:3">
      <c r="B3647" s="189">
        <v>37180</v>
      </c>
      <c r="C3647">
        <v>8601.49</v>
      </c>
    </row>
    <row r="3648" spans="2:3">
      <c r="B3648" s="189">
        <v>37179</v>
      </c>
      <c r="C3648">
        <v>8360.14</v>
      </c>
    </row>
    <row r="3649" spans="2:3">
      <c r="B3649" s="189">
        <v>37176</v>
      </c>
      <c r="C3649">
        <v>8465.2800000000007</v>
      </c>
    </row>
    <row r="3650" spans="2:3">
      <c r="B3650" s="189">
        <v>37175</v>
      </c>
      <c r="C3650">
        <v>8456.17</v>
      </c>
    </row>
    <row r="3651" spans="2:3">
      <c r="B3651" s="189">
        <v>37174</v>
      </c>
      <c r="C3651">
        <v>8315.85</v>
      </c>
    </row>
    <row r="3652" spans="2:3">
      <c r="B3652" s="189">
        <v>37173</v>
      </c>
      <c r="C3652">
        <v>8392.67</v>
      </c>
    </row>
    <row r="3653" spans="2:3">
      <c r="B3653" s="189">
        <v>37172</v>
      </c>
      <c r="C3653">
        <v>8401.84</v>
      </c>
    </row>
    <row r="3654" spans="2:3">
      <c r="B3654" s="189">
        <v>37169</v>
      </c>
      <c r="C3654">
        <v>8358.31</v>
      </c>
    </row>
    <row r="3655" spans="2:3">
      <c r="B3655" s="189">
        <v>37168</v>
      </c>
      <c r="C3655">
        <v>8459.7199999999993</v>
      </c>
    </row>
    <row r="3656" spans="2:3">
      <c r="B3656" s="189">
        <v>37167</v>
      </c>
      <c r="C3656">
        <v>8129.22</v>
      </c>
    </row>
    <row r="3657" spans="2:3">
      <c r="B3657" s="189">
        <v>37166</v>
      </c>
      <c r="C3657">
        <v>8071.52</v>
      </c>
    </row>
    <row r="3658" spans="2:3">
      <c r="B3658" s="189">
        <v>37165</v>
      </c>
      <c r="C3658">
        <v>7994.23</v>
      </c>
    </row>
    <row r="3659" spans="2:3">
      <c r="B3659" s="189">
        <v>37162</v>
      </c>
      <c r="C3659">
        <v>7997.87</v>
      </c>
    </row>
    <row r="3660" spans="2:3">
      <c r="B3660" s="189">
        <v>37161</v>
      </c>
      <c r="C3660">
        <v>7838.19</v>
      </c>
    </row>
    <row r="3661" spans="2:3">
      <c r="B3661" s="189">
        <v>37160</v>
      </c>
      <c r="C3661">
        <v>7793.16</v>
      </c>
    </row>
    <row r="3662" spans="2:3">
      <c r="B3662" s="189">
        <v>37159</v>
      </c>
      <c r="C3662">
        <v>7626.16</v>
      </c>
    </row>
    <row r="3663" spans="2:3">
      <c r="B3663" s="189">
        <v>37155</v>
      </c>
      <c r="C3663">
        <v>7189.99</v>
      </c>
    </row>
    <row r="3664" spans="2:3">
      <c r="B3664" s="189">
        <v>37154</v>
      </c>
      <c r="C3664">
        <v>7376.02</v>
      </c>
    </row>
    <row r="3665" spans="2:3">
      <c r="B3665" s="189">
        <v>37153</v>
      </c>
      <c r="C3665">
        <v>7701.71</v>
      </c>
    </row>
    <row r="3666" spans="2:3">
      <c r="B3666" s="189">
        <v>37152</v>
      </c>
      <c r="C3666">
        <v>7712.32</v>
      </c>
    </row>
    <row r="3667" spans="2:3">
      <c r="B3667" s="189">
        <v>37151</v>
      </c>
      <c r="C3667">
        <v>7828.07</v>
      </c>
    </row>
    <row r="3668" spans="2:3">
      <c r="B3668" s="189">
        <v>37148</v>
      </c>
      <c r="C3668">
        <v>7972.21</v>
      </c>
    </row>
    <row r="3669" spans="2:3">
      <c r="B3669" s="189">
        <v>37147</v>
      </c>
      <c r="C3669">
        <v>8130.91</v>
      </c>
    </row>
    <row r="3670" spans="2:3">
      <c r="B3670" s="189">
        <v>37146</v>
      </c>
      <c r="C3670">
        <v>7963.38</v>
      </c>
    </row>
    <row r="3671" spans="2:3">
      <c r="B3671" s="189">
        <v>37145</v>
      </c>
      <c r="C3671">
        <v>8324.8799999999992</v>
      </c>
    </row>
    <row r="3672" spans="2:3">
      <c r="B3672" s="189">
        <v>37144</v>
      </c>
      <c r="C3672">
        <v>8527.66</v>
      </c>
    </row>
    <row r="3673" spans="2:3">
      <c r="B3673" s="189">
        <v>37141</v>
      </c>
      <c r="C3673">
        <v>8621.07</v>
      </c>
    </row>
    <row r="3674" spans="2:3">
      <c r="B3674" s="189">
        <v>37140</v>
      </c>
      <c r="C3674">
        <v>8751.31</v>
      </c>
    </row>
    <row r="3675" spans="2:3">
      <c r="B3675" s="189">
        <v>37139</v>
      </c>
      <c r="C3675">
        <v>8827.65</v>
      </c>
    </row>
    <row r="3676" spans="2:3">
      <c r="B3676" s="189">
        <v>37138</v>
      </c>
      <c r="C3676">
        <v>8777.26</v>
      </c>
    </row>
    <row r="3677" spans="2:3">
      <c r="B3677" s="189">
        <v>37137</v>
      </c>
      <c r="C3677">
        <v>8782.51</v>
      </c>
    </row>
    <row r="3678" spans="2:3">
      <c r="B3678" s="189">
        <v>37134</v>
      </c>
      <c r="C3678">
        <v>8886.7199999999993</v>
      </c>
    </row>
    <row r="3679" spans="2:3">
      <c r="B3679" s="189">
        <v>37133</v>
      </c>
      <c r="C3679">
        <v>8872.25</v>
      </c>
    </row>
    <row r="3680" spans="2:3">
      <c r="B3680" s="189">
        <v>37132</v>
      </c>
      <c r="C3680">
        <v>8926.2999999999993</v>
      </c>
    </row>
    <row r="3681" spans="2:3">
      <c r="B3681" s="189">
        <v>37131</v>
      </c>
      <c r="C3681">
        <v>8985.0400000000009</v>
      </c>
    </row>
    <row r="3682" spans="2:3">
      <c r="B3682" s="189">
        <v>37130</v>
      </c>
      <c r="C3682">
        <v>9003.86</v>
      </c>
    </row>
    <row r="3683" spans="2:3">
      <c r="B3683" s="189">
        <v>37127</v>
      </c>
      <c r="C3683">
        <v>8837.2199999999993</v>
      </c>
    </row>
    <row r="3684" spans="2:3">
      <c r="B3684" s="189">
        <v>37126</v>
      </c>
      <c r="C3684">
        <v>8732.1</v>
      </c>
    </row>
    <row r="3685" spans="2:3">
      <c r="B3685" s="189">
        <v>37125</v>
      </c>
      <c r="C3685">
        <v>8689.74</v>
      </c>
    </row>
    <row r="3686" spans="2:3">
      <c r="B3686" s="189">
        <v>37124</v>
      </c>
      <c r="C3686">
        <v>8529.43</v>
      </c>
    </row>
    <row r="3687" spans="2:3">
      <c r="B3687" s="189">
        <v>37123</v>
      </c>
      <c r="C3687">
        <v>8517.3700000000008</v>
      </c>
    </row>
    <row r="3688" spans="2:3">
      <c r="B3688" s="189">
        <v>37120</v>
      </c>
      <c r="C3688">
        <v>8556.64</v>
      </c>
    </row>
    <row r="3689" spans="2:3">
      <c r="B3689" s="189">
        <v>37119</v>
      </c>
      <c r="C3689">
        <v>8557.6200000000008</v>
      </c>
    </row>
    <row r="3690" spans="2:3">
      <c r="B3690" s="189">
        <v>37118</v>
      </c>
      <c r="C3690">
        <v>8560.6299999999992</v>
      </c>
    </row>
    <row r="3691" spans="2:3">
      <c r="B3691" s="189">
        <v>37117</v>
      </c>
      <c r="C3691">
        <v>8533.74</v>
      </c>
    </row>
    <row r="3692" spans="2:3">
      <c r="B3692" s="189">
        <v>37116</v>
      </c>
      <c r="C3692">
        <v>8474.06</v>
      </c>
    </row>
    <row r="3693" spans="2:3">
      <c r="B3693" s="189">
        <v>37113</v>
      </c>
      <c r="C3693">
        <v>8404.64</v>
      </c>
    </row>
    <row r="3694" spans="2:3">
      <c r="B3694" s="189">
        <v>37111</v>
      </c>
      <c r="C3694">
        <v>8415.1299999999992</v>
      </c>
    </row>
    <row r="3695" spans="2:3">
      <c r="B3695" s="189">
        <v>37110</v>
      </c>
      <c r="C3695">
        <v>8524.06</v>
      </c>
    </row>
    <row r="3696" spans="2:3">
      <c r="B3696" s="189">
        <v>37109</v>
      </c>
      <c r="C3696">
        <v>8668.56</v>
      </c>
    </row>
    <row r="3697" spans="2:3">
      <c r="B3697" s="189">
        <v>37106</v>
      </c>
      <c r="C3697">
        <v>8723.49</v>
      </c>
    </row>
    <row r="3698" spans="2:3">
      <c r="B3698" s="189">
        <v>37105</v>
      </c>
      <c r="C3698">
        <v>8781.82</v>
      </c>
    </row>
    <row r="3699" spans="2:3">
      <c r="B3699" s="189">
        <v>37104</v>
      </c>
      <c r="C3699">
        <v>8616.39</v>
      </c>
    </row>
    <row r="3700" spans="2:3">
      <c r="B3700" s="189">
        <v>37103</v>
      </c>
      <c r="C3700">
        <v>8456.01</v>
      </c>
    </row>
    <row r="3701" spans="2:3">
      <c r="B3701" s="189">
        <v>37102</v>
      </c>
      <c r="C3701">
        <v>8445.2099999999991</v>
      </c>
    </row>
    <row r="3702" spans="2:3">
      <c r="B3702" s="189">
        <v>37099</v>
      </c>
      <c r="C3702">
        <v>8366.7900000000009</v>
      </c>
    </row>
    <row r="3703" spans="2:3">
      <c r="B3703" s="189">
        <v>37098</v>
      </c>
      <c r="C3703">
        <v>8318.08</v>
      </c>
    </row>
    <row r="3704" spans="2:3">
      <c r="B3704" s="189">
        <v>37097</v>
      </c>
      <c r="C3704">
        <v>8369.52</v>
      </c>
    </row>
    <row r="3705" spans="2:3">
      <c r="B3705" s="189">
        <v>37096</v>
      </c>
      <c r="C3705">
        <v>8466.39</v>
      </c>
    </row>
    <row r="3706" spans="2:3">
      <c r="B3706" s="189">
        <v>37095</v>
      </c>
      <c r="C3706">
        <v>8584.41</v>
      </c>
    </row>
    <row r="3707" spans="2:3">
      <c r="B3707" s="189">
        <v>37092</v>
      </c>
      <c r="C3707">
        <v>8600.99</v>
      </c>
    </row>
    <row r="3708" spans="2:3">
      <c r="B3708" s="189">
        <v>37091</v>
      </c>
      <c r="C3708">
        <v>8691.2099999999991</v>
      </c>
    </row>
    <row r="3709" spans="2:3">
      <c r="B3709" s="189">
        <v>37090</v>
      </c>
      <c r="C3709">
        <v>8592.4500000000007</v>
      </c>
    </row>
    <row r="3710" spans="2:3">
      <c r="B3710" s="189">
        <v>37089</v>
      </c>
      <c r="C3710">
        <v>8692.92</v>
      </c>
    </row>
    <row r="3711" spans="2:3">
      <c r="B3711" s="189">
        <v>37088</v>
      </c>
      <c r="C3711">
        <v>8856.9500000000007</v>
      </c>
    </row>
    <row r="3712" spans="2:3">
      <c r="B3712" s="189">
        <v>37085</v>
      </c>
      <c r="C3712">
        <v>8864.6200000000008</v>
      </c>
    </row>
    <row r="3713" spans="2:3">
      <c r="B3713" s="189">
        <v>37084</v>
      </c>
      <c r="C3713">
        <v>8814.81</v>
      </c>
    </row>
    <row r="3714" spans="2:3">
      <c r="B3714" s="189">
        <v>37083</v>
      </c>
      <c r="C3714">
        <v>8739.15</v>
      </c>
    </row>
    <row r="3715" spans="2:3">
      <c r="B3715" s="189">
        <v>37082</v>
      </c>
      <c r="C3715">
        <v>8760.6299999999992</v>
      </c>
    </row>
    <row r="3716" spans="2:3">
      <c r="B3716" s="189">
        <v>37081</v>
      </c>
      <c r="C3716">
        <v>8667.56</v>
      </c>
    </row>
    <row r="3717" spans="2:3">
      <c r="B3717" s="189">
        <v>37078</v>
      </c>
      <c r="C3717">
        <v>8693.7900000000009</v>
      </c>
    </row>
    <row r="3718" spans="2:3">
      <c r="B3718" s="189">
        <v>37077</v>
      </c>
      <c r="C3718">
        <v>8750.33</v>
      </c>
    </row>
    <row r="3719" spans="2:3">
      <c r="B3719" s="189">
        <v>37076</v>
      </c>
      <c r="C3719">
        <v>8855.74</v>
      </c>
    </row>
    <row r="3720" spans="2:3">
      <c r="B3720" s="189">
        <v>37075</v>
      </c>
      <c r="C3720">
        <v>9016.89</v>
      </c>
    </row>
    <row r="3721" spans="2:3">
      <c r="B3721" s="189">
        <v>37074</v>
      </c>
      <c r="C3721">
        <v>9126.33</v>
      </c>
    </row>
    <row r="3722" spans="2:3">
      <c r="B3722" s="189">
        <v>37071</v>
      </c>
      <c r="C3722">
        <v>9089.8799999999992</v>
      </c>
    </row>
    <row r="3723" spans="2:3">
      <c r="B3723" s="189">
        <v>37070</v>
      </c>
      <c r="C3723">
        <v>9084.84</v>
      </c>
    </row>
    <row r="3724" spans="2:3">
      <c r="B3724" s="189">
        <v>37069</v>
      </c>
      <c r="C3724">
        <v>9093.15</v>
      </c>
    </row>
    <row r="3725" spans="2:3">
      <c r="B3725" s="189">
        <v>37068</v>
      </c>
      <c r="C3725">
        <v>9080.99</v>
      </c>
    </row>
    <row r="3726" spans="2:3">
      <c r="B3726" s="189">
        <v>37067</v>
      </c>
      <c r="C3726">
        <v>9185.59</v>
      </c>
    </row>
    <row r="3727" spans="2:3">
      <c r="B3727" s="189">
        <v>37064</v>
      </c>
      <c r="C3727">
        <v>9064.85</v>
      </c>
    </row>
    <row r="3728" spans="2:3">
      <c r="B3728" s="189">
        <v>37063</v>
      </c>
      <c r="C3728">
        <v>9097.2099999999991</v>
      </c>
    </row>
    <row r="3729" spans="2:3">
      <c r="B3729" s="189">
        <v>37062</v>
      </c>
      <c r="C3729">
        <v>9041.51</v>
      </c>
    </row>
    <row r="3730" spans="2:3">
      <c r="B3730" s="189">
        <v>37061</v>
      </c>
      <c r="C3730">
        <v>9137.7000000000007</v>
      </c>
    </row>
    <row r="3731" spans="2:3">
      <c r="B3731" s="189">
        <v>37060</v>
      </c>
      <c r="C3731">
        <v>9001.19</v>
      </c>
    </row>
    <row r="3732" spans="2:3">
      <c r="B3732" s="189">
        <v>37057</v>
      </c>
      <c r="C3732">
        <v>9020.65</v>
      </c>
    </row>
    <row r="3733" spans="2:3">
      <c r="B3733" s="189">
        <v>37056</v>
      </c>
      <c r="C3733">
        <v>9122.1200000000008</v>
      </c>
    </row>
    <row r="3734" spans="2:3">
      <c r="B3734" s="189">
        <v>37055</v>
      </c>
      <c r="C3734">
        <v>9187.15</v>
      </c>
    </row>
    <row r="3735" spans="2:3">
      <c r="B3735" s="189">
        <v>37054</v>
      </c>
      <c r="C3735">
        <v>9154.6200000000008</v>
      </c>
    </row>
    <row r="3736" spans="2:3">
      <c r="B3736" s="189">
        <v>37053</v>
      </c>
      <c r="C3736">
        <v>9229.51</v>
      </c>
    </row>
    <row r="3737" spans="2:3">
      <c r="B3737" s="189">
        <v>37050</v>
      </c>
      <c r="C3737">
        <v>9190.41</v>
      </c>
    </row>
    <row r="3738" spans="2:3">
      <c r="B3738" s="189">
        <v>37049</v>
      </c>
      <c r="C3738">
        <v>9186.82</v>
      </c>
    </row>
    <row r="3739" spans="2:3">
      <c r="B3739" s="189">
        <v>37048</v>
      </c>
      <c r="C3739">
        <v>9241.2800000000007</v>
      </c>
    </row>
    <row r="3740" spans="2:3">
      <c r="B3740" s="189">
        <v>37047</v>
      </c>
      <c r="C3740">
        <v>9241.2800000000007</v>
      </c>
    </row>
    <row r="3741" spans="2:3">
      <c r="B3741" s="189">
        <v>37046</v>
      </c>
      <c r="C3741">
        <v>9200.1200000000008</v>
      </c>
    </row>
    <row r="3742" spans="2:3">
      <c r="B3742" s="189">
        <v>37043</v>
      </c>
      <c r="C3742">
        <v>9157.08</v>
      </c>
    </row>
    <row r="3743" spans="2:3">
      <c r="B3743" s="189">
        <v>37042</v>
      </c>
      <c r="C3743">
        <v>9270.9</v>
      </c>
    </row>
    <row r="3744" spans="2:3">
      <c r="B3744" s="189">
        <v>37041</v>
      </c>
      <c r="C3744">
        <v>9245.4</v>
      </c>
    </row>
    <row r="3745" spans="2:3">
      <c r="B3745" s="189">
        <v>37040</v>
      </c>
      <c r="C3745">
        <v>9242.99</v>
      </c>
    </row>
    <row r="3746" spans="2:3">
      <c r="B3746" s="189">
        <v>37039</v>
      </c>
      <c r="C3746">
        <v>9334.7999999999993</v>
      </c>
    </row>
    <row r="3747" spans="2:3">
      <c r="B3747" s="189">
        <v>37036</v>
      </c>
      <c r="C3747">
        <v>9239.82</v>
      </c>
    </row>
    <row r="3748" spans="2:3">
      <c r="B3748" s="189">
        <v>37035</v>
      </c>
      <c r="C3748">
        <v>9375.94</v>
      </c>
    </row>
    <row r="3749" spans="2:3">
      <c r="B3749" s="189">
        <v>37034</v>
      </c>
      <c r="C3749">
        <v>9388.7999999999993</v>
      </c>
    </row>
    <row r="3750" spans="2:3">
      <c r="B3750" s="189">
        <v>37033</v>
      </c>
      <c r="C3750">
        <v>9473.34</v>
      </c>
    </row>
    <row r="3751" spans="2:3">
      <c r="B3751" s="189">
        <v>37032</v>
      </c>
      <c r="C3751">
        <v>9472.41</v>
      </c>
    </row>
    <row r="3752" spans="2:3">
      <c r="B3752" s="189">
        <v>37029</v>
      </c>
      <c r="C3752">
        <v>9315.92</v>
      </c>
    </row>
    <row r="3753" spans="2:3">
      <c r="B3753" s="189">
        <v>37028</v>
      </c>
      <c r="C3753">
        <v>9379.74</v>
      </c>
    </row>
    <row r="3754" spans="2:3">
      <c r="B3754" s="189">
        <v>37027</v>
      </c>
      <c r="C3754">
        <v>9195.42</v>
      </c>
    </row>
    <row r="3755" spans="2:3">
      <c r="B3755" s="189">
        <v>37026</v>
      </c>
      <c r="C3755">
        <v>8999.4699999999993</v>
      </c>
    </row>
    <row r="3756" spans="2:3">
      <c r="B3756" s="189">
        <v>37025</v>
      </c>
      <c r="C3756">
        <v>8882.26</v>
      </c>
    </row>
    <row r="3757" spans="2:3">
      <c r="B3757" s="189">
        <v>37022</v>
      </c>
      <c r="C3757">
        <v>8873.2099999999991</v>
      </c>
    </row>
    <row r="3758" spans="2:3">
      <c r="B3758" s="189">
        <v>37021</v>
      </c>
      <c r="C3758">
        <v>8896.0300000000007</v>
      </c>
    </row>
    <row r="3759" spans="2:3">
      <c r="B3759" s="189">
        <v>37020</v>
      </c>
      <c r="C3759">
        <v>8825.8700000000008</v>
      </c>
    </row>
    <row r="3760" spans="2:3">
      <c r="B3760" s="189">
        <v>37019</v>
      </c>
      <c r="C3760">
        <v>8885.02</v>
      </c>
    </row>
    <row r="3761" spans="2:3">
      <c r="B3761" s="189">
        <v>37018</v>
      </c>
      <c r="C3761">
        <v>8959.06</v>
      </c>
    </row>
    <row r="3762" spans="2:3">
      <c r="B3762" s="189">
        <v>37015</v>
      </c>
      <c r="C3762">
        <v>8857.19</v>
      </c>
    </row>
    <row r="3763" spans="2:3">
      <c r="B3763" s="189">
        <v>37014</v>
      </c>
      <c r="C3763">
        <v>8825.2099999999991</v>
      </c>
    </row>
    <row r="3764" spans="2:3">
      <c r="B3764" s="189">
        <v>37013</v>
      </c>
      <c r="C3764">
        <v>8892.7000000000007</v>
      </c>
    </row>
    <row r="3765" spans="2:3">
      <c r="B3765" s="189">
        <v>37011</v>
      </c>
      <c r="C3765">
        <v>8902.39</v>
      </c>
    </row>
    <row r="3766" spans="2:3">
      <c r="B3766" s="189">
        <v>37007</v>
      </c>
      <c r="C3766">
        <v>8768.6299999999992</v>
      </c>
    </row>
    <row r="3767" spans="2:3">
      <c r="B3767" s="189">
        <v>37006</v>
      </c>
      <c r="C3767">
        <v>8818.98</v>
      </c>
    </row>
    <row r="3768" spans="2:3">
      <c r="B3768" s="189">
        <v>37005</v>
      </c>
      <c r="C3768">
        <v>8796.2000000000007</v>
      </c>
    </row>
    <row r="3769" spans="2:3">
      <c r="B3769" s="189">
        <v>37004</v>
      </c>
      <c r="C3769">
        <v>8746.93</v>
      </c>
    </row>
    <row r="3770" spans="2:3">
      <c r="B3770" s="189">
        <v>37001</v>
      </c>
      <c r="C3770">
        <v>8835.36</v>
      </c>
    </row>
    <row r="3771" spans="2:3">
      <c r="B3771" s="189">
        <v>37000</v>
      </c>
      <c r="C3771">
        <v>8815.44</v>
      </c>
    </row>
    <row r="3772" spans="2:3">
      <c r="B3772" s="189">
        <v>36999</v>
      </c>
      <c r="C3772">
        <v>8703.0400000000009</v>
      </c>
    </row>
    <row r="3773" spans="2:3">
      <c r="B3773" s="189">
        <v>36998</v>
      </c>
      <c r="C3773">
        <v>8494.76</v>
      </c>
    </row>
    <row r="3774" spans="2:3">
      <c r="B3774" s="189">
        <v>36993</v>
      </c>
      <c r="C3774">
        <v>8512.23</v>
      </c>
    </row>
    <row r="3775" spans="2:3">
      <c r="B3775" s="189">
        <v>36992</v>
      </c>
      <c r="C3775">
        <v>8485.1299999999992</v>
      </c>
    </row>
    <row r="3776" spans="2:3">
      <c r="B3776" s="189">
        <v>36991</v>
      </c>
      <c r="C3776">
        <v>8316.2099999999991</v>
      </c>
    </row>
    <row r="3777" spans="2:3">
      <c r="B3777" s="189">
        <v>36990</v>
      </c>
      <c r="C3777">
        <v>8181.9</v>
      </c>
    </row>
    <row r="3778" spans="2:3">
      <c r="B3778" s="189">
        <v>36987</v>
      </c>
      <c r="C3778">
        <v>8050.69</v>
      </c>
    </row>
    <row r="3779" spans="2:3">
      <c r="B3779" s="189">
        <v>36986</v>
      </c>
      <c r="C3779">
        <v>8123.18</v>
      </c>
    </row>
    <row r="3780" spans="2:3">
      <c r="B3780" s="189">
        <v>36985</v>
      </c>
      <c r="C3780">
        <v>7890.36</v>
      </c>
    </row>
    <row r="3781" spans="2:3">
      <c r="B3781" s="189">
        <v>36984</v>
      </c>
      <c r="C3781">
        <v>7876.38</v>
      </c>
    </row>
    <row r="3782" spans="2:3">
      <c r="B3782" s="189">
        <v>36983</v>
      </c>
      <c r="C3782">
        <v>7992.07</v>
      </c>
    </row>
    <row r="3783" spans="2:3">
      <c r="B3783" s="189">
        <v>36980</v>
      </c>
      <c r="C3783">
        <v>8093.84</v>
      </c>
    </row>
    <row r="3784" spans="2:3">
      <c r="B3784" s="189">
        <v>36979</v>
      </c>
      <c r="C3784">
        <v>8251.11</v>
      </c>
    </row>
    <row r="3785" spans="2:3">
      <c r="B3785" s="189">
        <v>36978</v>
      </c>
      <c r="C3785">
        <v>8338.61</v>
      </c>
    </row>
    <row r="3786" spans="2:3">
      <c r="B3786" s="189">
        <v>36977</v>
      </c>
      <c r="C3786">
        <v>8355.02</v>
      </c>
    </row>
    <row r="3787" spans="2:3">
      <c r="B3787" s="189">
        <v>36976</v>
      </c>
      <c r="C3787">
        <v>8342.16</v>
      </c>
    </row>
    <row r="3788" spans="2:3">
      <c r="B3788" s="189">
        <v>36973</v>
      </c>
      <c r="C3788">
        <v>8182.05</v>
      </c>
    </row>
    <row r="3789" spans="2:3">
      <c r="B3789" s="189">
        <v>36972</v>
      </c>
      <c r="C3789">
        <v>8165.79</v>
      </c>
    </row>
    <row r="3790" spans="2:3">
      <c r="B3790" s="189">
        <v>36970</v>
      </c>
      <c r="C3790">
        <v>8419.52</v>
      </c>
    </row>
    <row r="3791" spans="2:3">
      <c r="B3791" s="189">
        <v>36969</v>
      </c>
      <c r="C3791">
        <v>8388.93</v>
      </c>
    </row>
    <row r="3792" spans="2:3">
      <c r="B3792" s="189">
        <v>36966</v>
      </c>
      <c r="C3792">
        <v>8239.82</v>
      </c>
    </row>
    <row r="3793" spans="2:3">
      <c r="B3793" s="189">
        <v>36965</v>
      </c>
      <c r="C3793">
        <v>8418.43</v>
      </c>
    </row>
    <row r="3794" spans="2:3">
      <c r="B3794" s="189">
        <v>36964</v>
      </c>
      <c r="C3794">
        <v>8476.42</v>
      </c>
    </row>
    <row r="3795" spans="2:3">
      <c r="B3795" s="189">
        <v>36963</v>
      </c>
      <c r="C3795">
        <v>8786.66</v>
      </c>
    </row>
    <row r="3796" spans="2:3">
      <c r="B3796" s="189">
        <v>36962</v>
      </c>
      <c r="C3796">
        <v>8842.57</v>
      </c>
    </row>
    <row r="3797" spans="2:3">
      <c r="B3797" s="189">
        <v>36959</v>
      </c>
      <c r="C3797">
        <v>8985.39</v>
      </c>
    </row>
    <row r="3798" spans="2:3">
      <c r="B3798" s="189">
        <v>36958</v>
      </c>
      <c r="C3798">
        <v>9012.9599999999991</v>
      </c>
    </row>
    <row r="3799" spans="2:3">
      <c r="B3799" s="189">
        <v>36957</v>
      </c>
      <c r="C3799">
        <v>9073.24</v>
      </c>
    </row>
    <row r="3800" spans="2:3">
      <c r="B3800" s="189">
        <v>36956</v>
      </c>
      <c r="C3800">
        <v>9049.6299999999992</v>
      </c>
    </row>
    <row r="3801" spans="2:3">
      <c r="B3801" s="189">
        <v>36955</v>
      </c>
      <c r="C3801">
        <v>8884.86</v>
      </c>
    </row>
    <row r="3802" spans="2:3">
      <c r="B3802" s="189">
        <v>36952</v>
      </c>
      <c r="C3802">
        <v>8827.5400000000009</v>
      </c>
    </row>
    <row r="3803" spans="2:3">
      <c r="B3803" s="189">
        <v>36951</v>
      </c>
      <c r="C3803">
        <v>8836.92</v>
      </c>
    </row>
    <row r="3804" spans="2:3">
      <c r="B3804" s="189">
        <v>36950</v>
      </c>
      <c r="C3804">
        <v>8916.34</v>
      </c>
    </row>
    <row r="3805" spans="2:3">
      <c r="B3805" s="189">
        <v>36949</v>
      </c>
      <c r="C3805">
        <v>8997</v>
      </c>
    </row>
    <row r="3806" spans="2:3">
      <c r="B3806" s="189">
        <v>36948</v>
      </c>
      <c r="C3806">
        <v>8967.26</v>
      </c>
    </row>
    <row r="3807" spans="2:3">
      <c r="B3807" s="189">
        <v>36945</v>
      </c>
      <c r="C3807">
        <v>8962.86</v>
      </c>
    </row>
    <row r="3808" spans="2:3">
      <c r="B3808" s="189">
        <v>36944</v>
      </c>
      <c r="C3808">
        <v>9050.35</v>
      </c>
    </row>
    <row r="3809" spans="2:3">
      <c r="B3809" s="189">
        <v>36943</v>
      </c>
      <c r="C3809">
        <v>9014.09</v>
      </c>
    </row>
    <row r="3810" spans="2:3">
      <c r="B3810" s="189">
        <v>36942</v>
      </c>
      <c r="C3810">
        <v>9118.8799999999992</v>
      </c>
    </row>
    <row r="3811" spans="2:3">
      <c r="B3811" s="189">
        <v>36941</v>
      </c>
      <c r="C3811">
        <v>9164.6200000000008</v>
      </c>
    </row>
    <row r="3812" spans="2:3">
      <c r="B3812" s="189">
        <v>36938</v>
      </c>
      <c r="C3812">
        <v>9175.7900000000009</v>
      </c>
    </row>
    <row r="3813" spans="2:3">
      <c r="B3813" s="189">
        <v>36937</v>
      </c>
      <c r="C3813">
        <v>9143.66</v>
      </c>
    </row>
    <row r="3814" spans="2:3">
      <c r="B3814" s="189">
        <v>36936</v>
      </c>
      <c r="C3814">
        <v>9071.2999999999993</v>
      </c>
    </row>
    <row r="3815" spans="2:3">
      <c r="B3815" s="189">
        <v>36935</v>
      </c>
      <c r="C3815">
        <v>9138.94</v>
      </c>
    </row>
    <row r="3816" spans="2:3">
      <c r="B3816" s="189">
        <v>36934</v>
      </c>
      <c r="C3816">
        <v>9103.58</v>
      </c>
    </row>
    <row r="3817" spans="2:3">
      <c r="B3817" s="189">
        <v>36931</v>
      </c>
      <c r="C3817">
        <v>9049.59</v>
      </c>
    </row>
    <row r="3818" spans="2:3">
      <c r="B3818" s="189">
        <v>36930</v>
      </c>
      <c r="C3818">
        <v>9059.2900000000009</v>
      </c>
    </row>
    <row r="3819" spans="2:3">
      <c r="B3819" s="189">
        <v>36929</v>
      </c>
      <c r="C3819">
        <v>9035.15</v>
      </c>
    </row>
    <row r="3820" spans="2:3">
      <c r="B3820" s="189">
        <v>36928</v>
      </c>
      <c r="C3820">
        <v>9093.7999999999993</v>
      </c>
    </row>
    <row r="3821" spans="2:3">
      <c r="B3821" s="189">
        <v>36927</v>
      </c>
      <c r="C3821">
        <v>9073.2900000000009</v>
      </c>
    </row>
    <row r="3822" spans="2:3">
      <c r="B3822" s="189">
        <v>36924</v>
      </c>
      <c r="C3822">
        <v>9141.74</v>
      </c>
    </row>
    <row r="3823" spans="2:3">
      <c r="B3823" s="189">
        <v>36923</v>
      </c>
      <c r="C3823">
        <v>9100.36</v>
      </c>
    </row>
    <row r="3824" spans="2:3">
      <c r="B3824" s="189">
        <v>36922</v>
      </c>
      <c r="C3824">
        <v>8942.43</v>
      </c>
    </row>
    <row r="3825" spans="2:3">
      <c r="B3825" s="189">
        <v>36921</v>
      </c>
      <c r="C3825">
        <v>8966.09</v>
      </c>
    </row>
    <row r="3826" spans="2:3">
      <c r="B3826" s="189">
        <v>36920</v>
      </c>
      <c r="C3826">
        <v>8897.85</v>
      </c>
    </row>
    <row r="3827" spans="2:3">
      <c r="B3827" s="189">
        <v>36917</v>
      </c>
      <c r="C3827">
        <v>8799.14</v>
      </c>
    </row>
    <row r="3828" spans="2:3">
      <c r="B3828" s="189">
        <v>36916</v>
      </c>
      <c r="C3828">
        <v>8771.09</v>
      </c>
    </row>
    <row r="3829" spans="2:3">
      <c r="B3829" s="189">
        <v>36915</v>
      </c>
      <c r="C3829">
        <v>8710.56</v>
      </c>
    </row>
    <row r="3830" spans="2:3">
      <c r="B3830" s="189">
        <v>36914</v>
      </c>
      <c r="C3830">
        <v>8706.65</v>
      </c>
    </row>
    <row r="3831" spans="2:3">
      <c r="B3831" s="189">
        <v>36913</v>
      </c>
      <c r="C3831">
        <v>8668.86</v>
      </c>
    </row>
    <row r="3832" spans="2:3">
      <c r="B3832" s="189">
        <v>36910</v>
      </c>
      <c r="C3832">
        <v>8782.7000000000007</v>
      </c>
    </row>
    <row r="3833" spans="2:3">
      <c r="B3833" s="189">
        <v>36909</v>
      </c>
      <c r="C3833">
        <v>8666.01</v>
      </c>
    </row>
    <row r="3834" spans="2:3">
      <c r="B3834" s="189">
        <v>36908</v>
      </c>
      <c r="C3834">
        <v>8601.17</v>
      </c>
    </row>
    <row r="3835" spans="2:3">
      <c r="B3835" s="189">
        <v>36907</v>
      </c>
      <c r="C3835">
        <v>8502.5499999999993</v>
      </c>
    </row>
    <row r="3836" spans="2:3">
      <c r="B3836" s="189">
        <v>36906</v>
      </c>
      <c r="C3836">
        <v>8578.4599999999991</v>
      </c>
    </row>
    <row r="3837" spans="2:3">
      <c r="B3837" s="189">
        <v>36903</v>
      </c>
      <c r="C3837">
        <v>8517.26</v>
      </c>
    </row>
    <row r="3838" spans="2:3">
      <c r="B3838" s="189">
        <v>36902</v>
      </c>
      <c r="C3838">
        <v>8471.98</v>
      </c>
    </row>
    <row r="3839" spans="2:3">
      <c r="B3839" s="189">
        <v>36901</v>
      </c>
      <c r="C3839">
        <v>8368.14</v>
      </c>
    </row>
    <row r="3840" spans="2:3">
      <c r="B3840" s="189">
        <v>36900</v>
      </c>
      <c r="C3840">
        <v>8269.52</v>
      </c>
    </row>
    <row r="3841" spans="2:3">
      <c r="B3841" s="189">
        <v>36899</v>
      </c>
      <c r="C3841">
        <v>8288.2199999999993</v>
      </c>
    </row>
    <row r="3842" spans="2:3">
      <c r="B3842" s="189">
        <v>36896</v>
      </c>
      <c r="C3842">
        <v>8280.59</v>
      </c>
    </row>
    <row r="3843" spans="2:3">
      <c r="B3843" s="189">
        <v>36895</v>
      </c>
      <c r="C3843">
        <v>8307.24</v>
      </c>
    </row>
    <row r="3844" spans="2:3">
      <c r="B3844" s="189">
        <v>36894</v>
      </c>
      <c r="C3844">
        <v>7957.77</v>
      </c>
    </row>
    <row r="3845" spans="2:3">
      <c r="B3845" s="189">
        <v>36893</v>
      </c>
      <c r="C3845">
        <v>8128.83</v>
      </c>
    </row>
    <row r="3846" spans="2:3">
      <c r="B3846" s="189">
        <v>36889</v>
      </c>
      <c r="C3846">
        <v>8164.34</v>
      </c>
    </row>
    <row r="3847" spans="2:3">
      <c r="B3847" s="189">
        <v>36888</v>
      </c>
      <c r="C3847">
        <v>8253.31</v>
      </c>
    </row>
    <row r="3848" spans="2:3">
      <c r="B3848" s="189">
        <v>36887</v>
      </c>
      <c r="C3848">
        <v>8173.43</v>
      </c>
    </row>
    <row r="3849" spans="2:3">
      <c r="B3849" s="189">
        <v>36882</v>
      </c>
      <c r="C3849">
        <v>8076.42</v>
      </c>
    </row>
    <row r="3850" spans="2:3">
      <c r="B3850" s="189">
        <v>36881</v>
      </c>
      <c r="C3850">
        <v>7958.27</v>
      </c>
    </row>
    <row r="3851" spans="2:3">
      <c r="B3851" s="189">
        <v>36880</v>
      </c>
      <c r="C3851">
        <v>8007</v>
      </c>
    </row>
    <row r="3852" spans="2:3">
      <c r="B3852" s="189">
        <v>36879</v>
      </c>
      <c r="C3852">
        <v>8075</v>
      </c>
    </row>
    <row r="3853" spans="2:3">
      <c r="B3853" s="189">
        <v>36878</v>
      </c>
      <c r="C3853">
        <v>8039.92</v>
      </c>
    </row>
    <row r="3854" spans="2:3">
      <c r="B3854" s="189">
        <v>36875</v>
      </c>
      <c r="C3854">
        <v>7960.56</v>
      </c>
    </row>
    <row r="3855" spans="2:3">
      <c r="B3855" s="189">
        <v>36874</v>
      </c>
      <c r="C3855">
        <v>8043.69</v>
      </c>
    </row>
    <row r="3856" spans="2:3">
      <c r="B3856" s="189">
        <v>36873</v>
      </c>
      <c r="C3856">
        <v>8138.79</v>
      </c>
    </row>
    <row r="3857" spans="2:3">
      <c r="B3857" s="189">
        <v>36872</v>
      </c>
      <c r="C3857">
        <v>8253.5</v>
      </c>
    </row>
    <row r="3858" spans="2:3">
      <c r="B3858" s="189">
        <v>36871</v>
      </c>
      <c r="C3858">
        <v>8257.36</v>
      </c>
    </row>
    <row r="3859" spans="2:3">
      <c r="B3859" s="189">
        <v>36868</v>
      </c>
      <c r="C3859">
        <v>8052.44</v>
      </c>
    </row>
    <row r="3860" spans="2:3">
      <c r="B3860" s="189">
        <v>36867</v>
      </c>
      <c r="C3860">
        <v>7910.6</v>
      </c>
    </row>
    <row r="3861" spans="2:3">
      <c r="B3861" s="189">
        <v>36866</v>
      </c>
      <c r="C3861">
        <v>7933.23</v>
      </c>
    </row>
    <row r="3862" spans="2:3">
      <c r="B3862" s="189">
        <v>36864</v>
      </c>
      <c r="C3862">
        <v>7740.62</v>
      </c>
    </row>
    <row r="3863" spans="2:3">
      <c r="B3863" s="189">
        <v>36861</v>
      </c>
      <c r="C3863">
        <v>7692.28</v>
      </c>
    </row>
    <row r="3864" spans="2:3">
      <c r="B3864" s="189">
        <v>36860</v>
      </c>
      <c r="C3864">
        <v>7711.55</v>
      </c>
    </row>
    <row r="3865" spans="2:3">
      <c r="B3865" s="189">
        <v>36859</v>
      </c>
      <c r="C3865">
        <v>7952.07</v>
      </c>
    </row>
    <row r="3866" spans="2:3">
      <c r="B3866" s="189">
        <v>36858</v>
      </c>
      <c r="C3866">
        <v>7925.47</v>
      </c>
    </row>
    <row r="3867" spans="2:3">
      <c r="B3867" s="189">
        <v>36857</v>
      </c>
      <c r="C3867">
        <v>7937.17</v>
      </c>
    </row>
    <row r="3868" spans="2:3">
      <c r="B3868" s="189">
        <v>36854</v>
      </c>
      <c r="C3868">
        <v>7819.84</v>
      </c>
    </row>
    <row r="3869" spans="2:3">
      <c r="B3869" s="189">
        <v>36853</v>
      </c>
      <c r="C3869">
        <v>7784.88</v>
      </c>
    </row>
    <row r="3870" spans="2:3">
      <c r="B3870" s="189">
        <v>36852</v>
      </c>
      <c r="C3870">
        <v>7882.26</v>
      </c>
    </row>
    <row r="3871" spans="2:3">
      <c r="B3871" s="189">
        <v>36851</v>
      </c>
      <c r="C3871">
        <v>8046.03</v>
      </c>
    </row>
    <row r="3872" spans="2:3">
      <c r="B3872" s="189">
        <v>36850</v>
      </c>
      <c r="C3872">
        <v>8006</v>
      </c>
    </row>
    <row r="3873" spans="2:3">
      <c r="B3873" s="189">
        <v>36847</v>
      </c>
      <c r="C3873">
        <v>8077.09</v>
      </c>
    </row>
    <row r="3874" spans="2:3">
      <c r="B3874" s="189">
        <v>36846</v>
      </c>
      <c r="C3874">
        <v>8171.8</v>
      </c>
    </row>
    <row r="3875" spans="2:3">
      <c r="B3875" s="189">
        <v>36845</v>
      </c>
      <c r="C3875">
        <v>8163.81</v>
      </c>
    </row>
    <row r="3876" spans="2:3">
      <c r="B3876" s="189">
        <v>36844</v>
      </c>
      <c r="C3876">
        <v>8143.2</v>
      </c>
    </row>
    <row r="3877" spans="2:3">
      <c r="B3877" s="189">
        <v>36843</v>
      </c>
      <c r="C3877">
        <v>8019.93</v>
      </c>
    </row>
    <row r="3878" spans="2:3">
      <c r="B3878" s="189">
        <v>36840</v>
      </c>
      <c r="C3878">
        <v>8107.5</v>
      </c>
    </row>
    <row r="3879" spans="2:3">
      <c r="B3879" s="189">
        <v>36839</v>
      </c>
      <c r="C3879">
        <v>8232.61</v>
      </c>
    </row>
    <row r="3880" spans="2:3">
      <c r="B3880" s="189">
        <v>36838</v>
      </c>
      <c r="C3880">
        <v>8303.16</v>
      </c>
    </row>
    <row r="3881" spans="2:3">
      <c r="B3881" s="189">
        <v>36837</v>
      </c>
      <c r="C3881">
        <v>8329.5400000000009</v>
      </c>
    </row>
    <row r="3882" spans="2:3">
      <c r="B3882" s="189">
        <v>36836</v>
      </c>
      <c r="C3882">
        <v>8259.07</v>
      </c>
    </row>
    <row r="3883" spans="2:3">
      <c r="B3883" s="189">
        <v>36833</v>
      </c>
      <c r="C3883">
        <v>8309.76</v>
      </c>
    </row>
    <row r="3884" spans="2:3">
      <c r="B3884" s="189">
        <v>36832</v>
      </c>
      <c r="C3884">
        <v>8352.5</v>
      </c>
    </row>
    <row r="3885" spans="2:3">
      <c r="B3885" s="189">
        <v>36831</v>
      </c>
      <c r="C3885">
        <v>8160.01</v>
      </c>
    </row>
    <row r="3886" spans="2:3">
      <c r="B3886" s="189">
        <v>36830</v>
      </c>
      <c r="C3886">
        <v>8039.58</v>
      </c>
    </row>
    <row r="3887" spans="2:3">
      <c r="B3887" s="189">
        <v>36829</v>
      </c>
      <c r="C3887">
        <v>7807.64</v>
      </c>
    </row>
    <row r="3888" spans="2:3">
      <c r="B3888" s="189">
        <v>36826</v>
      </c>
      <c r="C3888">
        <v>7802.36</v>
      </c>
    </row>
    <row r="3889" spans="2:3">
      <c r="B3889" s="189">
        <v>36825</v>
      </c>
      <c r="C3889">
        <v>7824.95</v>
      </c>
    </row>
    <row r="3890" spans="2:3">
      <c r="B3890" s="189">
        <v>36824</v>
      </c>
      <c r="C3890">
        <v>7866.31</v>
      </c>
    </row>
    <row r="3891" spans="2:3">
      <c r="B3891" s="189">
        <v>36823</v>
      </c>
      <c r="C3891">
        <v>7975.6</v>
      </c>
    </row>
    <row r="3892" spans="2:3">
      <c r="B3892" s="189">
        <v>36822</v>
      </c>
      <c r="C3892">
        <v>7986.41</v>
      </c>
    </row>
    <row r="3893" spans="2:3">
      <c r="B3893" s="189">
        <v>36819</v>
      </c>
      <c r="C3893">
        <v>7952.79</v>
      </c>
    </row>
    <row r="3894" spans="2:3">
      <c r="B3894" s="189">
        <v>36818</v>
      </c>
      <c r="C3894">
        <v>7894.31</v>
      </c>
    </row>
    <row r="3895" spans="2:3">
      <c r="B3895" s="189">
        <v>36817</v>
      </c>
      <c r="C3895">
        <v>7703.88</v>
      </c>
    </row>
    <row r="3896" spans="2:3">
      <c r="B3896" s="189">
        <v>36816</v>
      </c>
      <c r="C3896">
        <v>7935.81</v>
      </c>
    </row>
    <row r="3897" spans="2:3">
      <c r="B3897" s="189">
        <v>36815</v>
      </c>
      <c r="C3897">
        <v>7989.32</v>
      </c>
    </row>
    <row r="3898" spans="2:3">
      <c r="B3898" s="189">
        <v>36812</v>
      </c>
      <c r="C3898">
        <v>7879.26</v>
      </c>
    </row>
    <row r="3899" spans="2:3">
      <c r="B3899" s="189">
        <v>36811</v>
      </c>
      <c r="C3899">
        <v>7922.7</v>
      </c>
    </row>
    <row r="3900" spans="2:3">
      <c r="B3900" s="189">
        <v>36810</v>
      </c>
      <c r="C3900">
        <v>7936.78</v>
      </c>
    </row>
    <row r="3901" spans="2:3">
      <c r="B3901" s="189">
        <v>36809</v>
      </c>
      <c r="C3901">
        <v>8042.24</v>
      </c>
    </row>
    <row r="3902" spans="2:3">
      <c r="B3902" s="189">
        <v>36808</v>
      </c>
      <c r="C3902">
        <v>8084.6</v>
      </c>
    </row>
    <row r="3903" spans="2:3">
      <c r="B3903" s="189">
        <v>36805</v>
      </c>
      <c r="C3903">
        <v>8136.31</v>
      </c>
    </row>
    <row r="3904" spans="2:3">
      <c r="B3904" s="189">
        <v>36804</v>
      </c>
      <c r="C3904">
        <v>8188.4</v>
      </c>
    </row>
    <row r="3905" spans="2:3">
      <c r="B3905" s="189">
        <v>36803</v>
      </c>
      <c r="C3905">
        <v>8273.4</v>
      </c>
    </row>
    <row r="3906" spans="2:3">
      <c r="B3906" s="189">
        <v>36802</v>
      </c>
      <c r="C3906">
        <v>8299.9500000000007</v>
      </c>
    </row>
    <row r="3907" spans="2:3">
      <c r="B3907" s="189">
        <v>36801</v>
      </c>
      <c r="C3907">
        <v>8247.4</v>
      </c>
    </row>
    <row r="3908" spans="2:3">
      <c r="B3908" s="189">
        <v>36798</v>
      </c>
      <c r="C3908">
        <v>8161.88</v>
      </c>
    </row>
    <row r="3909" spans="2:3">
      <c r="B3909" s="189">
        <v>36797</v>
      </c>
      <c r="C3909">
        <v>8178.64</v>
      </c>
    </row>
    <row r="3910" spans="2:3">
      <c r="B3910" s="189">
        <v>36796</v>
      </c>
      <c r="C3910">
        <v>8118.45</v>
      </c>
    </row>
    <row r="3911" spans="2:3">
      <c r="B3911" s="189">
        <v>36795</v>
      </c>
      <c r="C3911">
        <v>8060.4</v>
      </c>
    </row>
    <row r="3912" spans="2:3">
      <c r="B3912" s="189">
        <v>36791</v>
      </c>
      <c r="C3912">
        <v>7977.45</v>
      </c>
    </row>
    <row r="3913" spans="2:3">
      <c r="B3913" s="189">
        <v>36790</v>
      </c>
      <c r="C3913">
        <v>8017.99</v>
      </c>
    </row>
    <row r="3914" spans="2:3">
      <c r="B3914" s="189">
        <v>36789</v>
      </c>
      <c r="C3914">
        <v>8111.54</v>
      </c>
    </row>
    <row r="3915" spans="2:3">
      <c r="B3915" s="189">
        <v>36788</v>
      </c>
      <c r="C3915">
        <v>8151.61</v>
      </c>
    </row>
    <row r="3916" spans="2:3">
      <c r="B3916" s="189">
        <v>36787</v>
      </c>
      <c r="C3916">
        <v>8251.81</v>
      </c>
    </row>
    <row r="3917" spans="2:3">
      <c r="B3917" s="189">
        <v>36784</v>
      </c>
      <c r="C3917">
        <v>8328.43</v>
      </c>
    </row>
    <row r="3918" spans="2:3">
      <c r="B3918" s="189">
        <v>36783</v>
      </c>
      <c r="C3918">
        <v>8383</v>
      </c>
    </row>
    <row r="3919" spans="2:3">
      <c r="B3919" s="189">
        <v>36782</v>
      </c>
      <c r="C3919">
        <v>8347.4599999999991</v>
      </c>
    </row>
    <row r="3920" spans="2:3">
      <c r="B3920" s="189">
        <v>36781</v>
      </c>
      <c r="C3920">
        <v>8312.18</v>
      </c>
    </row>
    <row r="3921" spans="2:3">
      <c r="B3921" s="189">
        <v>36780</v>
      </c>
      <c r="C3921">
        <v>8394.7099999999991</v>
      </c>
    </row>
    <row r="3922" spans="2:3">
      <c r="B3922" s="189">
        <v>36777</v>
      </c>
      <c r="C3922">
        <v>8433.94</v>
      </c>
    </row>
    <row r="3923" spans="2:3">
      <c r="B3923" s="189">
        <v>36776</v>
      </c>
      <c r="C3923">
        <v>8433.7900000000009</v>
      </c>
    </row>
    <row r="3924" spans="2:3">
      <c r="B3924" s="189">
        <v>36775</v>
      </c>
      <c r="C3924">
        <v>8443.0300000000007</v>
      </c>
    </row>
    <row r="3925" spans="2:3">
      <c r="B3925" s="189">
        <v>36774</v>
      </c>
      <c r="C3925">
        <v>8451.08</v>
      </c>
    </row>
    <row r="3926" spans="2:3">
      <c r="B3926" s="189">
        <v>36773</v>
      </c>
      <c r="C3926">
        <v>8528.6200000000008</v>
      </c>
    </row>
    <row r="3927" spans="2:3">
      <c r="B3927" s="189">
        <v>36770</v>
      </c>
      <c r="C3927">
        <v>8430.42</v>
      </c>
    </row>
    <row r="3928" spans="2:3">
      <c r="B3928" s="189">
        <v>36769</v>
      </c>
      <c r="C3928">
        <v>8377.15</v>
      </c>
    </row>
    <row r="3929" spans="2:3">
      <c r="B3929" s="189">
        <v>36768</v>
      </c>
      <c r="C3929">
        <v>8283.51</v>
      </c>
    </row>
    <row r="3930" spans="2:3">
      <c r="B3930" s="189">
        <v>36767</v>
      </c>
      <c r="C3930">
        <v>8303.9599999999991</v>
      </c>
    </row>
    <row r="3931" spans="2:3">
      <c r="B3931" s="189">
        <v>36766</v>
      </c>
      <c r="C3931">
        <v>8271.1200000000008</v>
      </c>
    </row>
    <row r="3932" spans="2:3">
      <c r="B3932" s="189">
        <v>36763</v>
      </c>
      <c r="C3932">
        <v>8258.4699999999993</v>
      </c>
    </row>
    <row r="3933" spans="2:3">
      <c r="B3933" s="189">
        <v>36762</v>
      </c>
      <c r="C3933">
        <v>8309.49</v>
      </c>
    </row>
    <row r="3934" spans="2:3">
      <c r="B3934" s="189">
        <v>36761</v>
      </c>
      <c r="C3934">
        <v>8304.7099999999991</v>
      </c>
    </row>
    <row r="3935" spans="2:3">
      <c r="B3935" s="189">
        <v>36760</v>
      </c>
      <c r="C3935">
        <v>8301.67</v>
      </c>
    </row>
    <row r="3936" spans="2:3">
      <c r="B3936" s="189">
        <v>36759</v>
      </c>
      <c r="C3936">
        <v>8196.52</v>
      </c>
    </row>
    <row r="3937" spans="2:3">
      <c r="B3937" s="189">
        <v>36756</v>
      </c>
      <c r="C3937">
        <v>8146</v>
      </c>
    </row>
    <row r="3938" spans="2:3">
      <c r="B3938" s="189">
        <v>36755</v>
      </c>
      <c r="C3938">
        <v>8134.26</v>
      </c>
    </row>
    <row r="3939" spans="2:3">
      <c r="B3939" s="189">
        <v>36754</v>
      </c>
      <c r="C3939">
        <v>8162.5</v>
      </c>
    </row>
    <row r="3940" spans="2:3">
      <c r="B3940" s="189">
        <v>36753</v>
      </c>
      <c r="C3940">
        <v>8092.92</v>
      </c>
    </row>
    <row r="3941" spans="2:3">
      <c r="B3941" s="189">
        <v>36752</v>
      </c>
      <c r="C3941">
        <v>8085.03</v>
      </c>
    </row>
    <row r="3942" spans="2:3">
      <c r="B3942" s="189">
        <v>36749</v>
      </c>
      <c r="C3942">
        <v>8005.97</v>
      </c>
    </row>
    <row r="3943" spans="2:3">
      <c r="B3943" s="189">
        <v>36748</v>
      </c>
      <c r="C3943">
        <v>7965.5</v>
      </c>
    </row>
    <row r="3944" spans="2:3">
      <c r="B3944" s="189">
        <v>36746</v>
      </c>
      <c r="C3944">
        <v>7835.36</v>
      </c>
    </row>
    <row r="3945" spans="2:3">
      <c r="B3945" s="189">
        <v>36745</v>
      </c>
      <c r="C3945">
        <v>7798.56</v>
      </c>
    </row>
    <row r="3946" spans="2:3">
      <c r="B3946" s="189">
        <v>36742</v>
      </c>
      <c r="C3946">
        <v>7793.01</v>
      </c>
    </row>
    <row r="3947" spans="2:3">
      <c r="B3947" s="189">
        <v>36741</v>
      </c>
      <c r="C3947">
        <v>7683.62</v>
      </c>
    </row>
    <row r="3948" spans="2:3">
      <c r="B3948" s="189">
        <v>36740</v>
      </c>
      <c r="C3948">
        <v>7720.3</v>
      </c>
    </row>
    <row r="3949" spans="2:3">
      <c r="B3949" s="189">
        <v>36739</v>
      </c>
      <c r="C3949">
        <v>7635.5</v>
      </c>
    </row>
    <row r="3950" spans="2:3">
      <c r="B3950" s="189">
        <v>36738</v>
      </c>
      <c r="C3950">
        <v>7635.83</v>
      </c>
    </row>
    <row r="3951" spans="2:3">
      <c r="B3951" s="189">
        <v>36735</v>
      </c>
      <c r="C3951">
        <v>7678.03</v>
      </c>
    </row>
    <row r="3952" spans="2:3">
      <c r="B3952" s="189">
        <v>36734</v>
      </c>
      <c r="C3952">
        <v>7723.33</v>
      </c>
    </row>
    <row r="3953" spans="2:3">
      <c r="B3953" s="189">
        <v>36733</v>
      </c>
      <c r="C3953">
        <v>7750.16</v>
      </c>
    </row>
    <row r="3954" spans="2:3">
      <c r="B3954" s="189">
        <v>36732</v>
      </c>
      <c r="C3954">
        <v>7765.28</v>
      </c>
    </row>
    <row r="3955" spans="2:3">
      <c r="B3955" s="189">
        <v>36731</v>
      </c>
      <c r="C3955">
        <v>7791.34</v>
      </c>
    </row>
    <row r="3956" spans="2:3">
      <c r="B3956" s="189">
        <v>36728</v>
      </c>
      <c r="C3956">
        <v>7815.54</v>
      </c>
    </row>
    <row r="3957" spans="2:3">
      <c r="B3957" s="189">
        <v>36727</v>
      </c>
      <c r="C3957">
        <v>7811.29</v>
      </c>
    </row>
    <row r="3958" spans="2:3">
      <c r="B3958" s="189">
        <v>36726</v>
      </c>
      <c r="C3958">
        <v>7866.64</v>
      </c>
    </row>
    <row r="3959" spans="2:3">
      <c r="B3959" s="189">
        <v>36725</v>
      </c>
      <c r="C3959">
        <v>7859.11</v>
      </c>
    </row>
    <row r="3960" spans="2:3">
      <c r="B3960" s="189">
        <v>36724</v>
      </c>
      <c r="C3960">
        <v>7883.59</v>
      </c>
    </row>
    <row r="3961" spans="2:3">
      <c r="B3961" s="189">
        <v>36721</v>
      </c>
      <c r="C3961">
        <v>7892.56</v>
      </c>
    </row>
    <row r="3962" spans="2:3">
      <c r="B3962" s="189">
        <v>36720</v>
      </c>
      <c r="C3962">
        <v>7795.18</v>
      </c>
    </row>
    <row r="3963" spans="2:3">
      <c r="B3963" s="189">
        <v>36719</v>
      </c>
      <c r="C3963">
        <v>7778.73</v>
      </c>
    </row>
    <row r="3964" spans="2:3">
      <c r="B3964" s="189">
        <v>36718</v>
      </c>
      <c r="C3964">
        <v>7655.53</v>
      </c>
    </row>
    <row r="3965" spans="2:3">
      <c r="B3965" s="189">
        <v>36717</v>
      </c>
      <c r="C3965">
        <v>7652.89</v>
      </c>
    </row>
    <row r="3966" spans="2:3">
      <c r="B3966" s="189">
        <v>36714</v>
      </c>
      <c r="C3966">
        <v>7596.99</v>
      </c>
    </row>
    <row r="3967" spans="2:3">
      <c r="B3967" s="189">
        <v>36713</v>
      </c>
      <c r="C3967">
        <v>7648.6</v>
      </c>
    </row>
    <row r="3968" spans="2:3">
      <c r="B3968" s="189">
        <v>36712</v>
      </c>
      <c r="C3968">
        <v>7703.3</v>
      </c>
    </row>
    <row r="3969" spans="2:3">
      <c r="B3969" s="189">
        <v>36711</v>
      </c>
      <c r="C3969">
        <v>7656.45</v>
      </c>
    </row>
    <row r="3970" spans="2:3">
      <c r="B3970" s="189">
        <v>36710</v>
      </c>
      <c r="C3970">
        <v>7615.02</v>
      </c>
    </row>
    <row r="3971" spans="2:3">
      <c r="B3971" s="189">
        <v>36707</v>
      </c>
      <c r="C3971">
        <v>7584.45</v>
      </c>
    </row>
    <row r="3972" spans="2:3">
      <c r="B3972" s="189">
        <v>36706</v>
      </c>
      <c r="C3972">
        <v>7510.33</v>
      </c>
    </row>
    <row r="3973" spans="2:3">
      <c r="B3973" s="189">
        <v>36705</v>
      </c>
      <c r="C3973">
        <v>7535.84</v>
      </c>
    </row>
    <row r="3974" spans="2:3">
      <c r="B3974" s="189">
        <v>36704</v>
      </c>
      <c r="C3974">
        <v>7516.95</v>
      </c>
    </row>
    <row r="3975" spans="2:3">
      <c r="B3975" s="189">
        <v>36703</v>
      </c>
      <c r="C3975">
        <v>7511.1</v>
      </c>
    </row>
    <row r="3976" spans="2:3">
      <c r="B3976" s="189">
        <v>36700</v>
      </c>
      <c r="C3976">
        <v>7450.29</v>
      </c>
    </row>
    <row r="3977" spans="2:3">
      <c r="B3977" s="189">
        <v>36699</v>
      </c>
      <c r="C3977">
        <v>7498.37</v>
      </c>
    </row>
    <row r="3978" spans="2:3">
      <c r="B3978" s="189">
        <v>36698</v>
      </c>
      <c r="C3978">
        <v>7533.86</v>
      </c>
    </row>
    <row r="3979" spans="2:3">
      <c r="B3979" s="189">
        <v>36697</v>
      </c>
      <c r="C3979">
        <v>7608.23</v>
      </c>
    </row>
    <row r="3980" spans="2:3">
      <c r="B3980" s="189">
        <v>36696</v>
      </c>
      <c r="C3980">
        <v>7584.02</v>
      </c>
    </row>
    <row r="3981" spans="2:3">
      <c r="B3981" s="189">
        <v>36692</v>
      </c>
      <c r="C3981">
        <v>7571.67</v>
      </c>
    </row>
    <row r="3982" spans="2:3">
      <c r="B3982" s="189">
        <v>36691</v>
      </c>
      <c r="C3982">
        <v>7610.87</v>
      </c>
    </row>
    <row r="3983" spans="2:3">
      <c r="B3983" s="189">
        <v>36690</v>
      </c>
      <c r="C3983">
        <v>7668.28</v>
      </c>
    </row>
    <row r="3984" spans="2:3">
      <c r="B3984" s="189">
        <v>36689</v>
      </c>
      <c r="C3984">
        <v>7725.15</v>
      </c>
    </row>
    <row r="3985" spans="2:3">
      <c r="B3985" s="189">
        <v>36686</v>
      </c>
      <c r="C3985">
        <v>7634.78</v>
      </c>
    </row>
    <row r="3986" spans="2:3">
      <c r="B3986" s="189">
        <v>36685</v>
      </c>
      <c r="C3986">
        <v>7597.08</v>
      </c>
    </row>
    <row r="3987" spans="2:3">
      <c r="B3987" s="189">
        <v>36684</v>
      </c>
      <c r="C3987">
        <v>7575.4</v>
      </c>
    </row>
    <row r="3988" spans="2:3">
      <c r="B3988" s="189">
        <v>36683</v>
      </c>
      <c r="C3988">
        <v>7508.55</v>
      </c>
    </row>
    <row r="3989" spans="2:3">
      <c r="B3989" s="189">
        <v>36682</v>
      </c>
      <c r="C3989">
        <v>7381.78</v>
      </c>
    </row>
    <row r="3990" spans="2:3">
      <c r="B3990" s="189">
        <v>36679</v>
      </c>
      <c r="C3990">
        <v>7341.6</v>
      </c>
    </row>
    <row r="3991" spans="2:3">
      <c r="B3991" s="189">
        <v>36678</v>
      </c>
      <c r="C3991">
        <v>7224.2</v>
      </c>
    </row>
    <row r="3992" spans="2:3">
      <c r="B3992" s="189">
        <v>36677</v>
      </c>
      <c r="C3992">
        <v>7191.36</v>
      </c>
    </row>
    <row r="3993" spans="2:3">
      <c r="B3993" s="189">
        <v>36676</v>
      </c>
      <c r="C3993">
        <v>7211.36</v>
      </c>
    </row>
    <row r="3994" spans="2:3">
      <c r="B3994" s="189">
        <v>36675</v>
      </c>
      <c r="C3994">
        <v>7161.31</v>
      </c>
    </row>
    <row r="3995" spans="2:3">
      <c r="B3995" s="189">
        <v>36672</v>
      </c>
      <c r="C3995">
        <v>7091.07</v>
      </c>
    </row>
    <row r="3996" spans="2:3">
      <c r="B3996" s="189">
        <v>36671</v>
      </c>
      <c r="C3996">
        <v>7122.75</v>
      </c>
    </row>
    <row r="3997" spans="2:3">
      <c r="B3997" s="189">
        <v>36670</v>
      </c>
      <c r="C3997">
        <v>6997.6</v>
      </c>
    </row>
    <row r="3998" spans="2:3">
      <c r="B3998" s="189">
        <v>36669</v>
      </c>
      <c r="C3998">
        <v>7122.05</v>
      </c>
    </row>
    <row r="3999" spans="2:3">
      <c r="B3999" s="189">
        <v>36668</v>
      </c>
      <c r="C3999">
        <v>7086.62</v>
      </c>
    </row>
    <row r="4000" spans="2:3">
      <c r="B4000" s="189">
        <v>36665</v>
      </c>
      <c r="C4000">
        <v>7126.5</v>
      </c>
    </row>
    <row r="4001" spans="2:3">
      <c r="B4001" s="189">
        <v>36664</v>
      </c>
      <c r="C4001">
        <v>7282.56</v>
      </c>
    </row>
    <row r="4002" spans="2:3">
      <c r="B4002" s="189">
        <v>36663</v>
      </c>
      <c r="C4002">
        <v>7324.07</v>
      </c>
    </row>
    <row r="4003" spans="2:3">
      <c r="B4003" s="189">
        <v>36662</v>
      </c>
      <c r="C4003">
        <v>7435.39</v>
      </c>
    </row>
    <row r="4004" spans="2:3">
      <c r="B4004" s="189">
        <v>36661</v>
      </c>
      <c r="C4004">
        <v>7372</v>
      </c>
    </row>
    <row r="4005" spans="2:3">
      <c r="B4005" s="189">
        <v>36658</v>
      </c>
      <c r="C4005">
        <v>7347.23</v>
      </c>
    </row>
    <row r="4006" spans="2:3">
      <c r="B4006" s="189">
        <v>36657</v>
      </c>
      <c r="C4006">
        <v>7362.18</v>
      </c>
    </row>
    <row r="4007" spans="2:3">
      <c r="B4007" s="189">
        <v>36656</v>
      </c>
      <c r="C4007">
        <v>7490.17</v>
      </c>
    </row>
    <row r="4008" spans="2:3">
      <c r="B4008" s="189">
        <v>36655</v>
      </c>
      <c r="C4008">
        <v>7445.33</v>
      </c>
    </row>
    <row r="4009" spans="2:3">
      <c r="B4009" s="189">
        <v>36654</v>
      </c>
      <c r="C4009">
        <v>7317.88</v>
      </c>
    </row>
    <row r="4010" spans="2:3">
      <c r="B4010" s="189">
        <v>36651</v>
      </c>
      <c r="C4010">
        <v>7281.32</v>
      </c>
    </row>
    <row r="4011" spans="2:3">
      <c r="B4011" s="189">
        <v>36650</v>
      </c>
      <c r="C4011">
        <v>7297.74</v>
      </c>
    </row>
    <row r="4012" spans="2:3">
      <c r="B4012" s="189">
        <v>36649</v>
      </c>
      <c r="C4012">
        <v>7333.59</v>
      </c>
    </row>
    <row r="4013" spans="2:3">
      <c r="B4013" s="189">
        <v>36648</v>
      </c>
      <c r="C4013">
        <v>7275.12</v>
      </c>
    </row>
    <row r="4014" spans="2:3">
      <c r="B4014" s="189">
        <v>36644</v>
      </c>
      <c r="C4014">
        <v>7270.86</v>
      </c>
    </row>
    <row r="4015" spans="2:3">
      <c r="B4015" s="189">
        <v>36642</v>
      </c>
      <c r="C4015">
        <v>7225.16</v>
      </c>
    </row>
    <row r="4016" spans="2:3">
      <c r="B4016" s="189">
        <v>36641</v>
      </c>
      <c r="C4016">
        <v>7163.53</v>
      </c>
    </row>
    <row r="4017" spans="2:3">
      <c r="B4017" s="189">
        <v>36636</v>
      </c>
      <c r="C4017">
        <v>7004.33</v>
      </c>
    </row>
    <row r="4018" spans="2:3">
      <c r="B4018" s="189">
        <v>36635</v>
      </c>
      <c r="C4018">
        <v>6850.54</v>
      </c>
    </row>
    <row r="4019" spans="2:3">
      <c r="B4019" s="189">
        <v>36634</v>
      </c>
      <c r="C4019">
        <v>6734.29</v>
      </c>
    </row>
    <row r="4020" spans="2:3">
      <c r="B4020" s="189">
        <v>36633</v>
      </c>
      <c r="C4020">
        <v>6467.08</v>
      </c>
    </row>
    <row r="4021" spans="2:3">
      <c r="B4021" s="189">
        <v>36630</v>
      </c>
      <c r="C4021">
        <v>7002.08</v>
      </c>
    </row>
    <row r="4022" spans="2:3">
      <c r="B4022" s="189">
        <v>36629</v>
      </c>
      <c r="C4022">
        <v>7226.55</v>
      </c>
    </row>
    <row r="4023" spans="2:3">
      <c r="B4023" s="189">
        <v>36628</v>
      </c>
      <c r="C4023">
        <v>7483.43</v>
      </c>
    </row>
    <row r="4024" spans="2:3">
      <c r="B4024" s="189">
        <v>36627</v>
      </c>
      <c r="C4024">
        <v>7561.17</v>
      </c>
    </row>
    <row r="4025" spans="2:3">
      <c r="B4025" s="189">
        <v>36626</v>
      </c>
      <c r="C4025">
        <v>7702.06</v>
      </c>
    </row>
    <row r="4026" spans="2:3">
      <c r="B4026" s="189">
        <v>36623</v>
      </c>
      <c r="C4026">
        <v>7671.36</v>
      </c>
    </row>
    <row r="4027" spans="2:3">
      <c r="B4027" s="189">
        <v>36622</v>
      </c>
      <c r="C4027">
        <v>7689.38</v>
      </c>
    </row>
    <row r="4028" spans="2:3">
      <c r="B4028" s="189">
        <v>36621</v>
      </c>
      <c r="C4028">
        <v>7583.28</v>
      </c>
    </row>
    <row r="4029" spans="2:3">
      <c r="B4029" s="189">
        <v>36620</v>
      </c>
      <c r="C4029">
        <v>7869.55</v>
      </c>
    </row>
    <row r="4030" spans="2:3">
      <c r="B4030" s="189">
        <v>36619</v>
      </c>
      <c r="C4030">
        <v>7816.3</v>
      </c>
    </row>
    <row r="4031" spans="2:3">
      <c r="B4031" s="189">
        <v>36616</v>
      </c>
      <c r="C4031">
        <v>7791.6</v>
      </c>
    </row>
    <row r="4032" spans="2:3">
      <c r="B4032" s="189">
        <v>36615</v>
      </c>
      <c r="C4032">
        <v>7762.64</v>
      </c>
    </row>
    <row r="4033" spans="2:3">
      <c r="B4033" s="189">
        <v>36614</v>
      </c>
      <c r="C4033">
        <v>7940.12</v>
      </c>
    </row>
    <row r="4034" spans="2:3">
      <c r="B4034" s="189">
        <v>36613</v>
      </c>
      <c r="C4034">
        <v>7893.72</v>
      </c>
    </row>
    <row r="4035" spans="2:3">
      <c r="B4035" s="189">
        <v>36612</v>
      </c>
      <c r="C4035">
        <v>8040.1</v>
      </c>
    </row>
    <row r="4036" spans="2:3">
      <c r="B4036" s="189">
        <v>36609</v>
      </c>
      <c r="C4036">
        <v>8012.44</v>
      </c>
    </row>
    <row r="4037" spans="2:3">
      <c r="B4037" s="189">
        <v>36608</v>
      </c>
      <c r="C4037">
        <v>7949.57</v>
      </c>
    </row>
    <row r="4038" spans="2:3">
      <c r="B4038" s="189">
        <v>36607</v>
      </c>
      <c r="C4038">
        <v>7884.03</v>
      </c>
    </row>
    <row r="4039" spans="2:3">
      <c r="B4039" s="189">
        <v>36605</v>
      </c>
      <c r="C4039">
        <v>7830.51</v>
      </c>
    </row>
    <row r="4040" spans="2:3">
      <c r="B4040" s="189">
        <v>36602</v>
      </c>
      <c r="C4040">
        <v>7808.24</v>
      </c>
    </row>
    <row r="4041" spans="2:3">
      <c r="B4041" s="189">
        <v>36601</v>
      </c>
      <c r="C4041">
        <v>7741.78</v>
      </c>
    </row>
    <row r="4042" spans="2:3">
      <c r="B4042" s="189">
        <v>36600</v>
      </c>
      <c r="C4042">
        <v>7599.09</v>
      </c>
    </row>
    <row r="4043" spans="2:3">
      <c r="B4043" s="189">
        <v>36599</v>
      </c>
      <c r="C4043">
        <v>7600.93</v>
      </c>
    </row>
    <row r="4044" spans="2:3">
      <c r="B4044" s="189">
        <v>36598</v>
      </c>
      <c r="C4044">
        <v>7433.74</v>
      </c>
    </row>
    <row r="4045" spans="2:3">
      <c r="B4045" s="189">
        <v>36595</v>
      </c>
      <c r="C4045">
        <v>7699.86</v>
      </c>
    </row>
    <row r="4046" spans="2:3">
      <c r="B4046" s="189">
        <v>36594</v>
      </c>
      <c r="C4046">
        <v>7721.39</v>
      </c>
    </row>
    <row r="4047" spans="2:3">
      <c r="B4047" s="189">
        <v>36593</v>
      </c>
      <c r="C4047">
        <v>7805.02</v>
      </c>
    </row>
    <row r="4048" spans="2:3">
      <c r="B4048" s="189">
        <v>36592</v>
      </c>
      <c r="C4048">
        <v>7866.16</v>
      </c>
    </row>
    <row r="4049" spans="2:3">
      <c r="B4049" s="189">
        <v>36591</v>
      </c>
      <c r="C4049">
        <v>7863.59</v>
      </c>
    </row>
    <row r="4050" spans="2:3">
      <c r="B4050" s="189">
        <v>36588</v>
      </c>
      <c r="C4050">
        <v>7805.73</v>
      </c>
    </row>
    <row r="4051" spans="2:3">
      <c r="B4051" s="189">
        <v>36587</v>
      </c>
      <c r="C4051">
        <v>7799.11</v>
      </c>
    </row>
    <row r="4052" spans="2:3">
      <c r="B4052" s="189">
        <v>36586</v>
      </c>
      <c r="C4052">
        <v>7880.02</v>
      </c>
    </row>
    <row r="4053" spans="2:3">
      <c r="B4053" s="189">
        <v>36585</v>
      </c>
      <c r="C4053">
        <v>7759.34</v>
      </c>
    </row>
    <row r="4054" spans="2:3">
      <c r="B4054" s="189">
        <v>36584</v>
      </c>
      <c r="C4054">
        <v>7798.58</v>
      </c>
    </row>
    <row r="4055" spans="2:3">
      <c r="B4055" s="189">
        <v>36581</v>
      </c>
      <c r="C4055">
        <v>7914.38</v>
      </c>
    </row>
    <row r="4056" spans="2:3">
      <c r="B4056" s="189">
        <v>36580</v>
      </c>
      <c r="C4056">
        <v>8027.85</v>
      </c>
    </row>
    <row r="4057" spans="2:3">
      <c r="B4057" s="189">
        <v>36579</v>
      </c>
      <c r="C4057">
        <v>8023.24</v>
      </c>
    </row>
    <row r="4058" spans="2:3">
      <c r="B4058" s="189">
        <v>36578</v>
      </c>
      <c r="C4058">
        <v>7957.63</v>
      </c>
    </row>
    <row r="4059" spans="2:3">
      <c r="B4059" s="189">
        <v>36577</v>
      </c>
      <c r="C4059">
        <v>8142.98</v>
      </c>
    </row>
    <row r="4060" spans="2:3">
      <c r="B4060" s="189">
        <v>36574</v>
      </c>
      <c r="C4060">
        <v>8330.2900000000009</v>
      </c>
    </row>
    <row r="4061" spans="2:3">
      <c r="B4061" s="189">
        <v>36573</v>
      </c>
      <c r="C4061">
        <v>8367.42</v>
      </c>
    </row>
    <row r="4062" spans="2:3">
      <c r="B4062" s="189">
        <v>36572</v>
      </c>
      <c r="C4062">
        <v>8215.48</v>
      </c>
    </row>
    <row r="4063" spans="2:3">
      <c r="B4063" s="189">
        <v>36571</v>
      </c>
      <c r="C4063">
        <v>8294.6</v>
      </c>
    </row>
    <row r="4064" spans="2:3">
      <c r="B4064" s="189">
        <v>36570</v>
      </c>
      <c r="C4064">
        <v>8381.1200000000008</v>
      </c>
    </row>
    <row r="4065" spans="2:3">
      <c r="B4065" s="189">
        <v>36567</v>
      </c>
      <c r="C4065">
        <v>8491.42</v>
      </c>
    </row>
    <row r="4066" spans="2:3">
      <c r="B4066" s="189">
        <v>36566</v>
      </c>
      <c r="C4066">
        <v>8602.1200000000008</v>
      </c>
    </row>
    <row r="4067" spans="2:3">
      <c r="B4067" s="189">
        <v>36565</v>
      </c>
      <c r="C4067">
        <v>8733.9699999999993</v>
      </c>
    </row>
    <row r="4068" spans="2:3">
      <c r="B4068" s="189">
        <v>36564</v>
      </c>
      <c r="C4068">
        <v>8689.73</v>
      </c>
    </row>
    <row r="4069" spans="2:3">
      <c r="B4069" s="189">
        <v>36563</v>
      </c>
      <c r="C4069">
        <v>8656.74</v>
      </c>
    </row>
    <row r="4070" spans="2:3">
      <c r="B4070" s="189">
        <v>36560</v>
      </c>
      <c r="C4070">
        <v>8493.2999999999993</v>
      </c>
    </row>
    <row r="4071" spans="2:3">
      <c r="B4071" s="189">
        <v>36559</v>
      </c>
      <c r="C4071">
        <v>8591.73</v>
      </c>
    </row>
    <row r="4072" spans="2:3">
      <c r="B4072" s="189">
        <v>36558</v>
      </c>
      <c r="C4072">
        <v>8541.8700000000008</v>
      </c>
    </row>
    <row r="4073" spans="2:3">
      <c r="B4073" s="189">
        <v>36557</v>
      </c>
      <c r="C4073">
        <v>8560.82</v>
      </c>
    </row>
    <row r="4074" spans="2:3">
      <c r="B4074" s="189">
        <v>36556</v>
      </c>
      <c r="C4074">
        <v>8277.19</v>
      </c>
    </row>
    <row r="4075" spans="2:3">
      <c r="B4075" s="189">
        <v>36553</v>
      </c>
      <c r="C4075">
        <v>8341.9500000000007</v>
      </c>
    </row>
    <row r="4076" spans="2:3">
      <c r="B4076" s="189">
        <v>36552</v>
      </c>
      <c r="C4076">
        <v>8462.7800000000007</v>
      </c>
    </row>
    <row r="4077" spans="2:3">
      <c r="B4077" s="189">
        <v>36551</v>
      </c>
      <c r="C4077">
        <v>8474.51</v>
      </c>
    </row>
    <row r="4078" spans="2:3">
      <c r="B4078" s="189">
        <v>36550</v>
      </c>
      <c r="C4078">
        <v>8590.58</v>
      </c>
    </row>
    <row r="4079" spans="2:3">
      <c r="B4079" s="189">
        <v>36549</v>
      </c>
      <c r="C4079">
        <v>8825.44</v>
      </c>
    </row>
    <row r="4080" spans="2:3">
      <c r="B4080" s="189">
        <v>36546</v>
      </c>
      <c r="C4080">
        <v>8856.49</v>
      </c>
    </row>
    <row r="4081" spans="2:3">
      <c r="B4081" s="189">
        <v>36545</v>
      </c>
      <c r="C4081">
        <v>8964.8700000000008</v>
      </c>
    </row>
    <row r="4082" spans="2:3">
      <c r="B4082" s="189">
        <v>36544</v>
      </c>
      <c r="C4082">
        <v>8954.9500000000007</v>
      </c>
    </row>
    <row r="4083" spans="2:3">
      <c r="B4083" s="189">
        <v>36543</v>
      </c>
      <c r="C4083">
        <v>8978.81</v>
      </c>
    </row>
    <row r="4084" spans="2:3">
      <c r="B4084" s="189">
        <v>36542</v>
      </c>
      <c r="C4084">
        <v>9028.64</v>
      </c>
    </row>
    <row r="4085" spans="2:3">
      <c r="B4085" s="189">
        <v>36539</v>
      </c>
      <c r="C4085">
        <v>8827.35</v>
      </c>
    </row>
    <row r="4086" spans="2:3">
      <c r="B4086" s="189">
        <v>36538</v>
      </c>
      <c r="C4086">
        <v>8750.92</v>
      </c>
    </row>
    <row r="4087" spans="2:3">
      <c r="B4087" s="189">
        <v>36537</v>
      </c>
      <c r="C4087">
        <v>8757.56</v>
      </c>
    </row>
    <row r="4088" spans="2:3">
      <c r="B4088" s="189">
        <v>36536</v>
      </c>
      <c r="C4088">
        <v>8805.18</v>
      </c>
    </row>
    <row r="4089" spans="2:3">
      <c r="B4089" s="189">
        <v>36535</v>
      </c>
      <c r="C4089">
        <v>8781.67</v>
      </c>
    </row>
    <row r="4090" spans="2:3">
      <c r="B4090" s="189">
        <v>36532</v>
      </c>
      <c r="C4090">
        <v>8500.3700000000008</v>
      </c>
    </row>
    <row r="4091" spans="2:3">
      <c r="B4091" s="189">
        <v>36531</v>
      </c>
      <c r="C4091">
        <v>8290.11</v>
      </c>
    </row>
    <row r="4092" spans="2:3">
      <c r="B4092" s="189">
        <v>36530</v>
      </c>
      <c r="C4092">
        <v>8277.81</v>
      </c>
    </row>
    <row r="4093" spans="2:3">
      <c r="B4093" s="189">
        <v>36529</v>
      </c>
      <c r="C4093">
        <v>8365.5499999999993</v>
      </c>
    </row>
    <row r="4094" spans="2:3">
      <c r="B4094" s="189">
        <v>36525</v>
      </c>
      <c r="C4094">
        <v>8385.39</v>
      </c>
    </row>
    <row r="4095" spans="2:3">
      <c r="B4095" s="189">
        <v>36523</v>
      </c>
      <c r="C4095">
        <v>8385.39</v>
      </c>
    </row>
    <row r="4096" spans="2:3">
      <c r="B4096" s="189">
        <v>36522</v>
      </c>
      <c r="C4096">
        <v>8283.2800000000007</v>
      </c>
    </row>
    <row r="4097" spans="2:3">
      <c r="B4097" s="189">
        <v>36518</v>
      </c>
      <c r="C4097">
        <v>8309.5400000000009</v>
      </c>
    </row>
    <row r="4098" spans="2:3">
      <c r="B4098" s="189">
        <v>36517</v>
      </c>
      <c r="C4098">
        <v>8263.2900000000009</v>
      </c>
    </row>
    <row r="4099" spans="2:3">
      <c r="B4099" s="189">
        <v>36516</v>
      </c>
      <c r="C4099">
        <v>8291.84</v>
      </c>
    </row>
    <row r="4100" spans="2:3">
      <c r="B4100" s="189">
        <v>36515</v>
      </c>
      <c r="C4100">
        <v>8259.84</v>
      </c>
    </row>
    <row r="4101" spans="2:3">
      <c r="B4101" s="189">
        <v>36514</v>
      </c>
      <c r="C4101">
        <v>8375.44</v>
      </c>
    </row>
    <row r="4102" spans="2:3">
      <c r="B4102" s="189">
        <v>36511</v>
      </c>
      <c r="C4102">
        <v>8200.7900000000009</v>
      </c>
    </row>
    <row r="4103" spans="2:3">
      <c r="B4103" s="189">
        <v>36509</v>
      </c>
      <c r="C4103">
        <v>7971.4</v>
      </c>
    </row>
    <row r="4104" spans="2:3">
      <c r="B4104" s="189">
        <v>36508</v>
      </c>
      <c r="C4104">
        <v>7966.82</v>
      </c>
    </row>
    <row r="4105" spans="2:3">
      <c r="B4105" s="189">
        <v>36507</v>
      </c>
      <c r="C4105">
        <v>8022.19</v>
      </c>
    </row>
    <row r="4106" spans="2:3">
      <c r="B4106" s="189">
        <v>36504</v>
      </c>
      <c r="C4106">
        <v>7913.68</v>
      </c>
    </row>
    <row r="4107" spans="2:3">
      <c r="B4107" s="189">
        <v>36503</v>
      </c>
      <c r="C4107">
        <v>7862.28</v>
      </c>
    </row>
    <row r="4108" spans="2:3">
      <c r="B4108" s="189">
        <v>36502</v>
      </c>
      <c r="C4108">
        <v>7818.47</v>
      </c>
    </row>
    <row r="4109" spans="2:3">
      <c r="B4109" s="189">
        <v>36501</v>
      </c>
      <c r="C4109">
        <v>7716.43</v>
      </c>
    </row>
    <row r="4110" spans="2:3">
      <c r="B4110" s="189">
        <v>36500</v>
      </c>
      <c r="C4110">
        <v>7656</v>
      </c>
    </row>
    <row r="4111" spans="2:3">
      <c r="B4111" s="189">
        <v>36497</v>
      </c>
      <c r="C4111">
        <v>7579.52</v>
      </c>
    </row>
    <row r="4112" spans="2:3">
      <c r="B4112" s="189">
        <v>36496</v>
      </c>
      <c r="C4112">
        <v>7569.72</v>
      </c>
    </row>
    <row r="4113" spans="2:3">
      <c r="B4113" s="189">
        <v>36495</v>
      </c>
      <c r="C4113">
        <v>7478.31</v>
      </c>
    </row>
    <row r="4114" spans="2:3">
      <c r="B4114" s="189">
        <v>36494</v>
      </c>
      <c r="C4114">
        <v>7420.57</v>
      </c>
    </row>
    <row r="4115" spans="2:3">
      <c r="B4115" s="189">
        <v>36493</v>
      </c>
      <c r="C4115">
        <v>7419.45</v>
      </c>
    </row>
    <row r="4116" spans="2:3">
      <c r="B4116" s="189">
        <v>36490</v>
      </c>
      <c r="C4116">
        <v>7426.9</v>
      </c>
    </row>
    <row r="4117" spans="2:3">
      <c r="B4117" s="189">
        <v>36489</v>
      </c>
      <c r="C4117">
        <v>7322.6</v>
      </c>
    </row>
    <row r="4118" spans="2:3">
      <c r="B4118" s="189">
        <v>36488</v>
      </c>
      <c r="C4118">
        <v>7335.44</v>
      </c>
    </row>
    <row r="4119" spans="2:3">
      <c r="B4119" s="189">
        <v>36487</v>
      </c>
      <c r="C4119">
        <v>7315.34</v>
      </c>
    </row>
    <row r="4120" spans="2:3">
      <c r="B4120" s="189">
        <v>36486</v>
      </c>
      <c r="C4120">
        <v>7318.61</v>
      </c>
    </row>
    <row r="4121" spans="2:3">
      <c r="B4121" s="189">
        <v>36483</v>
      </c>
      <c r="C4121">
        <v>7356.5</v>
      </c>
    </row>
    <row r="4122" spans="2:3">
      <c r="B4122" s="189">
        <v>36482</v>
      </c>
      <c r="C4122">
        <v>7303.83</v>
      </c>
    </row>
    <row r="4123" spans="2:3">
      <c r="B4123" s="189">
        <v>36481</v>
      </c>
      <c r="C4123">
        <v>7250.77</v>
      </c>
    </row>
    <row r="4124" spans="2:3">
      <c r="B4124" s="189">
        <v>36480</v>
      </c>
      <c r="C4124">
        <v>7197.71</v>
      </c>
    </row>
    <row r="4125" spans="2:3">
      <c r="B4125" s="189">
        <v>36479</v>
      </c>
      <c r="C4125">
        <v>7163.35</v>
      </c>
    </row>
    <row r="4126" spans="2:3">
      <c r="B4126" s="189">
        <v>36476</v>
      </c>
      <c r="C4126">
        <v>7083.7</v>
      </c>
    </row>
    <row r="4127" spans="2:3">
      <c r="B4127" s="189">
        <v>36475</v>
      </c>
      <c r="C4127">
        <v>7112.28</v>
      </c>
    </row>
    <row r="4128" spans="2:3">
      <c r="B4128" s="189">
        <v>36474</v>
      </c>
      <c r="C4128">
        <v>7079.72</v>
      </c>
    </row>
    <row r="4129" spans="2:3">
      <c r="B4129" s="189">
        <v>36473</v>
      </c>
      <c r="C4129">
        <v>7169.9</v>
      </c>
    </row>
    <row r="4130" spans="2:3">
      <c r="B4130" s="189">
        <v>36472</v>
      </c>
      <c r="C4130">
        <v>7047.01</v>
      </c>
    </row>
    <row r="4131" spans="2:3">
      <c r="B4131" s="189">
        <v>36469</v>
      </c>
      <c r="C4131">
        <v>7024.52</v>
      </c>
    </row>
    <row r="4132" spans="2:3">
      <c r="B4132" s="189">
        <v>36468</v>
      </c>
      <c r="C4132">
        <v>7021.46</v>
      </c>
    </row>
    <row r="4133" spans="2:3">
      <c r="B4133" s="189">
        <v>36467</v>
      </c>
      <c r="C4133">
        <v>6924.83</v>
      </c>
    </row>
    <row r="4134" spans="2:3">
      <c r="B4134" s="189">
        <v>36466</v>
      </c>
      <c r="C4134">
        <v>6934.55</v>
      </c>
    </row>
    <row r="4135" spans="2:3">
      <c r="B4135" s="189">
        <v>36465</v>
      </c>
      <c r="C4135">
        <v>6948.6</v>
      </c>
    </row>
    <row r="4136" spans="2:3">
      <c r="B4136" s="189">
        <v>36462</v>
      </c>
      <c r="C4136">
        <v>6937.77</v>
      </c>
    </row>
    <row r="4137" spans="2:3">
      <c r="B4137" s="189">
        <v>36461</v>
      </c>
      <c r="C4137">
        <v>6902.83</v>
      </c>
    </row>
    <row r="4138" spans="2:3">
      <c r="B4138" s="189">
        <v>36460</v>
      </c>
      <c r="C4138">
        <v>6848.6</v>
      </c>
    </row>
    <row r="4139" spans="2:3">
      <c r="B4139" s="189">
        <v>36459</v>
      </c>
      <c r="C4139">
        <v>6868.96</v>
      </c>
    </row>
    <row r="4140" spans="2:3">
      <c r="B4140" s="189">
        <v>36458</v>
      </c>
      <c r="C4140">
        <v>6829.8</v>
      </c>
    </row>
    <row r="4141" spans="2:3">
      <c r="B4141" s="189">
        <v>36455</v>
      </c>
      <c r="C4141">
        <v>6834.19</v>
      </c>
    </row>
    <row r="4142" spans="2:3">
      <c r="B4142" s="189">
        <v>36454</v>
      </c>
      <c r="C4142">
        <v>6767.06</v>
      </c>
    </row>
    <row r="4143" spans="2:3">
      <c r="B4143" s="189">
        <v>36453</v>
      </c>
      <c r="C4143">
        <v>6865.92</v>
      </c>
    </row>
    <row r="4144" spans="2:3">
      <c r="B4144" s="189">
        <v>36452</v>
      </c>
      <c r="C4144">
        <v>6849.03</v>
      </c>
    </row>
    <row r="4145" spans="2:3">
      <c r="B4145" s="189">
        <v>36451</v>
      </c>
      <c r="C4145">
        <v>6792</v>
      </c>
    </row>
    <row r="4146" spans="2:3">
      <c r="B4146" s="189">
        <v>36448</v>
      </c>
      <c r="C4146">
        <v>6817.04</v>
      </c>
    </row>
    <row r="4147" spans="2:3">
      <c r="B4147" s="189">
        <v>36447</v>
      </c>
      <c r="C4147">
        <v>7005.91</v>
      </c>
    </row>
    <row r="4148" spans="2:3">
      <c r="B4148" s="189">
        <v>36446</v>
      </c>
      <c r="C4148">
        <v>7085.93</v>
      </c>
    </row>
    <row r="4149" spans="2:3">
      <c r="B4149" s="189">
        <v>36445</v>
      </c>
      <c r="C4149">
        <v>7182.02</v>
      </c>
    </row>
    <row r="4150" spans="2:3">
      <c r="B4150" s="189">
        <v>36444</v>
      </c>
      <c r="C4150">
        <v>7209.87</v>
      </c>
    </row>
    <row r="4151" spans="2:3">
      <c r="B4151" s="189">
        <v>36441</v>
      </c>
      <c r="C4151">
        <v>7160.2</v>
      </c>
    </row>
    <row r="4152" spans="2:3">
      <c r="B4152" s="189">
        <v>36440</v>
      </c>
      <c r="C4152">
        <v>7118.3</v>
      </c>
    </row>
    <row r="4153" spans="2:3">
      <c r="B4153" s="189">
        <v>36439</v>
      </c>
      <c r="C4153">
        <v>6983.18</v>
      </c>
    </row>
    <row r="4154" spans="2:3">
      <c r="B4154" s="189">
        <v>36438</v>
      </c>
      <c r="C4154">
        <v>6969.21</v>
      </c>
    </row>
    <row r="4155" spans="2:3">
      <c r="B4155" s="189">
        <v>36437</v>
      </c>
      <c r="C4155">
        <v>6877.81</v>
      </c>
    </row>
    <row r="4156" spans="2:3">
      <c r="B4156" s="189">
        <v>36434</v>
      </c>
      <c r="C4156">
        <v>6692.83</v>
      </c>
    </row>
    <row r="4157" spans="2:3">
      <c r="B4157" s="189">
        <v>36433</v>
      </c>
      <c r="C4157">
        <v>6625.25</v>
      </c>
    </row>
    <row r="4158" spans="2:3">
      <c r="B4158" s="189">
        <v>36432</v>
      </c>
      <c r="C4158">
        <v>6636.55</v>
      </c>
    </row>
    <row r="4159" spans="2:3">
      <c r="B4159" s="189">
        <v>36431</v>
      </c>
      <c r="C4159">
        <v>6652.77</v>
      </c>
    </row>
    <row r="4160" spans="2:3">
      <c r="B4160" s="189">
        <v>36430</v>
      </c>
      <c r="C4160">
        <v>6523.65</v>
      </c>
    </row>
    <row r="4161" spans="2:3">
      <c r="B4161" s="189">
        <v>36426</v>
      </c>
      <c r="C4161">
        <v>6372.86</v>
      </c>
    </row>
    <row r="4162" spans="2:3">
      <c r="B4162" s="189">
        <v>36425</v>
      </c>
      <c r="C4162">
        <v>6355.12</v>
      </c>
    </row>
    <row r="4163" spans="2:3">
      <c r="B4163" s="189">
        <v>36424</v>
      </c>
      <c r="C4163">
        <v>6366.62</v>
      </c>
    </row>
    <row r="4164" spans="2:3">
      <c r="B4164" s="189">
        <v>36423</v>
      </c>
      <c r="C4164">
        <v>6415.12</v>
      </c>
    </row>
    <row r="4165" spans="2:3">
      <c r="B4165" s="189">
        <v>36420</v>
      </c>
      <c r="C4165">
        <v>6421.85</v>
      </c>
    </row>
    <row r="4166" spans="2:3">
      <c r="B4166" s="189">
        <v>36419</v>
      </c>
      <c r="C4166">
        <v>6458.52</v>
      </c>
    </row>
    <row r="4167" spans="2:3">
      <c r="B4167" s="189">
        <v>36418</v>
      </c>
      <c r="C4167">
        <v>6546.25</v>
      </c>
    </row>
    <row r="4168" spans="2:3">
      <c r="B4168" s="189">
        <v>36417</v>
      </c>
      <c r="C4168">
        <v>6530.7</v>
      </c>
    </row>
    <row r="4169" spans="2:3">
      <c r="B4169" s="189">
        <v>36416</v>
      </c>
      <c r="C4169">
        <v>6453.73</v>
      </c>
    </row>
    <row r="4170" spans="2:3">
      <c r="B4170" s="189">
        <v>36413</v>
      </c>
      <c r="C4170">
        <v>6500.13</v>
      </c>
    </row>
    <row r="4171" spans="2:3">
      <c r="B4171" s="189">
        <v>36412</v>
      </c>
      <c r="C4171">
        <v>6527.12</v>
      </c>
    </row>
    <row r="4172" spans="2:3">
      <c r="B4172" s="189">
        <v>36411</v>
      </c>
      <c r="C4172">
        <v>6579.92</v>
      </c>
    </row>
    <row r="4173" spans="2:3">
      <c r="B4173" s="189">
        <v>36410</v>
      </c>
      <c r="C4173">
        <v>6644.6</v>
      </c>
    </row>
    <row r="4174" spans="2:3">
      <c r="B4174" s="189">
        <v>36409</v>
      </c>
      <c r="C4174">
        <v>6646.8</v>
      </c>
    </row>
    <row r="4175" spans="2:3">
      <c r="B4175" s="189">
        <v>36406</v>
      </c>
      <c r="C4175">
        <v>6638</v>
      </c>
    </row>
    <row r="4176" spans="2:3">
      <c r="B4176" s="189">
        <v>36405</v>
      </c>
      <c r="C4176">
        <v>6648.04</v>
      </c>
    </row>
    <row r="4177" spans="2:3">
      <c r="B4177" s="189">
        <v>36404</v>
      </c>
      <c r="C4177">
        <v>6699.07</v>
      </c>
    </row>
    <row r="4178" spans="2:3">
      <c r="B4178" s="189">
        <v>36403</v>
      </c>
      <c r="C4178">
        <v>6673.98</v>
      </c>
    </row>
    <row r="4179" spans="2:3">
      <c r="B4179" s="189">
        <v>36402</v>
      </c>
      <c r="C4179">
        <v>6752.3</v>
      </c>
    </row>
    <row r="4180" spans="2:3">
      <c r="B4180" s="189">
        <v>36399</v>
      </c>
      <c r="C4180">
        <v>6760.25</v>
      </c>
    </row>
    <row r="4181" spans="2:3">
      <c r="B4181" s="189">
        <v>36398</v>
      </c>
      <c r="C4181">
        <v>6761.33</v>
      </c>
    </row>
    <row r="4182" spans="2:3">
      <c r="B4182" s="189">
        <v>36397</v>
      </c>
      <c r="C4182">
        <v>6814.03</v>
      </c>
    </row>
    <row r="4183" spans="2:3">
      <c r="B4183" s="189">
        <v>36396</v>
      </c>
      <c r="C4183">
        <v>6808.95</v>
      </c>
    </row>
    <row r="4184" spans="2:3">
      <c r="B4184" s="189">
        <v>36395</v>
      </c>
      <c r="C4184">
        <v>6856.88</v>
      </c>
    </row>
    <row r="4185" spans="2:3">
      <c r="B4185" s="189">
        <v>36392</v>
      </c>
      <c r="C4185">
        <v>6853.97</v>
      </c>
    </row>
    <row r="4186" spans="2:3">
      <c r="B4186" s="189">
        <v>36391</v>
      </c>
      <c r="C4186">
        <v>6869.33</v>
      </c>
    </row>
    <row r="4187" spans="2:3">
      <c r="B4187" s="189">
        <v>36390</v>
      </c>
      <c r="C4187">
        <v>6943.83</v>
      </c>
    </row>
    <row r="4188" spans="2:3">
      <c r="B4188" s="189">
        <v>36389</v>
      </c>
      <c r="C4188">
        <v>6909.74</v>
      </c>
    </row>
    <row r="4189" spans="2:3">
      <c r="B4189" s="189">
        <v>36388</v>
      </c>
      <c r="C4189">
        <v>6933.51</v>
      </c>
    </row>
    <row r="4190" spans="2:3">
      <c r="B4190" s="189">
        <v>36385</v>
      </c>
      <c r="C4190">
        <v>6959.31</v>
      </c>
    </row>
    <row r="4191" spans="2:3">
      <c r="B4191" s="189">
        <v>36384</v>
      </c>
      <c r="C4191">
        <v>6966.53</v>
      </c>
    </row>
    <row r="4192" spans="2:3">
      <c r="B4192" s="189">
        <v>36383</v>
      </c>
      <c r="C4192">
        <v>6845.02</v>
      </c>
    </row>
    <row r="4193" spans="2:3">
      <c r="B4193" s="189">
        <v>36382</v>
      </c>
      <c r="C4193">
        <v>6832.08</v>
      </c>
    </row>
    <row r="4194" spans="2:3">
      <c r="B4194" s="189">
        <v>36378</v>
      </c>
      <c r="C4194">
        <v>6889.75</v>
      </c>
    </row>
    <row r="4195" spans="2:3">
      <c r="B4195" s="189">
        <v>36377</v>
      </c>
      <c r="C4195">
        <v>6924.5</v>
      </c>
    </row>
    <row r="4196" spans="2:3">
      <c r="B4196" s="189">
        <v>36376</v>
      </c>
      <c r="C4196">
        <v>6950.98</v>
      </c>
    </row>
    <row r="4197" spans="2:3">
      <c r="B4197" s="189">
        <v>36375</v>
      </c>
      <c r="C4197">
        <v>6861.85</v>
      </c>
    </row>
    <row r="4198" spans="2:3">
      <c r="B4198" s="189">
        <v>36374</v>
      </c>
      <c r="C4198">
        <v>6802.76</v>
      </c>
    </row>
    <row r="4199" spans="2:3">
      <c r="B4199" s="189">
        <v>36371</v>
      </c>
      <c r="C4199">
        <v>6831.69</v>
      </c>
    </row>
    <row r="4200" spans="2:3">
      <c r="B4200" s="189">
        <v>36370</v>
      </c>
      <c r="C4200">
        <v>6814.66</v>
      </c>
    </row>
    <row r="4201" spans="2:3">
      <c r="B4201" s="189">
        <v>36369</v>
      </c>
      <c r="C4201">
        <v>6830.24</v>
      </c>
    </row>
    <row r="4202" spans="2:3">
      <c r="B4202" s="189">
        <v>36368</v>
      </c>
      <c r="C4202">
        <v>6805.91</v>
      </c>
    </row>
    <row r="4203" spans="2:3">
      <c r="B4203" s="189">
        <v>36367</v>
      </c>
      <c r="C4203">
        <v>6796.19</v>
      </c>
    </row>
    <row r="4204" spans="2:3">
      <c r="B4204" s="189">
        <v>36364</v>
      </c>
      <c r="C4204">
        <v>6847.77</v>
      </c>
    </row>
    <row r="4205" spans="2:3">
      <c r="B4205" s="189">
        <v>36363</v>
      </c>
      <c r="C4205">
        <v>6801.54</v>
      </c>
    </row>
    <row r="4206" spans="2:3">
      <c r="B4206" s="189">
        <v>36362</v>
      </c>
      <c r="C4206">
        <v>6769.94</v>
      </c>
    </row>
    <row r="4207" spans="2:3">
      <c r="B4207" s="189">
        <v>36361</v>
      </c>
      <c r="C4207">
        <v>6814.95</v>
      </c>
    </row>
    <row r="4208" spans="2:3">
      <c r="B4208" s="189">
        <v>36360</v>
      </c>
      <c r="C4208">
        <v>6871.28</v>
      </c>
    </row>
    <row r="4209" spans="2:3">
      <c r="B4209" s="189">
        <v>36357</v>
      </c>
      <c r="C4209">
        <v>6861.14</v>
      </c>
    </row>
    <row r="4210" spans="2:3">
      <c r="B4210" s="189">
        <v>36356</v>
      </c>
      <c r="C4210">
        <v>6901.1</v>
      </c>
    </row>
    <row r="4211" spans="2:3">
      <c r="B4211" s="189">
        <v>36355</v>
      </c>
      <c r="C4211">
        <v>6902.08</v>
      </c>
    </row>
    <row r="4212" spans="2:3">
      <c r="B4212" s="189">
        <v>36354</v>
      </c>
      <c r="C4212">
        <v>6882.11</v>
      </c>
    </row>
    <row r="4213" spans="2:3">
      <c r="B4213" s="189">
        <v>36353</v>
      </c>
      <c r="C4213">
        <v>6968.03</v>
      </c>
    </row>
    <row r="4214" spans="2:3">
      <c r="B4214" s="189">
        <v>36350</v>
      </c>
      <c r="C4214">
        <v>6907.03</v>
      </c>
    </row>
    <row r="4215" spans="2:3">
      <c r="B4215" s="189">
        <v>36349</v>
      </c>
      <c r="C4215">
        <v>6912.73</v>
      </c>
    </row>
    <row r="4216" spans="2:3">
      <c r="B4216" s="189">
        <v>36348</v>
      </c>
      <c r="C4216">
        <v>6928.9</v>
      </c>
    </row>
    <row r="4217" spans="2:3">
      <c r="B4217" s="189">
        <v>36347</v>
      </c>
      <c r="C4217">
        <v>6965.57</v>
      </c>
    </row>
    <row r="4218" spans="2:3">
      <c r="B4218" s="189">
        <v>36346</v>
      </c>
      <c r="C4218">
        <v>7023.25</v>
      </c>
    </row>
    <row r="4219" spans="2:3">
      <c r="B4219" s="189">
        <v>36343</v>
      </c>
      <c r="C4219">
        <v>6908.13</v>
      </c>
    </row>
    <row r="4220" spans="2:3">
      <c r="B4220" s="189">
        <v>36342</v>
      </c>
      <c r="C4220">
        <v>6861.39</v>
      </c>
    </row>
    <row r="4221" spans="2:3">
      <c r="B4221" s="189">
        <v>36341</v>
      </c>
      <c r="C4221">
        <v>6738.2</v>
      </c>
    </row>
    <row r="4222" spans="2:3">
      <c r="B4222" s="189">
        <v>36340</v>
      </c>
      <c r="C4222">
        <v>6669.48</v>
      </c>
    </row>
    <row r="4223" spans="2:3">
      <c r="B4223" s="189">
        <v>36339</v>
      </c>
      <c r="C4223">
        <v>6686.12</v>
      </c>
    </row>
    <row r="4224" spans="2:3">
      <c r="B4224" s="189">
        <v>36336</v>
      </c>
      <c r="C4224">
        <v>6644.71</v>
      </c>
    </row>
    <row r="4225" spans="2:3">
      <c r="B4225" s="189">
        <v>36335</v>
      </c>
      <c r="C4225">
        <v>6659.33</v>
      </c>
    </row>
    <row r="4226" spans="2:3">
      <c r="B4226" s="189">
        <v>36334</v>
      </c>
      <c r="C4226">
        <v>6675.84</v>
      </c>
    </row>
    <row r="4227" spans="2:3">
      <c r="B4227" s="189">
        <v>36333</v>
      </c>
      <c r="C4227">
        <v>6733.83</v>
      </c>
    </row>
    <row r="4228" spans="2:3">
      <c r="B4228" s="189">
        <v>36332</v>
      </c>
      <c r="C4228">
        <v>6777.77</v>
      </c>
    </row>
    <row r="4229" spans="2:3">
      <c r="B4229" s="189">
        <v>36329</v>
      </c>
      <c r="C4229">
        <v>6693.42</v>
      </c>
    </row>
    <row r="4230" spans="2:3">
      <c r="B4230" s="189">
        <v>36328</v>
      </c>
      <c r="C4230">
        <v>6678.44</v>
      </c>
    </row>
    <row r="4231" spans="2:3">
      <c r="B4231" s="189">
        <v>36326</v>
      </c>
      <c r="C4231">
        <v>6669.96</v>
      </c>
    </row>
    <row r="4232" spans="2:3">
      <c r="B4232" s="189">
        <v>36325</v>
      </c>
      <c r="C4232">
        <v>6670.94</v>
      </c>
    </row>
    <row r="4233" spans="2:3">
      <c r="B4233" s="189">
        <v>36322</v>
      </c>
      <c r="C4233">
        <v>6684.86</v>
      </c>
    </row>
    <row r="4234" spans="2:3">
      <c r="B4234" s="189">
        <v>36321</v>
      </c>
      <c r="C4234">
        <v>6618.35</v>
      </c>
    </row>
    <row r="4235" spans="2:3">
      <c r="B4235" s="189">
        <v>36320</v>
      </c>
      <c r="C4235">
        <v>6611.75</v>
      </c>
    </row>
    <row r="4236" spans="2:3">
      <c r="B4236" s="189">
        <v>36319</v>
      </c>
      <c r="C4236">
        <v>6590.07</v>
      </c>
    </row>
    <row r="4237" spans="2:3">
      <c r="B4237" s="189">
        <v>36318</v>
      </c>
      <c r="C4237">
        <v>6565.75</v>
      </c>
    </row>
    <row r="4238" spans="2:3">
      <c r="B4238" s="189">
        <v>36315</v>
      </c>
      <c r="C4238">
        <v>6442.06</v>
      </c>
    </row>
    <row r="4239" spans="2:3">
      <c r="B4239" s="189">
        <v>36314</v>
      </c>
      <c r="C4239">
        <v>6454.1</v>
      </c>
    </row>
    <row r="4240" spans="2:3">
      <c r="B4240" s="189">
        <v>36312</v>
      </c>
      <c r="C4240">
        <v>6339.63</v>
      </c>
    </row>
    <row r="4241" spans="2:3">
      <c r="B4241" s="189">
        <v>36311</v>
      </c>
      <c r="C4241">
        <v>6159.88</v>
      </c>
    </row>
    <row r="4242" spans="2:3">
      <c r="B4242" s="189">
        <v>36308</v>
      </c>
      <c r="C4242">
        <v>6152.77</v>
      </c>
    </row>
    <row r="4243" spans="2:3">
      <c r="B4243" s="189">
        <v>36307</v>
      </c>
      <c r="C4243">
        <v>6152.35</v>
      </c>
    </row>
    <row r="4244" spans="2:3">
      <c r="B4244" s="189">
        <v>36306</v>
      </c>
      <c r="C4244">
        <v>6228.34</v>
      </c>
    </row>
    <row r="4245" spans="2:3">
      <c r="B4245" s="189">
        <v>36305</v>
      </c>
      <c r="C4245">
        <v>6282.72</v>
      </c>
    </row>
    <row r="4246" spans="2:3">
      <c r="B4246" s="189">
        <v>36304</v>
      </c>
      <c r="C4246">
        <v>6342.91</v>
      </c>
    </row>
    <row r="4247" spans="2:3">
      <c r="B4247" s="189">
        <v>36301</v>
      </c>
      <c r="C4247">
        <v>6385.14</v>
      </c>
    </row>
    <row r="4248" spans="2:3">
      <c r="B4248" s="189">
        <v>36300</v>
      </c>
      <c r="C4248">
        <v>6305.08</v>
      </c>
    </row>
    <row r="4249" spans="2:3">
      <c r="B4249" s="189">
        <v>36299</v>
      </c>
      <c r="C4249">
        <v>6283.28</v>
      </c>
    </row>
    <row r="4250" spans="2:3">
      <c r="B4250" s="189">
        <v>36298</v>
      </c>
      <c r="C4250">
        <v>6307.4</v>
      </c>
    </row>
    <row r="4251" spans="2:3">
      <c r="B4251" s="189">
        <v>36297</v>
      </c>
      <c r="C4251">
        <v>6252.97</v>
      </c>
    </row>
    <row r="4252" spans="2:3">
      <c r="B4252" s="189">
        <v>36294</v>
      </c>
      <c r="C4252">
        <v>6351.34</v>
      </c>
    </row>
    <row r="4253" spans="2:3">
      <c r="B4253" s="189">
        <v>36293</v>
      </c>
      <c r="C4253">
        <v>6407.46</v>
      </c>
    </row>
    <row r="4254" spans="2:3">
      <c r="B4254" s="189">
        <v>36292</v>
      </c>
      <c r="C4254">
        <v>6390.7</v>
      </c>
    </row>
    <row r="4255" spans="2:3">
      <c r="B4255" s="189">
        <v>36291</v>
      </c>
      <c r="C4255">
        <v>6478.68</v>
      </c>
    </row>
    <row r="4256" spans="2:3">
      <c r="B4256" s="189">
        <v>36290</v>
      </c>
      <c r="C4256">
        <v>6483.28</v>
      </c>
    </row>
    <row r="4257" spans="2:3">
      <c r="B4257" s="189">
        <v>36287</v>
      </c>
      <c r="C4257">
        <v>6513.91</v>
      </c>
    </row>
    <row r="4258" spans="2:3">
      <c r="B4258" s="189">
        <v>36286</v>
      </c>
      <c r="C4258">
        <v>6566.47</v>
      </c>
    </row>
    <row r="4259" spans="2:3">
      <c r="B4259" s="189">
        <v>36285</v>
      </c>
      <c r="C4259">
        <v>6525.29</v>
      </c>
    </row>
    <row r="4260" spans="2:3">
      <c r="B4260" s="189">
        <v>36284</v>
      </c>
      <c r="C4260">
        <v>6642.45</v>
      </c>
    </row>
    <row r="4261" spans="2:3">
      <c r="B4261" s="189">
        <v>36283</v>
      </c>
      <c r="C4261">
        <v>6632.6</v>
      </c>
    </row>
    <row r="4262" spans="2:3">
      <c r="B4262" s="189">
        <v>36280</v>
      </c>
      <c r="C4262">
        <v>6695.39</v>
      </c>
    </row>
    <row r="4263" spans="2:3">
      <c r="B4263" s="189">
        <v>36279</v>
      </c>
      <c r="C4263">
        <v>6586.17</v>
      </c>
    </row>
    <row r="4264" spans="2:3">
      <c r="B4264" s="189">
        <v>36278</v>
      </c>
      <c r="C4264">
        <v>6542.98</v>
      </c>
    </row>
    <row r="4265" spans="2:3">
      <c r="B4265" s="189">
        <v>36276</v>
      </c>
      <c r="C4265">
        <v>6424.06</v>
      </c>
    </row>
    <row r="4266" spans="2:3">
      <c r="B4266" s="189">
        <v>36273</v>
      </c>
      <c r="C4266">
        <v>6392.94</v>
      </c>
    </row>
    <row r="4267" spans="2:3">
      <c r="B4267" s="189">
        <v>36272</v>
      </c>
      <c r="C4267">
        <v>6344.86</v>
      </c>
    </row>
    <row r="4268" spans="2:3">
      <c r="B4268" s="189">
        <v>36271</v>
      </c>
      <c r="C4268">
        <v>6394.74</v>
      </c>
    </row>
    <row r="4269" spans="2:3">
      <c r="B4269" s="189">
        <v>36270</v>
      </c>
      <c r="C4269">
        <v>6546.59</v>
      </c>
    </row>
    <row r="4270" spans="2:3">
      <c r="B4270" s="189">
        <v>36269</v>
      </c>
      <c r="C4270">
        <v>6619.84</v>
      </c>
    </row>
    <row r="4271" spans="2:3">
      <c r="B4271" s="189">
        <v>36266</v>
      </c>
      <c r="C4271">
        <v>6556.85</v>
      </c>
    </row>
    <row r="4272" spans="2:3">
      <c r="B4272" s="189">
        <v>36265</v>
      </c>
      <c r="C4272">
        <v>6411.39</v>
      </c>
    </row>
    <row r="4273" spans="2:3">
      <c r="B4273" s="189">
        <v>36264</v>
      </c>
      <c r="C4273">
        <v>6281.75</v>
      </c>
    </row>
    <row r="4274" spans="2:3">
      <c r="B4274" s="189">
        <v>36263</v>
      </c>
      <c r="C4274">
        <v>6210.9</v>
      </c>
    </row>
    <row r="4275" spans="2:3">
      <c r="B4275" s="189">
        <v>36262</v>
      </c>
      <c r="C4275">
        <v>6107.99</v>
      </c>
    </row>
    <row r="4276" spans="2:3">
      <c r="B4276" s="189">
        <v>36259</v>
      </c>
      <c r="C4276">
        <v>6088.99</v>
      </c>
    </row>
    <row r="4277" spans="2:3">
      <c r="B4277" s="189">
        <v>36258</v>
      </c>
      <c r="C4277">
        <v>6019.65</v>
      </c>
    </row>
    <row r="4278" spans="2:3">
      <c r="B4278" s="189">
        <v>36257</v>
      </c>
      <c r="C4278">
        <v>6016.54</v>
      </c>
    </row>
    <row r="4279" spans="2:3">
      <c r="B4279" s="189">
        <v>36256</v>
      </c>
      <c r="C4279">
        <v>6015.27</v>
      </c>
    </row>
    <row r="4280" spans="2:3">
      <c r="B4280" s="189">
        <v>36251</v>
      </c>
      <c r="C4280">
        <v>6006.54</v>
      </c>
    </row>
    <row r="4281" spans="2:3">
      <c r="B4281" s="189">
        <v>36250</v>
      </c>
      <c r="C4281">
        <v>5986.94</v>
      </c>
    </row>
    <row r="4282" spans="2:3">
      <c r="B4282" s="189">
        <v>36249</v>
      </c>
      <c r="C4282">
        <v>6029.73</v>
      </c>
    </row>
    <row r="4283" spans="2:3">
      <c r="B4283" s="189">
        <v>36248</v>
      </c>
      <c r="C4283">
        <v>6045.52</v>
      </c>
    </row>
    <row r="4284" spans="2:3">
      <c r="B4284" s="189">
        <v>36245</v>
      </c>
      <c r="C4284">
        <v>6060.51</v>
      </c>
    </row>
    <row r="4285" spans="2:3">
      <c r="B4285" s="189">
        <v>36244</v>
      </c>
      <c r="C4285">
        <v>6123.59</v>
      </c>
    </row>
    <row r="4286" spans="2:3">
      <c r="B4286" s="189">
        <v>36243</v>
      </c>
      <c r="C4286">
        <v>6073.75</v>
      </c>
    </row>
    <row r="4287" spans="2:3">
      <c r="B4287" s="189">
        <v>36242</v>
      </c>
      <c r="C4287">
        <v>6150.93</v>
      </c>
    </row>
    <row r="4288" spans="2:3">
      <c r="B4288" s="189">
        <v>36238</v>
      </c>
      <c r="C4288">
        <v>6185.88</v>
      </c>
    </row>
    <row r="4289" spans="2:3">
      <c r="B4289" s="189">
        <v>36237</v>
      </c>
      <c r="C4289">
        <v>6094.01</v>
      </c>
    </row>
    <row r="4290" spans="2:3">
      <c r="B4290" s="189">
        <v>36236</v>
      </c>
      <c r="C4290">
        <v>6124.44</v>
      </c>
    </row>
    <row r="4291" spans="2:3">
      <c r="B4291" s="189">
        <v>36235</v>
      </c>
      <c r="C4291">
        <v>6104.68</v>
      </c>
    </row>
    <row r="4292" spans="2:3">
      <c r="B4292" s="189">
        <v>36234</v>
      </c>
      <c r="C4292">
        <v>6005.35</v>
      </c>
    </row>
    <row r="4293" spans="2:3">
      <c r="B4293" s="189">
        <v>36231</v>
      </c>
      <c r="C4293">
        <v>6033.53</v>
      </c>
    </row>
    <row r="4294" spans="2:3">
      <c r="B4294" s="189">
        <v>36230</v>
      </c>
      <c r="C4294">
        <v>5969.48</v>
      </c>
    </row>
    <row r="4295" spans="2:3">
      <c r="B4295" s="189">
        <v>36229</v>
      </c>
      <c r="C4295">
        <v>5882.48</v>
      </c>
    </row>
    <row r="4296" spans="2:3">
      <c r="B4296" s="189">
        <v>36228</v>
      </c>
      <c r="C4296">
        <v>5896.19</v>
      </c>
    </row>
    <row r="4297" spans="2:3">
      <c r="B4297" s="189">
        <v>36227</v>
      </c>
      <c r="C4297">
        <v>5898.4</v>
      </c>
    </row>
    <row r="4298" spans="2:3">
      <c r="B4298" s="189">
        <v>36224</v>
      </c>
      <c r="C4298">
        <v>5848.43</v>
      </c>
    </row>
    <row r="4299" spans="2:3">
      <c r="B4299" s="189">
        <v>36223</v>
      </c>
      <c r="C4299">
        <v>5765.98</v>
      </c>
    </row>
    <row r="4300" spans="2:3">
      <c r="B4300" s="189">
        <v>36222</v>
      </c>
      <c r="C4300">
        <v>5726.79</v>
      </c>
    </row>
    <row r="4301" spans="2:3">
      <c r="B4301" s="189">
        <v>36221</v>
      </c>
      <c r="C4301">
        <v>5624.92</v>
      </c>
    </row>
    <row r="4302" spans="2:3">
      <c r="B4302" s="189">
        <v>36220</v>
      </c>
      <c r="C4302">
        <v>5595.54</v>
      </c>
    </row>
    <row r="4303" spans="2:3">
      <c r="B4303" s="189">
        <v>36217</v>
      </c>
      <c r="C4303">
        <v>5557.48</v>
      </c>
    </row>
    <row r="4304" spans="2:3">
      <c r="B4304" s="189">
        <v>36216</v>
      </c>
      <c r="C4304">
        <v>5585.41</v>
      </c>
    </row>
    <row r="4305" spans="2:3">
      <c r="B4305" s="189">
        <v>36215</v>
      </c>
      <c r="C4305">
        <v>5582.23</v>
      </c>
    </row>
    <row r="4306" spans="2:3">
      <c r="B4306" s="189">
        <v>36214</v>
      </c>
      <c r="C4306">
        <v>5583.04</v>
      </c>
    </row>
    <row r="4307" spans="2:3">
      <c r="B4307" s="189">
        <v>36213</v>
      </c>
      <c r="C4307">
        <v>5543.52</v>
      </c>
    </row>
    <row r="4308" spans="2:3">
      <c r="B4308" s="189">
        <v>36210</v>
      </c>
      <c r="C4308">
        <v>5515.57</v>
      </c>
    </row>
    <row r="4309" spans="2:3">
      <c r="B4309" s="189">
        <v>36209</v>
      </c>
      <c r="C4309">
        <v>5548.04</v>
      </c>
    </row>
    <row r="4310" spans="2:3">
      <c r="B4310" s="189">
        <v>36208</v>
      </c>
      <c r="C4310">
        <v>5516.36</v>
      </c>
    </row>
    <row r="4311" spans="2:3">
      <c r="B4311" s="189">
        <v>36207</v>
      </c>
      <c r="C4311">
        <v>5543.99</v>
      </c>
    </row>
    <row r="4312" spans="2:3">
      <c r="B4312" s="189">
        <v>36206</v>
      </c>
      <c r="C4312">
        <v>5548.28</v>
      </c>
    </row>
    <row r="4313" spans="2:3">
      <c r="B4313" s="189">
        <v>36203</v>
      </c>
      <c r="C4313">
        <v>5573.45</v>
      </c>
    </row>
    <row r="4314" spans="2:3">
      <c r="B4314" s="189">
        <v>36202</v>
      </c>
      <c r="C4314">
        <v>5524.98</v>
      </c>
    </row>
    <row r="4315" spans="2:3">
      <c r="B4315" s="189">
        <v>36201</v>
      </c>
      <c r="C4315">
        <v>5468.17</v>
      </c>
    </row>
    <row r="4316" spans="2:3">
      <c r="B4316" s="189">
        <v>36200</v>
      </c>
      <c r="C4316">
        <v>5513.34</v>
      </c>
    </row>
    <row r="4317" spans="2:3">
      <c r="B4317" s="189">
        <v>36199</v>
      </c>
      <c r="C4317">
        <v>5524.47</v>
      </c>
    </row>
    <row r="4318" spans="2:3">
      <c r="B4318" s="189">
        <v>36196</v>
      </c>
      <c r="C4318">
        <v>5469.3</v>
      </c>
    </row>
    <row r="4319" spans="2:3">
      <c r="B4319" s="189">
        <v>36195</v>
      </c>
      <c r="C4319">
        <v>5444.29</v>
      </c>
    </row>
    <row r="4320" spans="2:3">
      <c r="B4320" s="189">
        <v>36194</v>
      </c>
      <c r="C4320">
        <v>5395.76</v>
      </c>
    </row>
    <row r="4321" spans="2:3">
      <c r="B4321" s="189">
        <v>36193</v>
      </c>
      <c r="C4321">
        <v>5422.91</v>
      </c>
    </row>
    <row r="4322" spans="2:3">
      <c r="B4322" s="189">
        <v>36192</v>
      </c>
      <c r="C4322">
        <v>5460.73</v>
      </c>
    </row>
    <row r="4323" spans="2:3">
      <c r="B4323" s="189">
        <v>36189</v>
      </c>
      <c r="C4323">
        <v>5427.55</v>
      </c>
    </row>
    <row r="4324" spans="2:3">
      <c r="B4324" s="189">
        <v>36188</v>
      </c>
      <c r="C4324">
        <v>5404.77</v>
      </c>
    </row>
    <row r="4325" spans="2:3">
      <c r="B4325" s="189">
        <v>36187</v>
      </c>
      <c r="C4325">
        <v>5351.47</v>
      </c>
    </row>
    <row r="4326" spans="2:3">
      <c r="B4326" s="189">
        <v>36186</v>
      </c>
      <c r="C4326">
        <v>5241.8100000000004</v>
      </c>
    </row>
    <row r="4327" spans="2:3">
      <c r="B4327" s="189">
        <v>36185</v>
      </c>
      <c r="C4327">
        <v>5222.97</v>
      </c>
    </row>
    <row r="4328" spans="2:3">
      <c r="B4328" s="189">
        <v>36182</v>
      </c>
      <c r="C4328">
        <v>5227.6400000000003</v>
      </c>
    </row>
    <row r="4329" spans="2:3">
      <c r="B4329" s="189">
        <v>36181</v>
      </c>
      <c r="C4329">
        <v>5307.33</v>
      </c>
    </row>
    <row r="4330" spans="2:3">
      <c r="B4330" s="189">
        <v>36180</v>
      </c>
      <c r="C4330">
        <v>5358.22</v>
      </c>
    </row>
    <row r="4331" spans="2:3">
      <c r="B4331" s="189">
        <v>36179</v>
      </c>
      <c r="C4331">
        <v>5383.13</v>
      </c>
    </row>
    <row r="4332" spans="2:3">
      <c r="B4332" s="189">
        <v>36178</v>
      </c>
      <c r="C4332">
        <v>5347.79</v>
      </c>
    </row>
    <row r="4333" spans="2:3">
      <c r="B4333" s="189">
        <v>36175</v>
      </c>
      <c r="C4333">
        <v>5245.15</v>
      </c>
    </row>
    <row r="4334" spans="2:3">
      <c r="B4334" s="189">
        <v>36174</v>
      </c>
      <c r="C4334">
        <v>5295.04</v>
      </c>
    </row>
    <row r="4335" spans="2:3">
      <c r="B4335" s="189">
        <v>36173</v>
      </c>
      <c r="C4335">
        <v>5241.3500000000004</v>
      </c>
    </row>
    <row r="4336" spans="2:3">
      <c r="B4336" s="189">
        <v>36172</v>
      </c>
      <c r="C4336">
        <v>5473.01</v>
      </c>
    </row>
    <row r="4337" spans="2:3">
      <c r="B4337" s="189">
        <v>36171</v>
      </c>
      <c r="C4337">
        <v>5483.8</v>
      </c>
    </row>
    <row r="4338" spans="2:3">
      <c r="B4338" s="189">
        <v>36168</v>
      </c>
      <c r="C4338">
        <v>5410.31</v>
      </c>
    </row>
    <row r="4339" spans="2:3">
      <c r="B4339" s="189">
        <v>36167</v>
      </c>
      <c r="C4339">
        <v>5315.67</v>
      </c>
    </row>
    <row r="4340" spans="2:3">
      <c r="B4340" s="189">
        <v>36166</v>
      </c>
      <c r="C4340">
        <v>5264.59</v>
      </c>
    </row>
    <row r="4341" spans="2:3">
      <c r="B4341" s="189">
        <v>36165</v>
      </c>
      <c r="C4341">
        <v>5015.76</v>
      </c>
    </row>
    <row r="4342" spans="2:3">
      <c r="B4342" s="189">
        <v>36164</v>
      </c>
      <c r="C4342">
        <v>4998.75</v>
      </c>
    </row>
    <row r="4343" spans="2:3">
      <c r="B4343" s="189">
        <v>36160</v>
      </c>
      <c r="C4343">
        <v>5025.8500000000004</v>
      </c>
    </row>
    <row r="4344" spans="2:3">
      <c r="B4344" s="189">
        <v>36159</v>
      </c>
      <c r="C4344">
        <v>5044.3500000000004</v>
      </c>
    </row>
    <row r="4345" spans="2:3">
      <c r="B4345" s="189">
        <v>36158</v>
      </c>
      <c r="C4345">
        <v>5014.07</v>
      </c>
    </row>
    <row r="4346" spans="2:3">
      <c r="B4346" s="189">
        <v>36157</v>
      </c>
      <c r="C4346">
        <v>4980.3900000000003</v>
      </c>
    </row>
    <row r="4347" spans="2:3">
      <c r="B4347" s="189">
        <v>36153</v>
      </c>
      <c r="C4347">
        <v>4870.43</v>
      </c>
    </row>
    <row r="4348" spans="2:3">
      <c r="B4348" s="189">
        <v>36152</v>
      </c>
      <c r="C4348">
        <v>4815.68</v>
      </c>
    </row>
    <row r="4349" spans="2:3">
      <c r="B4349" s="189">
        <v>36151</v>
      </c>
      <c r="C4349">
        <v>4820.76</v>
      </c>
    </row>
    <row r="4350" spans="2:3">
      <c r="B4350" s="189">
        <v>36150</v>
      </c>
      <c r="C4350">
        <v>4802.6400000000003</v>
      </c>
    </row>
    <row r="4351" spans="2:3">
      <c r="B4351" s="189">
        <v>36147</v>
      </c>
      <c r="C4351">
        <v>4763.47</v>
      </c>
    </row>
    <row r="4352" spans="2:3">
      <c r="B4352" s="189">
        <v>36146</v>
      </c>
      <c r="C4352">
        <v>4785.55</v>
      </c>
    </row>
    <row r="4353" spans="2:3">
      <c r="B4353" s="189">
        <v>36144</v>
      </c>
      <c r="C4353">
        <v>4822.3999999999996</v>
      </c>
    </row>
    <row r="4354" spans="2:3">
      <c r="B4354" s="189">
        <v>36143</v>
      </c>
      <c r="C4354">
        <v>4809.58</v>
      </c>
    </row>
    <row r="4355" spans="2:3">
      <c r="B4355" s="189">
        <v>36140</v>
      </c>
      <c r="C4355">
        <v>4858.04</v>
      </c>
    </row>
    <row r="4356" spans="2:3">
      <c r="B4356" s="189">
        <v>36139</v>
      </c>
      <c r="C4356">
        <v>4885.28</v>
      </c>
    </row>
    <row r="4357" spans="2:3">
      <c r="B4357" s="189">
        <v>36138</v>
      </c>
      <c r="C4357">
        <v>4875.1400000000003</v>
      </c>
    </row>
    <row r="4358" spans="2:3">
      <c r="B4358" s="189">
        <v>36137</v>
      </c>
      <c r="C4358">
        <v>4853.67</v>
      </c>
    </row>
    <row r="4359" spans="2:3">
      <c r="B4359" s="189">
        <v>36136</v>
      </c>
      <c r="C4359">
        <v>4886.1899999999996</v>
      </c>
    </row>
    <row r="4360" spans="2:3">
      <c r="B4360" s="189">
        <v>36133</v>
      </c>
      <c r="C4360">
        <v>4848.8599999999997</v>
      </c>
    </row>
    <row r="4361" spans="2:3">
      <c r="B4361" s="189">
        <v>36132</v>
      </c>
      <c r="C4361">
        <v>4938.54</v>
      </c>
    </row>
    <row r="4362" spans="2:3">
      <c r="B4362" s="189">
        <v>36131</v>
      </c>
      <c r="C4362">
        <v>5014.1400000000003</v>
      </c>
    </row>
    <row r="4363" spans="2:3">
      <c r="B4363" s="189">
        <v>36130</v>
      </c>
      <c r="C4363">
        <v>5001.03</v>
      </c>
    </row>
    <row r="4364" spans="2:3">
      <c r="B4364" s="189">
        <v>36129</v>
      </c>
      <c r="C4364">
        <v>5202.07</v>
      </c>
    </row>
    <row r="4365" spans="2:3">
      <c r="B4365" s="189">
        <v>36126</v>
      </c>
      <c r="C4365">
        <v>5224.62</v>
      </c>
    </row>
    <row r="4366" spans="2:3">
      <c r="B4366" s="189">
        <v>36125</v>
      </c>
      <c r="C4366">
        <v>5263.62</v>
      </c>
    </row>
    <row r="4367" spans="2:3">
      <c r="B4367" s="189">
        <v>36124</v>
      </c>
      <c r="C4367">
        <v>5258.36</v>
      </c>
    </row>
    <row r="4368" spans="2:3">
      <c r="B4368" s="189">
        <v>36123</v>
      </c>
      <c r="C4368">
        <v>5310.62</v>
      </c>
    </row>
    <row r="4369" spans="2:3">
      <c r="B4369" s="189">
        <v>36122</v>
      </c>
      <c r="C4369">
        <v>5365.68</v>
      </c>
    </row>
    <row r="4370" spans="2:3">
      <c r="B4370" s="189">
        <v>36119</v>
      </c>
      <c r="C4370">
        <v>5319.67</v>
      </c>
    </row>
    <row r="4371" spans="2:3">
      <c r="B4371" s="189">
        <v>36118</v>
      </c>
      <c r="C4371">
        <v>5278.39</v>
      </c>
    </row>
    <row r="4372" spans="2:3">
      <c r="B4372" s="189">
        <v>36117</v>
      </c>
      <c r="C4372">
        <v>5251.5</v>
      </c>
    </row>
    <row r="4373" spans="2:3">
      <c r="B4373" s="189">
        <v>36116</v>
      </c>
      <c r="C4373">
        <v>5278.62</v>
      </c>
    </row>
    <row r="4374" spans="2:3">
      <c r="B4374" s="189">
        <v>36115</v>
      </c>
      <c r="C4374">
        <v>5296.61</v>
      </c>
    </row>
    <row r="4375" spans="2:3">
      <c r="B4375" s="189">
        <v>36112</v>
      </c>
      <c r="C4375">
        <v>5273.1</v>
      </c>
    </row>
    <row r="4376" spans="2:3">
      <c r="B4376" s="189">
        <v>36111</v>
      </c>
      <c r="C4376">
        <v>5271.73</v>
      </c>
    </row>
    <row r="4377" spans="2:3">
      <c r="B4377" s="189">
        <v>36110</v>
      </c>
      <c r="C4377">
        <v>5356.15</v>
      </c>
    </row>
    <row r="4378" spans="2:3">
      <c r="B4378" s="189">
        <v>36109</v>
      </c>
      <c r="C4378">
        <v>5317.48</v>
      </c>
    </row>
    <row r="4379" spans="2:3">
      <c r="B4379" s="189">
        <v>36108</v>
      </c>
      <c r="C4379">
        <v>5433.11</v>
      </c>
    </row>
    <row r="4380" spans="2:3">
      <c r="B4380" s="189">
        <v>36105</v>
      </c>
      <c r="C4380">
        <v>5524.49</v>
      </c>
    </row>
    <row r="4381" spans="2:3">
      <c r="B4381" s="189">
        <v>36104</v>
      </c>
      <c r="C4381">
        <v>5532.02</v>
      </c>
    </row>
    <row r="4382" spans="2:3">
      <c r="B4382" s="189">
        <v>36103</v>
      </c>
      <c r="C4382">
        <v>5577.74</v>
      </c>
    </row>
    <row r="4383" spans="2:3">
      <c r="B4383" s="189">
        <v>36102</v>
      </c>
      <c r="C4383">
        <v>5479.9</v>
      </c>
    </row>
    <row r="4384" spans="2:3">
      <c r="B4384" s="189">
        <v>36101</v>
      </c>
      <c r="C4384">
        <v>5489.85</v>
      </c>
    </row>
    <row r="4385" spans="2:3">
      <c r="B4385" s="189">
        <v>36098</v>
      </c>
      <c r="C4385">
        <v>5357.66</v>
      </c>
    </row>
    <row r="4386" spans="2:3">
      <c r="B4386" s="189">
        <v>36097</v>
      </c>
      <c r="C4386">
        <v>5274.49</v>
      </c>
    </row>
    <row r="4387" spans="2:3">
      <c r="B4387" s="189">
        <v>36096</v>
      </c>
      <c r="C4387">
        <v>5234.97</v>
      </c>
    </row>
    <row r="4388" spans="2:3">
      <c r="B4388" s="189">
        <v>36095</v>
      </c>
      <c r="C4388">
        <v>5265.43</v>
      </c>
    </row>
    <row r="4389" spans="2:3">
      <c r="B4389" s="189">
        <v>36094</v>
      </c>
      <c r="C4389">
        <v>5163.3900000000003</v>
      </c>
    </row>
    <row r="4390" spans="2:3">
      <c r="B4390" s="189">
        <v>36091</v>
      </c>
      <c r="C4390">
        <v>5150.58</v>
      </c>
    </row>
    <row r="4391" spans="2:3">
      <c r="B4391" s="189">
        <v>36090</v>
      </c>
      <c r="C4391">
        <v>5204.82</v>
      </c>
    </row>
    <row r="4392" spans="2:3">
      <c r="B4392" s="189">
        <v>36089</v>
      </c>
      <c r="C4392">
        <v>5250.99</v>
      </c>
    </row>
    <row r="4393" spans="2:3">
      <c r="B4393" s="189">
        <v>36088</v>
      </c>
      <c r="C4393">
        <v>5295.32</v>
      </c>
    </row>
    <row r="4394" spans="2:3">
      <c r="B4394" s="189">
        <v>36087</v>
      </c>
      <c r="C4394">
        <v>5149.0200000000004</v>
      </c>
    </row>
    <row r="4395" spans="2:3">
      <c r="B4395" s="189">
        <v>36084</v>
      </c>
      <c r="C4395">
        <v>5197.9399999999996</v>
      </c>
    </row>
    <row r="4396" spans="2:3">
      <c r="B4396" s="189">
        <v>36083</v>
      </c>
      <c r="C4396">
        <v>4920.4799999999996</v>
      </c>
    </row>
    <row r="4397" spans="2:3">
      <c r="B4397" s="189">
        <v>36082</v>
      </c>
      <c r="C4397">
        <v>4832.3100000000004</v>
      </c>
    </row>
    <row r="4398" spans="2:3">
      <c r="B4398" s="189">
        <v>36081</v>
      </c>
      <c r="C4398">
        <v>4752.3100000000004</v>
      </c>
    </row>
    <row r="4399" spans="2:3">
      <c r="B4399" s="189">
        <v>36080</v>
      </c>
      <c r="C4399">
        <v>4768.1000000000004</v>
      </c>
    </row>
    <row r="4400" spans="2:3">
      <c r="B4400" s="189">
        <v>36077</v>
      </c>
      <c r="C4400">
        <v>4614.8500000000004</v>
      </c>
    </row>
    <row r="4401" spans="2:3">
      <c r="B4401" s="189">
        <v>36076</v>
      </c>
      <c r="C4401">
        <v>4550.2299999999996</v>
      </c>
    </row>
    <row r="4402" spans="2:3">
      <c r="B4402" s="189">
        <v>36075</v>
      </c>
      <c r="C4402">
        <v>4692.17</v>
      </c>
    </row>
    <row r="4403" spans="2:3">
      <c r="B4403" s="189">
        <v>36074</v>
      </c>
      <c r="C4403">
        <v>4711.04</v>
      </c>
    </row>
    <row r="4404" spans="2:3">
      <c r="B4404" s="189">
        <v>36073</v>
      </c>
      <c r="C4404">
        <v>4611.93</v>
      </c>
    </row>
    <row r="4405" spans="2:3">
      <c r="B4405" s="189">
        <v>36070</v>
      </c>
      <c r="C4405">
        <v>4551.7299999999996</v>
      </c>
    </row>
    <row r="4406" spans="2:3">
      <c r="B4406" s="189">
        <v>36069</v>
      </c>
      <c r="C4406">
        <v>4518.79</v>
      </c>
    </row>
    <row r="4407" spans="2:3">
      <c r="B4407" s="189">
        <v>36068</v>
      </c>
      <c r="C4407">
        <v>4695.37</v>
      </c>
    </row>
    <row r="4408" spans="2:3">
      <c r="B4408" s="189">
        <v>36067</v>
      </c>
      <c r="C4408">
        <v>4793.18</v>
      </c>
    </row>
    <row r="4409" spans="2:3">
      <c r="B4409" s="189">
        <v>36066</v>
      </c>
      <c r="C4409">
        <v>4902.63</v>
      </c>
    </row>
    <row r="4410" spans="2:3">
      <c r="B4410" s="189">
        <v>36063</v>
      </c>
      <c r="C4410">
        <v>4740.78</v>
      </c>
    </row>
    <row r="4411" spans="2:3">
      <c r="B4411" s="189">
        <v>36061</v>
      </c>
      <c r="C4411">
        <v>4688.1899999999996</v>
      </c>
    </row>
    <row r="4412" spans="2:3">
      <c r="B4412" s="189">
        <v>36060</v>
      </c>
      <c r="C4412">
        <v>4522.12</v>
      </c>
    </row>
    <row r="4413" spans="2:3">
      <c r="B4413" s="189">
        <v>36059</v>
      </c>
      <c r="C4413">
        <v>4354.9399999999996</v>
      </c>
    </row>
    <row r="4414" spans="2:3">
      <c r="B4414" s="189">
        <v>36056</v>
      </c>
      <c r="C4414">
        <v>4454.34</v>
      </c>
    </row>
    <row r="4415" spans="2:3">
      <c r="B4415" s="189">
        <v>36055</v>
      </c>
      <c r="C4415">
        <v>4482.07</v>
      </c>
    </row>
    <row r="4416" spans="2:3">
      <c r="B4416" s="189">
        <v>36054</v>
      </c>
      <c r="C4416">
        <v>4628.03</v>
      </c>
    </row>
    <row r="4417" spans="2:3">
      <c r="B4417" s="189">
        <v>36053</v>
      </c>
      <c r="C4417">
        <v>4475.1499999999996</v>
      </c>
    </row>
    <row r="4418" spans="2:3">
      <c r="B4418" s="189">
        <v>36052</v>
      </c>
      <c r="C4418">
        <v>4406.6400000000003</v>
      </c>
    </row>
    <row r="4419" spans="2:3">
      <c r="B4419" s="189">
        <v>36049</v>
      </c>
      <c r="C4419">
        <v>4308.0200000000004</v>
      </c>
    </row>
    <row r="4420" spans="2:3">
      <c r="B4420" s="189">
        <v>36048</v>
      </c>
      <c r="C4420">
        <v>4451.1499999999996</v>
      </c>
    </row>
    <row r="4421" spans="2:3">
      <c r="B4421" s="189">
        <v>36047</v>
      </c>
      <c r="C4421">
        <v>4567.25</v>
      </c>
    </row>
    <row r="4422" spans="2:3">
      <c r="B4422" s="189">
        <v>36046</v>
      </c>
      <c r="C4422">
        <v>4636.74</v>
      </c>
    </row>
    <row r="4423" spans="2:3">
      <c r="B4423" s="189">
        <v>36045</v>
      </c>
      <c r="C4423">
        <v>4531.49</v>
      </c>
    </row>
    <row r="4424" spans="2:3">
      <c r="B4424" s="189">
        <v>36042</v>
      </c>
      <c r="C4424">
        <v>4414.12</v>
      </c>
    </row>
    <row r="4425" spans="2:3">
      <c r="B4425" s="189">
        <v>36041</v>
      </c>
      <c r="C4425">
        <v>4391.9399999999996</v>
      </c>
    </row>
    <row r="4426" spans="2:3">
      <c r="B4426" s="189">
        <v>36040</v>
      </c>
      <c r="C4426">
        <v>4500.6499999999996</v>
      </c>
    </row>
    <row r="4427" spans="2:3">
      <c r="B4427" s="189">
        <v>36039</v>
      </c>
      <c r="C4427">
        <v>4408.83</v>
      </c>
    </row>
    <row r="4428" spans="2:3">
      <c r="B4428" s="189">
        <v>36038</v>
      </c>
      <c r="C4428">
        <v>4490.01</v>
      </c>
    </row>
    <row r="4429" spans="2:3">
      <c r="B4429" s="189">
        <v>36035</v>
      </c>
      <c r="C4429">
        <v>4534.17</v>
      </c>
    </row>
    <row r="4430" spans="2:3">
      <c r="B4430" s="189">
        <v>36034</v>
      </c>
      <c r="C4430">
        <v>4721.34</v>
      </c>
    </row>
    <row r="4431" spans="2:3">
      <c r="B4431" s="189">
        <v>36033</v>
      </c>
      <c r="C4431">
        <v>4991.3100000000004</v>
      </c>
    </row>
    <row r="4432" spans="2:3">
      <c r="B4432" s="189">
        <v>36032</v>
      </c>
      <c r="C4432">
        <v>5331.63</v>
      </c>
    </row>
    <row r="4433" spans="2:3">
      <c r="B4433" s="189">
        <v>36031</v>
      </c>
      <c r="C4433">
        <v>5352.03</v>
      </c>
    </row>
    <row r="4434" spans="2:3">
      <c r="B4434" s="189">
        <v>36028</v>
      </c>
      <c r="C4434">
        <v>5456.67</v>
      </c>
    </row>
    <row r="4435" spans="2:3">
      <c r="B4435" s="189">
        <v>36027</v>
      </c>
      <c r="C4435">
        <v>5710.39</v>
      </c>
    </row>
    <row r="4436" spans="2:3">
      <c r="B4436" s="189">
        <v>36026</v>
      </c>
      <c r="C4436">
        <v>5764.98</v>
      </c>
    </row>
    <row r="4437" spans="2:3">
      <c r="B4437" s="189">
        <v>36025</v>
      </c>
      <c r="C4437">
        <v>5651.79</v>
      </c>
    </row>
    <row r="4438" spans="2:3">
      <c r="B4438" s="189">
        <v>36024</v>
      </c>
      <c r="C4438">
        <v>5560.96</v>
      </c>
    </row>
    <row r="4439" spans="2:3">
      <c r="B4439" s="189">
        <v>36021</v>
      </c>
      <c r="C4439">
        <v>5667.57</v>
      </c>
    </row>
    <row r="4440" spans="2:3">
      <c r="B4440" s="189">
        <v>36020</v>
      </c>
      <c r="C4440">
        <v>5591.59</v>
      </c>
    </row>
    <row r="4441" spans="2:3">
      <c r="B4441" s="189">
        <v>36019</v>
      </c>
      <c r="C4441">
        <v>5735.51</v>
      </c>
    </row>
    <row r="4442" spans="2:3">
      <c r="B4442" s="189">
        <v>36018</v>
      </c>
      <c r="C4442">
        <v>5710.98</v>
      </c>
    </row>
    <row r="4443" spans="2:3">
      <c r="B4443" s="189">
        <v>36014</v>
      </c>
      <c r="C4443">
        <v>6014.43</v>
      </c>
    </row>
    <row r="4444" spans="2:3">
      <c r="B4444" s="189">
        <v>36013</v>
      </c>
      <c r="C4444">
        <v>6081.55</v>
      </c>
    </row>
    <row r="4445" spans="2:3">
      <c r="B4445" s="189">
        <v>36012</v>
      </c>
      <c r="C4445">
        <v>6136.98</v>
      </c>
    </row>
    <row r="4446" spans="2:3">
      <c r="B4446" s="189">
        <v>36011</v>
      </c>
      <c r="C4446">
        <v>6302.34</v>
      </c>
    </row>
    <row r="4447" spans="2:3">
      <c r="B4447" s="189">
        <v>36010</v>
      </c>
      <c r="C4447">
        <v>6242.68</v>
      </c>
    </row>
    <row r="4448" spans="2:3">
      <c r="B4448" s="189">
        <v>36007</v>
      </c>
      <c r="C4448">
        <v>6380.26</v>
      </c>
    </row>
    <row r="4449" spans="2:3">
      <c r="B4449" s="189">
        <v>36006</v>
      </c>
      <c r="C4449">
        <v>6385.23</v>
      </c>
    </row>
    <row r="4450" spans="2:3">
      <c r="B4450" s="189">
        <v>36005</v>
      </c>
      <c r="C4450">
        <v>6265.68</v>
      </c>
    </row>
    <row r="4451" spans="2:3">
      <c r="B4451" s="189">
        <v>36004</v>
      </c>
      <c r="C4451">
        <v>6230.4</v>
      </c>
    </row>
    <row r="4452" spans="2:3">
      <c r="B4452" s="189">
        <v>36003</v>
      </c>
      <c r="C4452">
        <v>6233.76</v>
      </c>
    </row>
    <row r="4453" spans="2:3">
      <c r="B4453" s="189">
        <v>36000</v>
      </c>
      <c r="C4453">
        <v>6319.29</v>
      </c>
    </row>
    <row r="4454" spans="2:3">
      <c r="B4454" s="189">
        <v>35999</v>
      </c>
      <c r="C4454">
        <v>6435.04</v>
      </c>
    </row>
    <row r="4455" spans="2:3">
      <c r="B4455" s="189">
        <v>35998</v>
      </c>
      <c r="C4455">
        <v>6503.92</v>
      </c>
    </row>
    <row r="4456" spans="2:3">
      <c r="B4456" s="189">
        <v>35997</v>
      </c>
      <c r="C4456">
        <v>6573.23</v>
      </c>
    </row>
    <row r="4457" spans="2:3">
      <c r="B4457" s="189">
        <v>35996</v>
      </c>
      <c r="C4457">
        <v>6617.15</v>
      </c>
    </row>
    <row r="4458" spans="2:3">
      <c r="B4458" s="189">
        <v>35993</v>
      </c>
      <c r="C4458">
        <v>6719.53</v>
      </c>
    </row>
    <row r="4459" spans="2:3">
      <c r="B4459" s="189">
        <v>35992</v>
      </c>
      <c r="C4459">
        <v>6679.8</v>
      </c>
    </row>
    <row r="4460" spans="2:3">
      <c r="B4460" s="189">
        <v>35991</v>
      </c>
      <c r="C4460">
        <v>6591.6</v>
      </c>
    </row>
    <row r="4461" spans="2:3">
      <c r="B4461" s="189">
        <v>35990</v>
      </c>
      <c r="C4461">
        <v>6458.87</v>
      </c>
    </row>
    <row r="4462" spans="2:3">
      <c r="B4462" s="189">
        <v>35989</v>
      </c>
      <c r="C4462">
        <v>6387.38</v>
      </c>
    </row>
    <row r="4463" spans="2:3">
      <c r="B4463" s="189">
        <v>35986</v>
      </c>
      <c r="C4463">
        <v>6427.17</v>
      </c>
    </row>
    <row r="4464" spans="2:3">
      <c r="B4464" s="189">
        <v>35985</v>
      </c>
      <c r="C4464">
        <v>6442.61</v>
      </c>
    </row>
    <row r="4465" spans="2:3">
      <c r="B4465" s="189">
        <v>35984</v>
      </c>
      <c r="C4465">
        <v>6494.72</v>
      </c>
    </row>
    <row r="4466" spans="2:3">
      <c r="B4466" s="189">
        <v>35983</v>
      </c>
      <c r="C4466">
        <v>6517.94</v>
      </c>
    </row>
    <row r="4467" spans="2:3">
      <c r="B4467" s="189">
        <v>35982</v>
      </c>
      <c r="C4467">
        <v>6431.69</v>
      </c>
    </row>
    <row r="4468" spans="2:3">
      <c r="B4468" s="189">
        <v>35979</v>
      </c>
      <c r="C4468">
        <v>6322.4</v>
      </c>
    </row>
    <row r="4469" spans="2:3">
      <c r="B4469" s="189">
        <v>35978</v>
      </c>
      <c r="C4469">
        <v>6245.81</v>
      </c>
    </row>
    <row r="4470" spans="2:3">
      <c r="B4470" s="189">
        <v>35977</v>
      </c>
      <c r="C4470">
        <v>6132.65</v>
      </c>
    </row>
    <row r="4471" spans="2:3">
      <c r="B4471" s="189">
        <v>35976</v>
      </c>
      <c r="C4471">
        <v>6063.6</v>
      </c>
    </row>
    <row r="4472" spans="2:3">
      <c r="B4472" s="189">
        <v>35975</v>
      </c>
      <c r="C4472">
        <v>6081.5</v>
      </c>
    </row>
    <row r="4473" spans="2:3">
      <c r="B4473" s="189">
        <v>35972</v>
      </c>
      <c r="C4473">
        <v>6173.66</v>
      </c>
    </row>
    <row r="4474" spans="2:3">
      <c r="B4474" s="189">
        <v>35971</v>
      </c>
      <c r="C4474">
        <v>6228.13</v>
      </c>
    </row>
    <row r="4475" spans="2:3">
      <c r="B4475" s="189">
        <v>35970</v>
      </c>
      <c r="C4475">
        <v>6244.8</v>
      </c>
    </row>
    <row r="4476" spans="2:3">
      <c r="B4476" s="189">
        <v>35969</v>
      </c>
      <c r="C4476">
        <v>6088.79</v>
      </c>
    </row>
    <row r="4477" spans="2:3">
      <c r="B4477" s="189">
        <v>35968</v>
      </c>
      <c r="C4477">
        <v>5976.05</v>
      </c>
    </row>
    <row r="4478" spans="2:3">
      <c r="B4478" s="189">
        <v>35965</v>
      </c>
      <c r="C4478">
        <v>6193.86</v>
      </c>
    </row>
    <row r="4479" spans="2:3">
      <c r="B4479" s="189">
        <v>35964</v>
      </c>
      <c r="C4479">
        <v>6301.8</v>
      </c>
    </row>
    <row r="4480" spans="2:3">
      <c r="B4480" s="189">
        <v>35963</v>
      </c>
      <c r="C4480">
        <v>6283.4</v>
      </c>
    </row>
    <row r="4481" spans="2:3">
      <c r="B4481" s="189">
        <v>35961</v>
      </c>
      <c r="C4481">
        <v>6005.91</v>
      </c>
    </row>
    <row r="4482" spans="2:3">
      <c r="B4482" s="189">
        <v>35958</v>
      </c>
      <c r="C4482">
        <v>6175.99</v>
      </c>
    </row>
    <row r="4483" spans="2:3">
      <c r="B4483" s="189">
        <v>35957</v>
      </c>
      <c r="C4483">
        <v>6332.19</v>
      </c>
    </row>
    <row r="4484" spans="2:3">
      <c r="B4484" s="189">
        <v>35956</v>
      </c>
      <c r="C4484">
        <v>6389.84</v>
      </c>
    </row>
    <row r="4485" spans="2:3">
      <c r="B4485" s="189">
        <v>35955</v>
      </c>
      <c r="C4485">
        <v>6614.5</v>
      </c>
    </row>
    <row r="4486" spans="2:3">
      <c r="B4486" s="189">
        <v>35954</v>
      </c>
      <c r="C4486">
        <v>6665.68</v>
      </c>
    </row>
    <row r="4487" spans="2:3">
      <c r="B4487" s="189">
        <v>35951</v>
      </c>
      <c r="C4487">
        <v>6697.5</v>
      </c>
    </row>
    <row r="4488" spans="2:3">
      <c r="B4488" s="189">
        <v>35950</v>
      </c>
      <c r="C4488">
        <v>6743.8</v>
      </c>
    </row>
    <row r="4489" spans="2:3">
      <c r="B4489" s="189">
        <v>35949</v>
      </c>
      <c r="C4489">
        <v>6786.1</v>
      </c>
    </row>
    <row r="4490" spans="2:3">
      <c r="B4490" s="189">
        <v>35948</v>
      </c>
      <c r="C4490">
        <v>6743.91</v>
      </c>
    </row>
    <row r="4491" spans="2:3">
      <c r="B4491" s="189">
        <v>35947</v>
      </c>
      <c r="C4491">
        <v>6705.55</v>
      </c>
    </row>
    <row r="4492" spans="2:3">
      <c r="B4492" s="189">
        <v>35944</v>
      </c>
      <c r="C4492">
        <v>6826.68</v>
      </c>
    </row>
    <row r="4493" spans="2:3">
      <c r="B4493" s="189">
        <v>35943</v>
      </c>
      <c r="C4493">
        <v>6704.94</v>
      </c>
    </row>
    <row r="4494" spans="2:3">
      <c r="B4494" s="189">
        <v>35942</v>
      </c>
      <c r="C4494">
        <v>6695.62</v>
      </c>
    </row>
    <row r="4495" spans="2:3">
      <c r="B4495" s="189">
        <v>35941</v>
      </c>
      <c r="C4495">
        <v>7047.33</v>
      </c>
    </row>
    <row r="4496" spans="2:3">
      <c r="B4496" s="189">
        <v>35940</v>
      </c>
      <c r="C4496">
        <v>7143.42</v>
      </c>
    </row>
    <row r="4497" spans="2:3">
      <c r="B4497" s="189">
        <v>35937</v>
      </c>
      <c r="C4497">
        <v>7269.92</v>
      </c>
    </row>
    <row r="4498" spans="2:3">
      <c r="B4498" s="189">
        <v>35936</v>
      </c>
      <c r="C4498">
        <v>7296.93</v>
      </c>
    </row>
    <row r="4499" spans="2:3">
      <c r="B4499" s="189">
        <v>35935</v>
      </c>
      <c r="C4499">
        <v>7267.85</v>
      </c>
    </row>
    <row r="4500" spans="2:3">
      <c r="B4500" s="189">
        <v>35934</v>
      </c>
      <c r="C4500">
        <v>7301.96</v>
      </c>
    </row>
    <row r="4501" spans="2:3">
      <c r="B4501" s="189">
        <v>35933</v>
      </c>
      <c r="C4501">
        <v>7252.74</v>
      </c>
    </row>
    <row r="4502" spans="2:3">
      <c r="B4502" s="189">
        <v>35930</v>
      </c>
      <c r="C4502">
        <v>7248.66</v>
      </c>
    </row>
    <row r="4503" spans="2:3">
      <c r="B4503" s="189">
        <v>35929</v>
      </c>
      <c r="C4503">
        <v>7204.07</v>
      </c>
    </row>
    <row r="4504" spans="2:3">
      <c r="B4504" s="189">
        <v>35928</v>
      </c>
      <c r="C4504">
        <v>7213.36</v>
      </c>
    </row>
    <row r="4505" spans="2:3">
      <c r="B4505" s="189">
        <v>35927</v>
      </c>
      <c r="C4505">
        <v>7191.6</v>
      </c>
    </row>
    <row r="4506" spans="2:3">
      <c r="B4506" s="189">
        <v>35926</v>
      </c>
      <c r="C4506">
        <v>7358.64</v>
      </c>
    </row>
    <row r="4507" spans="2:3">
      <c r="B4507" s="189">
        <v>35923</v>
      </c>
      <c r="C4507">
        <v>7280.74</v>
      </c>
    </row>
    <row r="4508" spans="2:3">
      <c r="B4508" s="189">
        <v>35922</v>
      </c>
      <c r="C4508">
        <v>7263.36</v>
      </c>
    </row>
    <row r="4509" spans="2:3">
      <c r="B4509" s="189">
        <v>35921</v>
      </c>
      <c r="C4509">
        <v>7335.24</v>
      </c>
    </row>
    <row r="4510" spans="2:3">
      <c r="B4510" s="189">
        <v>35920</v>
      </c>
      <c r="C4510">
        <v>7335.2</v>
      </c>
    </row>
    <row r="4511" spans="2:3">
      <c r="B4511" s="189">
        <v>35919</v>
      </c>
      <c r="C4511">
        <v>7468.85</v>
      </c>
    </row>
    <row r="4512" spans="2:3">
      <c r="B4512" s="189">
        <v>35915</v>
      </c>
      <c r="C4512">
        <v>7432.13</v>
      </c>
    </row>
    <row r="4513" spans="2:3">
      <c r="B4513" s="189">
        <v>35914</v>
      </c>
      <c r="C4513">
        <v>7356.17</v>
      </c>
    </row>
    <row r="4514" spans="2:3">
      <c r="B4514" s="189">
        <v>35913</v>
      </c>
      <c r="C4514">
        <v>7306.88</v>
      </c>
    </row>
    <row r="4515" spans="2:3">
      <c r="B4515" s="189">
        <v>35909</v>
      </c>
      <c r="C4515">
        <v>7406.99</v>
      </c>
    </row>
    <row r="4516" spans="2:3">
      <c r="B4516" s="189">
        <v>35908</v>
      </c>
      <c r="C4516">
        <v>7432.13</v>
      </c>
    </row>
    <row r="4517" spans="2:3">
      <c r="B4517" s="189">
        <v>35907</v>
      </c>
      <c r="C4517">
        <v>7453.63</v>
      </c>
    </row>
    <row r="4518" spans="2:3">
      <c r="B4518" s="189">
        <v>35906</v>
      </c>
      <c r="C4518">
        <v>7437.17</v>
      </c>
    </row>
    <row r="4519" spans="2:3">
      <c r="B4519" s="189">
        <v>35905</v>
      </c>
      <c r="C4519">
        <v>7533.51</v>
      </c>
    </row>
    <row r="4520" spans="2:3">
      <c r="B4520" s="189">
        <v>35902</v>
      </c>
      <c r="C4520">
        <v>7361.12</v>
      </c>
    </row>
    <row r="4521" spans="2:3">
      <c r="B4521" s="189">
        <v>35901</v>
      </c>
      <c r="C4521">
        <v>7381.45</v>
      </c>
    </row>
    <row r="4522" spans="2:3">
      <c r="B4522" s="189">
        <v>35900</v>
      </c>
      <c r="C4522">
        <v>7381.71</v>
      </c>
    </row>
    <row r="4523" spans="2:3">
      <c r="B4523" s="189">
        <v>35899</v>
      </c>
      <c r="C4523">
        <v>7241.92</v>
      </c>
    </row>
    <row r="4524" spans="2:3">
      <c r="B4524" s="189">
        <v>35894</v>
      </c>
      <c r="C4524">
        <v>7136.78</v>
      </c>
    </row>
    <row r="4525" spans="2:3">
      <c r="B4525" s="189">
        <v>35893</v>
      </c>
      <c r="C4525">
        <v>7146.04</v>
      </c>
    </row>
    <row r="4526" spans="2:3">
      <c r="B4526" s="189">
        <v>35892</v>
      </c>
      <c r="C4526">
        <v>7177.26</v>
      </c>
    </row>
    <row r="4527" spans="2:3">
      <c r="B4527" s="189">
        <v>35891</v>
      </c>
      <c r="C4527">
        <v>7144.21</v>
      </c>
    </row>
    <row r="4528" spans="2:3">
      <c r="B4528" s="189">
        <v>35888</v>
      </c>
      <c r="C4528">
        <v>7051.48</v>
      </c>
    </row>
    <row r="4529" spans="2:3">
      <c r="B4529" s="189">
        <v>35887</v>
      </c>
      <c r="C4529">
        <v>7021.95</v>
      </c>
    </row>
    <row r="4530" spans="2:3">
      <c r="B4530" s="189">
        <v>35886</v>
      </c>
      <c r="C4530">
        <v>6938.37</v>
      </c>
    </row>
    <row r="4531" spans="2:3">
      <c r="B4531" s="189">
        <v>35885</v>
      </c>
      <c r="C4531">
        <v>6796.82</v>
      </c>
    </row>
    <row r="4532" spans="2:3">
      <c r="B4532" s="189">
        <v>35884</v>
      </c>
      <c r="C4532">
        <v>6761.93</v>
      </c>
    </row>
    <row r="4533" spans="2:3">
      <c r="B4533" s="189">
        <v>35881</v>
      </c>
      <c r="C4533">
        <v>6712.88</v>
      </c>
    </row>
    <row r="4534" spans="2:3">
      <c r="B4534" s="189">
        <v>35880</v>
      </c>
      <c r="C4534">
        <v>6593.57</v>
      </c>
    </row>
    <row r="4535" spans="2:3">
      <c r="B4535" s="189">
        <v>35879</v>
      </c>
      <c r="C4535">
        <v>6564.04</v>
      </c>
    </row>
    <row r="4536" spans="2:3">
      <c r="B4536" s="189">
        <v>35878</v>
      </c>
      <c r="C4536">
        <v>6485.44</v>
      </c>
    </row>
    <row r="4537" spans="2:3">
      <c r="B4537" s="189">
        <v>35877</v>
      </c>
      <c r="C4537">
        <v>6429.64</v>
      </c>
    </row>
    <row r="4538" spans="2:3">
      <c r="B4538" s="189">
        <v>35874</v>
      </c>
      <c r="C4538">
        <v>6440.11</v>
      </c>
    </row>
    <row r="4539" spans="2:3">
      <c r="B4539" s="189">
        <v>35873</v>
      </c>
      <c r="C4539">
        <v>6501.39</v>
      </c>
    </row>
    <row r="4540" spans="2:3">
      <c r="B4540" s="189">
        <v>35872</v>
      </c>
      <c r="C4540">
        <v>6472.75</v>
      </c>
    </row>
    <row r="4541" spans="2:3">
      <c r="B4541" s="189">
        <v>35871</v>
      </c>
      <c r="C4541">
        <v>6554.84</v>
      </c>
    </row>
    <row r="4542" spans="2:3">
      <c r="B4542" s="189">
        <v>35870</v>
      </c>
      <c r="C4542">
        <v>6542.58</v>
      </c>
    </row>
    <row r="4543" spans="2:3">
      <c r="B4543" s="189">
        <v>35867</v>
      </c>
      <c r="C4543">
        <v>6466.26</v>
      </c>
    </row>
    <row r="4544" spans="2:3">
      <c r="B4544" s="189">
        <v>35866</v>
      </c>
      <c r="C4544">
        <v>6451.1</v>
      </c>
    </row>
    <row r="4545" spans="2:3">
      <c r="B4545" s="189">
        <v>35865</v>
      </c>
      <c r="C4545">
        <v>6429.72</v>
      </c>
    </row>
    <row r="4546" spans="2:3">
      <c r="B4546" s="189">
        <v>35864</v>
      </c>
      <c r="C4546">
        <v>6317.54</v>
      </c>
    </row>
    <row r="4547" spans="2:3">
      <c r="B4547" s="189">
        <v>35863</v>
      </c>
      <c r="C4547">
        <v>6248.91</v>
      </c>
    </row>
    <row r="4548" spans="2:3">
      <c r="B4548" s="189">
        <v>35860</v>
      </c>
      <c r="C4548">
        <v>6165.44</v>
      </c>
    </row>
    <row r="4549" spans="2:3">
      <c r="B4549" s="189">
        <v>35859</v>
      </c>
      <c r="C4549">
        <v>6104.65</v>
      </c>
    </row>
    <row r="4550" spans="2:3">
      <c r="B4550" s="189">
        <v>35858</v>
      </c>
      <c r="C4550">
        <v>6290.56</v>
      </c>
    </row>
    <row r="4551" spans="2:3">
      <c r="B4551" s="189">
        <v>35857</v>
      </c>
      <c r="C4551">
        <v>6354.28</v>
      </c>
    </row>
    <row r="4552" spans="2:3">
      <c r="B4552" s="189">
        <v>35856</v>
      </c>
      <c r="C4552">
        <v>6391.52</v>
      </c>
    </row>
    <row r="4553" spans="2:3">
      <c r="B4553" s="189">
        <v>35853</v>
      </c>
      <c r="C4553">
        <v>6326.67</v>
      </c>
    </row>
    <row r="4554" spans="2:3">
      <c r="B4554" s="189">
        <v>35852</v>
      </c>
      <c r="C4554">
        <v>6250.59</v>
      </c>
    </row>
    <row r="4555" spans="2:3">
      <c r="B4555" s="189">
        <v>35851</v>
      </c>
      <c r="C4555">
        <v>6135.89</v>
      </c>
    </row>
    <row r="4556" spans="2:3">
      <c r="B4556" s="189">
        <v>35850</v>
      </c>
      <c r="C4556">
        <v>6053.38</v>
      </c>
    </row>
    <row r="4557" spans="2:3">
      <c r="B4557" s="189">
        <v>35849</v>
      </c>
      <c r="C4557">
        <v>6091.46</v>
      </c>
    </row>
    <row r="4558" spans="2:3">
      <c r="B4558" s="189">
        <v>35846</v>
      </c>
      <c r="C4558">
        <v>6073.12</v>
      </c>
    </row>
    <row r="4559" spans="2:3">
      <c r="B4559" s="189">
        <v>35845</v>
      </c>
      <c r="C4559">
        <v>6072.39</v>
      </c>
    </row>
    <row r="4560" spans="2:3">
      <c r="B4560" s="189">
        <v>35844</v>
      </c>
      <c r="C4560">
        <v>6085.02</v>
      </c>
    </row>
    <row r="4561" spans="2:3">
      <c r="B4561" s="189">
        <v>35843</v>
      </c>
      <c r="C4561">
        <v>6042.37</v>
      </c>
    </row>
    <row r="4562" spans="2:3">
      <c r="B4562" s="189">
        <v>35842</v>
      </c>
      <c r="C4562">
        <v>5980.99</v>
      </c>
    </row>
    <row r="4563" spans="2:3">
      <c r="B4563" s="189">
        <v>35839</v>
      </c>
      <c r="C4563">
        <v>5942.34</v>
      </c>
    </row>
    <row r="4564" spans="2:3">
      <c r="B4564" s="189">
        <v>35838</v>
      </c>
      <c r="C4564">
        <v>5919.02</v>
      </c>
    </row>
    <row r="4565" spans="2:3">
      <c r="B4565" s="189">
        <v>35837</v>
      </c>
      <c r="C4565">
        <v>5974.72</v>
      </c>
    </row>
    <row r="4566" spans="2:3">
      <c r="B4566" s="189">
        <v>35836</v>
      </c>
      <c r="C4566">
        <v>5973.66</v>
      </c>
    </row>
    <row r="4567" spans="2:3">
      <c r="B4567" s="189">
        <v>35835</v>
      </c>
      <c r="C4567">
        <v>5976.95</v>
      </c>
    </row>
    <row r="4568" spans="2:3">
      <c r="B4568" s="189">
        <v>35832</v>
      </c>
      <c r="C4568">
        <v>5940.91</v>
      </c>
    </row>
    <row r="4569" spans="2:3">
      <c r="B4569" s="189">
        <v>35831</v>
      </c>
      <c r="C4569">
        <v>5926.99</v>
      </c>
    </row>
    <row r="4570" spans="2:3">
      <c r="B4570" s="189">
        <v>35830</v>
      </c>
      <c r="C4570">
        <v>5835.44</v>
      </c>
    </row>
    <row r="4571" spans="2:3">
      <c r="B4571" s="189">
        <v>35829</v>
      </c>
      <c r="C4571">
        <v>5893.96</v>
      </c>
    </row>
    <row r="4572" spans="2:3">
      <c r="B4572" s="189">
        <v>35828</v>
      </c>
      <c r="C4572">
        <v>5963.57</v>
      </c>
    </row>
    <row r="4573" spans="2:3">
      <c r="B4573" s="189">
        <v>35825</v>
      </c>
      <c r="C4573">
        <v>5868.73</v>
      </c>
    </row>
    <row r="4574" spans="2:3">
      <c r="B4574" s="189">
        <v>35824</v>
      </c>
      <c r="C4574">
        <v>5820.7</v>
      </c>
    </row>
    <row r="4575" spans="2:3">
      <c r="B4575" s="189">
        <v>35823</v>
      </c>
      <c r="C4575">
        <v>5651.68</v>
      </c>
    </row>
    <row r="4576" spans="2:3">
      <c r="B4576" s="189">
        <v>35822</v>
      </c>
      <c r="C4576">
        <v>5491.29</v>
      </c>
    </row>
    <row r="4577" spans="2:3">
      <c r="B4577" s="189">
        <v>35821</v>
      </c>
      <c r="C4577">
        <v>5457.08</v>
      </c>
    </row>
    <row r="4578" spans="2:3">
      <c r="B4578" s="189">
        <v>35818</v>
      </c>
      <c r="C4578">
        <v>5391.09</v>
      </c>
    </row>
    <row r="4579" spans="2:3">
      <c r="B4579" s="189">
        <v>35817</v>
      </c>
      <c r="C4579">
        <v>5395.5</v>
      </c>
    </row>
    <row r="4580" spans="2:3">
      <c r="B4580" s="189">
        <v>35816</v>
      </c>
      <c r="C4580">
        <v>5391.99</v>
      </c>
    </row>
    <row r="4581" spans="2:3">
      <c r="B4581" s="189">
        <v>35815</v>
      </c>
      <c r="C4581">
        <v>5330.64</v>
      </c>
    </row>
    <row r="4582" spans="2:3">
      <c r="B4582" s="189">
        <v>35814</v>
      </c>
      <c r="C4582">
        <v>5258.18</v>
      </c>
    </row>
    <row r="4583" spans="2:3">
      <c r="B4583" s="189">
        <v>35811</v>
      </c>
      <c r="C4583">
        <v>5194.92</v>
      </c>
    </row>
    <row r="4584" spans="2:3">
      <c r="B4584" s="189">
        <v>35810</v>
      </c>
      <c r="C4584">
        <v>5146.12</v>
      </c>
    </row>
    <row r="4585" spans="2:3">
      <c r="B4585" s="189">
        <v>35809</v>
      </c>
      <c r="C4585">
        <v>5142.5600000000004</v>
      </c>
    </row>
    <row r="4586" spans="2:3">
      <c r="B4586" s="189">
        <v>35808</v>
      </c>
      <c r="C4586">
        <v>5034.7700000000004</v>
      </c>
    </row>
    <row r="4587" spans="2:3">
      <c r="B4587" s="189">
        <v>35807</v>
      </c>
      <c r="C4587">
        <v>4938.49</v>
      </c>
    </row>
    <row r="4588" spans="2:3">
      <c r="B4588" s="189">
        <v>35804</v>
      </c>
      <c r="C4588">
        <v>5315.36</v>
      </c>
    </row>
    <row r="4589" spans="2:3">
      <c r="B4589" s="189">
        <v>35803</v>
      </c>
      <c r="C4589">
        <v>5382.27</v>
      </c>
    </row>
    <row r="4590" spans="2:3">
      <c r="B4590" s="189">
        <v>35802</v>
      </c>
      <c r="C4590">
        <v>5399.04</v>
      </c>
    </row>
    <row r="4591" spans="2:3">
      <c r="B4591" s="189">
        <v>35801</v>
      </c>
      <c r="C4591">
        <v>5469.62</v>
      </c>
    </row>
    <row r="4592" spans="2:3">
      <c r="B4592" s="189">
        <v>35800</v>
      </c>
      <c r="C4592">
        <v>5494.73</v>
      </c>
    </row>
    <row r="4593" spans="2:3">
      <c r="B4593" s="189">
        <v>35795</v>
      </c>
      <c r="C4593">
        <v>5498.56</v>
      </c>
    </row>
    <row r="4594" spans="2:3">
      <c r="B4594" s="189">
        <v>35794</v>
      </c>
      <c r="C4594">
        <v>5484.83</v>
      </c>
    </row>
    <row r="4595" spans="2:3">
      <c r="B4595" s="189">
        <v>35793</v>
      </c>
      <c r="C4595">
        <v>5444.61</v>
      </c>
    </row>
    <row r="4596" spans="2:3">
      <c r="B4596" s="189">
        <v>35788</v>
      </c>
      <c r="C4596">
        <v>5413.77</v>
      </c>
    </row>
    <row r="4597" spans="2:3">
      <c r="B4597" s="189">
        <v>35787</v>
      </c>
      <c r="C4597">
        <v>5424.97</v>
      </c>
    </row>
    <row r="4598" spans="2:3">
      <c r="B4598" s="189">
        <v>35786</v>
      </c>
      <c r="C4598">
        <v>5365.76</v>
      </c>
    </row>
    <row r="4599" spans="2:3">
      <c r="B4599" s="189">
        <v>35783</v>
      </c>
      <c r="C4599">
        <v>5377.76</v>
      </c>
    </row>
    <row r="4600" spans="2:3">
      <c r="B4600" s="189">
        <v>35782</v>
      </c>
      <c r="C4600">
        <v>5497.33</v>
      </c>
    </row>
    <row r="4601" spans="2:3">
      <c r="B4601" s="189">
        <v>35781</v>
      </c>
      <c r="C4601">
        <v>5494.28</v>
      </c>
    </row>
    <row r="4602" spans="2:3">
      <c r="B4602" s="189">
        <v>35779</v>
      </c>
      <c r="C4602">
        <v>5372.19</v>
      </c>
    </row>
    <row r="4603" spans="2:3">
      <c r="B4603" s="189">
        <v>35776</v>
      </c>
      <c r="C4603">
        <v>5267.81</v>
      </c>
    </row>
    <row r="4604" spans="2:3">
      <c r="B4604" s="189">
        <v>35775</v>
      </c>
      <c r="C4604">
        <v>5277.78</v>
      </c>
    </row>
    <row r="4605" spans="2:3">
      <c r="B4605" s="189">
        <v>35774</v>
      </c>
      <c r="C4605">
        <v>5423.02</v>
      </c>
    </row>
    <row r="4606" spans="2:3">
      <c r="B4606" s="189">
        <v>35773</v>
      </c>
      <c r="C4606">
        <v>5471.85</v>
      </c>
    </row>
    <row r="4607" spans="2:3">
      <c r="B4607" s="189">
        <v>35772</v>
      </c>
      <c r="C4607">
        <v>5461.28</v>
      </c>
    </row>
    <row r="4608" spans="2:3">
      <c r="B4608" s="189">
        <v>35769</v>
      </c>
      <c r="C4608">
        <v>5459.57</v>
      </c>
    </row>
    <row r="4609" spans="2:3">
      <c r="B4609" s="189">
        <v>35768</v>
      </c>
      <c r="C4609">
        <v>5564.31</v>
      </c>
    </row>
    <row r="4610" spans="2:3">
      <c r="B4610" s="189">
        <v>35767</v>
      </c>
      <c r="C4610">
        <v>5598.68</v>
      </c>
    </row>
    <row r="4611" spans="2:3">
      <c r="B4611" s="189">
        <v>35766</v>
      </c>
      <c r="C4611">
        <v>5633.3</v>
      </c>
    </row>
    <row r="4612" spans="2:3">
      <c r="B4612" s="189">
        <v>35765</v>
      </c>
      <c r="C4612">
        <v>5616.43</v>
      </c>
    </row>
    <row r="4613" spans="2:3">
      <c r="B4613" s="189">
        <v>35762</v>
      </c>
      <c r="C4613">
        <v>5608.66</v>
      </c>
    </row>
    <row r="4614" spans="2:3">
      <c r="B4614" s="189">
        <v>35761</v>
      </c>
      <c r="C4614">
        <v>5661.02</v>
      </c>
    </row>
    <row r="4615" spans="2:3">
      <c r="B4615" s="189">
        <v>35760</v>
      </c>
      <c r="C4615">
        <v>5624.92</v>
      </c>
    </row>
    <row r="4616" spans="2:3">
      <c r="B4616" s="189">
        <v>35759</v>
      </c>
      <c r="C4616">
        <v>5653.06</v>
      </c>
    </row>
    <row r="4617" spans="2:3">
      <c r="B4617" s="189">
        <v>35758</v>
      </c>
      <c r="C4617">
        <v>5657.85</v>
      </c>
    </row>
    <row r="4618" spans="2:3">
      <c r="B4618" s="189">
        <v>35755</v>
      </c>
      <c r="C4618">
        <v>5656.88</v>
      </c>
    </row>
    <row r="4619" spans="2:3">
      <c r="B4619" s="189">
        <v>35754</v>
      </c>
      <c r="C4619">
        <v>5677.89</v>
      </c>
    </row>
    <row r="4620" spans="2:3">
      <c r="B4620" s="189">
        <v>35753</v>
      </c>
      <c r="C4620">
        <v>5654.07</v>
      </c>
    </row>
    <row r="4621" spans="2:3">
      <c r="B4621" s="189">
        <v>35752</v>
      </c>
      <c r="C4621">
        <v>5680.17</v>
      </c>
    </row>
    <row r="4622" spans="2:3">
      <c r="B4622" s="189">
        <v>35751</v>
      </c>
      <c r="C4622">
        <v>5679.41</v>
      </c>
    </row>
    <row r="4623" spans="2:3">
      <c r="B4623" s="189">
        <v>35748</v>
      </c>
      <c r="C4623">
        <v>5626.04</v>
      </c>
    </row>
    <row r="4624" spans="2:3">
      <c r="B4624" s="189">
        <v>35747</v>
      </c>
      <c r="C4624">
        <v>5751.2</v>
      </c>
    </row>
    <row r="4625" spans="2:3">
      <c r="B4625" s="189">
        <v>35746</v>
      </c>
      <c r="C4625">
        <v>5780.5</v>
      </c>
    </row>
    <row r="4626" spans="2:3">
      <c r="B4626" s="189">
        <v>35745</v>
      </c>
      <c r="C4626">
        <v>5898.89</v>
      </c>
    </row>
    <row r="4627" spans="2:3">
      <c r="B4627" s="189">
        <v>35744</v>
      </c>
      <c r="C4627">
        <v>5862.84</v>
      </c>
    </row>
    <row r="4628" spans="2:3">
      <c r="B4628" s="189">
        <v>35741</v>
      </c>
      <c r="C4628">
        <v>5786.04</v>
      </c>
    </row>
    <row r="4629" spans="2:3">
      <c r="B4629" s="189">
        <v>35740</v>
      </c>
      <c r="C4629">
        <v>6012.47</v>
      </c>
    </row>
    <row r="4630" spans="2:3">
      <c r="B4630" s="189">
        <v>35739</v>
      </c>
      <c r="C4630">
        <v>6054.62</v>
      </c>
    </row>
    <row r="4631" spans="2:3">
      <c r="B4631" s="189">
        <v>35738</v>
      </c>
      <c r="C4631">
        <v>6025.91</v>
      </c>
    </row>
    <row r="4632" spans="2:3">
      <c r="B4632" s="189">
        <v>35737</v>
      </c>
      <c r="C4632">
        <v>5999.54</v>
      </c>
    </row>
    <row r="4633" spans="2:3">
      <c r="B4633" s="189">
        <v>35734</v>
      </c>
      <c r="C4633">
        <v>5851.09</v>
      </c>
    </row>
    <row r="4634" spans="2:3">
      <c r="B4634" s="189">
        <v>35733</v>
      </c>
      <c r="C4634">
        <v>5568.89</v>
      </c>
    </row>
    <row r="4635" spans="2:3">
      <c r="B4635" s="189">
        <v>35732</v>
      </c>
      <c r="C4635">
        <v>5701.69</v>
      </c>
    </row>
    <row r="4636" spans="2:3">
      <c r="B4636" s="189">
        <v>35731</v>
      </c>
      <c r="C4636">
        <v>5302.12</v>
      </c>
    </row>
    <row r="4637" spans="2:3">
      <c r="B4637" s="189">
        <v>35730</v>
      </c>
      <c r="C4637">
        <v>6015.81</v>
      </c>
    </row>
    <row r="4638" spans="2:3">
      <c r="B4638" s="189">
        <v>35727</v>
      </c>
      <c r="C4638">
        <v>6416.24</v>
      </c>
    </row>
    <row r="4639" spans="2:3">
      <c r="B4639" s="189">
        <v>35726</v>
      </c>
      <c r="C4639">
        <v>6357.02</v>
      </c>
    </row>
    <row r="4640" spans="2:3">
      <c r="B4640" s="189">
        <v>35725</v>
      </c>
      <c r="C4640">
        <v>6657.7</v>
      </c>
    </row>
    <row r="4641" spans="2:3">
      <c r="B4641" s="189">
        <v>35724</v>
      </c>
      <c r="C4641">
        <v>6621.21</v>
      </c>
    </row>
    <row r="4642" spans="2:3">
      <c r="B4642" s="189">
        <v>35723</v>
      </c>
      <c r="C4642">
        <v>6543.85</v>
      </c>
    </row>
    <row r="4643" spans="2:3">
      <c r="B4643" s="189">
        <v>35720</v>
      </c>
      <c r="C4643">
        <v>6511.52</v>
      </c>
    </row>
    <row r="4644" spans="2:3">
      <c r="B4644" s="189">
        <v>35719</v>
      </c>
      <c r="C4644">
        <v>6586.7</v>
      </c>
    </row>
    <row r="4645" spans="2:3">
      <c r="B4645" s="189">
        <v>35718</v>
      </c>
      <c r="C4645">
        <v>6532.41</v>
      </c>
    </row>
    <row r="4646" spans="2:3">
      <c r="B4646" s="189">
        <v>35717</v>
      </c>
      <c r="C4646">
        <v>6562.37</v>
      </c>
    </row>
    <row r="4647" spans="2:3">
      <c r="B4647" s="189">
        <v>35716</v>
      </c>
      <c r="C4647">
        <v>6557.85</v>
      </c>
    </row>
    <row r="4648" spans="2:3">
      <c r="B4648" s="189">
        <v>35713</v>
      </c>
      <c r="C4648">
        <v>6508.93</v>
      </c>
    </row>
    <row r="4649" spans="2:3">
      <c r="B4649" s="189">
        <v>35712</v>
      </c>
      <c r="C4649">
        <v>6523.15</v>
      </c>
    </row>
    <row r="4650" spans="2:3">
      <c r="B4650" s="189">
        <v>35711</v>
      </c>
      <c r="C4650">
        <v>6555.75</v>
      </c>
    </row>
    <row r="4651" spans="2:3">
      <c r="B4651" s="189">
        <v>35710</v>
      </c>
      <c r="C4651">
        <v>6518.74</v>
      </c>
    </row>
    <row r="4652" spans="2:3">
      <c r="B4652" s="189">
        <v>35709</v>
      </c>
      <c r="C4652">
        <v>6488.93</v>
      </c>
    </row>
    <row r="4653" spans="2:3">
      <c r="B4653" s="189">
        <v>35706</v>
      </c>
      <c r="C4653">
        <v>6468.05</v>
      </c>
    </row>
    <row r="4654" spans="2:3">
      <c r="B4654" s="189">
        <v>35705</v>
      </c>
      <c r="C4654">
        <v>6430.41</v>
      </c>
    </row>
    <row r="4655" spans="2:3">
      <c r="B4655" s="189">
        <v>35704</v>
      </c>
      <c r="C4655">
        <v>6384.35</v>
      </c>
    </row>
    <row r="4656" spans="2:3">
      <c r="B4656" s="189">
        <v>35703</v>
      </c>
      <c r="C4656">
        <v>6375.85</v>
      </c>
    </row>
    <row r="4657" spans="2:3">
      <c r="B4657" s="189">
        <v>35702</v>
      </c>
      <c r="C4657">
        <v>6337.93</v>
      </c>
    </row>
    <row r="4658" spans="2:3">
      <c r="B4658" s="189">
        <v>35699</v>
      </c>
      <c r="C4658">
        <v>6367.85</v>
      </c>
    </row>
    <row r="4659" spans="2:3">
      <c r="B4659" s="189">
        <v>35698</v>
      </c>
      <c r="C4659">
        <v>6352.79</v>
      </c>
    </row>
    <row r="4660" spans="2:3">
      <c r="B4660" s="189">
        <v>35696</v>
      </c>
      <c r="C4660">
        <v>6299.76</v>
      </c>
    </row>
    <row r="4661" spans="2:3">
      <c r="B4661" s="189">
        <v>35695</v>
      </c>
      <c r="C4661">
        <v>6390.65</v>
      </c>
    </row>
    <row r="4662" spans="2:3">
      <c r="B4662" s="189">
        <v>35692</v>
      </c>
      <c r="C4662">
        <v>6399.99</v>
      </c>
    </row>
    <row r="4663" spans="2:3">
      <c r="B4663" s="189">
        <v>35691</v>
      </c>
      <c r="C4663">
        <v>6415.67</v>
      </c>
    </row>
    <row r="4664" spans="2:3">
      <c r="B4664" s="189">
        <v>35690</v>
      </c>
      <c r="C4664">
        <v>6414.52</v>
      </c>
    </row>
    <row r="4665" spans="2:3">
      <c r="B4665" s="189">
        <v>35689</v>
      </c>
      <c r="C4665">
        <v>6368.29</v>
      </c>
    </row>
    <row r="4666" spans="2:3">
      <c r="B4666" s="189">
        <v>35688</v>
      </c>
      <c r="C4666">
        <v>6401.33</v>
      </c>
    </row>
    <row r="4667" spans="2:3">
      <c r="B4667" s="189">
        <v>35685</v>
      </c>
      <c r="C4667">
        <v>6395.46</v>
      </c>
    </row>
    <row r="4668" spans="2:3">
      <c r="B4668" s="189">
        <v>35684</v>
      </c>
      <c r="C4668">
        <v>6399.43</v>
      </c>
    </row>
    <row r="4669" spans="2:3">
      <c r="B4669" s="189">
        <v>35683</v>
      </c>
      <c r="C4669">
        <v>6531.86</v>
      </c>
    </row>
    <row r="4670" spans="2:3">
      <c r="B4670" s="189">
        <v>35682</v>
      </c>
      <c r="C4670">
        <v>6579.82</v>
      </c>
    </row>
    <row r="4671" spans="2:3">
      <c r="B4671" s="189">
        <v>35681</v>
      </c>
      <c r="C4671">
        <v>6619.93</v>
      </c>
    </row>
    <row r="4672" spans="2:3">
      <c r="B4672" s="189">
        <v>35678</v>
      </c>
      <c r="C4672">
        <v>6633.56</v>
      </c>
    </row>
    <row r="4673" spans="2:3">
      <c r="B4673" s="189">
        <v>35677</v>
      </c>
      <c r="C4673">
        <v>6576.64</v>
      </c>
    </row>
    <row r="4674" spans="2:3">
      <c r="B4674" s="189">
        <v>35676</v>
      </c>
      <c r="C4674">
        <v>6551.3</v>
      </c>
    </row>
    <row r="4675" spans="2:3">
      <c r="B4675" s="189">
        <v>35675</v>
      </c>
      <c r="C4675">
        <v>6511.68</v>
      </c>
    </row>
    <row r="4676" spans="2:3">
      <c r="B4676" s="189">
        <v>35674</v>
      </c>
      <c r="C4676">
        <v>6495.03</v>
      </c>
    </row>
    <row r="4677" spans="2:3">
      <c r="B4677" s="189">
        <v>35671</v>
      </c>
      <c r="C4677">
        <v>6538.77</v>
      </c>
    </row>
    <row r="4678" spans="2:3">
      <c r="B4678" s="189">
        <v>35670</v>
      </c>
      <c r="C4678">
        <v>6601.91</v>
      </c>
    </row>
    <row r="4679" spans="2:3">
      <c r="B4679" s="189">
        <v>35669</v>
      </c>
      <c r="C4679">
        <v>6613.54</v>
      </c>
    </row>
    <row r="4680" spans="2:3">
      <c r="B4680" s="189">
        <v>35668</v>
      </c>
      <c r="C4680">
        <v>6607.96</v>
      </c>
    </row>
    <row r="4681" spans="2:3">
      <c r="B4681" s="189">
        <v>35667</v>
      </c>
      <c r="C4681">
        <v>6626.12</v>
      </c>
    </row>
    <row r="4682" spans="2:3">
      <c r="B4682" s="189">
        <v>35664</v>
      </c>
      <c r="C4682">
        <v>6574.33</v>
      </c>
    </row>
    <row r="4683" spans="2:3">
      <c r="B4683" s="189">
        <v>35663</v>
      </c>
      <c r="C4683">
        <v>6684.99</v>
      </c>
    </row>
    <row r="4684" spans="2:3">
      <c r="B4684" s="189">
        <v>35662</v>
      </c>
      <c r="C4684">
        <v>6658.54</v>
      </c>
    </row>
    <row r="4685" spans="2:3">
      <c r="B4685" s="189">
        <v>35661</v>
      </c>
      <c r="C4685">
        <v>6627.79</v>
      </c>
    </row>
    <row r="4686" spans="2:3">
      <c r="B4686" s="189">
        <v>35660</v>
      </c>
      <c r="C4686">
        <v>6600.24</v>
      </c>
    </row>
    <row r="4687" spans="2:3">
      <c r="B4687" s="189">
        <v>35657</v>
      </c>
      <c r="C4687">
        <v>6663.77</v>
      </c>
    </row>
    <row r="4688" spans="2:3">
      <c r="B4688" s="189">
        <v>35656</v>
      </c>
      <c r="C4688">
        <v>6762.29</v>
      </c>
    </row>
    <row r="4689" spans="2:3">
      <c r="B4689" s="189">
        <v>35655</v>
      </c>
      <c r="C4689">
        <v>6774.68</v>
      </c>
    </row>
    <row r="4690" spans="2:3">
      <c r="B4690" s="189">
        <v>35654</v>
      </c>
      <c r="C4690">
        <v>6820.16</v>
      </c>
    </row>
    <row r="4691" spans="2:3">
      <c r="B4691" s="189">
        <v>35653</v>
      </c>
      <c r="C4691">
        <v>6831.18</v>
      </c>
    </row>
    <row r="4692" spans="2:3">
      <c r="B4692" s="189">
        <v>35650</v>
      </c>
      <c r="C4692">
        <v>6845.28</v>
      </c>
    </row>
    <row r="4693" spans="2:3">
      <c r="B4693" s="189">
        <v>35649</v>
      </c>
      <c r="C4693">
        <v>6869.27</v>
      </c>
    </row>
    <row r="4694" spans="2:3">
      <c r="B4694" s="189">
        <v>35648</v>
      </c>
      <c r="C4694">
        <v>6810.3</v>
      </c>
    </row>
    <row r="4695" spans="2:3">
      <c r="B4695" s="189">
        <v>35647</v>
      </c>
      <c r="C4695">
        <v>6757.41</v>
      </c>
    </row>
    <row r="4696" spans="2:3">
      <c r="B4696" s="189">
        <v>35646</v>
      </c>
      <c r="C4696">
        <v>6710.51</v>
      </c>
    </row>
    <row r="4697" spans="2:3">
      <c r="B4697" s="189">
        <v>35643</v>
      </c>
      <c r="C4697">
        <v>6722.23</v>
      </c>
    </row>
    <row r="4698" spans="2:3">
      <c r="B4698" s="189">
        <v>35642</v>
      </c>
      <c r="C4698">
        <v>6748.56</v>
      </c>
    </row>
    <row r="4699" spans="2:3">
      <c r="B4699" s="189">
        <v>35641</v>
      </c>
      <c r="C4699">
        <v>6737.65</v>
      </c>
    </row>
    <row r="4700" spans="2:3">
      <c r="B4700" s="189">
        <v>35640</v>
      </c>
      <c r="C4700">
        <v>6740.64</v>
      </c>
    </row>
    <row r="4701" spans="2:3">
      <c r="B4701" s="189">
        <v>35639</v>
      </c>
      <c r="C4701">
        <v>6756.52</v>
      </c>
    </row>
    <row r="4702" spans="2:3">
      <c r="B4702" s="189">
        <v>35636</v>
      </c>
      <c r="C4702">
        <v>6715.27</v>
      </c>
    </row>
    <row r="4703" spans="2:3">
      <c r="B4703" s="189">
        <v>35635</v>
      </c>
      <c r="C4703">
        <v>6699.39</v>
      </c>
    </row>
    <row r="4704" spans="2:3">
      <c r="B4704" s="189">
        <v>35634</v>
      </c>
      <c r="C4704">
        <v>6716.52</v>
      </c>
    </row>
    <row r="4705" spans="2:3">
      <c r="B4705" s="189">
        <v>35633</v>
      </c>
      <c r="C4705">
        <v>6696.58</v>
      </c>
    </row>
    <row r="4706" spans="2:3">
      <c r="B4706" s="189">
        <v>35632</v>
      </c>
      <c r="C4706">
        <v>6701.31</v>
      </c>
    </row>
    <row r="4707" spans="2:3">
      <c r="B4707" s="189">
        <v>35629</v>
      </c>
      <c r="C4707">
        <v>6700.17</v>
      </c>
    </row>
    <row r="4708" spans="2:3">
      <c r="B4708" s="189">
        <v>35628</v>
      </c>
      <c r="C4708">
        <v>6708.31</v>
      </c>
    </row>
    <row r="4709" spans="2:3">
      <c r="B4709" s="189">
        <v>35627</v>
      </c>
      <c r="C4709">
        <v>6694.99</v>
      </c>
    </row>
    <row r="4710" spans="2:3">
      <c r="B4710" s="189">
        <v>35626</v>
      </c>
      <c r="C4710">
        <v>6664.79</v>
      </c>
    </row>
    <row r="4711" spans="2:3">
      <c r="B4711" s="189">
        <v>35625</v>
      </c>
      <c r="C4711">
        <v>6660.31</v>
      </c>
    </row>
    <row r="4712" spans="2:3">
      <c r="B4712" s="189">
        <v>35622</v>
      </c>
      <c r="C4712">
        <v>6630.84</v>
      </c>
    </row>
    <row r="4713" spans="2:3">
      <c r="B4713" s="189">
        <v>35621</v>
      </c>
      <c r="C4713">
        <v>6622.18</v>
      </c>
    </row>
    <row r="4714" spans="2:3">
      <c r="B4714" s="189">
        <v>35620</v>
      </c>
      <c r="C4714">
        <v>6589.8</v>
      </c>
    </row>
    <row r="4715" spans="2:3">
      <c r="B4715" s="189">
        <v>35619</v>
      </c>
      <c r="C4715">
        <v>6595.74</v>
      </c>
    </row>
    <row r="4716" spans="2:3">
      <c r="B4716" s="189">
        <v>35618</v>
      </c>
      <c r="C4716">
        <v>6569.21</v>
      </c>
    </row>
    <row r="4717" spans="2:3">
      <c r="B4717" s="189">
        <v>35615</v>
      </c>
      <c r="C4717">
        <v>6646.14</v>
      </c>
    </row>
    <row r="4718" spans="2:3">
      <c r="B4718" s="189">
        <v>35614</v>
      </c>
      <c r="C4718">
        <v>6678.54</v>
      </c>
    </row>
    <row r="4719" spans="2:3">
      <c r="B4719" s="189">
        <v>35613</v>
      </c>
      <c r="C4719">
        <v>6682.38</v>
      </c>
    </row>
    <row r="4720" spans="2:3">
      <c r="B4720" s="189">
        <v>35612</v>
      </c>
      <c r="C4720">
        <v>6680.05</v>
      </c>
    </row>
    <row r="4721" spans="2:3">
      <c r="B4721" s="189">
        <v>35611</v>
      </c>
      <c r="C4721">
        <v>6676.05</v>
      </c>
    </row>
    <row r="4722" spans="2:3">
      <c r="B4722" s="189">
        <v>35608</v>
      </c>
      <c r="C4722">
        <v>6665.07</v>
      </c>
    </row>
    <row r="4723" spans="2:3">
      <c r="B4723" s="189">
        <v>35607</v>
      </c>
      <c r="C4723">
        <v>6654.18</v>
      </c>
    </row>
    <row r="4724" spans="2:3">
      <c r="B4724" s="189">
        <v>35606</v>
      </c>
      <c r="C4724">
        <v>6602.87</v>
      </c>
    </row>
    <row r="4725" spans="2:3">
      <c r="B4725" s="189">
        <v>35605</v>
      </c>
      <c r="C4725">
        <v>6584.48</v>
      </c>
    </row>
    <row r="4726" spans="2:3">
      <c r="B4726" s="189">
        <v>35604</v>
      </c>
      <c r="C4726">
        <v>6538.54</v>
      </c>
    </row>
    <row r="4727" spans="2:3">
      <c r="B4727" s="189">
        <v>35601</v>
      </c>
      <c r="C4727">
        <v>6509.03</v>
      </c>
    </row>
    <row r="4728" spans="2:3">
      <c r="B4728" s="189">
        <v>35600</v>
      </c>
      <c r="C4728">
        <v>6476.26</v>
      </c>
    </row>
    <row r="4729" spans="2:3">
      <c r="B4729" s="189">
        <v>35599</v>
      </c>
      <c r="C4729">
        <v>6479.21</v>
      </c>
    </row>
    <row r="4730" spans="2:3">
      <c r="B4730" s="189">
        <v>35598</v>
      </c>
      <c r="C4730">
        <v>6456.42</v>
      </c>
    </row>
    <row r="4731" spans="2:3">
      <c r="B4731" s="189">
        <v>35594</v>
      </c>
      <c r="C4731">
        <v>6531.07</v>
      </c>
    </row>
    <row r="4732" spans="2:3">
      <c r="B4732" s="189">
        <v>35593</v>
      </c>
      <c r="C4732">
        <v>6544.66</v>
      </c>
    </row>
    <row r="4733" spans="2:3">
      <c r="B4733" s="189">
        <v>35592</v>
      </c>
      <c r="C4733">
        <v>6540.32</v>
      </c>
    </row>
    <row r="4734" spans="2:3">
      <c r="B4734" s="189">
        <v>35591</v>
      </c>
      <c r="C4734">
        <v>6520.71</v>
      </c>
    </row>
    <row r="4735" spans="2:3">
      <c r="B4735" s="189">
        <v>35590</v>
      </c>
      <c r="C4735">
        <v>6553.16</v>
      </c>
    </row>
    <row r="4736" spans="2:3">
      <c r="B4736" s="189">
        <v>35587</v>
      </c>
      <c r="C4736">
        <v>6523.67</v>
      </c>
    </row>
    <row r="4737" spans="2:3">
      <c r="B4737" s="189">
        <v>35586</v>
      </c>
      <c r="C4737">
        <v>6484.21</v>
      </c>
    </row>
    <row r="4738" spans="2:3">
      <c r="B4738" s="189">
        <v>35585</v>
      </c>
      <c r="C4738">
        <v>6449.73</v>
      </c>
    </row>
    <row r="4739" spans="2:3">
      <c r="B4739" s="189">
        <v>35584</v>
      </c>
      <c r="C4739">
        <v>6387.08</v>
      </c>
    </row>
    <row r="4740" spans="2:3">
      <c r="B4740" s="189">
        <v>35583</v>
      </c>
      <c r="C4740">
        <v>6335.81</v>
      </c>
    </row>
    <row r="4741" spans="2:3">
      <c r="B4741" s="189">
        <v>35580</v>
      </c>
      <c r="C4741">
        <v>6291.9</v>
      </c>
    </row>
    <row r="4742" spans="2:3">
      <c r="B4742" s="189">
        <v>35579</v>
      </c>
      <c r="C4742">
        <v>6347.49</v>
      </c>
    </row>
    <row r="4743" spans="2:3">
      <c r="B4743" s="189">
        <v>35578</v>
      </c>
      <c r="C4743">
        <v>6313.79</v>
      </c>
    </row>
    <row r="4744" spans="2:3">
      <c r="B4744" s="189">
        <v>35577</v>
      </c>
      <c r="C4744">
        <v>6344.41</v>
      </c>
    </row>
    <row r="4745" spans="2:3">
      <c r="B4745" s="189">
        <v>35576</v>
      </c>
      <c r="C4745">
        <v>6350.95</v>
      </c>
    </row>
    <row r="4746" spans="2:3">
      <c r="B4746" s="189">
        <v>35573</v>
      </c>
      <c r="C4746">
        <v>6347.12</v>
      </c>
    </row>
    <row r="4747" spans="2:3">
      <c r="B4747" s="189">
        <v>35572</v>
      </c>
      <c r="C4747">
        <v>6376.5</v>
      </c>
    </row>
    <row r="4748" spans="2:3">
      <c r="B4748" s="189">
        <v>35571</v>
      </c>
      <c r="C4748">
        <v>6414.9</v>
      </c>
    </row>
    <row r="4749" spans="2:3">
      <c r="B4749" s="189">
        <v>35570</v>
      </c>
      <c r="C4749">
        <v>6398.07</v>
      </c>
    </row>
    <row r="4750" spans="2:3">
      <c r="B4750" s="189">
        <v>35569</v>
      </c>
      <c r="C4750">
        <v>6406.84</v>
      </c>
    </row>
    <row r="4751" spans="2:3">
      <c r="B4751" s="189">
        <v>35566</v>
      </c>
      <c r="C4751">
        <v>6427</v>
      </c>
    </row>
    <row r="4752" spans="2:3">
      <c r="B4752" s="189">
        <v>35565</v>
      </c>
      <c r="C4752">
        <v>6454.6</v>
      </c>
    </row>
    <row r="4753" spans="2:3">
      <c r="B4753" s="189">
        <v>35564</v>
      </c>
      <c r="C4753">
        <v>6502.96</v>
      </c>
    </row>
    <row r="4754" spans="2:3">
      <c r="B4754" s="189">
        <v>35563</v>
      </c>
      <c r="C4754">
        <v>6485.93</v>
      </c>
    </row>
    <row r="4755" spans="2:3">
      <c r="B4755" s="189">
        <v>35562</v>
      </c>
      <c r="C4755">
        <v>6489.34</v>
      </c>
    </row>
    <row r="4756" spans="2:3">
      <c r="B4756" s="189">
        <v>35559</v>
      </c>
      <c r="C4756">
        <v>6479.32</v>
      </c>
    </row>
    <row r="4757" spans="2:3">
      <c r="B4757" s="189">
        <v>35558</v>
      </c>
      <c r="C4757">
        <v>6466.09</v>
      </c>
    </row>
    <row r="4758" spans="2:3">
      <c r="B4758" s="189">
        <v>35557</v>
      </c>
      <c r="C4758">
        <v>6461.74</v>
      </c>
    </row>
    <row r="4759" spans="2:3">
      <c r="B4759" s="189">
        <v>35556</v>
      </c>
      <c r="C4759">
        <v>6510.57</v>
      </c>
    </row>
    <row r="4760" spans="2:3">
      <c r="B4760" s="189">
        <v>35555</v>
      </c>
      <c r="C4760">
        <v>6493.92</v>
      </c>
    </row>
    <row r="4761" spans="2:3">
      <c r="B4761" s="189">
        <v>35552</v>
      </c>
      <c r="C4761">
        <v>6454.81</v>
      </c>
    </row>
    <row r="4762" spans="2:3">
      <c r="B4762" s="189">
        <v>35550</v>
      </c>
      <c r="C4762">
        <v>6437.17</v>
      </c>
    </row>
    <row r="4763" spans="2:3">
      <c r="B4763" s="189">
        <v>35549</v>
      </c>
      <c r="C4763">
        <v>6421.13</v>
      </c>
    </row>
    <row r="4764" spans="2:3">
      <c r="B4764" s="189">
        <v>35545</v>
      </c>
      <c r="C4764">
        <v>6385.47</v>
      </c>
    </row>
    <row r="4765" spans="2:3">
      <c r="B4765" s="189">
        <v>35544</v>
      </c>
      <c r="C4765">
        <v>6403.12</v>
      </c>
    </row>
    <row r="4766" spans="2:3">
      <c r="B4766" s="189">
        <v>35543</v>
      </c>
      <c r="C4766">
        <v>6396.44</v>
      </c>
    </row>
    <row r="4767" spans="2:3">
      <c r="B4767" s="189">
        <v>35542</v>
      </c>
      <c r="C4767">
        <v>6383.39</v>
      </c>
    </row>
    <row r="4768" spans="2:3">
      <c r="B4768" s="189">
        <v>35541</v>
      </c>
      <c r="C4768">
        <v>6355.79</v>
      </c>
    </row>
    <row r="4769" spans="2:3">
      <c r="B4769" s="189">
        <v>35538</v>
      </c>
      <c r="C4769">
        <v>6337.63</v>
      </c>
    </row>
    <row r="4770" spans="2:3">
      <c r="B4770" s="189">
        <v>35537</v>
      </c>
      <c r="C4770">
        <v>6290.35</v>
      </c>
    </row>
    <row r="4771" spans="2:3">
      <c r="B4771" s="189">
        <v>35536</v>
      </c>
      <c r="C4771">
        <v>6291.56</v>
      </c>
    </row>
    <row r="4772" spans="2:3">
      <c r="B4772" s="189">
        <v>35535</v>
      </c>
      <c r="C4772">
        <v>6306.83</v>
      </c>
    </row>
    <row r="4773" spans="2:3">
      <c r="B4773" s="189">
        <v>35534</v>
      </c>
      <c r="C4773">
        <v>6272.89</v>
      </c>
    </row>
    <row r="4774" spans="2:3">
      <c r="B4774" s="189">
        <v>35531</v>
      </c>
      <c r="C4774">
        <v>6321.87</v>
      </c>
    </row>
    <row r="4775" spans="2:3">
      <c r="B4775" s="189">
        <v>35530</v>
      </c>
      <c r="C4775">
        <v>6339.47</v>
      </c>
    </row>
    <row r="4776" spans="2:3">
      <c r="B4776" s="189">
        <v>35529</v>
      </c>
      <c r="C4776">
        <v>6340.96</v>
      </c>
    </row>
    <row r="4777" spans="2:3">
      <c r="B4777" s="189">
        <v>35528</v>
      </c>
      <c r="C4777">
        <v>6336.38</v>
      </c>
    </row>
    <row r="4778" spans="2:3">
      <c r="B4778" s="189">
        <v>35527</v>
      </c>
      <c r="C4778">
        <v>6367.29</v>
      </c>
    </row>
    <row r="4779" spans="2:3">
      <c r="B4779" s="189">
        <v>35524</v>
      </c>
      <c r="C4779">
        <v>6310.02</v>
      </c>
    </row>
    <row r="4780" spans="2:3">
      <c r="B4780" s="189">
        <v>35523</v>
      </c>
      <c r="C4780">
        <v>6269.62</v>
      </c>
    </row>
    <row r="4781" spans="2:3">
      <c r="B4781" s="189">
        <v>35522</v>
      </c>
      <c r="C4781">
        <v>6262.01</v>
      </c>
    </row>
    <row r="4782" spans="2:3">
      <c r="B4782" s="189">
        <v>35521</v>
      </c>
      <c r="C4782">
        <v>6242.25</v>
      </c>
    </row>
    <row r="4783" spans="2:3">
      <c r="B4783" s="189">
        <v>35520</v>
      </c>
      <c r="C4783">
        <v>6365.1</v>
      </c>
    </row>
    <row r="4784" spans="2:3">
      <c r="B4784" s="189">
        <v>35516</v>
      </c>
      <c r="C4784">
        <v>6365.1</v>
      </c>
    </row>
    <row r="4785" spans="2:3">
      <c r="B4785" s="189">
        <v>35515</v>
      </c>
      <c r="C4785">
        <v>6330</v>
      </c>
    </row>
    <row r="4786" spans="2:3">
      <c r="B4786" s="189">
        <v>35514</v>
      </c>
      <c r="C4786">
        <v>6358.64</v>
      </c>
    </row>
    <row r="4787" spans="2:3">
      <c r="B4787" s="189">
        <v>35513</v>
      </c>
      <c r="C4787">
        <v>6363.71</v>
      </c>
    </row>
    <row r="4788" spans="2:3">
      <c r="B4788" s="189">
        <v>35509</v>
      </c>
      <c r="C4788">
        <v>6373.2</v>
      </c>
    </row>
    <row r="4789" spans="2:3">
      <c r="B4789" s="189">
        <v>35508</v>
      </c>
      <c r="C4789">
        <v>6377.83</v>
      </c>
    </row>
    <row r="4790" spans="2:3">
      <c r="B4790" s="189">
        <v>35507</v>
      </c>
      <c r="C4790">
        <v>6366.31</v>
      </c>
    </row>
    <row r="4791" spans="2:3">
      <c r="B4791" s="189">
        <v>35506</v>
      </c>
      <c r="C4791">
        <v>6393.55</v>
      </c>
    </row>
    <row r="4792" spans="2:3">
      <c r="B4792" s="189">
        <v>35503</v>
      </c>
      <c r="C4792">
        <v>6407.7</v>
      </c>
    </row>
    <row r="4793" spans="2:3">
      <c r="B4793" s="189">
        <v>35502</v>
      </c>
      <c r="C4793">
        <v>6452.91</v>
      </c>
    </row>
    <row r="4794" spans="2:3">
      <c r="B4794" s="189">
        <v>35501</v>
      </c>
      <c r="C4794">
        <v>6449.98</v>
      </c>
    </row>
    <row r="4795" spans="2:3">
      <c r="B4795" s="189">
        <v>35500</v>
      </c>
      <c r="C4795">
        <v>6448.87</v>
      </c>
    </row>
    <row r="4796" spans="2:3">
      <c r="B4796" s="189">
        <v>35499</v>
      </c>
      <c r="C4796">
        <v>6384.08</v>
      </c>
    </row>
    <row r="4797" spans="2:3">
      <c r="B4797" s="189">
        <v>35496</v>
      </c>
      <c r="C4797">
        <v>6352.54</v>
      </c>
    </row>
    <row r="4798" spans="2:3">
      <c r="B4798" s="189">
        <v>35495</v>
      </c>
      <c r="C4798">
        <v>6379.55</v>
      </c>
    </row>
    <row r="4799" spans="2:3">
      <c r="B4799" s="189">
        <v>35494</v>
      </c>
      <c r="C4799">
        <v>6364.53</v>
      </c>
    </row>
    <row r="4800" spans="2:3">
      <c r="B4800" s="189">
        <v>35493</v>
      </c>
      <c r="C4800">
        <v>6426.1</v>
      </c>
    </row>
    <row r="4801" spans="2:3">
      <c r="B4801" s="189">
        <v>35492</v>
      </c>
      <c r="C4801">
        <v>6447.03</v>
      </c>
    </row>
    <row r="4802" spans="2:3">
      <c r="B4802" s="189">
        <v>35489</v>
      </c>
      <c r="C4802">
        <v>6430.31</v>
      </c>
    </row>
    <row r="4803" spans="2:3">
      <c r="B4803" s="189">
        <v>35488</v>
      </c>
      <c r="C4803">
        <v>6482.75</v>
      </c>
    </row>
    <row r="4804" spans="2:3">
      <c r="B4804" s="189">
        <v>35487</v>
      </c>
      <c r="C4804">
        <v>6497.53</v>
      </c>
    </row>
    <row r="4805" spans="2:3">
      <c r="B4805" s="189">
        <v>35486</v>
      </c>
      <c r="C4805">
        <v>6499.22</v>
      </c>
    </row>
    <row r="4806" spans="2:3">
      <c r="B4806" s="189">
        <v>35485</v>
      </c>
      <c r="C4806">
        <v>6457.93</v>
      </c>
    </row>
    <row r="4807" spans="2:3">
      <c r="B4807" s="189">
        <v>35482</v>
      </c>
      <c r="C4807">
        <v>6434.67</v>
      </c>
    </row>
    <row r="4808" spans="2:3">
      <c r="B4808" s="189">
        <v>35481</v>
      </c>
      <c r="C4808">
        <v>6414.92</v>
      </c>
    </row>
    <row r="4809" spans="2:3">
      <c r="B4809" s="189">
        <v>35480</v>
      </c>
      <c r="C4809">
        <v>6418.66</v>
      </c>
    </row>
    <row r="4810" spans="2:3">
      <c r="B4810" s="189">
        <v>35479</v>
      </c>
      <c r="C4810">
        <v>6407.34</v>
      </c>
    </row>
    <row r="4811" spans="2:3">
      <c r="B4811" s="189">
        <v>35478</v>
      </c>
      <c r="C4811">
        <v>6351.86</v>
      </c>
    </row>
    <row r="4812" spans="2:3">
      <c r="B4812" s="189">
        <v>35475</v>
      </c>
      <c r="C4812">
        <v>6329.29</v>
      </c>
    </row>
    <row r="4813" spans="2:3">
      <c r="B4813" s="189">
        <v>35474</v>
      </c>
      <c r="C4813">
        <v>6344.79</v>
      </c>
    </row>
    <row r="4814" spans="2:3">
      <c r="B4814" s="189">
        <v>35473</v>
      </c>
      <c r="C4814">
        <v>6273.36</v>
      </c>
    </row>
    <row r="4815" spans="2:3">
      <c r="B4815" s="189">
        <v>35472</v>
      </c>
      <c r="C4815">
        <v>6281.15</v>
      </c>
    </row>
    <row r="4816" spans="2:3">
      <c r="B4816" s="189">
        <v>35471</v>
      </c>
      <c r="C4816">
        <v>6264.3</v>
      </c>
    </row>
    <row r="4817" spans="2:3">
      <c r="B4817" s="189">
        <v>35468</v>
      </c>
      <c r="C4817">
        <v>6189.4</v>
      </c>
    </row>
    <row r="4818" spans="2:3">
      <c r="B4818" s="189">
        <v>35467</v>
      </c>
      <c r="C4818">
        <v>6176.47</v>
      </c>
    </row>
    <row r="4819" spans="2:3">
      <c r="B4819" s="189">
        <v>35466</v>
      </c>
      <c r="C4819">
        <v>6128.09</v>
      </c>
    </row>
    <row r="4820" spans="2:3">
      <c r="B4820" s="189">
        <v>35465</v>
      </c>
      <c r="C4820">
        <v>6094.31</v>
      </c>
    </row>
    <row r="4821" spans="2:3">
      <c r="B4821" s="189">
        <v>35464</v>
      </c>
      <c r="C4821">
        <v>6050.11</v>
      </c>
    </row>
    <row r="4822" spans="2:3">
      <c r="B4822" s="189">
        <v>35461</v>
      </c>
      <c r="C4822">
        <v>6019.9</v>
      </c>
    </row>
    <row r="4823" spans="2:3">
      <c r="B4823" s="189">
        <v>35460</v>
      </c>
      <c r="C4823">
        <v>6001.12</v>
      </c>
    </row>
    <row r="4824" spans="2:3">
      <c r="B4824" s="189">
        <v>35459</v>
      </c>
      <c r="C4824">
        <v>6032.39</v>
      </c>
    </row>
    <row r="4825" spans="2:3">
      <c r="B4825" s="189">
        <v>35458</v>
      </c>
      <c r="C4825">
        <v>6083.29</v>
      </c>
    </row>
    <row r="4826" spans="2:3">
      <c r="B4826" s="189">
        <v>35457</v>
      </c>
      <c r="C4826">
        <v>6032.93</v>
      </c>
    </row>
    <row r="4827" spans="2:3">
      <c r="B4827" s="189">
        <v>35454</v>
      </c>
      <c r="C4827">
        <v>6036.91</v>
      </c>
    </row>
    <row r="4828" spans="2:3">
      <c r="B4828" s="189">
        <v>35453</v>
      </c>
      <c r="C4828">
        <v>6074</v>
      </c>
    </row>
    <row r="4829" spans="2:3">
      <c r="B4829" s="189">
        <v>35452</v>
      </c>
      <c r="C4829">
        <v>6114.04</v>
      </c>
    </row>
    <row r="4830" spans="2:3">
      <c r="B4830" s="189">
        <v>35451</v>
      </c>
      <c r="C4830">
        <v>6092.51</v>
      </c>
    </row>
    <row r="4831" spans="2:3">
      <c r="B4831" s="189">
        <v>35450</v>
      </c>
      <c r="C4831">
        <v>6127.96</v>
      </c>
    </row>
    <row r="4832" spans="2:3">
      <c r="B4832" s="189">
        <v>35447</v>
      </c>
      <c r="C4832">
        <v>6132.41</v>
      </c>
    </row>
    <row r="4833" spans="2:3">
      <c r="B4833" s="189">
        <v>35446</v>
      </c>
      <c r="C4833">
        <v>6123.57</v>
      </c>
    </row>
    <row r="4834" spans="2:3">
      <c r="B4834" s="189">
        <v>35445</v>
      </c>
      <c r="C4834">
        <v>6093.43</v>
      </c>
    </row>
    <row r="4835" spans="2:3">
      <c r="B4835" s="189">
        <v>35444</v>
      </c>
      <c r="C4835">
        <v>6095.72</v>
      </c>
    </row>
    <row r="4836" spans="2:3">
      <c r="B4836" s="189">
        <v>35443</v>
      </c>
      <c r="C4836">
        <v>6104.13</v>
      </c>
    </row>
    <row r="4837" spans="2:3">
      <c r="B4837" s="189">
        <v>35440</v>
      </c>
      <c r="C4837">
        <v>6017.65</v>
      </c>
    </row>
    <row r="4838" spans="2:3">
      <c r="B4838" s="189">
        <v>35439</v>
      </c>
      <c r="C4838">
        <v>5995.8</v>
      </c>
    </row>
    <row r="4839" spans="2:3">
      <c r="B4839" s="189">
        <v>35438</v>
      </c>
      <c r="C4839">
        <v>5995.91</v>
      </c>
    </row>
    <row r="4840" spans="2:3">
      <c r="B4840" s="189">
        <v>35437</v>
      </c>
      <c r="C4840">
        <v>5961.23</v>
      </c>
    </row>
    <row r="4841" spans="2:3">
      <c r="B4841" s="189">
        <v>35436</v>
      </c>
      <c r="C4841">
        <v>5921.24</v>
      </c>
    </row>
    <row r="4842" spans="2:3">
      <c r="B4842" s="189">
        <v>35433</v>
      </c>
      <c r="C4842">
        <v>5938.16</v>
      </c>
    </row>
    <row r="4843" spans="2:3">
      <c r="B4843" s="189">
        <v>35432</v>
      </c>
      <c r="C4843">
        <v>5951.77</v>
      </c>
    </row>
    <row r="4844" spans="2:3">
      <c r="B4844" s="189">
        <v>35430</v>
      </c>
      <c r="C4844">
        <v>5992.15</v>
      </c>
    </row>
    <row r="4845" spans="2:3">
      <c r="B4845" s="189">
        <v>35429</v>
      </c>
      <c r="C4845">
        <v>5970.96</v>
      </c>
    </row>
    <row r="4846" spans="2:3">
      <c r="B4846" s="189">
        <v>35426</v>
      </c>
      <c r="C4846">
        <v>5930.75</v>
      </c>
    </row>
    <row r="4847" spans="2:3">
      <c r="B4847" s="189">
        <v>35423</v>
      </c>
      <c r="C4847">
        <v>5911.35</v>
      </c>
    </row>
    <row r="4848" spans="2:3">
      <c r="B4848" s="189">
        <v>35422</v>
      </c>
      <c r="C4848">
        <v>5900.22</v>
      </c>
    </row>
    <row r="4849" spans="2:3">
      <c r="B4849" s="189">
        <v>35419</v>
      </c>
      <c r="C4849">
        <v>5887.71</v>
      </c>
    </row>
    <row r="4850" spans="2:3">
      <c r="B4850" s="189">
        <v>35418</v>
      </c>
      <c r="C4850">
        <v>5821</v>
      </c>
    </row>
    <row r="4851" spans="2:3">
      <c r="B4851" s="189">
        <v>35417</v>
      </c>
      <c r="C4851">
        <v>5770.61</v>
      </c>
    </row>
    <row r="4852" spans="2:3">
      <c r="B4852" s="189">
        <v>35416</v>
      </c>
      <c r="C4852">
        <v>5741.23</v>
      </c>
    </row>
    <row r="4853" spans="2:3">
      <c r="B4853" s="189">
        <v>35412</v>
      </c>
      <c r="C4853">
        <v>5837.42</v>
      </c>
    </row>
    <row r="4854" spans="2:3">
      <c r="B4854" s="189">
        <v>35411</v>
      </c>
      <c r="C4854">
        <v>5954.09</v>
      </c>
    </row>
    <row r="4855" spans="2:3">
      <c r="B4855" s="189">
        <v>35410</v>
      </c>
      <c r="C4855">
        <v>5987.23</v>
      </c>
    </row>
    <row r="4856" spans="2:3">
      <c r="B4856" s="189">
        <v>35409</v>
      </c>
      <c r="C4856">
        <v>6008.27</v>
      </c>
    </row>
    <row r="4857" spans="2:3">
      <c r="B4857" s="189">
        <v>35408</v>
      </c>
      <c r="C4857">
        <v>5965.47</v>
      </c>
    </row>
    <row r="4858" spans="2:3">
      <c r="B4858" s="189">
        <v>35405</v>
      </c>
      <c r="C4858">
        <v>5949.11</v>
      </c>
    </row>
    <row r="4859" spans="2:3">
      <c r="B4859" s="189">
        <v>35404</v>
      </c>
      <c r="C4859">
        <v>6059.28</v>
      </c>
    </row>
    <row r="4860" spans="2:3">
      <c r="B4860" s="189">
        <v>35403</v>
      </c>
      <c r="C4860">
        <v>6062.42</v>
      </c>
    </row>
    <row r="4861" spans="2:3">
      <c r="B4861" s="189">
        <v>35402</v>
      </c>
      <c r="C4861">
        <v>6050.33</v>
      </c>
    </row>
    <row r="4862" spans="2:3">
      <c r="B4862" s="189">
        <v>35401</v>
      </c>
      <c r="C4862">
        <v>6058.53</v>
      </c>
    </row>
    <row r="4863" spans="2:3">
      <c r="B4863" s="189">
        <v>35398</v>
      </c>
      <c r="C4863">
        <v>6069.06</v>
      </c>
    </row>
    <row r="4864" spans="2:3">
      <c r="B4864" s="189">
        <v>35397</v>
      </c>
      <c r="C4864">
        <v>6063.21</v>
      </c>
    </row>
    <row r="4865" spans="2:3">
      <c r="B4865" s="189">
        <v>35396</v>
      </c>
      <c r="C4865">
        <v>6092.69</v>
      </c>
    </row>
    <row r="4866" spans="2:3">
      <c r="B4866" s="189">
        <v>35395</v>
      </c>
      <c r="C4866">
        <v>6069.79</v>
      </c>
    </row>
    <row r="4867" spans="2:3">
      <c r="B4867" s="189">
        <v>35394</v>
      </c>
      <c r="C4867">
        <v>6041.37</v>
      </c>
    </row>
    <row r="4868" spans="2:3">
      <c r="B4868" s="189">
        <v>35391</v>
      </c>
      <c r="C4868">
        <v>6075.8</v>
      </c>
    </row>
    <row r="4869" spans="2:3">
      <c r="B4869" s="189">
        <v>35390</v>
      </c>
      <c r="C4869">
        <v>6122.82</v>
      </c>
    </row>
    <row r="4870" spans="2:3">
      <c r="B4870" s="189">
        <v>35389</v>
      </c>
      <c r="C4870">
        <v>6201.34</v>
      </c>
    </row>
    <row r="4871" spans="2:3">
      <c r="B4871" s="189">
        <v>35388</v>
      </c>
      <c r="C4871">
        <v>6216.25</v>
      </c>
    </row>
    <row r="4872" spans="2:3">
      <c r="B4872" s="189">
        <v>35387</v>
      </c>
      <c r="C4872">
        <v>6265.95</v>
      </c>
    </row>
    <row r="4873" spans="2:3">
      <c r="B4873" s="189">
        <v>35384</v>
      </c>
      <c r="C4873">
        <v>6190.19</v>
      </c>
    </row>
    <row r="4874" spans="2:3">
      <c r="B4874" s="189">
        <v>35383</v>
      </c>
      <c r="C4874">
        <v>6162.8</v>
      </c>
    </row>
    <row r="4875" spans="2:3">
      <c r="B4875" s="189">
        <v>35382</v>
      </c>
      <c r="C4875">
        <v>6105.87</v>
      </c>
    </row>
    <row r="4876" spans="2:3">
      <c r="B4876" s="189">
        <v>35381</v>
      </c>
      <c r="C4876">
        <v>6110.71</v>
      </c>
    </row>
    <row r="4877" spans="2:3">
      <c r="B4877" s="189">
        <v>35380</v>
      </c>
      <c r="C4877">
        <v>6079.59</v>
      </c>
    </row>
    <row r="4878" spans="2:3">
      <c r="B4878" s="189">
        <v>35377</v>
      </c>
      <c r="C4878">
        <v>6136.98</v>
      </c>
    </row>
    <row r="4879" spans="2:3">
      <c r="B4879" s="189">
        <v>35376</v>
      </c>
      <c r="C4879">
        <v>6143.89</v>
      </c>
    </row>
    <row r="4880" spans="2:3">
      <c r="B4880" s="189">
        <v>35375</v>
      </c>
      <c r="C4880">
        <v>6213.29</v>
      </c>
    </row>
    <row r="4881" spans="2:3">
      <c r="B4881" s="189">
        <v>35374</v>
      </c>
      <c r="C4881">
        <v>6254.94</v>
      </c>
    </row>
    <row r="4882" spans="2:3">
      <c r="B4882" s="189">
        <v>35373</v>
      </c>
      <c r="C4882">
        <v>6278.47</v>
      </c>
    </row>
    <row r="4883" spans="2:3">
      <c r="B4883" s="189">
        <v>35370</v>
      </c>
      <c r="C4883">
        <v>6294.79</v>
      </c>
    </row>
    <row r="4884" spans="2:3">
      <c r="B4884" s="189">
        <v>35369</v>
      </c>
      <c r="C4884">
        <v>6297.51</v>
      </c>
    </row>
    <row r="4885" spans="2:3">
      <c r="B4885" s="189">
        <v>35368</v>
      </c>
      <c r="C4885">
        <v>6227.06</v>
      </c>
    </row>
    <row r="4886" spans="2:3">
      <c r="B4886" s="189">
        <v>35367</v>
      </c>
      <c r="C4886">
        <v>6206.17</v>
      </c>
    </row>
    <row r="4887" spans="2:3">
      <c r="B4887" s="189">
        <v>35366</v>
      </c>
      <c r="C4887">
        <v>6292.66</v>
      </c>
    </row>
    <row r="4888" spans="2:3">
      <c r="B4888" s="189">
        <v>35363</v>
      </c>
      <c r="C4888">
        <v>6314.57</v>
      </c>
    </row>
    <row r="4889" spans="2:3">
      <c r="B4889" s="189">
        <v>35362</v>
      </c>
      <c r="C4889">
        <v>6341.35</v>
      </c>
    </row>
    <row r="4890" spans="2:3">
      <c r="B4890" s="189">
        <v>35361</v>
      </c>
      <c r="C4890">
        <v>6358.36</v>
      </c>
    </row>
    <row r="4891" spans="2:3">
      <c r="B4891" s="189">
        <v>35360</v>
      </c>
      <c r="C4891">
        <v>6354.09</v>
      </c>
    </row>
    <row r="4892" spans="2:3">
      <c r="B4892" s="189">
        <v>35359</v>
      </c>
      <c r="C4892">
        <v>6341.86</v>
      </c>
    </row>
    <row r="4893" spans="2:3">
      <c r="B4893" s="189">
        <v>35356</v>
      </c>
      <c r="C4893">
        <v>6332.84</v>
      </c>
    </row>
    <row r="4894" spans="2:3">
      <c r="B4894" s="189">
        <v>35355</v>
      </c>
      <c r="C4894">
        <v>6341</v>
      </c>
    </row>
    <row r="4895" spans="2:3">
      <c r="B4895" s="189">
        <v>35354</v>
      </c>
      <c r="C4895">
        <v>6353</v>
      </c>
    </row>
    <row r="4896" spans="2:3">
      <c r="B4896" s="189">
        <v>35353</v>
      </c>
      <c r="C4896">
        <v>6401.5</v>
      </c>
    </row>
    <row r="4897" spans="2:3">
      <c r="B4897" s="189">
        <v>35352</v>
      </c>
      <c r="C4897">
        <v>6400.53</v>
      </c>
    </row>
    <row r="4898" spans="2:3">
      <c r="B4898" s="189">
        <v>35349</v>
      </c>
      <c r="C4898">
        <v>6384.06</v>
      </c>
    </row>
    <row r="4899" spans="2:3">
      <c r="B4899" s="189">
        <v>35348</v>
      </c>
      <c r="C4899">
        <v>6363.96</v>
      </c>
    </row>
    <row r="4900" spans="2:3">
      <c r="B4900" s="189">
        <v>35347</v>
      </c>
      <c r="C4900">
        <v>6396.15</v>
      </c>
    </row>
    <row r="4901" spans="2:3">
      <c r="B4901" s="189">
        <v>35346</v>
      </c>
      <c r="C4901">
        <v>6385.32</v>
      </c>
    </row>
    <row r="4902" spans="2:3">
      <c r="B4902" s="189">
        <v>35345</v>
      </c>
      <c r="C4902">
        <v>6378.68</v>
      </c>
    </row>
    <row r="4903" spans="2:3">
      <c r="B4903" s="189">
        <v>35342</v>
      </c>
      <c r="C4903">
        <v>6362.43</v>
      </c>
    </row>
    <row r="4904" spans="2:3">
      <c r="B4904" s="189">
        <v>35341</v>
      </c>
      <c r="C4904">
        <v>6354.69</v>
      </c>
    </row>
    <row r="4905" spans="2:3">
      <c r="B4905" s="189">
        <v>35340</v>
      </c>
      <c r="C4905">
        <v>6343.17</v>
      </c>
    </row>
    <row r="4906" spans="2:3">
      <c r="B4906" s="189">
        <v>35339</v>
      </c>
      <c r="C4906">
        <v>6249.16</v>
      </c>
    </row>
    <row r="4907" spans="2:3">
      <c r="B4907" s="189">
        <v>35338</v>
      </c>
      <c r="C4907">
        <v>6235.46</v>
      </c>
    </row>
    <row r="4908" spans="2:3">
      <c r="B4908" s="189">
        <v>35335</v>
      </c>
      <c r="C4908">
        <v>6285.52</v>
      </c>
    </row>
    <row r="4909" spans="2:3">
      <c r="B4909" s="189">
        <v>35334</v>
      </c>
      <c r="C4909">
        <v>6290.3</v>
      </c>
    </row>
    <row r="4910" spans="2:3">
      <c r="B4910" s="189">
        <v>35333</v>
      </c>
      <c r="C4910">
        <v>6323.69</v>
      </c>
    </row>
    <row r="4911" spans="2:3">
      <c r="B4911" s="189">
        <v>35331</v>
      </c>
      <c r="C4911">
        <v>6281.03</v>
      </c>
    </row>
    <row r="4912" spans="2:3">
      <c r="B4912" s="189">
        <v>35328</v>
      </c>
      <c r="C4912">
        <v>6298.4</v>
      </c>
    </row>
    <row r="4913" spans="2:3">
      <c r="B4913" s="189">
        <v>35327</v>
      </c>
      <c r="C4913">
        <v>6297.79</v>
      </c>
    </row>
    <row r="4914" spans="2:3">
      <c r="B4914" s="189">
        <v>35326</v>
      </c>
      <c r="C4914">
        <v>6274.17</v>
      </c>
    </row>
    <row r="4915" spans="2:3">
      <c r="B4915" s="189">
        <v>35325</v>
      </c>
      <c r="C4915">
        <v>6312.09</v>
      </c>
    </row>
    <row r="4916" spans="2:3">
      <c r="B4916" s="189">
        <v>35324</v>
      </c>
      <c r="C4916">
        <v>6294.95</v>
      </c>
    </row>
    <row r="4917" spans="2:3">
      <c r="B4917" s="189">
        <v>35321</v>
      </c>
      <c r="C4917">
        <v>6244.12</v>
      </c>
    </row>
    <row r="4918" spans="2:3">
      <c r="B4918" s="189">
        <v>35320</v>
      </c>
      <c r="C4918">
        <v>6191.29</v>
      </c>
    </row>
    <row r="4919" spans="2:3">
      <c r="B4919" s="189">
        <v>35319</v>
      </c>
      <c r="C4919">
        <v>6159.76</v>
      </c>
    </row>
    <row r="4920" spans="2:3">
      <c r="B4920" s="189">
        <v>35318</v>
      </c>
      <c r="C4920">
        <v>6175.8</v>
      </c>
    </row>
    <row r="4921" spans="2:3">
      <c r="B4921" s="189">
        <v>35317</v>
      </c>
      <c r="C4921">
        <v>6214.26</v>
      </c>
    </row>
    <row r="4922" spans="2:3">
      <c r="B4922" s="189">
        <v>35314</v>
      </c>
      <c r="C4922">
        <v>6181.3</v>
      </c>
    </row>
    <row r="4923" spans="2:3">
      <c r="B4923" s="189">
        <v>35313</v>
      </c>
      <c r="C4923">
        <v>6184.9</v>
      </c>
    </row>
    <row r="4924" spans="2:3">
      <c r="B4924" s="189">
        <v>35312</v>
      </c>
      <c r="C4924">
        <v>6168.81</v>
      </c>
    </row>
    <row r="4925" spans="2:3">
      <c r="B4925" s="189">
        <v>35311</v>
      </c>
      <c r="C4925">
        <v>6099.46</v>
      </c>
    </row>
    <row r="4926" spans="2:3">
      <c r="B4926" s="189">
        <v>35310</v>
      </c>
      <c r="C4926">
        <v>6126.59</v>
      </c>
    </row>
    <row r="4927" spans="2:3">
      <c r="B4927" s="189">
        <v>35307</v>
      </c>
      <c r="C4927">
        <v>6079.97</v>
      </c>
    </row>
    <row r="4928" spans="2:3">
      <c r="B4928" s="189">
        <v>35306</v>
      </c>
      <c r="C4928">
        <v>6090.36</v>
      </c>
    </row>
    <row r="4929" spans="2:3">
      <c r="B4929" s="189">
        <v>35305</v>
      </c>
      <c r="C4929">
        <v>6063.23</v>
      </c>
    </row>
    <row r="4930" spans="2:3">
      <c r="B4930" s="189">
        <v>35304</v>
      </c>
      <c r="C4930">
        <v>5998.15</v>
      </c>
    </row>
    <row r="4931" spans="2:3">
      <c r="B4931" s="189">
        <v>35303</v>
      </c>
      <c r="C4931">
        <v>5939.29</v>
      </c>
    </row>
    <row r="4932" spans="2:3">
      <c r="B4932" s="189">
        <v>35300</v>
      </c>
      <c r="C4932">
        <v>5941.14</v>
      </c>
    </row>
    <row r="4933" spans="2:3">
      <c r="B4933" s="189">
        <v>35299</v>
      </c>
      <c r="C4933">
        <v>5858.09</v>
      </c>
    </row>
    <row r="4934" spans="2:3">
      <c r="B4934" s="189">
        <v>35298</v>
      </c>
      <c r="C4934">
        <v>5806.37</v>
      </c>
    </row>
    <row r="4935" spans="2:3">
      <c r="B4935" s="189">
        <v>35297</v>
      </c>
      <c r="C4935">
        <v>5830.21</v>
      </c>
    </row>
    <row r="4936" spans="2:3">
      <c r="B4936" s="189">
        <v>35296</v>
      </c>
      <c r="C4936">
        <v>5897.52</v>
      </c>
    </row>
    <row r="4937" spans="2:3">
      <c r="B4937" s="189">
        <v>35293</v>
      </c>
      <c r="C4937">
        <v>5907.81</v>
      </c>
    </row>
    <row r="4938" spans="2:3">
      <c r="B4938" s="189">
        <v>35292</v>
      </c>
      <c r="C4938">
        <v>5937.98</v>
      </c>
    </row>
    <row r="4939" spans="2:3">
      <c r="B4939" s="189">
        <v>35291</v>
      </c>
      <c r="C4939">
        <v>5986.32</v>
      </c>
    </row>
    <row r="4940" spans="2:3">
      <c r="B4940" s="189">
        <v>35290</v>
      </c>
      <c r="C4940">
        <v>6051.19</v>
      </c>
    </row>
    <row r="4941" spans="2:3">
      <c r="B4941" s="189">
        <v>35289</v>
      </c>
      <c r="C4941">
        <v>6027.59</v>
      </c>
    </row>
    <row r="4942" spans="2:3">
      <c r="B4942" s="189">
        <v>35285</v>
      </c>
      <c r="C4942">
        <v>6022.17</v>
      </c>
    </row>
    <row r="4943" spans="2:3">
      <c r="B4943" s="189">
        <v>35284</v>
      </c>
      <c r="C4943">
        <v>6072.32</v>
      </c>
    </row>
    <row r="4944" spans="2:3">
      <c r="B4944" s="189">
        <v>35283</v>
      </c>
      <c r="C4944">
        <v>6111.73</v>
      </c>
    </row>
    <row r="4945" spans="2:3">
      <c r="B4945" s="189">
        <v>35282</v>
      </c>
      <c r="C4945">
        <v>6128.92</v>
      </c>
    </row>
    <row r="4946" spans="2:3">
      <c r="B4946" s="189">
        <v>35279</v>
      </c>
      <c r="C4946">
        <v>6052.55</v>
      </c>
    </row>
    <row r="4947" spans="2:3">
      <c r="B4947" s="189">
        <v>35278</v>
      </c>
      <c r="C4947">
        <v>5980.83</v>
      </c>
    </row>
    <row r="4948" spans="2:3">
      <c r="B4948" s="189">
        <v>35277</v>
      </c>
      <c r="C4948">
        <v>5972.29</v>
      </c>
    </row>
    <row r="4949" spans="2:3">
      <c r="B4949" s="189">
        <v>35276</v>
      </c>
      <c r="C4949">
        <v>5999.22</v>
      </c>
    </row>
    <row r="4950" spans="2:3">
      <c r="B4950" s="189">
        <v>35275</v>
      </c>
      <c r="C4950">
        <v>6020.08</v>
      </c>
    </row>
    <row r="4951" spans="2:3">
      <c r="B4951" s="189">
        <v>35272</v>
      </c>
      <c r="C4951">
        <v>6003.57</v>
      </c>
    </row>
    <row r="4952" spans="2:3">
      <c r="B4952" s="189">
        <v>35271</v>
      </c>
      <c r="C4952">
        <v>6022.71</v>
      </c>
    </row>
    <row r="4953" spans="2:3">
      <c r="B4953" s="189">
        <v>35270</v>
      </c>
      <c r="C4953">
        <v>5991.06</v>
      </c>
    </row>
    <row r="4954" spans="2:3">
      <c r="B4954" s="189">
        <v>35269</v>
      </c>
      <c r="C4954">
        <v>6113.39</v>
      </c>
    </row>
    <row r="4955" spans="2:3">
      <c r="B4955" s="189">
        <v>35268</v>
      </c>
      <c r="C4955">
        <v>6107.81</v>
      </c>
    </row>
    <row r="4956" spans="2:3">
      <c r="B4956" s="189">
        <v>35265</v>
      </c>
      <c r="C4956">
        <v>6144.19</v>
      </c>
    </row>
    <row r="4957" spans="2:3">
      <c r="B4957" s="189">
        <v>35264</v>
      </c>
      <c r="C4957">
        <v>6071.04</v>
      </c>
    </row>
    <row r="4958" spans="2:3">
      <c r="B4958" s="189">
        <v>35263</v>
      </c>
      <c r="C4958">
        <v>6042.05</v>
      </c>
    </row>
    <row r="4959" spans="2:3">
      <c r="B4959" s="189">
        <v>35262</v>
      </c>
      <c r="C4959">
        <v>5984.13</v>
      </c>
    </row>
    <row r="4960" spans="2:3">
      <c r="B4960" s="189">
        <v>35261</v>
      </c>
      <c r="C4960">
        <v>6151.91</v>
      </c>
    </row>
    <row r="4961" spans="2:3">
      <c r="B4961" s="189">
        <v>35258</v>
      </c>
      <c r="C4961">
        <v>6145.92</v>
      </c>
    </row>
    <row r="4962" spans="2:3">
      <c r="B4962" s="189">
        <v>35257</v>
      </c>
      <c r="C4962">
        <v>6232.84</v>
      </c>
    </row>
    <row r="4963" spans="2:3">
      <c r="B4963" s="189">
        <v>35256</v>
      </c>
      <c r="C4963">
        <v>6276.88</v>
      </c>
    </row>
    <row r="4964" spans="2:3">
      <c r="B4964" s="189">
        <v>35255</v>
      </c>
      <c r="C4964">
        <v>6253.49</v>
      </c>
    </row>
    <row r="4965" spans="2:3">
      <c r="B4965" s="189">
        <v>35254</v>
      </c>
      <c r="C4965">
        <v>6211.92</v>
      </c>
    </row>
    <row r="4966" spans="2:3">
      <c r="B4966" s="189">
        <v>35251</v>
      </c>
      <c r="C4966">
        <v>6239.39</v>
      </c>
    </row>
    <row r="4967" spans="2:3">
      <c r="B4967" s="189">
        <v>35250</v>
      </c>
      <c r="C4967">
        <v>6257.02</v>
      </c>
    </row>
    <row r="4968" spans="2:3">
      <c r="B4968" s="189">
        <v>35249</v>
      </c>
      <c r="C4968">
        <v>6254.69</v>
      </c>
    </row>
    <row r="4969" spans="2:3">
      <c r="B4969" s="189">
        <v>35248</v>
      </c>
      <c r="C4969">
        <v>6237.78</v>
      </c>
    </row>
    <row r="4970" spans="2:3">
      <c r="B4970" s="189">
        <v>35247</v>
      </c>
      <c r="C4970">
        <v>6192.49</v>
      </c>
    </row>
    <row r="4971" spans="2:3">
      <c r="B4971" s="189">
        <v>35244</v>
      </c>
      <c r="C4971">
        <v>6208.41</v>
      </c>
    </row>
    <row r="4972" spans="2:3">
      <c r="B4972" s="189">
        <v>35243</v>
      </c>
      <c r="C4972">
        <v>6235.29</v>
      </c>
    </row>
    <row r="4973" spans="2:3">
      <c r="B4973" s="189">
        <v>35242</v>
      </c>
      <c r="C4973">
        <v>6243.82</v>
      </c>
    </row>
    <row r="4974" spans="2:3">
      <c r="B4974" s="189">
        <v>35241</v>
      </c>
      <c r="C4974">
        <v>6230.38</v>
      </c>
    </row>
    <row r="4975" spans="2:3">
      <c r="B4975" s="189">
        <v>35240</v>
      </c>
      <c r="C4975">
        <v>6203.7</v>
      </c>
    </row>
    <row r="4976" spans="2:3">
      <c r="B4976" s="189">
        <v>35237</v>
      </c>
      <c r="C4976">
        <v>6198.44</v>
      </c>
    </row>
    <row r="4977" spans="2:3">
      <c r="B4977" s="189">
        <v>35236</v>
      </c>
      <c r="C4977">
        <v>6185.54</v>
      </c>
    </row>
    <row r="4978" spans="2:3">
      <c r="B4978" s="189">
        <v>35235</v>
      </c>
      <c r="C4978">
        <v>6211.31</v>
      </c>
    </row>
    <row r="4979" spans="2:3">
      <c r="B4979" s="189">
        <v>35234</v>
      </c>
      <c r="C4979">
        <v>6171.49</v>
      </c>
    </row>
    <row r="4980" spans="2:3">
      <c r="B4980" s="189">
        <v>35230</v>
      </c>
      <c r="C4980">
        <v>6170.77</v>
      </c>
    </row>
    <row r="4981" spans="2:3">
      <c r="B4981" s="189">
        <v>35229</v>
      </c>
      <c r="C4981">
        <v>6193.7</v>
      </c>
    </row>
    <row r="4982" spans="2:3">
      <c r="B4982" s="189">
        <v>35228</v>
      </c>
      <c r="C4982">
        <v>6182.18</v>
      </c>
    </row>
    <row r="4983" spans="2:3">
      <c r="B4983" s="189">
        <v>35227</v>
      </c>
      <c r="C4983">
        <v>6143.87</v>
      </c>
    </row>
    <row r="4984" spans="2:3">
      <c r="B4984" s="189">
        <v>35226</v>
      </c>
      <c r="C4984">
        <v>6192.64</v>
      </c>
    </row>
    <row r="4985" spans="2:3">
      <c r="B4985" s="189">
        <v>35223</v>
      </c>
      <c r="C4985">
        <v>6179.66</v>
      </c>
    </row>
    <row r="4986" spans="2:3">
      <c r="B4986" s="189">
        <v>35222</v>
      </c>
      <c r="C4986">
        <v>6199.71</v>
      </c>
    </row>
    <row r="4987" spans="2:3">
      <c r="B4987" s="189">
        <v>35221</v>
      </c>
      <c r="C4987">
        <v>6190.92</v>
      </c>
    </row>
    <row r="4988" spans="2:3">
      <c r="B4988" s="189">
        <v>35220</v>
      </c>
      <c r="C4988">
        <v>6213.36</v>
      </c>
    </row>
    <row r="4989" spans="2:3">
      <c r="B4989" s="189">
        <v>35219</v>
      </c>
      <c r="C4989">
        <v>6201.93</v>
      </c>
    </row>
    <row r="4990" spans="2:3">
      <c r="B4990" s="189">
        <v>35216</v>
      </c>
      <c r="C4990">
        <v>6209.62</v>
      </c>
    </row>
    <row r="4991" spans="2:3">
      <c r="B4991" s="189">
        <v>35215</v>
      </c>
      <c r="C4991">
        <v>6144.77</v>
      </c>
    </row>
    <row r="4992" spans="2:3">
      <c r="B4992" s="189">
        <v>35214</v>
      </c>
      <c r="C4992">
        <v>6159.43</v>
      </c>
    </row>
    <row r="4993" spans="2:3">
      <c r="B4993" s="189">
        <v>35213</v>
      </c>
      <c r="C4993">
        <v>6143.14</v>
      </c>
    </row>
    <row r="4994" spans="2:3">
      <c r="B4994" s="189">
        <v>35212</v>
      </c>
      <c r="C4994">
        <v>6085.39</v>
      </c>
    </row>
    <row r="4995" spans="2:3">
      <c r="B4995" s="189">
        <v>35209</v>
      </c>
      <c r="C4995">
        <v>6085.13</v>
      </c>
    </row>
    <row r="4996" spans="2:3">
      <c r="B4996" s="189">
        <v>35208</v>
      </c>
      <c r="C4996">
        <v>6068.38</v>
      </c>
    </row>
    <row r="4997" spans="2:3">
      <c r="B4997" s="189">
        <v>35207</v>
      </c>
      <c r="C4997">
        <v>6045.92</v>
      </c>
    </row>
    <row r="4998" spans="2:3">
      <c r="B4998" s="189">
        <v>35206</v>
      </c>
      <c r="C4998">
        <v>6045.69</v>
      </c>
    </row>
    <row r="4999" spans="2:3">
      <c r="B4999" s="189">
        <v>35205</v>
      </c>
      <c r="C4999">
        <v>6062.33</v>
      </c>
    </row>
    <row r="5000" spans="2:3">
      <c r="B5000" s="189">
        <v>35202</v>
      </c>
      <c r="C5000">
        <v>6123.48</v>
      </c>
    </row>
    <row r="5001" spans="2:3">
      <c r="B5001" s="189">
        <v>35201</v>
      </c>
      <c r="C5001">
        <v>6166.44</v>
      </c>
    </row>
    <row r="5002" spans="2:3">
      <c r="B5002" s="189">
        <v>35200</v>
      </c>
      <c r="C5002">
        <v>6200.37</v>
      </c>
    </row>
    <row r="5003" spans="2:3">
      <c r="B5003" s="189">
        <v>35199</v>
      </c>
      <c r="C5003">
        <v>6223.39</v>
      </c>
    </row>
    <row r="5004" spans="2:3">
      <c r="B5004" s="189">
        <v>35198</v>
      </c>
      <c r="C5004">
        <v>6174.59</v>
      </c>
    </row>
    <row r="5005" spans="2:3">
      <c r="B5005" s="189">
        <v>35195</v>
      </c>
      <c r="C5005">
        <v>6129.68</v>
      </c>
    </row>
    <row r="5006" spans="2:3">
      <c r="B5006" s="189">
        <v>35194</v>
      </c>
      <c r="C5006">
        <v>6083.01</v>
      </c>
    </row>
    <row r="5007" spans="2:3">
      <c r="B5007" s="189">
        <v>35193</v>
      </c>
      <c r="C5007">
        <v>6184.13</v>
      </c>
    </row>
    <row r="5008" spans="2:3">
      <c r="B5008" s="189">
        <v>35192</v>
      </c>
      <c r="C5008">
        <v>6249.44</v>
      </c>
    </row>
    <row r="5009" spans="2:5" s="33" customFormat="1">
      <c r="B5009" s="745">
        <v>35191</v>
      </c>
      <c r="C5009" s="33">
        <v>6236.81</v>
      </c>
      <c r="D5009"/>
      <c r="E5009"/>
    </row>
    <row r="5010" spans="2:5">
      <c r="B5010" s="189"/>
    </row>
    <row r="5011" spans="2:5">
      <c r="B5011" s="189">
        <v>35188</v>
      </c>
      <c r="C5011">
        <v>6300.21</v>
      </c>
    </row>
    <row r="5012" spans="2:5">
      <c r="B5012" s="189">
        <v>35187</v>
      </c>
      <c r="C5012">
        <v>6358.97</v>
      </c>
    </row>
    <row r="5013" spans="2:5">
      <c r="B5013" s="189">
        <v>35185</v>
      </c>
      <c r="C5013">
        <v>6334.62</v>
      </c>
    </row>
    <row r="5014" spans="2:5">
      <c r="B5014" s="189">
        <v>35184</v>
      </c>
      <c r="C5014">
        <v>6286.52</v>
      </c>
    </row>
    <row r="5015" spans="2:5">
      <c r="B5015" s="189">
        <v>35181</v>
      </c>
      <c r="C5015">
        <v>6390.13</v>
      </c>
    </row>
    <row r="5016" spans="2:5">
      <c r="B5016" s="189">
        <v>35180</v>
      </c>
      <c r="C5016">
        <v>6379.99</v>
      </c>
    </row>
    <row r="5017" spans="2:5">
      <c r="B5017" s="189">
        <v>35179</v>
      </c>
      <c r="C5017">
        <v>6311.67</v>
      </c>
    </row>
    <row r="5018" spans="2:5">
      <c r="B5018" s="189">
        <v>35178</v>
      </c>
      <c r="C5018">
        <v>6348.91</v>
      </c>
    </row>
    <row r="5019" spans="2:5">
      <c r="B5019" s="189">
        <v>35177</v>
      </c>
      <c r="C5019">
        <v>6405.84</v>
      </c>
    </row>
    <row r="5020" spans="2:5">
      <c r="B5020" s="189">
        <v>35174</v>
      </c>
      <c r="C5020">
        <v>6308.7</v>
      </c>
    </row>
    <row r="5021" spans="2:5">
      <c r="B5021" s="189">
        <v>35173</v>
      </c>
      <c r="C5021">
        <v>6234.24</v>
      </c>
    </row>
    <row r="5022" spans="2:5">
      <c r="B5022" s="189">
        <v>35172</v>
      </c>
      <c r="C5022">
        <v>6203.27</v>
      </c>
    </row>
    <row r="5023" spans="2:5">
      <c r="B5023" s="189">
        <v>35171</v>
      </c>
      <c r="C5023">
        <v>6156.14</v>
      </c>
    </row>
    <row r="5024" spans="2:5">
      <c r="B5024" s="189">
        <v>35170</v>
      </c>
      <c r="C5024">
        <v>6035.86</v>
      </c>
    </row>
    <row r="5025" spans="2:3">
      <c r="B5025" s="189">
        <v>35167</v>
      </c>
      <c r="C5025">
        <v>6006.32</v>
      </c>
    </row>
    <row r="5026" spans="2:3">
      <c r="B5026" s="189">
        <v>35166</v>
      </c>
      <c r="C5026">
        <v>5986.21</v>
      </c>
    </row>
    <row r="5027" spans="2:3">
      <c r="B5027" s="189">
        <v>35165</v>
      </c>
      <c r="C5027">
        <v>5983.21</v>
      </c>
    </row>
    <row r="5028" spans="2:3">
      <c r="B5028" s="189">
        <v>35164</v>
      </c>
      <c r="C5028">
        <v>6014.36</v>
      </c>
    </row>
    <row r="5029" spans="2:3">
      <c r="B5029" s="189">
        <v>35159</v>
      </c>
      <c r="C5029">
        <v>6022.49</v>
      </c>
    </row>
    <row r="5030" spans="2:3">
      <c r="B5030" s="189">
        <v>35158</v>
      </c>
      <c r="C5030">
        <v>6004.93</v>
      </c>
    </row>
    <row r="5031" spans="2:3">
      <c r="B5031" s="189">
        <v>35157</v>
      </c>
      <c r="C5031">
        <v>6019.24</v>
      </c>
    </row>
    <row r="5032" spans="2:3">
      <c r="B5032" s="189">
        <v>35156</v>
      </c>
      <c r="C5032">
        <v>6030.27</v>
      </c>
    </row>
    <row r="5033" spans="2:3">
      <c r="B5033" s="189">
        <v>35153</v>
      </c>
      <c r="C5033">
        <v>6067.78</v>
      </c>
    </row>
    <row r="5034" spans="2:3">
      <c r="B5034" s="189">
        <v>35152</v>
      </c>
      <c r="C5034">
        <v>6035.7</v>
      </c>
    </row>
    <row r="5035" spans="2:3">
      <c r="B5035" s="189">
        <v>35151</v>
      </c>
      <c r="C5035">
        <v>6078.37</v>
      </c>
    </row>
    <row r="5036" spans="2:3">
      <c r="B5036" s="189">
        <v>35150</v>
      </c>
      <c r="C5036">
        <v>6047.18</v>
      </c>
    </row>
    <row r="5037" spans="2:3">
      <c r="B5037" s="189">
        <v>35149</v>
      </c>
      <c r="C5037">
        <v>6042.67</v>
      </c>
    </row>
    <row r="5038" spans="2:3">
      <c r="B5038" s="189">
        <v>35146</v>
      </c>
      <c r="C5038">
        <v>6004.95</v>
      </c>
    </row>
    <row r="5039" spans="2:3">
      <c r="B5039" s="189">
        <v>35144</v>
      </c>
      <c r="C5039">
        <v>5938</v>
      </c>
    </row>
    <row r="5040" spans="2:3">
      <c r="B5040" s="189">
        <v>35143</v>
      </c>
      <c r="C5040">
        <v>5947.75</v>
      </c>
    </row>
    <row r="5041" spans="2:3">
      <c r="B5041" s="189">
        <v>35142</v>
      </c>
      <c r="C5041">
        <v>5958.9</v>
      </c>
    </row>
    <row r="5042" spans="2:3">
      <c r="B5042" s="189">
        <v>35139</v>
      </c>
      <c r="C5042">
        <v>6014.45</v>
      </c>
    </row>
    <row r="5043" spans="2:3">
      <c r="B5043" s="189">
        <v>35138</v>
      </c>
      <c r="C5043">
        <v>5974.73</v>
      </c>
    </row>
    <row r="5044" spans="2:3">
      <c r="B5044" s="189">
        <v>35137</v>
      </c>
      <c r="C5044">
        <v>5972.93</v>
      </c>
    </row>
    <row r="5045" spans="2:3">
      <c r="B5045" s="189">
        <v>35136</v>
      </c>
      <c r="C5045">
        <v>5972.37</v>
      </c>
    </row>
    <row r="5046" spans="2:3">
      <c r="B5046" s="189">
        <v>35135</v>
      </c>
      <c r="C5046">
        <v>5869.09</v>
      </c>
    </row>
    <row r="5047" spans="2:3">
      <c r="B5047" s="189">
        <v>35132</v>
      </c>
      <c r="C5047">
        <v>6005.03</v>
      </c>
    </row>
    <row r="5048" spans="2:3">
      <c r="B5048" s="189">
        <v>35131</v>
      </c>
      <c r="C5048">
        <v>5987.01</v>
      </c>
    </row>
    <row r="5049" spans="2:3">
      <c r="B5049" s="189">
        <v>35130</v>
      </c>
      <c r="C5049">
        <v>5988.34</v>
      </c>
    </row>
    <row r="5050" spans="2:3">
      <c r="B5050" s="189">
        <v>35129</v>
      </c>
      <c r="C5050">
        <v>5961.95</v>
      </c>
    </row>
    <row r="5051" spans="2:3">
      <c r="B5051" s="189">
        <v>35128</v>
      </c>
      <c r="C5051">
        <v>6026.97</v>
      </c>
    </row>
    <row r="5052" spans="2:3">
      <c r="B5052" s="189">
        <v>35125</v>
      </c>
      <c r="C5052">
        <v>6018.36</v>
      </c>
    </row>
    <row r="5053" spans="2:3">
      <c r="B5053" s="189">
        <v>35124</v>
      </c>
      <c r="C5053">
        <v>6009.22</v>
      </c>
    </row>
    <row r="5054" spans="2:3">
      <c r="B5054" s="189">
        <v>35123</v>
      </c>
      <c r="C5054">
        <v>6014</v>
      </c>
    </row>
    <row r="5055" spans="2:3">
      <c r="B5055" s="189">
        <v>35122</v>
      </c>
      <c r="C5055">
        <v>6036.79</v>
      </c>
    </row>
    <row r="5056" spans="2:3">
      <c r="B5056" s="189">
        <v>35121</v>
      </c>
      <c r="C5056">
        <v>6103.91</v>
      </c>
    </row>
    <row r="5057" spans="2:3">
      <c r="B5057" s="189">
        <v>35118</v>
      </c>
      <c r="C5057">
        <v>6085.48</v>
      </c>
    </row>
    <row r="5058" spans="2:3">
      <c r="B5058" s="189">
        <v>35117</v>
      </c>
      <c r="C5058">
        <v>6070.01</v>
      </c>
    </row>
    <row r="5059" spans="2:3">
      <c r="B5059" s="189">
        <v>35116</v>
      </c>
      <c r="C5059">
        <v>5960.97</v>
      </c>
    </row>
    <row r="5060" spans="2:3">
      <c r="B5060" s="189">
        <v>35115</v>
      </c>
      <c r="C5060">
        <v>6032.07</v>
      </c>
    </row>
    <row r="5061" spans="2:3">
      <c r="B5061" s="189">
        <v>35114</v>
      </c>
      <c r="C5061">
        <v>6090.44</v>
      </c>
    </row>
    <row r="5062" spans="2:3">
      <c r="B5062" s="189">
        <v>35111</v>
      </c>
      <c r="C5062">
        <v>6136.72</v>
      </c>
    </row>
    <row r="5063" spans="2:3">
      <c r="B5063" s="189">
        <v>35110</v>
      </c>
      <c r="C5063">
        <v>6149.68</v>
      </c>
    </row>
    <row r="5064" spans="2:3">
      <c r="B5064" s="189">
        <v>35109</v>
      </c>
      <c r="C5064">
        <v>6072.91</v>
      </c>
    </row>
    <row r="5065" spans="2:3">
      <c r="B5065" s="189">
        <v>35108</v>
      </c>
      <c r="C5065">
        <v>6055.59</v>
      </c>
    </row>
    <row r="5066" spans="2:3">
      <c r="B5066" s="189">
        <v>35107</v>
      </c>
      <c r="C5066">
        <v>6091.83</v>
      </c>
    </row>
    <row r="5067" spans="2:3">
      <c r="B5067" s="189">
        <v>35104</v>
      </c>
      <c r="C5067">
        <v>6174.92</v>
      </c>
    </row>
    <row r="5068" spans="2:3">
      <c r="B5068" s="189">
        <v>35103</v>
      </c>
      <c r="C5068">
        <v>6192.06</v>
      </c>
    </row>
    <row r="5069" spans="2:3">
      <c r="B5069" s="189">
        <v>35102</v>
      </c>
      <c r="C5069">
        <v>6267.96</v>
      </c>
    </row>
    <row r="5070" spans="2:3">
      <c r="B5070" s="189">
        <v>35101</v>
      </c>
      <c r="C5070">
        <v>6233.13</v>
      </c>
    </row>
    <row r="5071" spans="2:3">
      <c r="B5071" s="189">
        <v>35100</v>
      </c>
      <c r="C5071">
        <v>6261.12</v>
      </c>
    </row>
    <row r="5072" spans="2:3">
      <c r="B5072" s="189">
        <v>35097</v>
      </c>
      <c r="C5072">
        <v>6302.89</v>
      </c>
    </row>
    <row r="5073" spans="2:3">
      <c r="B5073" s="189">
        <v>35096</v>
      </c>
      <c r="C5073">
        <v>6209.75</v>
      </c>
    </row>
    <row r="5074" spans="2:3">
      <c r="B5074" s="189">
        <v>35095</v>
      </c>
      <c r="C5074">
        <v>6183.93</v>
      </c>
    </row>
    <row r="5075" spans="2:3">
      <c r="B5075" s="189">
        <v>35094</v>
      </c>
      <c r="C5075">
        <v>6243.86</v>
      </c>
    </row>
    <row r="5076" spans="2:3">
      <c r="B5076" s="189">
        <v>35093</v>
      </c>
      <c r="C5076">
        <v>6248.75</v>
      </c>
    </row>
    <row r="5077" spans="2:3">
      <c r="B5077" s="189">
        <v>35090</v>
      </c>
      <c r="C5077">
        <v>6272.06</v>
      </c>
    </row>
    <row r="5078" spans="2:3">
      <c r="B5078" s="189">
        <v>35089</v>
      </c>
      <c r="C5078">
        <v>6261.5</v>
      </c>
    </row>
    <row r="5079" spans="2:3">
      <c r="B5079" s="189">
        <v>35088</v>
      </c>
      <c r="C5079">
        <v>6247.94</v>
      </c>
    </row>
    <row r="5080" spans="2:3">
      <c r="B5080" s="189">
        <v>35087</v>
      </c>
      <c r="C5080">
        <v>6250.03</v>
      </c>
    </row>
    <row r="5081" spans="2:3">
      <c r="B5081" s="189">
        <v>35086</v>
      </c>
      <c r="C5081">
        <v>6225</v>
      </c>
    </row>
    <row r="5082" spans="2:3">
      <c r="B5082" s="189">
        <v>35083</v>
      </c>
      <c r="C5082">
        <v>6138.81</v>
      </c>
    </row>
    <row r="5083" spans="2:3">
      <c r="B5083" s="189">
        <v>35082</v>
      </c>
      <c r="C5083">
        <v>6144.68</v>
      </c>
    </row>
    <row r="5084" spans="2:3">
      <c r="B5084" s="189">
        <v>35081</v>
      </c>
      <c r="C5084">
        <v>6166.76</v>
      </c>
    </row>
    <row r="5085" spans="2:3">
      <c r="B5085" s="189">
        <v>35080</v>
      </c>
      <c r="C5085">
        <v>6123.67</v>
      </c>
    </row>
    <row r="5086" spans="2:3">
      <c r="B5086" s="189">
        <v>35079</v>
      </c>
      <c r="C5086">
        <v>6036.15</v>
      </c>
    </row>
    <row r="5087" spans="2:3">
      <c r="B5087" s="189">
        <v>35076</v>
      </c>
      <c r="C5087">
        <v>6048.28</v>
      </c>
    </row>
    <row r="5088" spans="2:3">
      <c r="B5088" s="189">
        <v>35075</v>
      </c>
      <c r="C5088">
        <v>5986.73</v>
      </c>
    </row>
    <row r="5089" spans="2:3">
      <c r="B5089" s="189">
        <v>35074</v>
      </c>
      <c r="C5089">
        <v>5967.66</v>
      </c>
    </row>
    <row r="5090" spans="2:3">
      <c r="B5090" s="189">
        <v>35073</v>
      </c>
      <c r="C5090">
        <v>5962.42</v>
      </c>
    </row>
    <row r="5091" spans="2:3">
      <c r="B5091" s="189">
        <v>35072</v>
      </c>
      <c r="C5091">
        <v>5945.2</v>
      </c>
    </row>
    <row r="5092" spans="2:3">
      <c r="B5092" s="189">
        <v>35069</v>
      </c>
      <c r="C5092">
        <v>5872.01</v>
      </c>
    </row>
    <row r="5093" spans="2:3">
      <c r="B5093" s="189">
        <v>35068</v>
      </c>
      <c r="C5093">
        <v>5822.53</v>
      </c>
    </row>
    <row r="5094" spans="2:3">
      <c r="B5094" s="189">
        <v>35067</v>
      </c>
      <c r="C5094">
        <v>5766.04</v>
      </c>
    </row>
    <row r="5095" spans="2:3">
      <c r="B5095" s="189">
        <v>35066</v>
      </c>
      <c r="C5095">
        <v>5616.81</v>
      </c>
    </row>
    <row r="5096" spans="2:3">
      <c r="B5096" s="189">
        <v>35062</v>
      </c>
      <c r="C5096">
        <v>5595.3</v>
      </c>
    </row>
    <row r="5097" spans="2:3">
      <c r="B5097" s="189">
        <v>35061</v>
      </c>
      <c r="C5097">
        <v>5602.74</v>
      </c>
    </row>
    <row r="5098" spans="2:3">
      <c r="B5098" s="189">
        <v>35060</v>
      </c>
      <c r="C5098">
        <v>5611.97</v>
      </c>
    </row>
    <row r="5099" spans="2:3">
      <c r="B5099" s="189">
        <v>35055</v>
      </c>
      <c r="C5099">
        <v>5622.2</v>
      </c>
    </row>
    <row r="5100" spans="2:3">
      <c r="B5100" s="189">
        <v>35054</v>
      </c>
      <c r="C5100">
        <v>5622.35</v>
      </c>
    </row>
    <row r="5101" spans="2:3">
      <c r="B5101" s="189">
        <v>35053</v>
      </c>
      <c r="C5101">
        <v>5592.22</v>
      </c>
    </row>
    <row r="5102" spans="2:3">
      <c r="B5102" s="189">
        <v>35052</v>
      </c>
      <c r="C5102">
        <v>5570.88</v>
      </c>
    </row>
    <row r="5103" spans="2:3">
      <c r="B5103" s="189">
        <v>35051</v>
      </c>
      <c r="C5103">
        <v>5610.59</v>
      </c>
    </row>
    <row r="5104" spans="2:3">
      <c r="B5104" s="189">
        <v>35048</v>
      </c>
      <c r="C5104">
        <v>5583.34</v>
      </c>
    </row>
    <row r="5105" spans="2:3">
      <c r="B5105" s="189">
        <v>35047</v>
      </c>
      <c r="C5105">
        <v>5603.56</v>
      </c>
    </row>
    <row r="5106" spans="2:3">
      <c r="B5106" s="189">
        <v>35046</v>
      </c>
      <c r="C5106">
        <v>5632.54</v>
      </c>
    </row>
    <row r="5107" spans="2:3">
      <c r="B5107" s="189">
        <v>35045</v>
      </c>
      <c r="C5107">
        <v>5655.65</v>
      </c>
    </row>
    <row r="5108" spans="2:3">
      <c r="B5108" s="189">
        <v>35044</v>
      </c>
      <c r="C5108">
        <v>5624.8</v>
      </c>
    </row>
    <row r="5109" spans="2:3">
      <c r="B5109" s="189">
        <v>35041</v>
      </c>
      <c r="C5109">
        <v>5589.96</v>
      </c>
    </row>
    <row r="5110" spans="2:3">
      <c r="B5110" s="189">
        <v>35040</v>
      </c>
      <c r="C5110">
        <v>5618.95</v>
      </c>
    </row>
    <row r="5111" spans="2:3">
      <c r="B5111" s="189">
        <v>35039</v>
      </c>
      <c r="C5111">
        <v>5534.98</v>
      </c>
    </row>
    <row r="5112" spans="2:3">
      <c r="B5112" s="189">
        <v>35038</v>
      </c>
      <c r="C5112">
        <v>5443.62</v>
      </c>
    </row>
    <row r="5113" spans="2:3">
      <c r="B5113" s="189">
        <v>35037</v>
      </c>
      <c r="C5113">
        <v>5379.16</v>
      </c>
    </row>
    <row r="5114" spans="2:3">
      <c r="B5114" s="189">
        <v>35034</v>
      </c>
      <c r="C5114">
        <v>5366.08</v>
      </c>
    </row>
    <row r="5115" spans="2:3">
      <c r="B5115" s="189">
        <v>35033</v>
      </c>
      <c r="C5115">
        <v>5373.84</v>
      </c>
    </row>
    <row r="5116" spans="2:3">
      <c r="B5116" s="189">
        <v>35032</v>
      </c>
      <c r="C5116">
        <v>5387.37</v>
      </c>
    </row>
    <row r="5117" spans="2:3">
      <c r="B5117" s="189">
        <v>35031</v>
      </c>
      <c r="C5117">
        <v>5417.66</v>
      </c>
    </row>
    <row r="5118" spans="2:3">
      <c r="B5118" s="189">
        <v>35030</v>
      </c>
      <c r="C5118">
        <v>5378.11</v>
      </c>
    </row>
    <row r="5119" spans="2:3">
      <c r="B5119" s="189">
        <v>35027</v>
      </c>
      <c r="C5119">
        <v>5405.26</v>
      </c>
    </row>
    <row r="5120" spans="2:3">
      <c r="B5120" s="189">
        <v>35026</v>
      </c>
      <c r="C5120">
        <v>5387.68</v>
      </c>
    </row>
    <row r="5121" spans="2:3">
      <c r="B5121" s="189">
        <v>35025</v>
      </c>
      <c r="C5121">
        <v>5431.89</v>
      </c>
    </row>
    <row r="5122" spans="2:3">
      <c r="B5122" s="189">
        <v>35024</v>
      </c>
      <c r="C5122">
        <v>5461.38</v>
      </c>
    </row>
    <row r="5123" spans="2:3">
      <c r="B5123" s="189">
        <v>35023</v>
      </c>
      <c r="C5123">
        <v>5467.96</v>
      </c>
    </row>
    <row r="5124" spans="2:3">
      <c r="B5124" s="189">
        <v>35020</v>
      </c>
      <c r="C5124">
        <v>5439.53</v>
      </c>
    </row>
    <row r="5125" spans="2:3">
      <c r="B5125" s="189">
        <v>35019</v>
      </c>
      <c r="C5125">
        <v>5429.62</v>
      </c>
    </row>
    <row r="5126" spans="2:3">
      <c r="B5126" s="189">
        <v>35018</v>
      </c>
      <c r="C5126">
        <v>5406.68</v>
      </c>
    </row>
    <row r="5127" spans="2:3">
      <c r="B5127" s="189">
        <v>35017</v>
      </c>
      <c r="C5127">
        <v>5431.15</v>
      </c>
    </row>
    <row r="5128" spans="2:3">
      <c r="B5128" s="189">
        <v>35016</v>
      </c>
      <c r="C5128">
        <v>5452.61</v>
      </c>
    </row>
    <row r="5129" spans="2:3">
      <c r="B5129" s="189">
        <v>35013</v>
      </c>
      <c r="C5129">
        <v>5440.93</v>
      </c>
    </row>
    <row r="5130" spans="2:3">
      <c r="B5130" s="189">
        <v>35012</v>
      </c>
      <c r="C5130">
        <v>5421.84</v>
      </c>
    </row>
    <row r="5131" spans="2:3">
      <c r="B5131" s="189">
        <v>35011</v>
      </c>
      <c r="C5131">
        <v>5397.01</v>
      </c>
    </row>
    <row r="5132" spans="2:3">
      <c r="B5132" s="189">
        <v>35010</v>
      </c>
      <c r="C5132">
        <v>5358.04</v>
      </c>
    </row>
    <row r="5133" spans="2:3">
      <c r="B5133" s="189">
        <v>35009</v>
      </c>
      <c r="C5133">
        <v>5318.61</v>
      </c>
    </row>
    <row r="5134" spans="2:3">
      <c r="B5134" s="189">
        <v>35006</v>
      </c>
      <c r="C5134">
        <v>5283.92</v>
      </c>
    </row>
    <row r="5135" spans="2:3">
      <c r="B5135" s="189">
        <v>35005</v>
      </c>
      <c r="C5135">
        <v>5252.81</v>
      </c>
    </row>
    <row r="5136" spans="2:3">
      <c r="B5136" s="189">
        <v>35003</v>
      </c>
      <c r="C5136">
        <v>5234.93</v>
      </c>
    </row>
    <row r="5137" spans="2:3">
      <c r="B5137" s="189">
        <v>35002</v>
      </c>
      <c r="C5137">
        <v>5199.13</v>
      </c>
    </row>
    <row r="5138" spans="2:3">
      <c r="B5138" s="189">
        <v>34999</v>
      </c>
      <c r="C5138">
        <v>5210.1000000000004</v>
      </c>
    </row>
    <row r="5139" spans="2:3">
      <c r="B5139" s="189">
        <v>34998</v>
      </c>
      <c r="C5139">
        <v>5258.85</v>
      </c>
    </row>
    <row r="5140" spans="2:3">
      <c r="B5140" s="189">
        <v>34997</v>
      </c>
      <c r="C5140">
        <v>5296.44</v>
      </c>
    </row>
    <row r="5141" spans="2:3">
      <c r="B5141" s="189">
        <v>34996</v>
      </c>
      <c r="C5141">
        <v>5266.62</v>
      </c>
    </row>
    <row r="5142" spans="2:3">
      <c r="B5142" s="189">
        <v>34995</v>
      </c>
      <c r="C5142">
        <v>5280.73</v>
      </c>
    </row>
    <row r="5143" spans="2:3">
      <c r="B5143" s="189">
        <v>34992</v>
      </c>
      <c r="C5143">
        <v>5273.85</v>
      </c>
    </row>
    <row r="5144" spans="2:3">
      <c r="B5144" s="189">
        <v>34991</v>
      </c>
      <c r="C5144">
        <v>5298.28</v>
      </c>
    </row>
    <row r="5145" spans="2:3">
      <c r="B5145" s="189">
        <v>34990</v>
      </c>
      <c r="C5145">
        <v>5336.91</v>
      </c>
    </row>
    <row r="5146" spans="2:3">
      <c r="B5146" s="189">
        <v>34989</v>
      </c>
      <c r="C5146">
        <v>5275.35</v>
      </c>
    </row>
    <row r="5147" spans="2:3">
      <c r="B5147" s="189">
        <v>34988</v>
      </c>
      <c r="C5147">
        <v>5269.56</v>
      </c>
    </row>
    <row r="5148" spans="2:3">
      <c r="B5148" s="189">
        <v>34985</v>
      </c>
      <c r="C5148">
        <v>5263.35</v>
      </c>
    </row>
    <row r="5149" spans="2:3">
      <c r="B5149" s="189">
        <v>34984</v>
      </c>
      <c r="C5149">
        <v>5254.42</v>
      </c>
    </row>
    <row r="5150" spans="2:3">
      <c r="B5150" s="189">
        <v>34983</v>
      </c>
      <c r="C5150">
        <v>5224.8100000000004</v>
      </c>
    </row>
    <row r="5151" spans="2:3">
      <c r="B5151" s="189">
        <v>34982</v>
      </c>
      <c r="C5151">
        <v>5192.37</v>
      </c>
    </row>
    <row r="5152" spans="2:3">
      <c r="B5152" s="189">
        <v>34981</v>
      </c>
      <c r="C5152">
        <v>5241.49</v>
      </c>
    </row>
    <row r="5153" spans="2:3">
      <c r="B5153" s="189">
        <v>34978</v>
      </c>
      <c r="C5153">
        <v>5204.5200000000004</v>
      </c>
    </row>
    <row r="5154" spans="2:3">
      <c r="B5154" s="189">
        <v>34977</v>
      </c>
      <c r="C5154">
        <v>5178.9399999999996</v>
      </c>
    </row>
    <row r="5155" spans="2:3">
      <c r="B5155" s="189">
        <v>34976</v>
      </c>
      <c r="C5155">
        <v>5138</v>
      </c>
    </row>
    <row r="5156" spans="2:3">
      <c r="B5156" s="189">
        <v>34975</v>
      </c>
      <c r="C5156">
        <v>5120.5200000000004</v>
      </c>
    </row>
    <row r="5157" spans="2:3">
      <c r="B5157" s="189">
        <v>34974</v>
      </c>
      <c r="C5157">
        <v>5122.6400000000003</v>
      </c>
    </row>
    <row r="5158" spans="2:3">
      <c r="B5158" s="189">
        <v>34971</v>
      </c>
      <c r="C5158">
        <v>5128.67</v>
      </c>
    </row>
    <row r="5159" spans="2:3">
      <c r="B5159" s="189">
        <v>34970</v>
      </c>
      <c r="C5159">
        <v>5101.6400000000003</v>
      </c>
    </row>
    <row r="5160" spans="2:3">
      <c r="B5160" s="189">
        <v>34969</v>
      </c>
      <c r="C5160">
        <v>5112.74</v>
      </c>
    </row>
    <row r="5161" spans="2:3">
      <c r="B5161" s="189">
        <v>34968</v>
      </c>
      <c r="C5161">
        <v>5132.4799999999996</v>
      </c>
    </row>
    <row r="5162" spans="2:3">
      <c r="B5162" s="189">
        <v>34964</v>
      </c>
      <c r="C5162">
        <v>5130.26</v>
      </c>
    </row>
    <row r="5163" spans="2:3">
      <c r="B5163" s="189">
        <v>34963</v>
      </c>
      <c r="C5163">
        <v>5124.82</v>
      </c>
    </row>
    <row r="5164" spans="2:3">
      <c r="B5164" s="189">
        <v>34962</v>
      </c>
      <c r="C5164">
        <v>5120.67</v>
      </c>
    </row>
    <row r="5165" spans="2:3">
      <c r="B5165" s="189">
        <v>34961</v>
      </c>
      <c r="C5165">
        <v>5129.07</v>
      </c>
    </row>
    <row r="5166" spans="2:3">
      <c r="B5166" s="189">
        <v>34960</v>
      </c>
      <c r="C5166">
        <v>5120.93</v>
      </c>
    </row>
    <row r="5167" spans="2:3">
      <c r="B5167" s="189">
        <v>34957</v>
      </c>
      <c r="C5167">
        <v>5133.7</v>
      </c>
    </row>
    <row r="5168" spans="2:3">
      <c r="B5168" s="189">
        <v>34956</v>
      </c>
      <c r="C5168">
        <v>5129.66</v>
      </c>
    </row>
    <row r="5169" spans="2:3">
      <c r="B5169" s="189">
        <v>34955</v>
      </c>
      <c r="C5169">
        <v>5112.9799999999996</v>
      </c>
    </row>
    <row r="5170" spans="2:3">
      <c r="B5170" s="189">
        <v>34954</v>
      </c>
      <c r="C5170">
        <v>5094.45</v>
      </c>
    </row>
    <row r="5171" spans="2:3">
      <c r="B5171" s="189">
        <v>34953</v>
      </c>
      <c r="C5171">
        <v>5079.7700000000004</v>
      </c>
    </row>
    <row r="5172" spans="2:3">
      <c r="B5172" s="189">
        <v>34950</v>
      </c>
      <c r="C5172">
        <v>5061.1899999999996</v>
      </c>
    </row>
    <row r="5173" spans="2:3">
      <c r="B5173" s="189">
        <v>34949</v>
      </c>
      <c r="C5173">
        <v>5043.8900000000003</v>
      </c>
    </row>
    <row r="5174" spans="2:3">
      <c r="B5174" s="189">
        <v>34948</v>
      </c>
      <c r="C5174">
        <v>5006.2</v>
      </c>
    </row>
    <row r="5175" spans="2:3">
      <c r="B5175" s="189">
        <v>34947</v>
      </c>
      <c r="C5175">
        <v>4976.46</v>
      </c>
    </row>
    <row r="5176" spans="2:3">
      <c r="B5176" s="189">
        <v>34946</v>
      </c>
      <c r="C5176">
        <v>4985.32</v>
      </c>
    </row>
    <row r="5177" spans="2:3">
      <c r="B5177" s="189">
        <v>34943</v>
      </c>
      <c r="C5177">
        <v>5003.8100000000004</v>
      </c>
    </row>
    <row r="5178" spans="2:3">
      <c r="B5178" s="189">
        <v>34942</v>
      </c>
      <c r="C5178">
        <v>5008.3100000000004</v>
      </c>
    </row>
    <row r="5179" spans="2:3">
      <c r="B5179" s="189">
        <v>34941</v>
      </c>
      <c r="C5179">
        <v>5004.58</v>
      </c>
    </row>
    <row r="5180" spans="2:3">
      <c r="B5180" s="189">
        <v>34940</v>
      </c>
      <c r="C5180">
        <v>5012.3900000000003</v>
      </c>
    </row>
    <row r="5181" spans="2:3">
      <c r="B5181" s="189">
        <v>34939</v>
      </c>
      <c r="C5181">
        <v>5014.71</v>
      </c>
    </row>
    <row r="5182" spans="2:3">
      <c r="B5182" s="189">
        <v>34936</v>
      </c>
      <c r="C5182">
        <v>5030.54</v>
      </c>
    </row>
    <row r="5183" spans="2:3">
      <c r="B5183" s="189">
        <v>34935</v>
      </c>
      <c r="C5183">
        <v>5045.8900000000003</v>
      </c>
    </row>
    <row r="5184" spans="2:3">
      <c r="B5184" s="189">
        <v>34934</v>
      </c>
      <c r="C5184">
        <v>5038.47</v>
      </c>
    </row>
    <row r="5185" spans="2:3">
      <c r="B5185" s="189">
        <v>34933</v>
      </c>
      <c r="C5185">
        <v>5049.47</v>
      </c>
    </row>
    <row r="5186" spans="2:3">
      <c r="B5186" s="189">
        <v>34932</v>
      </c>
      <c r="C5186">
        <v>5065.54</v>
      </c>
    </row>
    <row r="5187" spans="2:3">
      <c r="B5187" s="189">
        <v>34929</v>
      </c>
      <c r="C5187">
        <v>5057.3999999999996</v>
      </c>
    </row>
    <row r="5188" spans="2:3">
      <c r="B5188" s="189">
        <v>34928</v>
      </c>
      <c r="C5188">
        <v>5055.4399999999996</v>
      </c>
    </row>
    <row r="5189" spans="2:3">
      <c r="B5189" s="189">
        <v>34927</v>
      </c>
      <c r="C5189">
        <v>5035.72</v>
      </c>
    </row>
    <row r="5190" spans="2:3">
      <c r="B5190" s="189">
        <v>34926</v>
      </c>
      <c r="C5190">
        <v>5058.09</v>
      </c>
    </row>
    <row r="5191" spans="2:3">
      <c r="B5191" s="189">
        <v>34925</v>
      </c>
      <c r="C5191">
        <v>5021.84</v>
      </c>
    </row>
    <row r="5192" spans="2:3">
      <c r="B5192" s="189">
        <v>34922</v>
      </c>
      <c r="C5192">
        <v>5039.32</v>
      </c>
    </row>
    <row r="5193" spans="2:3">
      <c r="B5193" s="189">
        <v>34921</v>
      </c>
      <c r="C5193">
        <v>5060.63</v>
      </c>
    </row>
    <row r="5194" spans="2:3">
      <c r="B5194" s="189">
        <v>34919</v>
      </c>
      <c r="C5194">
        <v>5059.3</v>
      </c>
    </row>
    <row r="5195" spans="2:3">
      <c r="B5195" s="189">
        <v>34918</v>
      </c>
      <c r="C5195">
        <v>5022.76</v>
      </c>
    </row>
    <row r="5196" spans="2:3">
      <c r="B5196" s="189">
        <v>34915</v>
      </c>
      <c r="C5196">
        <v>5004.43</v>
      </c>
    </row>
    <row r="5197" spans="2:3">
      <c r="B5197" s="189">
        <v>34914</v>
      </c>
      <c r="C5197">
        <v>4991.97</v>
      </c>
    </row>
    <row r="5198" spans="2:3">
      <c r="B5198" s="189">
        <v>34913</v>
      </c>
      <c r="C5198">
        <v>4988.6499999999996</v>
      </c>
    </row>
    <row r="5199" spans="2:3">
      <c r="B5199" s="189">
        <v>34912</v>
      </c>
      <c r="C5199">
        <v>4923.2299999999996</v>
      </c>
    </row>
    <row r="5200" spans="2:3">
      <c r="B5200" s="189">
        <v>34911</v>
      </c>
      <c r="C5200">
        <v>4919</v>
      </c>
    </row>
    <row r="5201" spans="2:3">
      <c r="B5201" s="189">
        <v>34908</v>
      </c>
      <c r="C5201">
        <v>4892.91</v>
      </c>
    </row>
    <row r="5202" spans="2:3">
      <c r="B5202" s="189">
        <v>34907</v>
      </c>
      <c r="C5202">
        <v>4910.9799999999996</v>
      </c>
    </row>
    <row r="5203" spans="2:3">
      <c r="B5203" s="189">
        <v>34906</v>
      </c>
      <c r="C5203">
        <v>4903.74</v>
      </c>
    </row>
    <row r="5204" spans="2:3">
      <c r="B5204" s="189">
        <v>34905</v>
      </c>
      <c r="C5204">
        <v>4923.93</v>
      </c>
    </row>
    <row r="5205" spans="2:3">
      <c r="B5205" s="189">
        <v>34904</v>
      </c>
      <c r="C5205">
        <v>4922.84</v>
      </c>
    </row>
    <row r="5206" spans="2:3">
      <c r="B5206" s="189">
        <v>34901</v>
      </c>
      <c r="C5206">
        <v>4912.26</v>
      </c>
    </row>
    <row r="5207" spans="2:3">
      <c r="B5207" s="189">
        <v>34900</v>
      </c>
      <c r="C5207">
        <v>4928.7700000000004</v>
      </c>
    </row>
    <row r="5208" spans="2:3">
      <c r="B5208" s="189">
        <v>34899</v>
      </c>
      <c r="C5208">
        <v>4973.7</v>
      </c>
    </row>
    <row r="5209" spans="2:3">
      <c r="B5209" s="189">
        <v>34898</v>
      </c>
      <c r="C5209">
        <v>4989.32</v>
      </c>
    </row>
    <row r="5210" spans="2:3">
      <c r="B5210" s="189">
        <v>34897</v>
      </c>
      <c r="C5210">
        <v>4940.83</v>
      </c>
    </row>
    <row r="5211" spans="2:3">
      <c r="B5211" s="189">
        <v>34894</v>
      </c>
      <c r="C5211">
        <v>4914.63</v>
      </c>
    </row>
    <row r="5212" spans="2:3">
      <c r="B5212" s="189">
        <v>34893</v>
      </c>
      <c r="C5212">
        <v>4930.7700000000004</v>
      </c>
    </row>
    <row r="5213" spans="2:3">
      <c r="B5213" s="189">
        <v>34892</v>
      </c>
      <c r="C5213">
        <v>4896.04</v>
      </c>
    </row>
    <row r="5214" spans="2:3">
      <c r="B5214" s="189">
        <v>34891</v>
      </c>
      <c r="C5214">
        <v>4867.0600000000004</v>
      </c>
    </row>
    <row r="5215" spans="2:3">
      <c r="B5215" s="189">
        <v>34890</v>
      </c>
      <c r="C5215">
        <v>4897</v>
      </c>
    </row>
    <row r="5216" spans="2:3">
      <c r="B5216" s="189">
        <v>34887</v>
      </c>
      <c r="C5216">
        <v>4907.1899999999996</v>
      </c>
    </row>
    <row r="5217" spans="2:3">
      <c r="B5217" s="189">
        <v>34886</v>
      </c>
      <c r="C5217">
        <v>4849.59</v>
      </c>
    </row>
    <row r="5218" spans="2:3">
      <c r="B5218" s="189">
        <v>34885</v>
      </c>
      <c r="C5218">
        <v>4846.58</v>
      </c>
    </row>
    <row r="5219" spans="2:3">
      <c r="B5219" s="189">
        <v>34884</v>
      </c>
      <c r="C5219">
        <v>4868.1899999999996</v>
      </c>
    </row>
    <row r="5220" spans="2:3">
      <c r="B5220" s="189">
        <v>34883</v>
      </c>
      <c r="C5220">
        <v>4828.46</v>
      </c>
    </row>
    <row r="5221" spans="2:3">
      <c r="B5221" s="189">
        <v>34880</v>
      </c>
      <c r="C5221">
        <v>4880.45</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F2757"/>
  <sheetViews>
    <sheetView showGridLines="0" zoomScale="75" zoomScaleNormal="75" zoomScalePageLayoutView="75" workbookViewId="0">
      <selection activeCell="N20" sqref="N20"/>
    </sheetView>
  </sheetViews>
  <sheetFormatPr baseColWidth="10" defaultRowHeight="15" x14ac:dyDescent="0"/>
  <cols>
    <col min="2" max="2" width="15.5" bestFit="1" customWidth="1"/>
  </cols>
  <sheetData>
    <row r="1" spans="1:6">
      <c r="A1" t="s">
        <v>1500</v>
      </c>
      <c r="B1" t="s">
        <v>1531</v>
      </c>
    </row>
    <row r="2" spans="1:6">
      <c r="A2" t="s">
        <v>1501</v>
      </c>
      <c r="B2" s="743">
        <v>38477</v>
      </c>
    </row>
    <row r="3" spans="1:6">
      <c r="A3" t="s">
        <v>1502</v>
      </c>
      <c r="B3" s="743">
        <v>42495</v>
      </c>
    </row>
    <row r="4" spans="1:6">
      <c r="A4" t="s">
        <v>1503</v>
      </c>
      <c r="B4" t="s">
        <v>1220</v>
      </c>
    </row>
    <row r="5" spans="1:6">
      <c r="A5" t="s">
        <v>835</v>
      </c>
      <c r="B5" t="s">
        <v>1532</v>
      </c>
    </row>
    <row r="7" spans="1:6">
      <c r="A7" t="s">
        <v>1176</v>
      </c>
      <c r="B7" t="s">
        <v>1505</v>
      </c>
    </row>
    <row r="8" spans="1:6">
      <c r="A8" s="744" t="e">
        <f ca="1">_xll.BDH(B1,B7,B2,B3,"Dir=V","Dts=S","Sort=D","Quote=C","QtTyp=P","Days=T",CONCATENATE("Per=c",B4),"DtFmt=D","UseDPDF=Y",CONCATENATE("FX=",B5),"cols=2;rows=2750")</f>
        <v>#NAME?</v>
      </c>
      <c r="B8">
        <v>12350</v>
      </c>
    </row>
    <row r="9" spans="1:6" ht="20">
      <c r="A9" s="189">
        <v>42494</v>
      </c>
      <c r="B9">
        <v>12109</v>
      </c>
      <c r="C9">
        <v>10</v>
      </c>
      <c r="D9" t="s">
        <v>1644</v>
      </c>
      <c r="F9" s="1197" t="s">
        <v>1646</v>
      </c>
    </row>
    <row r="10" spans="1:6">
      <c r="A10" s="189">
        <v>42493</v>
      </c>
      <c r="B10">
        <v>12580</v>
      </c>
      <c r="C10">
        <f>B2757</f>
        <v>703.62</v>
      </c>
      <c r="D10" t="s">
        <v>1641</v>
      </c>
    </row>
    <row r="11" spans="1:6">
      <c r="A11" s="189">
        <v>42489</v>
      </c>
      <c r="B11">
        <v>12035</v>
      </c>
      <c r="C11">
        <f>B9</f>
        <v>12109</v>
      </c>
      <c r="D11" t="s">
        <v>1642</v>
      </c>
    </row>
    <row r="12" spans="1:6">
      <c r="A12" s="189">
        <v>42488</v>
      </c>
      <c r="B12">
        <v>12300</v>
      </c>
      <c r="C12" s="12">
        <f>(C11/C10)^(1/C9)-1</f>
        <v>0.32915922662720343</v>
      </c>
      <c r="D12" t="s">
        <v>1643</v>
      </c>
    </row>
    <row r="13" spans="1:6">
      <c r="A13" s="189">
        <v>42486</v>
      </c>
      <c r="B13">
        <v>11600</v>
      </c>
    </row>
    <row r="14" spans="1:6">
      <c r="A14" s="189">
        <v>42485</v>
      </c>
      <c r="B14">
        <v>12111</v>
      </c>
    </row>
    <row r="15" spans="1:6">
      <c r="A15" s="189">
        <v>42482</v>
      </c>
      <c r="B15">
        <v>11900</v>
      </c>
      <c r="C15" s="27"/>
    </row>
    <row r="16" spans="1:6">
      <c r="A16" s="189">
        <v>42481</v>
      </c>
      <c r="B16">
        <v>12200</v>
      </c>
      <c r="C16" s="27"/>
    </row>
    <row r="17" spans="1:6">
      <c r="A17" s="189">
        <v>42480</v>
      </c>
      <c r="B17">
        <v>11500</v>
      </c>
    </row>
    <row r="18" spans="1:6">
      <c r="A18" s="189">
        <v>42479</v>
      </c>
      <c r="B18">
        <v>11519</v>
      </c>
    </row>
    <row r="19" spans="1:6">
      <c r="A19" s="189">
        <v>42478</v>
      </c>
      <c r="B19">
        <v>11574</v>
      </c>
    </row>
    <row r="20" spans="1:6">
      <c r="A20" s="189">
        <v>42475</v>
      </c>
      <c r="B20">
        <v>11400</v>
      </c>
    </row>
    <row r="21" spans="1:6">
      <c r="A21" s="189">
        <v>42474</v>
      </c>
      <c r="B21">
        <v>11467</v>
      </c>
    </row>
    <row r="22" spans="1:6">
      <c r="A22" s="189">
        <v>42473</v>
      </c>
      <c r="B22">
        <v>11554</v>
      </c>
    </row>
    <row r="23" spans="1:6">
      <c r="A23" s="189">
        <v>42472</v>
      </c>
      <c r="B23">
        <v>11500</v>
      </c>
    </row>
    <row r="24" spans="1:6">
      <c r="A24" s="189">
        <v>42471</v>
      </c>
      <c r="B24">
        <v>11655</v>
      </c>
    </row>
    <row r="25" spans="1:6">
      <c r="A25" s="189">
        <v>42468</v>
      </c>
      <c r="B25">
        <v>12060</v>
      </c>
      <c r="F25" t="s">
        <v>1733</v>
      </c>
    </row>
    <row r="26" spans="1:6">
      <c r="A26" s="189">
        <v>42467</v>
      </c>
      <c r="B26">
        <v>12150</v>
      </c>
    </row>
    <row r="27" spans="1:6">
      <c r="A27" s="189">
        <v>42466</v>
      </c>
      <c r="B27">
        <v>12040</v>
      </c>
      <c r="F27" t="s">
        <v>1649</v>
      </c>
    </row>
    <row r="28" spans="1:6">
      <c r="A28" s="189">
        <v>42465</v>
      </c>
      <c r="B28">
        <v>12040</v>
      </c>
    </row>
    <row r="29" spans="1:6">
      <c r="A29" s="189">
        <v>42464</v>
      </c>
      <c r="B29">
        <v>12399</v>
      </c>
    </row>
    <row r="30" spans="1:6">
      <c r="A30" s="189">
        <v>42461</v>
      </c>
      <c r="B30">
        <v>12135</v>
      </c>
    </row>
    <row r="31" spans="1:6">
      <c r="A31" s="189">
        <v>42460</v>
      </c>
      <c r="B31">
        <v>12500</v>
      </c>
    </row>
    <row r="32" spans="1:6">
      <c r="A32" s="189">
        <v>42459</v>
      </c>
      <c r="B32">
        <v>12581</v>
      </c>
    </row>
    <row r="33" spans="1:2">
      <c r="A33" s="189">
        <v>42458</v>
      </c>
      <c r="B33">
        <v>12426</v>
      </c>
    </row>
    <row r="34" spans="1:2">
      <c r="A34" s="189">
        <v>42453</v>
      </c>
      <c r="B34">
        <v>12400</v>
      </c>
    </row>
    <row r="35" spans="1:2">
      <c r="A35" s="189">
        <v>42452</v>
      </c>
      <c r="B35">
        <v>11950</v>
      </c>
    </row>
    <row r="36" spans="1:2">
      <c r="A36" s="189">
        <v>42451</v>
      </c>
      <c r="B36">
        <v>12850</v>
      </c>
    </row>
    <row r="37" spans="1:2">
      <c r="A37" s="189">
        <v>42447</v>
      </c>
      <c r="B37">
        <v>12890</v>
      </c>
    </row>
    <row r="38" spans="1:2">
      <c r="A38" s="189">
        <v>42446</v>
      </c>
      <c r="B38">
        <v>11900</v>
      </c>
    </row>
    <row r="39" spans="1:2">
      <c r="A39" s="189">
        <v>42445</v>
      </c>
      <c r="B39">
        <v>11523</v>
      </c>
    </row>
    <row r="40" spans="1:2">
      <c r="A40" s="189">
        <v>42444</v>
      </c>
      <c r="B40">
        <v>11221</v>
      </c>
    </row>
    <row r="41" spans="1:2">
      <c r="A41" s="189">
        <v>42443</v>
      </c>
      <c r="B41">
        <v>11155</v>
      </c>
    </row>
    <row r="42" spans="1:2">
      <c r="A42" s="189">
        <v>42440</v>
      </c>
      <c r="B42">
        <v>11150</v>
      </c>
    </row>
    <row r="43" spans="1:2">
      <c r="A43" s="189">
        <v>42439</v>
      </c>
      <c r="B43">
        <v>11700</v>
      </c>
    </row>
    <row r="44" spans="1:2">
      <c r="A44" s="189">
        <v>42438</v>
      </c>
      <c r="B44">
        <v>11800</v>
      </c>
    </row>
    <row r="45" spans="1:2">
      <c r="A45" s="189">
        <v>42437</v>
      </c>
      <c r="B45">
        <v>12000</v>
      </c>
    </row>
    <row r="46" spans="1:2">
      <c r="A46" s="189">
        <v>42436</v>
      </c>
      <c r="B46">
        <v>12214</v>
      </c>
    </row>
    <row r="47" spans="1:2">
      <c r="A47" s="189">
        <v>42433</v>
      </c>
      <c r="B47">
        <v>12249</v>
      </c>
    </row>
    <row r="48" spans="1:2">
      <c r="A48" s="189">
        <v>42432</v>
      </c>
      <c r="B48">
        <v>11950</v>
      </c>
    </row>
    <row r="49" spans="1:2">
      <c r="A49" s="189">
        <v>42431</v>
      </c>
      <c r="B49">
        <v>12500</v>
      </c>
    </row>
    <row r="50" spans="1:2">
      <c r="A50" s="189">
        <v>42430</v>
      </c>
      <c r="B50">
        <v>11554</v>
      </c>
    </row>
    <row r="51" spans="1:2">
      <c r="A51" s="189">
        <v>42429</v>
      </c>
      <c r="B51">
        <v>11500</v>
      </c>
    </row>
    <row r="52" spans="1:2">
      <c r="A52" s="189">
        <v>42426</v>
      </c>
      <c r="B52">
        <v>11422</v>
      </c>
    </row>
    <row r="53" spans="1:2">
      <c r="A53" s="189">
        <v>42425</v>
      </c>
      <c r="B53">
        <v>11500</v>
      </c>
    </row>
    <row r="54" spans="1:2">
      <c r="A54" s="189">
        <v>42424</v>
      </c>
      <c r="B54">
        <v>11500</v>
      </c>
    </row>
    <row r="55" spans="1:2">
      <c r="A55" s="189">
        <v>42423</v>
      </c>
      <c r="B55">
        <v>11524</v>
      </c>
    </row>
    <row r="56" spans="1:2">
      <c r="A56" s="189">
        <v>42422</v>
      </c>
      <c r="B56">
        <v>11510</v>
      </c>
    </row>
    <row r="57" spans="1:2">
      <c r="A57" s="189">
        <v>42419</v>
      </c>
      <c r="B57">
        <v>11500</v>
      </c>
    </row>
    <row r="58" spans="1:2">
      <c r="A58" s="189">
        <v>42418</v>
      </c>
      <c r="B58">
        <v>11500</v>
      </c>
    </row>
    <row r="59" spans="1:2">
      <c r="A59" s="189">
        <v>42417</v>
      </c>
      <c r="B59">
        <v>11400</v>
      </c>
    </row>
    <row r="60" spans="1:2">
      <c r="A60" s="189">
        <v>42416</v>
      </c>
      <c r="B60">
        <v>11199</v>
      </c>
    </row>
    <row r="61" spans="1:2">
      <c r="A61" s="189">
        <v>42415</v>
      </c>
      <c r="B61">
        <v>11402</v>
      </c>
    </row>
    <row r="62" spans="1:2">
      <c r="A62" s="189">
        <v>42412</v>
      </c>
      <c r="B62">
        <v>11200</v>
      </c>
    </row>
    <row r="63" spans="1:2">
      <c r="A63" s="189">
        <v>42411</v>
      </c>
      <c r="B63">
        <v>10825</v>
      </c>
    </row>
    <row r="64" spans="1:2">
      <c r="A64" s="189">
        <v>42410</v>
      </c>
      <c r="B64">
        <v>11000</v>
      </c>
    </row>
    <row r="65" spans="1:2">
      <c r="A65" s="189">
        <v>42409</v>
      </c>
      <c r="B65">
        <v>11054</v>
      </c>
    </row>
    <row r="66" spans="1:2">
      <c r="A66" s="189">
        <v>42408</v>
      </c>
      <c r="B66">
        <v>11184</v>
      </c>
    </row>
    <row r="67" spans="1:2">
      <c r="A67" s="189">
        <v>42405</v>
      </c>
      <c r="B67">
        <v>11415</v>
      </c>
    </row>
    <row r="68" spans="1:2">
      <c r="A68" s="189">
        <v>42404</v>
      </c>
      <c r="B68">
        <v>11661</v>
      </c>
    </row>
    <row r="69" spans="1:2">
      <c r="A69" s="189">
        <v>42403</v>
      </c>
      <c r="B69">
        <v>11800</v>
      </c>
    </row>
    <row r="70" spans="1:2">
      <c r="A70" s="189">
        <v>42402</v>
      </c>
      <c r="B70">
        <v>11001</v>
      </c>
    </row>
    <row r="71" spans="1:2">
      <c r="A71" s="189">
        <v>42401</v>
      </c>
      <c r="B71">
        <v>11100</v>
      </c>
    </row>
    <row r="72" spans="1:2">
      <c r="A72" s="189">
        <v>42398</v>
      </c>
      <c r="B72">
        <v>11186</v>
      </c>
    </row>
    <row r="73" spans="1:2">
      <c r="A73" s="189">
        <v>42397</v>
      </c>
      <c r="B73">
        <v>11398</v>
      </c>
    </row>
    <row r="74" spans="1:2">
      <c r="A74" s="189">
        <v>42396</v>
      </c>
      <c r="B74">
        <v>11509</v>
      </c>
    </row>
    <row r="75" spans="1:2">
      <c r="A75" s="189">
        <v>42395</v>
      </c>
      <c r="B75">
        <v>11482</v>
      </c>
    </row>
    <row r="76" spans="1:2">
      <c r="A76" s="189">
        <v>42394</v>
      </c>
      <c r="B76">
        <v>11343</v>
      </c>
    </row>
    <row r="77" spans="1:2">
      <c r="A77" s="189">
        <v>42391</v>
      </c>
      <c r="B77">
        <v>11300</v>
      </c>
    </row>
    <row r="78" spans="1:2">
      <c r="A78" s="189">
        <v>42390</v>
      </c>
      <c r="B78">
        <v>11099</v>
      </c>
    </row>
    <row r="79" spans="1:2">
      <c r="A79" s="189">
        <v>42389</v>
      </c>
      <c r="B79">
        <v>11000</v>
      </c>
    </row>
    <row r="80" spans="1:2">
      <c r="A80" s="189">
        <v>42388</v>
      </c>
      <c r="B80">
        <v>11100</v>
      </c>
    </row>
    <row r="81" spans="1:2">
      <c r="A81" s="189">
        <v>42387</v>
      </c>
      <c r="B81">
        <v>11064</v>
      </c>
    </row>
    <row r="82" spans="1:2">
      <c r="A82" s="189">
        <v>42384</v>
      </c>
      <c r="B82">
        <v>11000</v>
      </c>
    </row>
    <row r="83" spans="1:2">
      <c r="A83" s="189">
        <v>42383</v>
      </c>
      <c r="B83">
        <v>11000</v>
      </c>
    </row>
    <row r="84" spans="1:2">
      <c r="A84" s="189">
        <v>42382</v>
      </c>
      <c r="B84">
        <v>11000</v>
      </c>
    </row>
    <row r="85" spans="1:2">
      <c r="A85" s="189">
        <v>42381</v>
      </c>
      <c r="B85">
        <v>10800</v>
      </c>
    </row>
    <row r="86" spans="1:2">
      <c r="A86" s="189">
        <v>42380</v>
      </c>
      <c r="B86">
        <v>10641</v>
      </c>
    </row>
    <row r="87" spans="1:2">
      <c r="A87" s="189">
        <v>42377</v>
      </c>
      <c r="B87">
        <v>10741</v>
      </c>
    </row>
    <row r="88" spans="1:2">
      <c r="A88" s="189">
        <v>42376</v>
      </c>
      <c r="B88">
        <v>10741</v>
      </c>
    </row>
    <row r="89" spans="1:2">
      <c r="A89" s="189">
        <v>42375</v>
      </c>
      <c r="B89">
        <v>10643.36</v>
      </c>
    </row>
    <row r="90" spans="1:2">
      <c r="A90" s="189">
        <v>42374</v>
      </c>
      <c r="B90">
        <v>10741</v>
      </c>
    </row>
    <row r="91" spans="1:2">
      <c r="A91" s="189">
        <v>42373</v>
      </c>
      <c r="B91">
        <v>11058.35</v>
      </c>
    </row>
    <row r="92" spans="1:2">
      <c r="A92" s="189">
        <v>42369</v>
      </c>
      <c r="B92">
        <v>11424.52</v>
      </c>
    </row>
    <row r="93" spans="1:2">
      <c r="A93" s="189">
        <v>42368</v>
      </c>
      <c r="B93">
        <v>11182.36</v>
      </c>
    </row>
    <row r="94" spans="1:2">
      <c r="A94" s="189">
        <v>42367</v>
      </c>
      <c r="B94">
        <v>10985.11</v>
      </c>
    </row>
    <row r="95" spans="1:2">
      <c r="A95" s="189">
        <v>42366</v>
      </c>
      <c r="B95">
        <v>10848.41</v>
      </c>
    </row>
    <row r="96" spans="1:2">
      <c r="A96" s="189">
        <v>42362</v>
      </c>
      <c r="B96">
        <v>10863.06</v>
      </c>
    </row>
    <row r="97" spans="1:2">
      <c r="A97" s="189">
        <v>42361</v>
      </c>
      <c r="B97">
        <v>10863.06</v>
      </c>
    </row>
    <row r="98" spans="1:2">
      <c r="A98" s="189">
        <v>42360</v>
      </c>
      <c r="B98">
        <v>10855.25</v>
      </c>
    </row>
    <row r="99" spans="1:2">
      <c r="A99" s="189">
        <v>42359</v>
      </c>
      <c r="B99">
        <v>10969.49</v>
      </c>
    </row>
    <row r="100" spans="1:2">
      <c r="A100" s="189">
        <v>42356</v>
      </c>
      <c r="B100">
        <v>11079.83</v>
      </c>
    </row>
    <row r="101" spans="1:2">
      <c r="A101" s="189">
        <v>42355</v>
      </c>
      <c r="B101">
        <v>11033.94</v>
      </c>
    </row>
    <row r="102" spans="1:2">
      <c r="A102" s="189">
        <v>42353</v>
      </c>
      <c r="B102">
        <v>11139.39</v>
      </c>
    </row>
    <row r="103" spans="1:2">
      <c r="A103" s="189">
        <v>42352</v>
      </c>
      <c r="B103">
        <v>10936.29</v>
      </c>
    </row>
    <row r="104" spans="1:2">
      <c r="A104" s="189">
        <v>42349</v>
      </c>
      <c r="B104">
        <v>10936.29</v>
      </c>
    </row>
    <row r="105" spans="1:2">
      <c r="A105" s="189">
        <v>42348</v>
      </c>
      <c r="B105">
        <v>11699.88</v>
      </c>
    </row>
    <row r="106" spans="1:2">
      <c r="A106" s="189">
        <v>42347</v>
      </c>
      <c r="B106">
        <v>11453.81</v>
      </c>
    </row>
    <row r="107" spans="1:2">
      <c r="A107" s="189">
        <v>42346</v>
      </c>
      <c r="B107">
        <v>11570.99</v>
      </c>
    </row>
    <row r="108" spans="1:2">
      <c r="A108" s="189">
        <v>42345</v>
      </c>
      <c r="B108">
        <v>10960.7</v>
      </c>
    </row>
    <row r="109" spans="1:2">
      <c r="A109" s="189">
        <v>42342</v>
      </c>
      <c r="B109">
        <v>10852.32</v>
      </c>
    </row>
    <row r="110" spans="1:2">
      <c r="A110" s="189">
        <v>42341</v>
      </c>
      <c r="B110">
        <v>11082.76</v>
      </c>
    </row>
    <row r="111" spans="1:2">
      <c r="A111" s="189">
        <v>42340</v>
      </c>
      <c r="B111">
        <v>11033.94</v>
      </c>
    </row>
    <row r="112" spans="1:2">
      <c r="A112" s="189">
        <v>42339</v>
      </c>
      <c r="B112">
        <v>11065.18</v>
      </c>
    </row>
    <row r="113" spans="1:2">
      <c r="A113" s="189">
        <v>42338</v>
      </c>
      <c r="B113">
        <v>11033.94</v>
      </c>
    </row>
    <row r="114" spans="1:2">
      <c r="A114" s="189">
        <v>42335</v>
      </c>
      <c r="B114">
        <v>11033.94</v>
      </c>
    </row>
    <row r="115" spans="1:2">
      <c r="A115" s="189">
        <v>42334</v>
      </c>
      <c r="B115">
        <v>11174.55</v>
      </c>
    </row>
    <row r="116" spans="1:2">
      <c r="A116" s="189">
        <v>42333</v>
      </c>
      <c r="B116">
        <v>10990.97</v>
      </c>
    </row>
    <row r="117" spans="1:2">
      <c r="A117" s="189">
        <v>42332</v>
      </c>
      <c r="B117">
        <v>11033.94</v>
      </c>
    </row>
    <row r="118" spans="1:2">
      <c r="A118" s="189">
        <v>42331</v>
      </c>
      <c r="B118">
        <v>11228.25</v>
      </c>
    </row>
    <row r="119" spans="1:2">
      <c r="A119" s="189">
        <v>42328</v>
      </c>
      <c r="B119">
        <v>11229.23</v>
      </c>
    </row>
    <row r="120" spans="1:2">
      <c r="A120" s="189">
        <v>42327</v>
      </c>
      <c r="B120">
        <v>11229.23</v>
      </c>
    </row>
    <row r="121" spans="1:2">
      <c r="A121" s="189">
        <v>42326</v>
      </c>
      <c r="B121">
        <v>11223.37</v>
      </c>
    </row>
    <row r="122" spans="1:2">
      <c r="A122" s="189">
        <v>42325</v>
      </c>
      <c r="B122">
        <v>11195.05</v>
      </c>
    </row>
    <row r="123" spans="1:2">
      <c r="A123" s="189">
        <v>42324</v>
      </c>
      <c r="B123">
        <v>11229.23</v>
      </c>
    </row>
    <row r="124" spans="1:2">
      <c r="A124" s="189">
        <v>42321</v>
      </c>
      <c r="B124">
        <v>11082.76</v>
      </c>
    </row>
    <row r="125" spans="1:2">
      <c r="A125" s="189">
        <v>42320</v>
      </c>
      <c r="B125">
        <v>10936.29</v>
      </c>
    </row>
    <row r="126" spans="1:2">
      <c r="A126" s="189">
        <v>42319</v>
      </c>
      <c r="B126">
        <v>10506.65</v>
      </c>
    </row>
    <row r="127" spans="1:2">
      <c r="A127" s="189">
        <v>42318</v>
      </c>
      <c r="B127">
        <v>10594.53</v>
      </c>
    </row>
    <row r="128" spans="1:2">
      <c r="A128" s="189">
        <v>42317</v>
      </c>
      <c r="B128">
        <v>10448.06</v>
      </c>
    </row>
    <row r="129" spans="1:2">
      <c r="A129" s="189">
        <v>42314</v>
      </c>
      <c r="B129">
        <v>10203.950000000001</v>
      </c>
    </row>
    <row r="130" spans="1:2">
      <c r="A130" s="189">
        <v>42313</v>
      </c>
      <c r="B130">
        <v>10448.06</v>
      </c>
    </row>
    <row r="131" spans="1:2">
      <c r="A131" s="189">
        <v>42312</v>
      </c>
      <c r="B131">
        <v>10318.200000000001</v>
      </c>
    </row>
    <row r="132" spans="1:2">
      <c r="A132" s="189">
        <v>42311</v>
      </c>
      <c r="B132">
        <v>10240.08</v>
      </c>
    </row>
    <row r="133" spans="1:2">
      <c r="A133" s="189">
        <v>42310</v>
      </c>
      <c r="B133">
        <v>9945.19</v>
      </c>
    </row>
    <row r="134" spans="1:2">
      <c r="A134" s="189">
        <v>42307</v>
      </c>
      <c r="B134">
        <v>10071.15</v>
      </c>
    </row>
    <row r="135" spans="1:2">
      <c r="A135" s="189">
        <v>42306</v>
      </c>
      <c r="B135">
        <v>10057.48</v>
      </c>
    </row>
    <row r="136" spans="1:2">
      <c r="A136" s="189">
        <v>42305</v>
      </c>
      <c r="B136">
        <v>10252.77</v>
      </c>
    </row>
    <row r="137" spans="1:2">
      <c r="A137" s="189">
        <v>42304</v>
      </c>
      <c r="B137">
        <v>10252.77</v>
      </c>
    </row>
    <row r="138" spans="1:2">
      <c r="A138" s="189">
        <v>42303</v>
      </c>
      <c r="B138">
        <v>10252.77</v>
      </c>
    </row>
    <row r="139" spans="1:2">
      <c r="A139" s="189">
        <v>42300</v>
      </c>
      <c r="B139">
        <v>10057.48</v>
      </c>
    </row>
    <row r="140" spans="1:2">
      <c r="A140" s="189">
        <v>42299</v>
      </c>
      <c r="B140">
        <v>10122.9</v>
      </c>
    </row>
    <row r="141" spans="1:2">
      <c r="A141" s="189">
        <v>42298</v>
      </c>
      <c r="B141">
        <v>10252.77</v>
      </c>
    </row>
    <row r="142" spans="1:2">
      <c r="A142" s="189">
        <v>42297</v>
      </c>
      <c r="B142">
        <v>10447.09</v>
      </c>
    </row>
    <row r="143" spans="1:2">
      <c r="A143" s="189">
        <v>42296</v>
      </c>
      <c r="B143">
        <v>10454.9</v>
      </c>
    </row>
    <row r="144" spans="1:2">
      <c r="A144" s="189">
        <v>42293</v>
      </c>
      <c r="B144">
        <v>10370.92</v>
      </c>
    </row>
    <row r="145" spans="1:2">
      <c r="A145" s="189">
        <v>42292</v>
      </c>
      <c r="B145">
        <v>10692.18</v>
      </c>
    </row>
    <row r="146" spans="1:2">
      <c r="A146" s="189">
        <v>42291</v>
      </c>
      <c r="B146">
        <v>10643.36</v>
      </c>
    </row>
    <row r="147" spans="1:2">
      <c r="A147" s="189">
        <v>42290</v>
      </c>
      <c r="B147">
        <v>10545.71</v>
      </c>
    </row>
    <row r="148" spans="1:2">
      <c r="A148" s="189">
        <v>42289</v>
      </c>
      <c r="B148">
        <v>10741</v>
      </c>
    </row>
    <row r="149" spans="1:2">
      <c r="A149" s="189">
        <v>42286</v>
      </c>
      <c r="B149">
        <v>10301.6</v>
      </c>
    </row>
    <row r="150" spans="1:2">
      <c r="A150" s="189">
        <v>42285</v>
      </c>
      <c r="B150">
        <v>10203.950000000001</v>
      </c>
    </row>
    <row r="151" spans="1:2">
      <c r="A151" s="189">
        <v>42284</v>
      </c>
      <c r="B151">
        <v>10243.01</v>
      </c>
    </row>
    <row r="152" spans="1:2">
      <c r="A152" s="189">
        <v>42283</v>
      </c>
      <c r="B152">
        <v>9977.41</v>
      </c>
    </row>
    <row r="153" spans="1:2">
      <c r="A153" s="189">
        <v>42282</v>
      </c>
      <c r="B153">
        <v>9793.84</v>
      </c>
    </row>
    <row r="154" spans="1:2">
      <c r="A154" s="189">
        <v>42279</v>
      </c>
      <c r="B154">
        <v>9538.01</v>
      </c>
    </row>
    <row r="155" spans="1:2">
      <c r="A155" s="189">
        <v>42278</v>
      </c>
      <c r="B155">
        <v>9325.14</v>
      </c>
    </row>
    <row r="156" spans="1:2">
      <c r="A156" s="189">
        <v>42277</v>
      </c>
      <c r="B156">
        <v>9413.02</v>
      </c>
    </row>
    <row r="157" spans="1:2">
      <c r="A157" s="189">
        <v>42276</v>
      </c>
      <c r="B157">
        <v>9466.73</v>
      </c>
    </row>
    <row r="158" spans="1:2">
      <c r="A158" s="189">
        <v>42275</v>
      </c>
      <c r="B158">
        <v>9325.14</v>
      </c>
    </row>
    <row r="159" spans="1:2">
      <c r="A159" s="189">
        <v>42272</v>
      </c>
      <c r="B159">
        <v>9276.32</v>
      </c>
    </row>
    <row r="160" spans="1:2">
      <c r="A160" s="189">
        <v>42270</v>
      </c>
      <c r="B160">
        <v>9320.26</v>
      </c>
    </row>
    <row r="161" spans="1:2">
      <c r="A161" s="189">
        <v>42269</v>
      </c>
      <c r="B161">
        <v>9062.48</v>
      </c>
    </row>
    <row r="162" spans="1:2">
      <c r="A162" s="189">
        <v>42268</v>
      </c>
      <c r="B162">
        <v>9129.85</v>
      </c>
    </row>
    <row r="163" spans="1:2">
      <c r="A163" s="189">
        <v>42265</v>
      </c>
      <c r="B163">
        <v>9202.11</v>
      </c>
    </row>
    <row r="164" spans="1:2">
      <c r="A164" s="189">
        <v>42264</v>
      </c>
      <c r="B164">
        <v>9032.2099999999991</v>
      </c>
    </row>
    <row r="165" spans="1:2">
      <c r="A165" s="189">
        <v>42263</v>
      </c>
      <c r="B165">
        <v>8870.11</v>
      </c>
    </row>
    <row r="166" spans="1:2">
      <c r="A166" s="189">
        <v>42262</v>
      </c>
      <c r="B166">
        <v>8968.74</v>
      </c>
    </row>
    <row r="167" spans="1:2">
      <c r="A167" s="189">
        <v>42261</v>
      </c>
      <c r="B167">
        <v>9144.5</v>
      </c>
    </row>
    <row r="168" spans="1:2">
      <c r="A168" s="189">
        <v>42258</v>
      </c>
      <c r="B168">
        <v>9276.32</v>
      </c>
    </row>
    <row r="169" spans="1:2">
      <c r="A169" s="189">
        <v>42257</v>
      </c>
      <c r="B169">
        <v>9085.91</v>
      </c>
    </row>
    <row r="170" spans="1:2">
      <c r="A170" s="189">
        <v>42256</v>
      </c>
      <c r="B170">
        <v>9763.57</v>
      </c>
    </row>
    <row r="171" spans="1:2">
      <c r="A171" s="189">
        <v>42255</v>
      </c>
      <c r="B171">
        <v>9294.8700000000008</v>
      </c>
    </row>
    <row r="172" spans="1:2">
      <c r="A172" s="189">
        <v>42254</v>
      </c>
      <c r="B172">
        <v>9124.9699999999993</v>
      </c>
    </row>
    <row r="173" spans="1:2">
      <c r="A173" s="189">
        <v>42251</v>
      </c>
      <c r="B173">
        <v>9013.65</v>
      </c>
    </row>
    <row r="174" spans="1:2">
      <c r="A174" s="189">
        <v>42250</v>
      </c>
      <c r="B174">
        <v>9040.02</v>
      </c>
    </row>
    <row r="175" spans="1:2">
      <c r="A175" s="189">
        <v>42249</v>
      </c>
      <c r="B175">
        <v>9474.5400000000009</v>
      </c>
    </row>
    <row r="176" spans="1:2">
      <c r="A176" s="189">
        <v>42248</v>
      </c>
      <c r="B176">
        <v>9129.85</v>
      </c>
    </row>
    <row r="177" spans="1:2">
      <c r="A177" s="189">
        <v>42247</v>
      </c>
      <c r="B177">
        <v>9452.08</v>
      </c>
    </row>
    <row r="178" spans="1:2">
      <c r="A178" s="189">
        <v>42244</v>
      </c>
      <c r="B178">
        <v>9641.51</v>
      </c>
    </row>
    <row r="179" spans="1:2">
      <c r="A179" s="189">
        <v>42243</v>
      </c>
      <c r="B179">
        <v>9300.73</v>
      </c>
    </row>
    <row r="180" spans="1:2">
      <c r="A180" s="189">
        <v>42242</v>
      </c>
      <c r="B180">
        <v>9381.7800000000007</v>
      </c>
    </row>
    <row r="181" spans="1:2">
      <c r="A181" s="189">
        <v>42241</v>
      </c>
      <c r="B181">
        <v>9289.99</v>
      </c>
    </row>
    <row r="182" spans="1:2">
      <c r="A182" s="189">
        <v>42240</v>
      </c>
      <c r="B182">
        <v>9081.0300000000007</v>
      </c>
    </row>
    <row r="183" spans="1:2">
      <c r="A183" s="189">
        <v>42237</v>
      </c>
      <c r="B183">
        <v>9396.59</v>
      </c>
    </row>
    <row r="184" spans="1:2">
      <c r="A184" s="189">
        <v>42236</v>
      </c>
      <c r="B184">
        <v>9557.6200000000008</v>
      </c>
    </row>
    <row r="185" spans="1:2">
      <c r="A185" s="189">
        <v>42235</v>
      </c>
      <c r="B185">
        <v>9330.2900000000009</v>
      </c>
    </row>
    <row r="186" spans="1:2">
      <c r="A186" s="189">
        <v>42234</v>
      </c>
      <c r="B186">
        <v>9311.34</v>
      </c>
    </row>
    <row r="187" spans="1:2">
      <c r="A187" s="189">
        <v>42233</v>
      </c>
      <c r="B187">
        <v>9207.14</v>
      </c>
    </row>
    <row r="188" spans="1:2">
      <c r="A188" s="189">
        <v>42230</v>
      </c>
      <c r="B188">
        <v>9591.7199999999993</v>
      </c>
    </row>
    <row r="189" spans="1:2">
      <c r="A189" s="189">
        <v>42229</v>
      </c>
      <c r="B189">
        <v>9477.11</v>
      </c>
    </row>
    <row r="190" spans="1:2">
      <c r="A190" s="189">
        <v>42228</v>
      </c>
      <c r="B190">
        <v>9549.1</v>
      </c>
    </row>
    <row r="191" spans="1:2">
      <c r="A191" s="189">
        <v>42227</v>
      </c>
      <c r="B191">
        <v>9472.3700000000008</v>
      </c>
    </row>
    <row r="192" spans="1:2">
      <c r="A192" s="189">
        <v>42223</v>
      </c>
      <c r="B192">
        <v>9472.3700000000008</v>
      </c>
    </row>
    <row r="193" spans="1:2">
      <c r="A193" s="189">
        <v>42222</v>
      </c>
      <c r="B193">
        <v>9564.25</v>
      </c>
    </row>
    <row r="194" spans="1:2">
      <c r="A194" s="189">
        <v>42221</v>
      </c>
      <c r="B194">
        <v>9552.89</v>
      </c>
    </row>
    <row r="195" spans="1:2">
      <c r="A195" s="189">
        <v>42220</v>
      </c>
      <c r="B195">
        <v>9654.24</v>
      </c>
    </row>
    <row r="196" spans="1:2">
      <c r="A196" s="189">
        <v>42219</v>
      </c>
      <c r="B196">
        <v>9472.3700000000008</v>
      </c>
    </row>
    <row r="197" spans="1:2">
      <c r="A197" s="189">
        <v>42216</v>
      </c>
      <c r="B197">
        <v>9443.9500000000007</v>
      </c>
    </row>
    <row r="198" spans="1:2">
      <c r="A198" s="189">
        <v>42215</v>
      </c>
      <c r="B198">
        <v>9377.65</v>
      </c>
    </row>
    <row r="199" spans="1:2">
      <c r="A199" s="189">
        <v>42214</v>
      </c>
      <c r="B199">
        <v>9462.9</v>
      </c>
    </row>
    <row r="200" spans="1:2">
      <c r="A200" s="189">
        <v>42213</v>
      </c>
      <c r="B200">
        <v>9192.94</v>
      </c>
    </row>
    <row r="201" spans="1:2">
      <c r="A201" s="189">
        <v>42212</v>
      </c>
      <c r="B201">
        <v>9387.1200000000008</v>
      </c>
    </row>
    <row r="202" spans="1:2">
      <c r="A202" s="189">
        <v>42209</v>
      </c>
      <c r="B202">
        <v>9377.65</v>
      </c>
    </row>
    <row r="203" spans="1:2">
      <c r="A203" s="189">
        <v>42208</v>
      </c>
      <c r="B203">
        <v>9415.5400000000009</v>
      </c>
    </row>
    <row r="204" spans="1:2">
      <c r="A204" s="189">
        <v>42207</v>
      </c>
      <c r="B204">
        <v>9472.3700000000008</v>
      </c>
    </row>
    <row r="205" spans="1:2">
      <c r="A205" s="189">
        <v>42206</v>
      </c>
      <c r="B205">
        <v>9444.9</v>
      </c>
    </row>
    <row r="206" spans="1:2">
      <c r="A206" s="189">
        <v>42205</v>
      </c>
      <c r="B206">
        <v>9434.48</v>
      </c>
    </row>
    <row r="207" spans="1:2">
      <c r="A207" s="189">
        <v>42202</v>
      </c>
      <c r="B207">
        <v>9472.3700000000008</v>
      </c>
    </row>
    <row r="208" spans="1:2">
      <c r="A208" s="189">
        <v>42201</v>
      </c>
      <c r="B208">
        <v>9425.01</v>
      </c>
    </row>
    <row r="209" spans="1:2">
      <c r="A209" s="189">
        <v>42200</v>
      </c>
      <c r="B209">
        <v>9472.3700000000008</v>
      </c>
    </row>
    <row r="210" spans="1:2">
      <c r="A210" s="189">
        <v>42199</v>
      </c>
      <c r="B210">
        <v>9472.3700000000008</v>
      </c>
    </row>
    <row r="211" spans="1:2">
      <c r="A211" s="189">
        <v>42198</v>
      </c>
      <c r="B211">
        <v>9349.23</v>
      </c>
    </row>
    <row r="212" spans="1:2">
      <c r="A212" s="189">
        <v>42195</v>
      </c>
      <c r="B212">
        <v>9432.59</v>
      </c>
    </row>
    <row r="213" spans="1:2">
      <c r="A213" s="189">
        <v>42194</v>
      </c>
      <c r="B213">
        <v>9472.3700000000008</v>
      </c>
    </row>
    <row r="214" spans="1:2">
      <c r="A214" s="189">
        <v>42193</v>
      </c>
      <c r="B214">
        <v>9335.9699999999993</v>
      </c>
    </row>
    <row r="215" spans="1:2">
      <c r="A215" s="189">
        <v>42192</v>
      </c>
      <c r="B215">
        <v>9377.65</v>
      </c>
    </row>
    <row r="216" spans="1:2">
      <c r="A216" s="189">
        <v>42191</v>
      </c>
      <c r="B216">
        <v>9254.51</v>
      </c>
    </row>
    <row r="217" spans="1:2">
      <c r="A217" s="189">
        <v>42188</v>
      </c>
      <c r="B217">
        <v>9235.56</v>
      </c>
    </row>
    <row r="218" spans="1:2">
      <c r="A218" s="189">
        <v>42187</v>
      </c>
      <c r="B218">
        <v>9235.56</v>
      </c>
    </row>
    <row r="219" spans="1:2">
      <c r="A219" s="189">
        <v>42186</v>
      </c>
      <c r="B219">
        <v>9182.52</v>
      </c>
    </row>
    <row r="220" spans="1:2">
      <c r="A220" s="189">
        <v>42185</v>
      </c>
      <c r="B220">
        <v>9188.2000000000007</v>
      </c>
    </row>
    <row r="221" spans="1:2">
      <c r="A221" s="189">
        <v>42184</v>
      </c>
      <c r="B221">
        <v>8879.4</v>
      </c>
    </row>
    <row r="222" spans="1:2">
      <c r="A222" s="189">
        <v>42181</v>
      </c>
      <c r="B222">
        <v>8888.8700000000008</v>
      </c>
    </row>
    <row r="223" spans="1:2">
      <c r="A223" s="189">
        <v>42180</v>
      </c>
      <c r="B223">
        <v>8710.91</v>
      </c>
    </row>
    <row r="224" spans="1:2">
      <c r="A224" s="189">
        <v>42179</v>
      </c>
      <c r="B224">
        <v>8710.91</v>
      </c>
    </row>
    <row r="225" spans="1:2">
      <c r="A225" s="189">
        <v>42178</v>
      </c>
      <c r="B225">
        <v>8664.08</v>
      </c>
    </row>
    <row r="226" spans="1:2">
      <c r="A226" s="189">
        <v>42177</v>
      </c>
      <c r="B226">
        <v>8546.99</v>
      </c>
    </row>
    <row r="227" spans="1:2">
      <c r="A227" s="189">
        <v>42174</v>
      </c>
      <c r="B227">
        <v>8336.25</v>
      </c>
    </row>
    <row r="228" spans="1:2">
      <c r="A228" s="189">
        <v>42173</v>
      </c>
      <c r="B228">
        <v>8242.58</v>
      </c>
    </row>
    <row r="229" spans="1:2">
      <c r="A229" s="189">
        <v>42172</v>
      </c>
      <c r="B229">
        <v>8183.57</v>
      </c>
    </row>
    <row r="230" spans="1:2">
      <c r="A230" s="189">
        <v>42170</v>
      </c>
      <c r="B230">
        <v>8167.65</v>
      </c>
    </row>
    <row r="231" spans="1:2">
      <c r="A231" s="189">
        <v>42167</v>
      </c>
      <c r="B231">
        <v>8242.58</v>
      </c>
    </row>
    <row r="232" spans="1:2">
      <c r="A232" s="189">
        <v>42166</v>
      </c>
      <c r="B232">
        <v>8242.58</v>
      </c>
    </row>
    <row r="233" spans="1:2">
      <c r="A233" s="189">
        <v>42165</v>
      </c>
      <c r="B233">
        <v>8242.58</v>
      </c>
    </row>
    <row r="234" spans="1:2">
      <c r="A234" s="189">
        <v>42164</v>
      </c>
      <c r="B234">
        <v>8392.44</v>
      </c>
    </row>
    <row r="235" spans="1:2">
      <c r="A235" s="189">
        <v>42163</v>
      </c>
      <c r="B235">
        <v>8383.08</v>
      </c>
    </row>
    <row r="236" spans="1:2">
      <c r="A236" s="189">
        <v>42160</v>
      </c>
      <c r="B236">
        <v>8710.91</v>
      </c>
    </row>
    <row r="237" spans="1:2">
      <c r="A237" s="189">
        <v>42159</v>
      </c>
      <c r="B237">
        <v>8547.93</v>
      </c>
    </row>
    <row r="238" spans="1:2">
      <c r="A238" s="189">
        <v>42158</v>
      </c>
      <c r="B238">
        <v>8687.49</v>
      </c>
    </row>
    <row r="239" spans="1:2">
      <c r="A239" s="189">
        <v>42157</v>
      </c>
      <c r="B239">
        <v>8710.91</v>
      </c>
    </row>
    <row r="240" spans="1:2">
      <c r="A240" s="189">
        <v>42156</v>
      </c>
      <c r="B240">
        <v>8664.08</v>
      </c>
    </row>
    <row r="241" spans="1:2">
      <c r="A241" s="189">
        <v>42153</v>
      </c>
      <c r="B241">
        <v>8830.7999999999993</v>
      </c>
    </row>
    <row r="242" spans="1:2">
      <c r="A242" s="189">
        <v>42152</v>
      </c>
      <c r="B242">
        <v>8710.91</v>
      </c>
    </row>
    <row r="243" spans="1:2">
      <c r="A243" s="189">
        <v>42151</v>
      </c>
      <c r="B243">
        <v>8523.58</v>
      </c>
    </row>
    <row r="244" spans="1:2">
      <c r="A244" s="189">
        <v>42150</v>
      </c>
      <c r="B244">
        <v>8898.24</v>
      </c>
    </row>
    <row r="245" spans="1:2">
      <c r="A245" s="189">
        <v>42149</v>
      </c>
      <c r="B245">
        <v>8992.84</v>
      </c>
    </row>
    <row r="246" spans="1:2">
      <c r="A246" s="189">
        <v>42146</v>
      </c>
      <c r="B246">
        <v>9256.0400000000009</v>
      </c>
    </row>
    <row r="247" spans="1:2">
      <c r="A247" s="189">
        <v>42145</v>
      </c>
      <c r="B247">
        <v>9179.24</v>
      </c>
    </row>
    <row r="248" spans="1:2">
      <c r="A248" s="189">
        <v>42144</v>
      </c>
      <c r="B248">
        <v>9330.0400000000009</v>
      </c>
    </row>
    <row r="249" spans="1:2">
      <c r="A249" s="189">
        <v>42143</v>
      </c>
      <c r="B249">
        <v>9633.51</v>
      </c>
    </row>
    <row r="250" spans="1:2">
      <c r="A250" s="189">
        <v>42142</v>
      </c>
      <c r="B250">
        <v>9360.9500000000007</v>
      </c>
    </row>
    <row r="251" spans="1:2">
      <c r="A251" s="189">
        <v>42139</v>
      </c>
      <c r="B251">
        <v>9015.32</v>
      </c>
    </row>
    <row r="252" spans="1:2">
      <c r="A252" s="189">
        <v>42138</v>
      </c>
      <c r="B252">
        <v>10532.71</v>
      </c>
    </row>
    <row r="253" spans="1:2">
      <c r="A253" s="189">
        <v>42137</v>
      </c>
      <c r="B253">
        <v>10593.59</v>
      </c>
    </row>
    <row r="254" spans="1:2">
      <c r="A254" s="189">
        <v>42136</v>
      </c>
      <c r="B254">
        <v>10537.39</v>
      </c>
    </row>
    <row r="255" spans="1:2">
      <c r="A255" s="189">
        <v>42135</v>
      </c>
      <c r="B255">
        <v>9787.1299999999992</v>
      </c>
    </row>
    <row r="256" spans="1:2">
      <c r="A256" s="189">
        <v>42132</v>
      </c>
      <c r="B256">
        <v>9963.2199999999993</v>
      </c>
    </row>
    <row r="257" spans="1:2">
      <c r="A257" s="189">
        <v>42131</v>
      </c>
      <c r="B257">
        <v>9742.17</v>
      </c>
    </row>
    <row r="258" spans="1:2">
      <c r="A258" s="189">
        <v>42130</v>
      </c>
      <c r="B258">
        <v>10022.23</v>
      </c>
    </row>
    <row r="259" spans="1:2">
      <c r="A259" s="189">
        <v>42129</v>
      </c>
      <c r="B259">
        <v>10677.89</v>
      </c>
    </row>
    <row r="260" spans="1:2">
      <c r="A260" s="189">
        <v>42128</v>
      </c>
      <c r="B260">
        <v>10162.73</v>
      </c>
    </row>
    <row r="261" spans="1:2">
      <c r="A261" s="189">
        <v>42124</v>
      </c>
      <c r="B261">
        <v>9958.5300000000007</v>
      </c>
    </row>
    <row r="262" spans="1:2">
      <c r="A262" s="189">
        <v>42123</v>
      </c>
      <c r="B262">
        <v>9296.32</v>
      </c>
    </row>
    <row r="263" spans="1:2">
      <c r="A263" s="189">
        <v>42122</v>
      </c>
      <c r="B263">
        <v>9515.5</v>
      </c>
    </row>
    <row r="264" spans="1:2">
      <c r="A264" s="189">
        <v>42118</v>
      </c>
      <c r="B264">
        <v>9447.1200000000008</v>
      </c>
    </row>
    <row r="265" spans="1:2">
      <c r="A265" s="189">
        <v>42117</v>
      </c>
      <c r="B265">
        <v>9460.23</v>
      </c>
    </row>
    <row r="266" spans="1:2">
      <c r="A266" s="189">
        <v>42116</v>
      </c>
      <c r="B266">
        <v>9381.5499999999993</v>
      </c>
    </row>
    <row r="267" spans="1:2">
      <c r="A267" s="189">
        <v>42115</v>
      </c>
      <c r="B267">
        <v>9450.8700000000008</v>
      </c>
    </row>
    <row r="268" spans="1:2">
      <c r="A268" s="189">
        <v>42114</v>
      </c>
      <c r="B268">
        <v>9403.1</v>
      </c>
    </row>
    <row r="269" spans="1:2">
      <c r="A269" s="189">
        <v>42111</v>
      </c>
      <c r="B269">
        <v>9366.57</v>
      </c>
    </row>
    <row r="270" spans="1:2">
      <c r="A270" s="189">
        <v>42110</v>
      </c>
      <c r="B270">
        <v>9348.77</v>
      </c>
    </row>
    <row r="271" spans="1:2">
      <c r="A271" s="189">
        <v>42109</v>
      </c>
      <c r="B271">
        <v>9380.6200000000008</v>
      </c>
    </row>
    <row r="272" spans="1:2">
      <c r="A272" s="189">
        <v>42108</v>
      </c>
      <c r="B272">
        <v>9413.4</v>
      </c>
    </row>
    <row r="273" spans="1:2">
      <c r="A273" s="189">
        <v>42107</v>
      </c>
      <c r="B273">
        <v>9443.3700000000008</v>
      </c>
    </row>
    <row r="274" spans="1:2">
      <c r="A274" s="189">
        <v>42104</v>
      </c>
      <c r="B274">
        <v>9310.3700000000008</v>
      </c>
    </row>
    <row r="275" spans="1:2">
      <c r="A275" s="189">
        <v>42103</v>
      </c>
      <c r="B275">
        <v>9604.48</v>
      </c>
    </row>
    <row r="276" spans="1:2">
      <c r="A276" s="189">
        <v>42102</v>
      </c>
      <c r="B276">
        <v>9583.8700000000008</v>
      </c>
    </row>
    <row r="277" spans="1:2">
      <c r="A277" s="189">
        <v>42101</v>
      </c>
      <c r="B277">
        <v>9681.2800000000007</v>
      </c>
    </row>
    <row r="278" spans="1:2">
      <c r="A278" s="189">
        <v>42096</v>
      </c>
      <c r="B278">
        <v>9741.23</v>
      </c>
    </row>
    <row r="279" spans="1:2">
      <c r="A279" s="189">
        <v>42095</v>
      </c>
      <c r="B279">
        <v>9689.7099999999991</v>
      </c>
    </row>
    <row r="280" spans="1:2">
      <c r="A280" s="189">
        <v>42094</v>
      </c>
      <c r="B280">
        <v>9422.77</v>
      </c>
    </row>
    <row r="281" spans="1:2">
      <c r="A281" s="189">
        <v>42093</v>
      </c>
      <c r="B281">
        <v>9469.6</v>
      </c>
    </row>
    <row r="282" spans="1:2">
      <c r="A282" s="189">
        <v>42090</v>
      </c>
      <c r="B282">
        <v>9230.75</v>
      </c>
    </row>
    <row r="283" spans="1:2">
      <c r="A283" s="189">
        <v>42089</v>
      </c>
      <c r="B283">
        <v>9277.59</v>
      </c>
    </row>
    <row r="284" spans="1:2">
      <c r="A284" s="189">
        <v>42088</v>
      </c>
      <c r="B284">
        <v>9493.9500000000007</v>
      </c>
    </row>
    <row r="285" spans="1:2">
      <c r="A285" s="189">
        <v>42087</v>
      </c>
      <c r="B285">
        <v>9383.43</v>
      </c>
    </row>
    <row r="286" spans="1:2">
      <c r="A286" s="189">
        <v>42086</v>
      </c>
      <c r="B286">
        <v>8991.91</v>
      </c>
    </row>
    <row r="287" spans="1:2">
      <c r="A287" s="189">
        <v>42083</v>
      </c>
      <c r="B287">
        <v>8804.57</v>
      </c>
    </row>
    <row r="288" spans="1:2">
      <c r="A288" s="189">
        <v>42082</v>
      </c>
      <c r="B288">
        <v>9141.77</v>
      </c>
    </row>
    <row r="289" spans="1:2">
      <c r="A289" s="189">
        <v>42081</v>
      </c>
      <c r="B289">
        <v>9582.94</v>
      </c>
    </row>
    <row r="290" spans="1:2">
      <c r="A290" s="189">
        <v>42080</v>
      </c>
      <c r="B290">
        <v>9789.94</v>
      </c>
    </row>
    <row r="291" spans="1:2">
      <c r="A291" s="189">
        <v>42079</v>
      </c>
      <c r="B291">
        <v>9881.73</v>
      </c>
    </row>
    <row r="292" spans="1:2">
      <c r="A292" s="189">
        <v>42076</v>
      </c>
      <c r="B292">
        <v>9509.8799999999992</v>
      </c>
    </row>
    <row r="293" spans="1:2">
      <c r="A293" s="189">
        <v>42075</v>
      </c>
      <c r="B293">
        <v>9741.23</v>
      </c>
    </row>
    <row r="294" spans="1:2">
      <c r="A294" s="189">
        <v>42074</v>
      </c>
      <c r="B294">
        <v>9870.49</v>
      </c>
    </row>
    <row r="295" spans="1:2">
      <c r="A295" s="189">
        <v>42073</v>
      </c>
      <c r="B295">
        <v>10251.709999999999</v>
      </c>
    </row>
    <row r="296" spans="1:2">
      <c r="A296" s="189">
        <v>42072</v>
      </c>
      <c r="B296">
        <v>9834.9</v>
      </c>
    </row>
    <row r="297" spans="1:2">
      <c r="A297" s="189">
        <v>42069</v>
      </c>
      <c r="B297">
        <v>10197.379999999999</v>
      </c>
    </row>
    <row r="298" spans="1:2">
      <c r="A298" s="189">
        <v>42068</v>
      </c>
      <c r="B298">
        <v>10247.030000000001</v>
      </c>
    </row>
    <row r="299" spans="1:2">
      <c r="A299" s="189">
        <v>42067</v>
      </c>
      <c r="B299">
        <v>10115.89</v>
      </c>
    </row>
    <row r="300" spans="1:2">
      <c r="A300" s="189">
        <v>42066</v>
      </c>
      <c r="B300">
        <v>10114.02</v>
      </c>
    </row>
    <row r="301" spans="1:2">
      <c r="A301" s="189">
        <v>42065</v>
      </c>
      <c r="B301">
        <v>10209.56</v>
      </c>
    </row>
    <row r="302" spans="1:2">
      <c r="A302" s="189">
        <v>42062</v>
      </c>
      <c r="B302">
        <v>10303.219999999999</v>
      </c>
    </row>
    <row r="303" spans="1:2">
      <c r="A303" s="189">
        <v>42061</v>
      </c>
      <c r="B303">
        <v>10396.89</v>
      </c>
    </row>
    <row r="304" spans="1:2">
      <c r="A304" s="189">
        <v>42060</v>
      </c>
      <c r="B304">
        <v>10458.709999999999</v>
      </c>
    </row>
    <row r="305" spans="1:2">
      <c r="A305" s="189">
        <v>42059</v>
      </c>
      <c r="B305">
        <v>10489.62</v>
      </c>
    </row>
    <row r="306" spans="1:2">
      <c r="A306" s="189">
        <v>42058</v>
      </c>
      <c r="B306">
        <v>10677.89</v>
      </c>
    </row>
    <row r="307" spans="1:2">
      <c r="A307" s="189">
        <v>42055</v>
      </c>
      <c r="B307">
        <v>10771.55</v>
      </c>
    </row>
    <row r="308" spans="1:2">
      <c r="A308" s="189">
        <v>42054</v>
      </c>
      <c r="B308">
        <v>10677.89</v>
      </c>
    </row>
    <row r="309" spans="1:2">
      <c r="A309" s="189">
        <v>42053</v>
      </c>
      <c r="B309">
        <v>10628.24</v>
      </c>
    </row>
    <row r="310" spans="1:2">
      <c r="A310" s="189">
        <v>42052</v>
      </c>
      <c r="B310">
        <v>10654.47</v>
      </c>
    </row>
    <row r="311" spans="1:2">
      <c r="A311" s="189">
        <v>42051</v>
      </c>
      <c r="B311">
        <v>10162.73</v>
      </c>
    </row>
    <row r="312" spans="1:2">
      <c r="A312" s="189">
        <v>42048</v>
      </c>
      <c r="B312">
        <v>10256.39</v>
      </c>
    </row>
    <row r="313" spans="1:2">
      <c r="A313" s="189">
        <v>42047</v>
      </c>
      <c r="B313">
        <v>10429.67</v>
      </c>
    </row>
    <row r="314" spans="1:2">
      <c r="A314" s="189">
        <v>42046</v>
      </c>
      <c r="B314">
        <v>10261.07</v>
      </c>
    </row>
    <row r="315" spans="1:2">
      <c r="A315" s="189">
        <v>42045</v>
      </c>
      <c r="B315">
        <v>10441.85</v>
      </c>
    </row>
    <row r="316" spans="1:2">
      <c r="A316" s="189">
        <v>42044</v>
      </c>
      <c r="B316">
        <v>10462.459999999999</v>
      </c>
    </row>
    <row r="317" spans="1:2">
      <c r="A317" s="189">
        <v>42041</v>
      </c>
      <c r="B317">
        <v>10359.42</v>
      </c>
    </row>
    <row r="318" spans="1:2">
      <c r="A318" s="189">
        <v>42040</v>
      </c>
      <c r="B318">
        <v>10560.81</v>
      </c>
    </row>
    <row r="319" spans="1:2">
      <c r="A319" s="189">
        <v>42039</v>
      </c>
      <c r="B319">
        <v>10560.81</v>
      </c>
    </row>
    <row r="320" spans="1:2">
      <c r="A320" s="189">
        <v>42038</v>
      </c>
      <c r="B320">
        <v>10537.39</v>
      </c>
    </row>
    <row r="321" spans="1:2">
      <c r="A321" s="189">
        <v>42037</v>
      </c>
      <c r="B321">
        <v>10326.64</v>
      </c>
    </row>
    <row r="322" spans="1:2">
      <c r="A322" s="189">
        <v>42034</v>
      </c>
      <c r="B322">
        <v>10115.89</v>
      </c>
    </row>
    <row r="323" spans="1:2">
      <c r="A323" s="189">
        <v>42033</v>
      </c>
      <c r="B323">
        <v>10209.56</v>
      </c>
    </row>
    <row r="324" spans="1:2">
      <c r="A324" s="189">
        <v>42032</v>
      </c>
      <c r="B324">
        <v>10209.56</v>
      </c>
    </row>
    <row r="325" spans="1:2">
      <c r="A325" s="189">
        <v>42031</v>
      </c>
      <c r="B325">
        <v>10209.56</v>
      </c>
    </row>
    <row r="326" spans="1:2">
      <c r="A326" s="189">
        <v>42030</v>
      </c>
      <c r="B326">
        <v>10209.56</v>
      </c>
    </row>
    <row r="327" spans="1:2">
      <c r="A327" s="189">
        <v>42027</v>
      </c>
      <c r="B327">
        <v>10256.39</v>
      </c>
    </row>
    <row r="328" spans="1:2">
      <c r="A328" s="189">
        <v>42026</v>
      </c>
      <c r="B328">
        <v>10022.23</v>
      </c>
    </row>
    <row r="329" spans="1:2">
      <c r="A329" s="189">
        <v>42025</v>
      </c>
      <c r="B329">
        <v>10301.35</v>
      </c>
    </row>
    <row r="330" spans="1:2">
      <c r="A330" s="189">
        <v>42024</v>
      </c>
      <c r="B330">
        <v>10115.89</v>
      </c>
    </row>
    <row r="331" spans="1:2">
      <c r="A331" s="189">
        <v>42023</v>
      </c>
      <c r="B331">
        <v>10209.56</v>
      </c>
    </row>
    <row r="332" spans="1:2">
      <c r="A332" s="189">
        <v>42020</v>
      </c>
      <c r="B332">
        <v>10209.56</v>
      </c>
    </row>
    <row r="333" spans="1:2">
      <c r="A333" s="189">
        <v>42019</v>
      </c>
      <c r="B333">
        <v>10110.27</v>
      </c>
    </row>
    <row r="334" spans="1:2">
      <c r="A334" s="189">
        <v>42018</v>
      </c>
      <c r="B334">
        <v>10106.530000000001</v>
      </c>
    </row>
    <row r="335" spans="1:2">
      <c r="A335" s="189">
        <v>42017</v>
      </c>
      <c r="B335">
        <v>9923.8799999999992</v>
      </c>
    </row>
    <row r="336" spans="1:2">
      <c r="A336" s="189">
        <v>42016</v>
      </c>
      <c r="B336">
        <v>9872.36</v>
      </c>
    </row>
    <row r="337" spans="1:2">
      <c r="A337" s="189">
        <v>42013</v>
      </c>
      <c r="B337">
        <v>10049.39</v>
      </c>
    </row>
    <row r="338" spans="1:2">
      <c r="A338" s="189">
        <v>42012</v>
      </c>
      <c r="B338">
        <v>10003.709999999999</v>
      </c>
    </row>
    <row r="339" spans="1:2">
      <c r="A339" s="189">
        <v>42011</v>
      </c>
      <c r="B339">
        <v>9967.17</v>
      </c>
    </row>
    <row r="340" spans="1:2">
      <c r="A340" s="189">
        <v>42010</v>
      </c>
      <c r="B340">
        <v>10003.709999999999</v>
      </c>
    </row>
    <row r="341" spans="1:2">
      <c r="A341" s="189">
        <v>42009</v>
      </c>
      <c r="B341">
        <v>9912.35</v>
      </c>
    </row>
    <row r="342" spans="1:2">
      <c r="A342" s="189">
        <v>42006</v>
      </c>
      <c r="B342">
        <v>9651.98</v>
      </c>
    </row>
    <row r="343" spans="1:2">
      <c r="A343" s="189">
        <v>42004</v>
      </c>
      <c r="B343">
        <v>9579.81</v>
      </c>
    </row>
    <row r="344" spans="1:2">
      <c r="A344" s="189">
        <v>42003</v>
      </c>
      <c r="B344">
        <v>9501.24</v>
      </c>
    </row>
    <row r="345" spans="1:2">
      <c r="A345" s="189">
        <v>42002</v>
      </c>
      <c r="B345">
        <v>9767.09</v>
      </c>
    </row>
    <row r="346" spans="1:2">
      <c r="A346" s="189">
        <v>41997</v>
      </c>
      <c r="B346">
        <v>9831.0400000000009</v>
      </c>
    </row>
    <row r="347" spans="1:2">
      <c r="A347" s="189">
        <v>41996</v>
      </c>
      <c r="B347">
        <v>9658.3799999999992</v>
      </c>
    </row>
    <row r="348" spans="1:2">
      <c r="A348" s="189">
        <v>41995</v>
      </c>
      <c r="B348">
        <v>9661.1200000000008</v>
      </c>
    </row>
    <row r="349" spans="1:2">
      <c r="A349" s="189">
        <v>41992</v>
      </c>
      <c r="B349">
        <v>9640.11</v>
      </c>
    </row>
    <row r="350" spans="1:2">
      <c r="A350" s="189">
        <v>41991</v>
      </c>
      <c r="B350">
        <v>9665.69</v>
      </c>
    </row>
    <row r="351" spans="1:2">
      <c r="A351" s="189">
        <v>41990</v>
      </c>
      <c r="B351">
        <v>9318.5300000000007</v>
      </c>
    </row>
    <row r="352" spans="1:2">
      <c r="A352" s="189">
        <v>41988</v>
      </c>
      <c r="B352">
        <v>9135.81</v>
      </c>
    </row>
    <row r="353" spans="1:2">
      <c r="A353" s="189">
        <v>41985</v>
      </c>
      <c r="B353">
        <v>9135.81</v>
      </c>
    </row>
    <row r="354" spans="1:2">
      <c r="A354" s="189">
        <v>41984</v>
      </c>
      <c r="B354">
        <v>9184.23</v>
      </c>
    </row>
    <row r="355" spans="1:2">
      <c r="A355" s="189">
        <v>41983</v>
      </c>
      <c r="B355">
        <v>9227.17</v>
      </c>
    </row>
    <row r="356" spans="1:2">
      <c r="A356" s="189">
        <v>41982</v>
      </c>
      <c r="B356">
        <v>9456.48</v>
      </c>
    </row>
    <row r="357" spans="1:2">
      <c r="A357" s="189">
        <v>41981</v>
      </c>
      <c r="B357">
        <v>9593.51</v>
      </c>
    </row>
    <row r="358" spans="1:2">
      <c r="A358" s="189">
        <v>41978</v>
      </c>
      <c r="B358">
        <v>9423.59</v>
      </c>
    </row>
    <row r="359" spans="1:2">
      <c r="A359" s="189">
        <v>41977</v>
      </c>
      <c r="B359">
        <v>9134.9</v>
      </c>
    </row>
    <row r="360" spans="1:2">
      <c r="A360" s="189">
        <v>41976</v>
      </c>
      <c r="B360">
        <v>9067.2900000000009</v>
      </c>
    </row>
    <row r="361" spans="1:2">
      <c r="A361" s="189">
        <v>41975</v>
      </c>
      <c r="B361">
        <v>8998.77</v>
      </c>
    </row>
    <row r="362" spans="1:2">
      <c r="A362" s="189">
        <v>41974</v>
      </c>
      <c r="B362">
        <v>9135.81</v>
      </c>
    </row>
    <row r="363" spans="1:2">
      <c r="A363" s="189">
        <v>41971</v>
      </c>
      <c r="B363">
        <v>9537.7800000000007</v>
      </c>
    </row>
    <row r="364" spans="1:2">
      <c r="A364" s="189">
        <v>41970</v>
      </c>
      <c r="B364">
        <v>9592.6</v>
      </c>
    </row>
    <row r="365" spans="1:2">
      <c r="A365" s="189">
        <v>41969</v>
      </c>
      <c r="B365">
        <v>9227.17</v>
      </c>
    </row>
    <row r="366" spans="1:2">
      <c r="A366" s="189">
        <v>41968</v>
      </c>
      <c r="B366">
        <v>9227.17</v>
      </c>
    </row>
    <row r="367" spans="1:2">
      <c r="A367" s="189">
        <v>41967</v>
      </c>
      <c r="B367">
        <v>9044.4500000000007</v>
      </c>
    </row>
    <row r="368" spans="1:2">
      <c r="A368" s="189">
        <v>41964</v>
      </c>
      <c r="B368">
        <v>8998.77</v>
      </c>
    </row>
    <row r="369" spans="1:2">
      <c r="A369" s="189">
        <v>41963</v>
      </c>
      <c r="B369">
        <v>8588.57</v>
      </c>
    </row>
    <row r="370" spans="1:2">
      <c r="A370" s="189">
        <v>41962</v>
      </c>
      <c r="B370">
        <v>8541.98</v>
      </c>
    </row>
    <row r="371" spans="1:2">
      <c r="A371" s="189">
        <v>41961</v>
      </c>
      <c r="B371">
        <v>8222.23</v>
      </c>
    </row>
    <row r="372" spans="1:2">
      <c r="A372" s="189">
        <v>41960</v>
      </c>
      <c r="B372">
        <v>7901.56</v>
      </c>
    </row>
    <row r="373" spans="1:2">
      <c r="A373" s="189">
        <v>41957</v>
      </c>
      <c r="B373">
        <v>8039.51</v>
      </c>
    </row>
    <row r="374" spans="1:2">
      <c r="A374" s="189">
        <v>41956</v>
      </c>
      <c r="B374">
        <v>8064.18</v>
      </c>
    </row>
    <row r="375" spans="1:2">
      <c r="A375" s="189">
        <v>41955</v>
      </c>
      <c r="B375">
        <v>7912.52</v>
      </c>
    </row>
    <row r="376" spans="1:2">
      <c r="A376" s="189">
        <v>41954</v>
      </c>
      <c r="B376">
        <v>7813.86</v>
      </c>
    </row>
    <row r="377" spans="1:2">
      <c r="A377" s="189">
        <v>41953</v>
      </c>
      <c r="B377">
        <v>7809.29</v>
      </c>
    </row>
    <row r="378" spans="1:2">
      <c r="A378" s="189">
        <v>41950</v>
      </c>
      <c r="B378">
        <v>7857.71</v>
      </c>
    </row>
    <row r="379" spans="1:2">
      <c r="A379" s="189">
        <v>41949</v>
      </c>
      <c r="B379">
        <v>7540.7</v>
      </c>
    </row>
    <row r="380" spans="1:2">
      <c r="A380" s="189">
        <v>41948</v>
      </c>
      <c r="B380">
        <v>7139.63</v>
      </c>
    </row>
    <row r="381" spans="1:2">
      <c r="A381" s="189">
        <v>41947</v>
      </c>
      <c r="B381">
        <v>7125.02</v>
      </c>
    </row>
    <row r="382" spans="1:2">
      <c r="A382" s="189">
        <v>41946</v>
      </c>
      <c r="B382">
        <v>6915.81</v>
      </c>
    </row>
    <row r="383" spans="1:2">
      <c r="A383" s="189">
        <v>41943</v>
      </c>
      <c r="B383">
        <v>6924.94</v>
      </c>
    </row>
    <row r="384" spans="1:2">
      <c r="A384" s="189">
        <v>41942</v>
      </c>
      <c r="B384">
        <v>6840.89</v>
      </c>
    </row>
    <row r="385" spans="1:2">
      <c r="A385" s="189">
        <v>41941</v>
      </c>
      <c r="B385">
        <v>6829.02</v>
      </c>
    </row>
    <row r="386" spans="1:2">
      <c r="A386" s="189">
        <v>41940</v>
      </c>
      <c r="B386">
        <v>6851.86</v>
      </c>
    </row>
    <row r="387" spans="1:2">
      <c r="A387" s="189">
        <v>41939</v>
      </c>
      <c r="B387">
        <v>6897.54</v>
      </c>
    </row>
    <row r="388" spans="1:2">
      <c r="A388" s="189">
        <v>41936</v>
      </c>
      <c r="B388">
        <v>6896.62</v>
      </c>
    </row>
    <row r="389" spans="1:2">
      <c r="A389" s="189">
        <v>41935</v>
      </c>
      <c r="B389">
        <v>6866.47</v>
      </c>
    </row>
    <row r="390" spans="1:2">
      <c r="A390" s="189">
        <v>41934</v>
      </c>
      <c r="B390">
        <v>6892.97</v>
      </c>
    </row>
    <row r="391" spans="1:2">
      <c r="A391" s="189">
        <v>41933</v>
      </c>
      <c r="B391">
        <v>6835.41</v>
      </c>
    </row>
    <row r="392" spans="1:2">
      <c r="A392" s="189">
        <v>41932</v>
      </c>
      <c r="B392">
        <v>6824.45</v>
      </c>
    </row>
    <row r="393" spans="1:2">
      <c r="A393" s="189">
        <v>41929</v>
      </c>
      <c r="B393">
        <v>6755.93</v>
      </c>
    </row>
    <row r="394" spans="1:2">
      <c r="A394" s="189">
        <v>41928</v>
      </c>
      <c r="B394">
        <v>6422.47</v>
      </c>
    </row>
    <row r="395" spans="1:2">
      <c r="A395" s="189">
        <v>41927</v>
      </c>
      <c r="B395">
        <v>6395.07</v>
      </c>
    </row>
    <row r="396" spans="1:2">
      <c r="A396" s="189">
        <v>41926</v>
      </c>
      <c r="B396">
        <v>6440.75</v>
      </c>
    </row>
    <row r="397" spans="1:2">
      <c r="A397" s="189">
        <v>41925</v>
      </c>
      <c r="B397">
        <v>6548.55</v>
      </c>
    </row>
    <row r="398" spans="1:2">
      <c r="A398" s="189">
        <v>41922</v>
      </c>
      <c r="B398">
        <v>6541.24</v>
      </c>
    </row>
    <row r="399" spans="1:2">
      <c r="A399" s="189">
        <v>41921</v>
      </c>
      <c r="B399">
        <v>6669.14</v>
      </c>
    </row>
    <row r="400" spans="1:2">
      <c r="A400" s="189">
        <v>41920</v>
      </c>
      <c r="B400">
        <v>6870.13</v>
      </c>
    </row>
    <row r="401" spans="1:2">
      <c r="A401" s="189">
        <v>41919</v>
      </c>
      <c r="B401">
        <v>7052.84</v>
      </c>
    </row>
    <row r="402" spans="1:2">
      <c r="A402" s="189">
        <v>41918</v>
      </c>
      <c r="B402">
        <v>7080.25</v>
      </c>
    </row>
    <row r="403" spans="1:2">
      <c r="A403" s="189">
        <v>41915</v>
      </c>
      <c r="B403">
        <v>7016.3</v>
      </c>
    </row>
    <row r="404" spans="1:2">
      <c r="A404" s="189">
        <v>41914</v>
      </c>
      <c r="B404">
        <v>6764.15</v>
      </c>
    </row>
    <row r="405" spans="1:2">
      <c r="A405" s="189">
        <v>41913</v>
      </c>
      <c r="B405">
        <v>6774.2</v>
      </c>
    </row>
    <row r="406" spans="1:2">
      <c r="A406" s="189">
        <v>41912</v>
      </c>
      <c r="B406">
        <v>6760.5</v>
      </c>
    </row>
    <row r="407" spans="1:2">
      <c r="A407" s="189">
        <v>41911</v>
      </c>
      <c r="B407">
        <v>6720.3</v>
      </c>
    </row>
    <row r="408" spans="1:2">
      <c r="A408" s="189">
        <v>41908</v>
      </c>
      <c r="B408">
        <v>6669.14</v>
      </c>
    </row>
    <row r="409" spans="1:2">
      <c r="A409" s="189">
        <v>41907</v>
      </c>
      <c r="B409">
        <v>6578.7</v>
      </c>
    </row>
    <row r="410" spans="1:2">
      <c r="A410" s="189">
        <v>41905</v>
      </c>
      <c r="B410">
        <v>6762.33</v>
      </c>
    </row>
    <row r="411" spans="1:2">
      <c r="A411" s="189">
        <v>41904</v>
      </c>
      <c r="B411">
        <v>6829.02</v>
      </c>
    </row>
    <row r="412" spans="1:2">
      <c r="A412" s="189">
        <v>41901</v>
      </c>
      <c r="B412">
        <v>6760.5</v>
      </c>
    </row>
    <row r="413" spans="1:2">
      <c r="A413" s="189">
        <v>41900</v>
      </c>
      <c r="B413">
        <v>6550.38</v>
      </c>
    </row>
    <row r="414" spans="1:2">
      <c r="A414" s="189">
        <v>41899</v>
      </c>
      <c r="B414">
        <v>6440.75</v>
      </c>
    </row>
    <row r="415" spans="1:2">
      <c r="A415" s="189">
        <v>41898</v>
      </c>
      <c r="B415">
        <v>6571.39</v>
      </c>
    </row>
    <row r="416" spans="1:2">
      <c r="A416" s="189">
        <v>41897</v>
      </c>
      <c r="B416">
        <v>6644.47</v>
      </c>
    </row>
    <row r="417" spans="1:2">
      <c r="A417" s="189">
        <v>41894</v>
      </c>
      <c r="B417">
        <v>6577.78</v>
      </c>
    </row>
    <row r="418" spans="1:2">
      <c r="A418" s="189">
        <v>41893</v>
      </c>
      <c r="B418">
        <v>6577.78</v>
      </c>
    </row>
    <row r="419" spans="1:2">
      <c r="A419" s="189">
        <v>41892</v>
      </c>
      <c r="B419">
        <v>6486.42</v>
      </c>
    </row>
    <row r="420" spans="1:2">
      <c r="A420" s="189">
        <v>41891</v>
      </c>
      <c r="B420">
        <v>6526.62</v>
      </c>
    </row>
    <row r="421" spans="1:2">
      <c r="A421" s="189">
        <v>41890</v>
      </c>
      <c r="B421">
        <v>6564.08</v>
      </c>
    </row>
    <row r="422" spans="1:2">
      <c r="A422" s="189">
        <v>41887</v>
      </c>
      <c r="B422">
        <v>6468.15</v>
      </c>
    </row>
    <row r="423" spans="1:2">
      <c r="A423" s="189">
        <v>41886</v>
      </c>
      <c r="B423">
        <v>6851.86</v>
      </c>
    </row>
    <row r="424" spans="1:2">
      <c r="A424" s="189">
        <v>41885</v>
      </c>
      <c r="B424">
        <v>7116.8</v>
      </c>
    </row>
    <row r="425" spans="1:2">
      <c r="A425" s="189">
        <v>41884</v>
      </c>
      <c r="B425">
        <v>7127.76</v>
      </c>
    </row>
    <row r="426" spans="1:2">
      <c r="A426" s="189">
        <v>41883</v>
      </c>
      <c r="B426">
        <v>7164.3</v>
      </c>
    </row>
    <row r="427" spans="1:2">
      <c r="A427" s="189">
        <v>41880</v>
      </c>
      <c r="B427">
        <v>7156.08</v>
      </c>
    </row>
    <row r="428" spans="1:2">
      <c r="A428" s="189">
        <v>41879</v>
      </c>
      <c r="B428">
        <v>7225.51</v>
      </c>
    </row>
    <row r="429" spans="1:2">
      <c r="A429" s="189">
        <v>41878</v>
      </c>
      <c r="B429">
        <v>7236.47</v>
      </c>
    </row>
    <row r="430" spans="1:2">
      <c r="A430" s="189">
        <v>41877</v>
      </c>
      <c r="B430">
        <v>7355.24</v>
      </c>
    </row>
    <row r="431" spans="1:2">
      <c r="A431" s="189">
        <v>41876</v>
      </c>
      <c r="B431">
        <v>7427.41</v>
      </c>
    </row>
    <row r="432" spans="1:2">
      <c r="A432" s="189">
        <v>41873</v>
      </c>
      <c r="B432">
        <v>7501.41</v>
      </c>
    </row>
    <row r="433" spans="1:2">
      <c r="A433" s="189">
        <v>41872</v>
      </c>
      <c r="B433">
        <v>7431.07</v>
      </c>
    </row>
    <row r="434" spans="1:2">
      <c r="A434" s="189">
        <v>41871</v>
      </c>
      <c r="B434">
        <v>7551.66</v>
      </c>
    </row>
    <row r="435" spans="1:2">
      <c r="A435" s="189">
        <v>41870</v>
      </c>
      <c r="B435">
        <v>7442.94</v>
      </c>
    </row>
    <row r="436" spans="1:2">
      <c r="A436" s="189">
        <v>41869</v>
      </c>
      <c r="B436">
        <v>7491.36</v>
      </c>
    </row>
    <row r="437" spans="1:2">
      <c r="A437" s="189">
        <v>41866</v>
      </c>
      <c r="B437">
        <v>7354.33</v>
      </c>
    </row>
    <row r="438" spans="1:2">
      <c r="A438" s="189">
        <v>41865</v>
      </c>
      <c r="B438">
        <v>7445.68</v>
      </c>
    </row>
    <row r="439" spans="1:2">
      <c r="A439" s="189">
        <v>41864</v>
      </c>
      <c r="B439">
        <v>7491.36</v>
      </c>
    </row>
    <row r="440" spans="1:2">
      <c r="A440" s="189">
        <v>41863</v>
      </c>
      <c r="B440">
        <v>7628.4</v>
      </c>
    </row>
    <row r="441" spans="1:2">
      <c r="A441" s="189">
        <v>41862</v>
      </c>
      <c r="B441">
        <v>7856.8</v>
      </c>
    </row>
    <row r="442" spans="1:2">
      <c r="A442" s="189">
        <v>41859</v>
      </c>
      <c r="B442">
        <v>7765.44</v>
      </c>
    </row>
    <row r="443" spans="1:2">
      <c r="A443" s="189">
        <v>41858</v>
      </c>
      <c r="B443">
        <v>7674.99</v>
      </c>
    </row>
    <row r="444" spans="1:2">
      <c r="A444" s="189">
        <v>41857</v>
      </c>
      <c r="B444">
        <v>7674.08</v>
      </c>
    </row>
    <row r="445" spans="1:2">
      <c r="A445" s="189">
        <v>41856</v>
      </c>
      <c r="B445">
        <v>7560.8</v>
      </c>
    </row>
    <row r="446" spans="1:2">
      <c r="A446" s="189">
        <v>41855</v>
      </c>
      <c r="B446">
        <v>7537.04</v>
      </c>
    </row>
    <row r="447" spans="1:2">
      <c r="A447" s="189">
        <v>41852</v>
      </c>
      <c r="B447">
        <v>7322.35</v>
      </c>
    </row>
    <row r="448" spans="1:2">
      <c r="A448" s="189">
        <v>41851</v>
      </c>
      <c r="B448">
        <v>7584.55</v>
      </c>
    </row>
    <row r="449" spans="1:2">
      <c r="A449" s="189">
        <v>41850</v>
      </c>
      <c r="B449">
        <v>7856.8</v>
      </c>
    </row>
    <row r="450" spans="1:2">
      <c r="A450" s="189">
        <v>41849</v>
      </c>
      <c r="B450">
        <v>7948.15</v>
      </c>
    </row>
    <row r="451" spans="1:2">
      <c r="A451" s="189">
        <v>41848</v>
      </c>
      <c r="B451">
        <v>7765.44</v>
      </c>
    </row>
    <row r="452" spans="1:2">
      <c r="A452" s="189">
        <v>41845</v>
      </c>
      <c r="B452">
        <v>7935.36</v>
      </c>
    </row>
    <row r="453" spans="1:2">
      <c r="A453" s="189">
        <v>41844</v>
      </c>
      <c r="B453">
        <v>7948.15</v>
      </c>
    </row>
    <row r="454" spans="1:2">
      <c r="A454" s="189">
        <v>41843</v>
      </c>
      <c r="B454">
        <v>7948.15</v>
      </c>
    </row>
    <row r="455" spans="1:2">
      <c r="A455" s="189">
        <v>41842</v>
      </c>
      <c r="B455">
        <v>7993.83</v>
      </c>
    </row>
    <row r="456" spans="1:2">
      <c r="A456" s="189">
        <v>41841</v>
      </c>
      <c r="B456">
        <v>7878.72</v>
      </c>
    </row>
    <row r="457" spans="1:2">
      <c r="A457" s="189">
        <v>41838</v>
      </c>
      <c r="B457">
        <v>7902.47</v>
      </c>
    </row>
    <row r="458" spans="1:2">
      <c r="A458" s="189">
        <v>41837</v>
      </c>
      <c r="B458">
        <v>7947.24</v>
      </c>
    </row>
    <row r="459" spans="1:2">
      <c r="A459" s="189">
        <v>41836</v>
      </c>
      <c r="B459">
        <v>7948.15</v>
      </c>
    </row>
    <row r="460" spans="1:2">
      <c r="A460" s="189">
        <v>41835</v>
      </c>
      <c r="B460">
        <v>7948.15</v>
      </c>
    </row>
    <row r="461" spans="1:2">
      <c r="A461" s="189">
        <v>41834</v>
      </c>
      <c r="B461">
        <v>7921.66</v>
      </c>
    </row>
    <row r="462" spans="1:2">
      <c r="A462" s="189">
        <v>41831</v>
      </c>
      <c r="B462">
        <v>8006.62</v>
      </c>
    </row>
    <row r="463" spans="1:2">
      <c r="A463" s="189">
        <v>41830</v>
      </c>
      <c r="B463">
        <v>8039.51</v>
      </c>
    </row>
    <row r="464" spans="1:2">
      <c r="A464" s="189">
        <v>41829</v>
      </c>
      <c r="B464">
        <v>8130.87</v>
      </c>
    </row>
    <row r="465" spans="1:2">
      <c r="A465" s="189">
        <v>41828</v>
      </c>
      <c r="B465">
        <v>7948.15</v>
      </c>
    </row>
    <row r="466" spans="1:2">
      <c r="A466" s="189">
        <v>41827</v>
      </c>
      <c r="B466">
        <v>8039.51</v>
      </c>
    </row>
    <row r="467" spans="1:2">
      <c r="A467" s="189">
        <v>41824</v>
      </c>
      <c r="B467">
        <v>8039.51</v>
      </c>
    </row>
    <row r="468" spans="1:2">
      <c r="A468" s="189">
        <v>41823</v>
      </c>
      <c r="B468">
        <v>7884.2</v>
      </c>
    </row>
    <row r="469" spans="1:2">
      <c r="A469" s="189">
        <v>41822</v>
      </c>
      <c r="B469">
        <v>7856.8</v>
      </c>
    </row>
    <row r="470" spans="1:2">
      <c r="A470" s="189">
        <v>41821</v>
      </c>
      <c r="B470">
        <v>7765.44</v>
      </c>
    </row>
    <row r="471" spans="1:2">
      <c r="A471" s="189">
        <v>41820</v>
      </c>
      <c r="B471">
        <v>7948.15</v>
      </c>
    </row>
    <row r="472" spans="1:2">
      <c r="A472" s="189">
        <v>41817</v>
      </c>
      <c r="B472">
        <v>7879.64</v>
      </c>
    </row>
    <row r="473" spans="1:2">
      <c r="A473" s="189">
        <v>41816</v>
      </c>
      <c r="B473">
        <v>7648.5</v>
      </c>
    </row>
    <row r="474" spans="1:2">
      <c r="A474" s="189">
        <v>41815</v>
      </c>
      <c r="B474">
        <v>7674.08</v>
      </c>
    </row>
    <row r="475" spans="1:2">
      <c r="A475" s="189">
        <v>41814</v>
      </c>
      <c r="B475">
        <v>7657.64</v>
      </c>
    </row>
    <row r="476" spans="1:2">
      <c r="A476" s="189">
        <v>41813</v>
      </c>
      <c r="B476">
        <v>7445.68</v>
      </c>
    </row>
    <row r="477" spans="1:2">
      <c r="A477" s="189">
        <v>41810</v>
      </c>
      <c r="B477">
        <v>7303.17</v>
      </c>
    </row>
    <row r="478" spans="1:2">
      <c r="A478" s="189">
        <v>41809</v>
      </c>
      <c r="B478">
        <v>7213.91</v>
      </c>
    </row>
    <row r="479" spans="1:2">
      <c r="A479" s="189">
        <v>41808</v>
      </c>
      <c r="B479">
        <v>7483.49</v>
      </c>
    </row>
    <row r="480" spans="1:2">
      <c r="A480" s="189">
        <v>41807</v>
      </c>
      <c r="B480">
        <v>7551.11</v>
      </c>
    </row>
    <row r="481" spans="1:2">
      <c r="A481" s="189">
        <v>41803</v>
      </c>
      <c r="B481">
        <v>7618.73</v>
      </c>
    </row>
    <row r="482" spans="1:2">
      <c r="A482" s="189">
        <v>41802</v>
      </c>
      <c r="B482">
        <v>7911.76</v>
      </c>
    </row>
    <row r="483" spans="1:2">
      <c r="A483" s="189">
        <v>41801</v>
      </c>
      <c r="B483">
        <v>7844.14</v>
      </c>
    </row>
    <row r="484" spans="1:2">
      <c r="A484" s="189">
        <v>41800</v>
      </c>
      <c r="B484">
        <v>7844.14</v>
      </c>
    </row>
    <row r="485" spans="1:2">
      <c r="A485" s="189">
        <v>41799</v>
      </c>
      <c r="B485">
        <v>7889.22</v>
      </c>
    </row>
    <row r="486" spans="1:2">
      <c r="A486" s="189">
        <v>41796</v>
      </c>
      <c r="B486">
        <v>7828.81</v>
      </c>
    </row>
    <row r="487" spans="1:2">
      <c r="A487" s="189">
        <v>41795</v>
      </c>
      <c r="B487">
        <v>7844.14</v>
      </c>
    </row>
    <row r="488" spans="1:2">
      <c r="A488" s="189">
        <v>41794</v>
      </c>
      <c r="B488">
        <v>8163.32</v>
      </c>
    </row>
    <row r="489" spans="1:2">
      <c r="A489" s="189">
        <v>41793</v>
      </c>
      <c r="B489">
        <v>7934.3</v>
      </c>
    </row>
    <row r="490" spans="1:2">
      <c r="A490" s="189">
        <v>41792</v>
      </c>
      <c r="B490">
        <v>7934.3</v>
      </c>
    </row>
    <row r="491" spans="1:2">
      <c r="A491" s="189">
        <v>41789</v>
      </c>
      <c r="B491">
        <v>8123.65</v>
      </c>
    </row>
    <row r="492" spans="1:2">
      <c r="A492" s="189">
        <v>41788</v>
      </c>
      <c r="B492">
        <v>7663.82</v>
      </c>
    </row>
    <row r="493" spans="1:2">
      <c r="A493" s="189">
        <v>41787</v>
      </c>
      <c r="B493">
        <v>7642.18</v>
      </c>
    </row>
    <row r="494" spans="1:2">
      <c r="A494" s="189">
        <v>41786</v>
      </c>
      <c r="B494">
        <v>7596.19</v>
      </c>
    </row>
    <row r="495" spans="1:2">
      <c r="A495" s="189">
        <v>41785</v>
      </c>
      <c r="B495">
        <v>7636.77</v>
      </c>
    </row>
    <row r="496" spans="1:2">
      <c r="A496" s="189">
        <v>41782</v>
      </c>
      <c r="B496">
        <v>7663.82</v>
      </c>
    </row>
    <row r="497" spans="1:2">
      <c r="A497" s="189">
        <v>41781</v>
      </c>
      <c r="B497">
        <v>7663.82</v>
      </c>
    </row>
    <row r="498" spans="1:2">
      <c r="A498" s="189">
        <v>41780</v>
      </c>
      <c r="B498">
        <v>7684.55</v>
      </c>
    </row>
    <row r="499" spans="1:2">
      <c r="A499" s="189">
        <v>41779</v>
      </c>
      <c r="B499">
        <v>7490.7</v>
      </c>
    </row>
    <row r="500" spans="1:2">
      <c r="A500" s="189">
        <v>41778</v>
      </c>
      <c r="B500">
        <v>7655.7</v>
      </c>
    </row>
    <row r="501" spans="1:2">
      <c r="A501" s="189">
        <v>41775</v>
      </c>
      <c r="B501">
        <v>7371.69</v>
      </c>
    </row>
    <row r="502" spans="1:2">
      <c r="A502" s="189">
        <v>41774</v>
      </c>
      <c r="B502">
        <v>7636.77</v>
      </c>
    </row>
    <row r="503" spans="1:2">
      <c r="A503" s="189">
        <v>41773</v>
      </c>
      <c r="B503">
        <v>7618.73</v>
      </c>
    </row>
    <row r="504" spans="1:2">
      <c r="A504" s="189">
        <v>41772</v>
      </c>
      <c r="B504">
        <v>7708</v>
      </c>
    </row>
    <row r="505" spans="1:2">
      <c r="A505" s="189">
        <v>41771</v>
      </c>
      <c r="B505">
        <v>7510.54</v>
      </c>
    </row>
    <row r="506" spans="1:2">
      <c r="A506" s="189">
        <v>41768</v>
      </c>
      <c r="B506">
        <v>7723.32</v>
      </c>
    </row>
    <row r="507" spans="1:2">
      <c r="A507" s="189">
        <v>41767</v>
      </c>
      <c r="B507">
        <v>8114.63</v>
      </c>
    </row>
    <row r="508" spans="1:2">
      <c r="A508" s="189">
        <v>41765</v>
      </c>
      <c r="B508">
        <v>8114.63</v>
      </c>
    </row>
    <row r="509" spans="1:2">
      <c r="A509" s="189">
        <v>41764</v>
      </c>
      <c r="B509">
        <v>8069.55</v>
      </c>
    </row>
    <row r="510" spans="1:2">
      <c r="A510" s="189">
        <v>41761</v>
      </c>
      <c r="B510">
        <v>8114.63</v>
      </c>
    </row>
    <row r="511" spans="1:2">
      <c r="A511" s="189">
        <v>41759</v>
      </c>
      <c r="B511">
        <v>8114.63</v>
      </c>
    </row>
    <row r="512" spans="1:2">
      <c r="A512" s="189">
        <v>41758</v>
      </c>
      <c r="B512">
        <v>7979.39</v>
      </c>
    </row>
    <row r="513" spans="1:2">
      <c r="A513" s="189">
        <v>41754</v>
      </c>
      <c r="B513">
        <v>7862.17</v>
      </c>
    </row>
    <row r="514" spans="1:2">
      <c r="A514" s="189">
        <v>41753</v>
      </c>
      <c r="B514">
        <v>7821.6</v>
      </c>
    </row>
    <row r="515" spans="1:2">
      <c r="A515" s="189">
        <v>41752</v>
      </c>
      <c r="B515">
        <v>7767.5</v>
      </c>
    </row>
    <row r="516" spans="1:2">
      <c r="A516" s="189">
        <v>41751</v>
      </c>
      <c r="B516">
        <v>7764.8</v>
      </c>
    </row>
    <row r="517" spans="1:2">
      <c r="A517" s="189">
        <v>41746</v>
      </c>
      <c r="B517">
        <v>7889.22</v>
      </c>
    </row>
    <row r="518" spans="1:2">
      <c r="A518" s="189">
        <v>41745</v>
      </c>
      <c r="B518">
        <v>7889.22</v>
      </c>
    </row>
    <row r="519" spans="1:2">
      <c r="A519" s="189">
        <v>41744</v>
      </c>
      <c r="B519">
        <v>7966.76</v>
      </c>
    </row>
    <row r="520" spans="1:2">
      <c r="A520" s="189">
        <v>41743</v>
      </c>
      <c r="B520">
        <v>7889.22</v>
      </c>
    </row>
    <row r="521" spans="1:2">
      <c r="A521" s="189">
        <v>41740</v>
      </c>
      <c r="B521">
        <v>7966.76</v>
      </c>
    </row>
    <row r="522" spans="1:2">
      <c r="A522" s="189">
        <v>41739</v>
      </c>
      <c r="B522">
        <v>7906.35</v>
      </c>
    </row>
    <row r="523" spans="1:2">
      <c r="A523" s="189">
        <v>41738</v>
      </c>
      <c r="B523">
        <v>7882.01</v>
      </c>
    </row>
    <row r="524" spans="1:2">
      <c r="A524" s="189">
        <v>41737</v>
      </c>
      <c r="B524">
        <v>8087.58</v>
      </c>
    </row>
    <row r="525" spans="1:2">
      <c r="A525" s="189">
        <v>41736</v>
      </c>
      <c r="B525">
        <v>8137.17</v>
      </c>
    </row>
    <row r="526" spans="1:2">
      <c r="A526" s="189">
        <v>41733</v>
      </c>
      <c r="B526">
        <v>8272.41</v>
      </c>
    </row>
    <row r="527" spans="1:2">
      <c r="A527" s="189">
        <v>41732</v>
      </c>
      <c r="B527">
        <v>8193.07</v>
      </c>
    </row>
    <row r="528" spans="1:2">
      <c r="A528" s="189">
        <v>41731</v>
      </c>
      <c r="B528">
        <v>8294.9500000000007</v>
      </c>
    </row>
    <row r="529" spans="1:2">
      <c r="A529" s="189">
        <v>41730</v>
      </c>
      <c r="B529">
        <v>8294.9500000000007</v>
      </c>
    </row>
    <row r="530" spans="1:2">
      <c r="A530" s="189">
        <v>41729</v>
      </c>
      <c r="B530">
        <v>8164.22</v>
      </c>
    </row>
    <row r="531" spans="1:2">
      <c r="A531" s="189">
        <v>41726</v>
      </c>
      <c r="B531">
        <v>7911.76</v>
      </c>
    </row>
    <row r="532" spans="1:2">
      <c r="A532" s="189">
        <v>41725</v>
      </c>
      <c r="B532">
        <v>7753.98</v>
      </c>
    </row>
    <row r="533" spans="1:2">
      <c r="A533" s="189">
        <v>41724</v>
      </c>
      <c r="B533">
        <v>7753.98</v>
      </c>
    </row>
    <row r="534" spans="1:2">
      <c r="A534" s="189">
        <v>41723</v>
      </c>
      <c r="B534">
        <v>7818.9</v>
      </c>
    </row>
    <row r="535" spans="1:2">
      <c r="A535" s="189">
        <v>41722</v>
      </c>
      <c r="B535">
        <v>7934.3</v>
      </c>
    </row>
    <row r="536" spans="1:2">
      <c r="A536" s="189">
        <v>41718</v>
      </c>
      <c r="B536">
        <v>8113.73</v>
      </c>
    </row>
    <row r="537" spans="1:2">
      <c r="A537" s="189">
        <v>41717</v>
      </c>
      <c r="B537">
        <v>7753.98</v>
      </c>
    </row>
    <row r="538" spans="1:2">
      <c r="A538" s="189">
        <v>41716</v>
      </c>
      <c r="B538">
        <v>7438.41</v>
      </c>
    </row>
    <row r="539" spans="1:2">
      <c r="A539" s="189">
        <v>41715</v>
      </c>
      <c r="B539">
        <v>7393.33</v>
      </c>
    </row>
    <row r="540" spans="1:2">
      <c r="A540" s="189">
        <v>41712</v>
      </c>
      <c r="B540">
        <v>7413.16</v>
      </c>
    </row>
    <row r="541" spans="1:2">
      <c r="A541" s="189">
        <v>41711</v>
      </c>
      <c r="B541">
        <v>7386.12</v>
      </c>
    </row>
    <row r="542" spans="1:2">
      <c r="A542" s="189">
        <v>41710</v>
      </c>
      <c r="B542">
        <v>7303.17</v>
      </c>
    </row>
    <row r="543" spans="1:2">
      <c r="A543" s="189">
        <v>41709</v>
      </c>
      <c r="B543">
        <v>7406.85</v>
      </c>
    </row>
    <row r="544" spans="1:2">
      <c r="A544" s="189">
        <v>41708</v>
      </c>
      <c r="B544">
        <v>7212.1</v>
      </c>
    </row>
    <row r="545" spans="1:2">
      <c r="A545" s="189">
        <v>41705</v>
      </c>
      <c r="B545">
        <v>7213</v>
      </c>
    </row>
    <row r="546" spans="1:2">
      <c r="A546" s="189">
        <v>41704</v>
      </c>
      <c r="B546">
        <v>7276.12</v>
      </c>
    </row>
    <row r="547" spans="1:2">
      <c r="A547" s="189">
        <v>41703</v>
      </c>
      <c r="B547">
        <v>7242.76</v>
      </c>
    </row>
    <row r="548" spans="1:2">
      <c r="A548" s="189">
        <v>41702</v>
      </c>
      <c r="B548">
        <v>7285.13</v>
      </c>
    </row>
    <row r="549" spans="1:2">
      <c r="A549" s="189">
        <v>41701</v>
      </c>
      <c r="B549">
        <v>7403.25</v>
      </c>
    </row>
    <row r="550" spans="1:2">
      <c r="A550" s="189">
        <v>41698</v>
      </c>
      <c r="B550">
        <v>7483.49</v>
      </c>
    </row>
    <row r="551" spans="1:2">
      <c r="A551" s="189">
        <v>41697</v>
      </c>
      <c r="B551">
        <v>7462.75</v>
      </c>
    </row>
    <row r="552" spans="1:2">
      <c r="A552" s="189">
        <v>41696</v>
      </c>
      <c r="B552">
        <v>7357.26</v>
      </c>
    </row>
    <row r="553" spans="1:2">
      <c r="A553" s="189">
        <v>41695</v>
      </c>
      <c r="B553">
        <v>7573.65</v>
      </c>
    </row>
    <row r="554" spans="1:2">
      <c r="A554" s="189">
        <v>41694</v>
      </c>
      <c r="B554">
        <v>7546.6</v>
      </c>
    </row>
    <row r="555" spans="1:2">
      <c r="A555" s="189">
        <v>41691</v>
      </c>
      <c r="B555">
        <v>7560.13</v>
      </c>
    </row>
    <row r="556" spans="1:2">
      <c r="A556" s="189">
        <v>41690</v>
      </c>
      <c r="B556">
        <v>7521.36</v>
      </c>
    </row>
    <row r="557" spans="1:2">
      <c r="A557" s="189">
        <v>41689</v>
      </c>
      <c r="B557">
        <v>7582.67</v>
      </c>
    </row>
    <row r="558" spans="1:2">
      <c r="A558" s="189">
        <v>41688</v>
      </c>
      <c r="B558">
        <v>7616.93</v>
      </c>
    </row>
    <row r="559" spans="1:2">
      <c r="A559" s="189">
        <v>41687</v>
      </c>
      <c r="B559">
        <v>7507.83</v>
      </c>
    </row>
    <row r="560" spans="1:2">
      <c r="A560" s="189">
        <v>41684</v>
      </c>
      <c r="B560">
        <v>7492.51</v>
      </c>
    </row>
    <row r="561" spans="1:2">
      <c r="A561" s="189">
        <v>41683</v>
      </c>
      <c r="B561">
        <v>7555.62</v>
      </c>
    </row>
    <row r="562" spans="1:2">
      <c r="A562" s="189">
        <v>41682</v>
      </c>
      <c r="B562">
        <v>7616.93</v>
      </c>
    </row>
    <row r="563" spans="1:2">
      <c r="A563" s="189">
        <v>41681</v>
      </c>
      <c r="B563">
        <v>7606.11</v>
      </c>
    </row>
    <row r="564" spans="1:2">
      <c r="A564" s="189">
        <v>41680</v>
      </c>
      <c r="B564">
        <v>7508.74</v>
      </c>
    </row>
    <row r="565" spans="1:2">
      <c r="A565" s="189">
        <v>41677</v>
      </c>
      <c r="B565">
        <v>7551.11</v>
      </c>
    </row>
    <row r="566" spans="1:2">
      <c r="A566" s="189">
        <v>41676</v>
      </c>
      <c r="B566">
        <v>7483.49</v>
      </c>
    </row>
    <row r="567" spans="1:2">
      <c r="A567" s="189">
        <v>41675</v>
      </c>
      <c r="B567">
        <v>7506.93</v>
      </c>
    </row>
    <row r="568" spans="1:2">
      <c r="A568" s="189">
        <v>41674</v>
      </c>
      <c r="B568">
        <v>7483.49</v>
      </c>
    </row>
    <row r="569" spans="1:2">
      <c r="A569" s="189">
        <v>41673</v>
      </c>
      <c r="B569">
        <v>7618.73</v>
      </c>
    </row>
    <row r="570" spans="1:2">
      <c r="A570" s="189">
        <v>41670</v>
      </c>
      <c r="B570">
        <v>7537.59</v>
      </c>
    </row>
    <row r="571" spans="1:2">
      <c r="A571" s="189">
        <v>41669</v>
      </c>
      <c r="B571">
        <v>7488</v>
      </c>
    </row>
    <row r="572" spans="1:2">
      <c r="A572" s="189">
        <v>41668</v>
      </c>
      <c r="B572">
        <v>7663.82</v>
      </c>
    </row>
    <row r="573" spans="1:2">
      <c r="A573" s="189">
        <v>41667</v>
      </c>
      <c r="B573">
        <v>7630.46</v>
      </c>
    </row>
    <row r="574" spans="1:2">
      <c r="A574" s="189">
        <v>41666</v>
      </c>
      <c r="B574">
        <v>7429.39</v>
      </c>
    </row>
    <row r="575" spans="1:2">
      <c r="A575" s="189">
        <v>41663</v>
      </c>
      <c r="B575">
        <v>7548.23</v>
      </c>
    </row>
    <row r="576" spans="1:2">
      <c r="A576" s="189">
        <v>41662</v>
      </c>
      <c r="B576">
        <v>7596.19</v>
      </c>
    </row>
    <row r="577" spans="1:2">
      <c r="A577" s="189">
        <v>41661</v>
      </c>
      <c r="B577">
        <v>7663.82</v>
      </c>
    </row>
    <row r="578" spans="1:2">
      <c r="A578" s="189">
        <v>41660</v>
      </c>
      <c r="B578">
        <v>7483.49</v>
      </c>
    </row>
    <row r="579" spans="1:2">
      <c r="A579" s="189">
        <v>41659</v>
      </c>
      <c r="B579">
        <v>7454.72</v>
      </c>
    </row>
    <row r="580" spans="1:2">
      <c r="A580" s="189">
        <v>41656</v>
      </c>
      <c r="B580">
        <v>7483.49</v>
      </c>
    </row>
    <row r="581" spans="1:2">
      <c r="A581" s="189">
        <v>41655</v>
      </c>
      <c r="B581">
        <v>7460.05</v>
      </c>
    </row>
    <row r="582" spans="1:2">
      <c r="A582" s="189">
        <v>41654</v>
      </c>
      <c r="B582">
        <v>7528.57</v>
      </c>
    </row>
    <row r="583" spans="1:2">
      <c r="A583" s="189">
        <v>41653</v>
      </c>
      <c r="B583">
        <v>7486.2</v>
      </c>
    </row>
    <row r="584" spans="1:2">
      <c r="A584" s="189">
        <v>41652</v>
      </c>
      <c r="B584">
        <v>7565.54</v>
      </c>
    </row>
    <row r="585" spans="1:2">
      <c r="A585" s="189">
        <v>41649</v>
      </c>
      <c r="B585">
        <v>7341.03</v>
      </c>
    </row>
    <row r="586" spans="1:2">
      <c r="A586" s="189">
        <v>41648</v>
      </c>
      <c r="B586">
        <v>7191.36</v>
      </c>
    </row>
    <row r="587" spans="1:2">
      <c r="A587" s="189">
        <v>41647</v>
      </c>
      <c r="B587">
        <v>7213</v>
      </c>
    </row>
    <row r="588" spans="1:2">
      <c r="A588" s="189">
        <v>41646</v>
      </c>
      <c r="B588">
        <v>7202.18</v>
      </c>
    </row>
    <row r="589" spans="1:2">
      <c r="A589" s="189">
        <v>41645</v>
      </c>
      <c r="B589">
        <v>7181.45</v>
      </c>
    </row>
    <row r="590" spans="1:2">
      <c r="A590" s="189">
        <v>41642</v>
      </c>
      <c r="B590">
        <v>7193.17</v>
      </c>
    </row>
    <row r="591" spans="1:2">
      <c r="A591" s="189">
        <v>41641</v>
      </c>
      <c r="B591">
        <v>7204.57</v>
      </c>
    </row>
    <row r="592" spans="1:2">
      <c r="A592" s="189">
        <v>41639</v>
      </c>
      <c r="B592">
        <v>7193.17</v>
      </c>
    </row>
    <row r="593" spans="1:2">
      <c r="A593" s="189">
        <v>41638</v>
      </c>
      <c r="B593">
        <v>7224.75</v>
      </c>
    </row>
    <row r="594" spans="1:2">
      <c r="A594" s="189">
        <v>41635</v>
      </c>
      <c r="B594">
        <v>7224.75</v>
      </c>
    </row>
    <row r="595" spans="1:2">
      <c r="A595" s="189">
        <v>41632</v>
      </c>
      <c r="B595">
        <v>7162.47</v>
      </c>
    </row>
    <row r="596" spans="1:2">
      <c r="A596" s="189">
        <v>41631</v>
      </c>
      <c r="B596">
        <v>7175.62</v>
      </c>
    </row>
    <row r="597" spans="1:2">
      <c r="A597" s="189">
        <v>41628</v>
      </c>
      <c r="B597">
        <v>7017.73</v>
      </c>
    </row>
    <row r="598" spans="1:2">
      <c r="A598" s="189">
        <v>41627</v>
      </c>
      <c r="B598">
        <v>6913.34</v>
      </c>
    </row>
    <row r="599" spans="1:2">
      <c r="A599" s="189">
        <v>41626</v>
      </c>
      <c r="B599">
        <v>6754.56</v>
      </c>
    </row>
    <row r="600" spans="1:2">
      <c r="A600" s="189">
        <v>41625</v>
      </c>
      <c r="B600">
        <v>6737.02</v>
      </c>
    </row>
    <row r="601" spans="1:2">
      <c r="A601" s="189">
        <v>41621</v>
      </c>
      <c r="B601">
        <v>6842.28</v>
      </c>
    </row>
    <row r="602" spans="1:2">
      <c r="A602" s="189">
        <v>41620</v>
      </c>
      <c r="B602">
        <v>6861.58</v>
      </c>
    </row>
    <row r="603" spans="1:2">
      <c r="A603" s="189">
        <v>41619</v>
      </c>
      <c r="B603">
        <v>7193.17</v>
      </c>
    </row>
    <row r="604" spans="1:2">
      <c r="A604" s="189">
        <v>41618</v>
      </c>
      <c r="B604">
        <v>7080.88</v>
      </c>
    </row>
    <row r="605" spans="1:2">
      <c r="A605" s="189">
        <v>41617</v>
      </c>
      <c r="B605">
        <v>7008.08</v>
      </c>
    </row>
    <row r="606" spans="1:2">
      <c r="A606" s="189">
        <v>41614</v>
      </c>
      <c r="B606">
        <v>6874.74</v>
      </c>
    </row>
    <row r="607" spans="1:2">
      <c r="A607" s="189">
        <v>41613</v>
      </c>
      <c r="B607">
        <v>6965.09</v>
      </c>
    </row>
    <row r="608" spans="1:2">
      <c r="A608" s="189">
        <v>41612</v>
      </c>
      <c r="B608">
        <v>7022.11</v>
      </c>
    </row>
    <row r="609" spans="1:2">
      <c r="A609" s="189">
        <v>41611</v>
      </c>
      <c r="B609">
        <v>7279.14</v>
      </c>
    </row>
    <row r="610" spans="1:2">
      <c r="A610" s="189">
        <v>41610</v>
      </c>
      <c r="B610">
        <v>7506.33</v>
      </c>
    </row>
    <row r="611" spans="1:2">
      <c r="A611" s="189">
        <v>41607</v>
      </c>
      <c r="B611">
        <v>7632.65</v>
      </c>
    </row>
    <row r="612" spans="1:2">
      <c r="A612" s="189">
        <v>41606</v>
      </c>
      <c r="B612">
        <v>7675.64</v>
      </c>
    </row>
    <row r="613" spans="1:2">
      <c r="A613" s="189">
        <v>41605</v>
      </c>
      <c r="B613">
        <v>7719.5</v>
      </c>
    </row>
    <row r="614" spans="1:2">
      <c r="A614" s="189">
        <v>41604</v>
      </c>
      <c r="B614">
        <v>7715.11</v>
      </c>
    </row>
    <row r="615" spans="1:2">
      <c r="A615" s="189">
        <v>41603</v>
      </c>
      <c r="B615">
        <v>7719.5</v>
      </c>
    </row>
    <row r="616" spans="1:2">
      <c r="A616" s="189">
        <v>41600</v>
      </c>
      <c r="B616">
        <v>7719.5</v>
      </c>
    </row>
    <row r="617" spans="1:2">
      <c r="A617" s="189">
        <v>41599</v>
      </c>
      <c r="B617">
        <v>7763.36</v>
      </c>
    </row>
    <row r="618" spans="1:2">
      <c r="A618" s="189">
        <v>41598</v>
      </c>
      <c r="B618">
        <v>7719.5</v>
      </c>
    </row>
    <row r="619" spans="1:2">
      <c r="A619" s="189">
        <v>41597</v>
      </c>
      <c r="B619">
        <v>7632.65</v>
      </c>
    </row>
    <row r="620" spans="1:2">
      <c r="A620" s="189">
        <v>41596</v>
      </c>
      <c r="B620">
        <v>7631.78</v>
      </c>
    </row>
    <row r="621" spans="1:2">
      <c r="A621" s="189">
        <v>41593</v>
      </c>
      <c r="B621">
        <v>7517.74</v>
      </c>
    </row>
    <row r="622" spans="1:2">
      <c r="A622" s="189">
        <v>41592</v>
      </c>
      <c r="B622">
        <v>7368.61</v>
      </c>
    </row>
    <row r="623" spans="1:2">
      <c r="A623" s="189">
        <v>41591</v>
      </c>
      <c r="B623">
        <v>7324.75</v>
      </c>
    </row>
    <row r="624" spans="1:2">
      <c r="A624" s="189">
        <v>41590</v>
      </c>
      <c r="B624">
        <v>7412.47</v>
      </c>
    </row>
    <row r="625" spans="1:2">
      <c r="A625" s="189">
        <v>41589</v>
      </c>
      <c r="B625">
        <v>7425.63</v>
      </c>
    </row>
    <row r="626" spans="1:2">
      <c r="A626" s="189">
        <v>41586</v>
      </c>
      <c r="B626">
        <v>7280.89</v>
      </c>
    </row>
    <row r="627" spans="1:2">
      <c r="A627" s="189">
        <v>41585</v>
      </c>
      <c r="B627">
        <v>7587.92</v>
      </c>
    </row>
    <row r="628" spans="1:2">
      <c r="A628" s="189">
        <v>41584</v>
      </c>
      <c r="B628">
        <v>7451.95</v>
      </c>
    </row>
    <row r="629" spans="1:2">
      <c r="A629" s="189">
        <v>41583</v>
      </c>
      <c r="B629">
        <v>7427.38</v>
      </c>
    </row>
    <row r="630" spans="1:2">
      <c r="A630" s="189">
        <v>41582</v>
      </c>
      <c r="B630">
        <v>7368.61</v>
      </c>
    </row>
    <row r="631" spans="1:2">
      <c r="A631" s="189">
        <v>41579</v>
      </c>
      <c r="B631">
        <v>7518.62</v>
      </c>
    </row>
    <row r="632" spans="1:2">
      <c r="A632" s="189">
        <v>41578</v>
      </c>
      <c r="B632">
        <v>7368.61</v>
      </c>
    </row>
    <row r="633" spans="1:2">
      <c r="A633" s="189">
        <v>41577</v>
      </c>
      <c r="B633">
        <v>7570.37</v>
      </c>
    </row>
    <row r="634" spans="1:2">
      <c r="A634" s="189">
        <v>41576</v>
      </c>
      <c r="B634">
        <v>7587.92</v>
      </c>
    </row>
    <row r="635" spans="1:2">
      <c r="A635" s="189">
        <v>41575</v>
      </c>
      <c r="B635">
        <v>7587.92</v>
      </c>
    </row>
    <row r="636" spans="1:2">
      <c r="A636" s="189">
        <v>41572</v>
      </c>
      <c r="B636">
        <v>7522.12</v>
      </c>
    </row>
    <row r="637" spans="1:2">
      <c r="A637" s="189">
        <v>41571</v>
      </c>
      <c r="B637">
        <v>7592.3</v>
      </c>
    </row>
    <row r="638" spans="1:2">
      <c r="A638" s="189">
        <v>41570</v>
      </c>
      <c r="B638">
        <v>7544.05</v>
      </c>
    </row>
    <row r="639" spans="1:2">
      <c r="A639" s="189">
        <v>41569</v>
      </c>
      <c r="B639">
        <v>7544.05</v>
      </c>
    </row>
    <row r="640" spans="1:2">
      <c r="A640" s="189">
        <v>41568</v>
      </c>
      <c r="B640">
        <v>7605.46</v>
      </c>
    </row>
    <row r="641" spans="1:2">
      <c r="A641" s="189">
        <v>41565</v>
      </c>
      <c r="B641">
        <v>7571.25</v>
      </c>
    </row>
    <row r="642" spans="1:2">
      <c r="A642" s="189">
        <v>41564</v>
      </c>
      <c r="B642">
        <v>7483.53</v>
      </c>
    </row>
    <row r="643" spans="1:2">
      <c r="A643" s="189">
        <v>41563</v>
      </c>
      <c r="B643">
        <v>7631.78</v>
      </c>
    </row>
    <row r="644" spans="1:2">
      <c r="A644" s="189">
        <v>41562</v>
      </c>
      <c r="B644">
        <v>7631.78</v>
      </c>
    </row>
    <row r="645" spans="1:2">
      <c r="A645" s="189">
        <v>41561</v>
      </c>
      <c r="B645">
        <v>7631.78</v>
      </c>
    </row>
    <row r="646" spans="1:2">
      <c r="A646" s="189">
        <v>41558</v>
      </c>
      <c r="B646">
        <v>7456.33</v>
      </c>
    </row>
    <row r="647" spans="1:2">
      <c r="A647" s="189">
        <v>41557</v>
      </c>
      <c r="B647">
        <v>7537.91</v>
      </c>
    </row>
    <row r="648" spans="1:2">
      <c r="A648" s="189">
        <v>41556</v>
      </c>
      <c r="B648">
        <v>7547.86</v>
      </c>
    </row>
    <row r="649" spans="1:2">
      <c r="A649" s="189">
        <v>41555</v>
      </c>
      <c r="B649">
        <v>7737.04</v>
      </c>
    </row>
    <row r="650" spans="1:2">
      <c r="A650" s="189">
        <v>41554</v>
      </c>
      <c r="B650">
        <v>7763.36</v>
      </c>
    </row>
    <row r="651" spans="1:2">
      <c r="A651" s="189">
        <v>41551</v>
      </c>
      <c r="B651">
        <v>7608.97</v>
      </c>
    </row>
    <row r="652" spans="1:2">
      <c r="A652" s="189">
        <v>41550</v>
      </c>
      <c r="B652">
        <v>7526.51</v>
      </c>
    </row>
    <row r="653" spans="1:2">
      <c r="A653" s="189">
        <v>41549</v>
      </c>
      <c r="B653">
        <v>7500.19</v>
      </c>
    </row>
    <row r="654" spans="1:2">
      <c r="A654" s="189">
        <v>41548</v>
      </c>
      <c r="B654">
        <v>7434.4</v>
      </c>
    </row>
    <row r="655" spans="1:2">
      <c r="A655" s="189">
        <v>41547</v>
      </c>
      <c r="B655">
        <v>7389.66</v>
      </c>
    </row>
    <row r="656" spans="1:2">
      <c r="A656" s="189">
        <v>41544</v>
      </c>
      <c r="B656">
        <v>7386.16</v>
      </c>
    </row>
    <row r="657" spans="1:2">
      <c r="A657" s="189">
        <v>41543</v>
      </c>
      <c r="B657">
        <v>7346.68</v>
      </c>
    </row>
    <row r="658" spans="1:2">
      <c r="A658" s="189">
        <v>41542</v>
      </c>
      <c r="B658">
        <v>7324.75</v>
      </c>
    </row>
    <row r="659" spans="1:2">
      <c r="A659" s="189">
        <v>41540</v>
      </c>
      <c r="B659">
        <v>7106.32</v>
      </c>
    </row>
    <row r="660" spans="1:2">
      <c r="A660" s="189">
        <v>41537</v>
      </c>
      <c r="B660">
        <v>6930</v>
      </c>
    </row>
    <row r="661" spans="1:2">
      <c r="A661" s="189">
        <v>41536</v>
      </c>
      <c r="B661">
        <v>7105.45</v>
      </c>
    </row>
    <row r="662" spans="1:2">
      <c r="A662" s="189">
        <v>41535</v>
      </c>
      <c r="B662">
        <v>7193.17</v>
      </c>
    </row>
    <row r="663" spans="1:2">
      <c r="A663" s="189">
        <v>41534</v>
      </c>
      <c r="B663">
        <v>7306.33</v>
      </c>
    </row>
    <row r="664" spans="1:2">
      <c r="A664" s="189">
        <v>41533</v>
      </c>
      <c r="B664">
        <v>7386.16</v>
      </c>
    </row>
    <row r="665" spans="1:2">
      <c r="A665" s="189">
        <v>41530</v>
      </c>
      <c r="B665">
        <v>7560.72</v>
      </c>
    </row>
    <row r="666" spans="1:2">
      <c r="A666" s="189">
        <v>41529</v>
      </c>
      <c r="B666">
        <v>7622.13</v>
      </c>
    </row>
    <row r="667" spans="1:2">
      <c r="A667" s="189">
        <v>41528</v>
      </c>
      <c r="B667">
        <v>7684.41</v>
      </c>
    </row>
    <row r="668" spans="1:2">
      <c r="A668" s="189">
        <v>41527</v>
      </c>
      <c r="B668">
        <v>7796.69</v>
      </c>
    </row>
    <row r="669" spans="1:2">
      <c r="A669" s="189">
        <v>41526</v>
      </c>
      <c r="B669">
        <v>7761.6</v>
      </c>
    </row>
    <row r="670" spans="1:2">
      <c r="A670" s="189">
        <v>41523</v>
      </c>
      <c r="B670">
        <v>7684.41</v>
      </c>
    </row>
    <row r="671" spans="1:2">
      <c r="A671" s="189">
        <v>41522</v>
      </c>
      <c r="B671">
        <v>7544.93</v>
      </c>
    </row>
    <row r="672" spans="1:2">
      <c r="A672" s="189">
        <v>41521</v>
      </c>
      <c r="B672">
        <v>7689.67</v>
      </c>
    </row>
    <row r="673" spans="1:2">
      <c r="A673" s="189">
        <v>41520</v>
      </c>
      <c r="B673">
        <v>7719.5</v>
      </c>
    </row>
    <row r="674" spans="1:2">
      <c r="A674" s="189">
        <v>41519</v>
      </c>
      <c r="B674">
        <v>7684.41</v>
      </c>
    </row>
    <row r="675" spans="1:2">
      <c r="A675" s="189">
        <v>41516</v>
      </c>
      <c r="B675">
        <v>7719.5</v>
      </c>
    </row>
    <row r="676" spans="1:2">
      <c r="A676" s="189">
        <v>41515</v>
      </c>
      <c r="B676">
        <v>7696.69</v>
      </c>
    </row>
    <row r="677" spans="1:2">
      <c r="A677" s="189">
        <v>41514</v>
      </c>
      <c r="B677">
        <v>7701.95</v>
      </c>
    </row>
    <row r="678" spans="1:2">
      <c r="A678" s="189">
        <v>41513</v>
      </c>
      <c r="B678">
        <v>7786.17</v>
      </c>
    </row>
    <row r="679" spans="1:2">
      <c r="A679" s="189">
        <v>41512</v>
      </c>
      <c r="B679">
        <v>7800.2</v>
      </c>
    </row>
    <row r="680" spans="1:2">
      <c r="A680" s="189">
        <v>41509</v>
      </c>
      <c r="B680">
        <v>7817.75</v>
      </c>
    </row>
    <row r="681" spans="1:2">
      <c r="A681" s="189">
        <v>41508</v>
      </c>
      <c r="B681">
        <v>7763.36</v>
      </c>
    </row>
    <row r="682" spans="1:2">
      <c r="A682" s="189">
        <v>41507</v>
      </c>
      <c r="B682">
        <v>7672.13</v>
      </c>
    </row>
    <row r="683" spans="1:2">
      <c r="A683" s="189">
        <v>41506</v>
      </c>
      <c r="B683">
        <v>7552.83</v>
      </c>
    </row>
    <row r="684" spans="1:2">
      <c r="A684" s="189">
        <v>41505</v>
      </c>
      <c r="B684">
        <v>7720.37</v>
      </c>
    </row>
    <row r="685" spans="1:2">
      <c r="A685" s="189">
        <v>41502</v>
      </c>
      <c r="B685">
        <v>7694.94</v>
      </c>
    </row>
    <row r="686" spans="1:2">
      <c r="A686" s="189">
        <v>41501</v>
      </c>
      <c r="B686">
        <v>7806.34</v>
      </c>
    </row>
    <row r="687" spans="1:2">
      <c r="A687" s="189">
        <v>41500</v>
      </c>
      <c r="B687">
        <v>7824.76</v>
      </c>
    </row>
    <row r="688" spans="1:2">
      <c r="A688" s="189">
        <v>41499</v>
      </c>
      <c r="B688">
        <v>7890.55</v>
      </c>
    </row>
    <row r="689" spans="1:2">
      <c r="A689" s="189">
        <v>41498</v>
      </c>
      <c r="B689">
        <v>7894.94</v>
      </c>
    </row>
    <row r="690" spans="1:2">
      <c r="A690" s="189">
        <v>41494</v>
      </c>
      <c r="B690">
        <v>8114.24</v>
      </c>
    </row>
    <row r="691" spans="1:2">
      <c r="A691" s="189">
        <v>41493</v>
      </c>
      <c r="B691">
        <v>8216.8799999999992</v>
      </c>
    </row>
    <row r="692" spans="1:2">
      <c r="A692" s="189">
        <v>41492</v>
      </c>
      <c r="B692">
        <v>8044.07</v>
      </c>
    </row>
    <row r="693" spans="1:2">
      <c r="A693" s="189">
        <v>41491</v>
      </c>
      <c r="B693">
        <v>8443.2000000000007</v>
      </c>
    </row>
    <row r="694" spans="1:2">
      <c r="A694" s="189">
        <v>41488</v>
      </c>
      <c r="B694">
        <v>8508.99</v>
      </c>
    </row>
    <row r="695" spans="1:2">
      <c r="A695" s="189">
        <v>41487</v>
      </c>
      <c r="B695">
        <v>8421.27</v>
      </c>
    </row>
    <row r="696" spans="1:2">
      <c r="A696" s="189">
        <v>41486</v>
      </c>
      <c r="B696">
        <v>8482.68</v>
      </c>
    </row>
    <row r="697" spans="1:2">
      <c r="A697" s="189">
        <v>41485</v>
      </c>
      <c r="B697">
        <v>8201.9699999999993</v>
      </c>
    </row>
    <row r="698" spans="1:2">
      <c r="A698" s="189">
        <v>41484</v>
      </c>
      <c r="B698">
        <v>8144.95</v>
      </c>
    </row>
    <row r="699" spans="1:2">
      <c r="A699" s="189">
        <v>41481</v>
      </c>
      <c r="B699">
        <v>8140.56</v>
      </c>
    </row>
    <row r="700" spans="1:2">
      <c r="A700" s="189">
        <v>41480</v>
      </c>
      <c r="B700">
        <v>8194.07</v>
      </c>
    </row>
    <row r="701" spans="1:2">
      <c r="A701" s="189">
        <v>41479</v>
      </c>
      <c r="B701">
        <v>8123.02</v>
      </c>
    </row>
    <row r="702" spans="1:2">
      <c r="A702" s="189">
        <v>41478</v>
      </c>
      <c r="B702">
        <v>8114.24</v>
      </c>
    </row>
    <row r="703" spans="1:2">
      <c r="A703" s="189">
        <v>41477</v>
      </c>
      <c r="B703">
        <v>8099.33</v>
      </c>
    </row>
    <row r="704" spans="1:2">
      <c r="A704" s="189">
        <v>41474</v>
      </c>
      <c r="B704">
        <v>8091.44</v>
      </c>
    </row>
    <row r="705" spans="1:2">
      <c r="A705" s="189">
        <v>41473</v>
      </c>
      <c r="B705">
        <v>8026.52</v>
      </c>
    </row>
    <row r="706" spans="1:2">
      <c r="A706" s="189">
        <v>41472</v>
      </c>
      <c r="B706">
        <v>8008.98</v>
      </c>
    </row>
    <row r="707" spans="1:2">
      <c r="A707" s="189">
        <v>41471</v>
      </c>
      <c r="B707">
        <v>7982.66</v>
      </c>
    </row>
    <row r="708" spans="1:2">
      <c r="A708" s="189">
        <v>41470</v>
      </c>
      <c r="B708">
        <v>8070.38</v>
      </c>
    </row>
    <row r="709" spans="1:2">
      <c r="A709" s="189">
        <v>41467</v>
      </c>
      <c r="B709">
        <v>8070.38</v>
      </c>
    </row>
    <row r="710" spans="1:2">
      <c r="A710" s="189">
        <v>41466</v>
      </c>
      <c r="B710">
        <v>8038.8</v>
      </c>
    </row>
    <row r="711" spans="1:2">
      <c r="A711" s="189">
        <v>41465</v>
      </c>
      <c r="B711">
        <v>8038.8</v>
      </c>
    </row>
    <row r="712" spans="1:2">
      <c r="A712" s="189">
        <v>41464</v>
      </c>
      <c r="B712">
        <v>8100.21</v>
      </c>
    </row>
    <row r="713" spans="1:2">
      <c r="A713" s="189">
        <v>41463</v>
      </c>
      <c r="B713">
        <v>8092.31</v>
      </c>
    </row>
    <row r="714" spans="1:2">
      <c r="A714" s="189">
        <v>41460</v>
      </c>
      <c r="B714">
        <v>8061.61</v>
      </c>
    </row>
    <row r="715" spans="1:2">
      <c r="A715" s="189">
        <v>41459</v>
      </c>
      <c r="B715">
        <v>7981.79</v>
      </c>
    </row>
    <row r="716" spans="1:2">
      <c r="A716" s="189">
        <v>41458</v>
      </c>
      <c r="B716">
        <v>7952.84</v>
      </c>
    </row>
    <row r="717" spans="1:2">
      <c r="A717" s="189">
        <v>41457</v>
      </c>
      <c r="B717">
        <v>8070.38</v>
      </c>
    </row>
    <row r="718" spans="1:2">
      <c r="A718" s="189">
        <v>41456</v>
      </c>
      <c r="B718">
        <v>7890.55</v>
      </c>
    </row>
    <row r="719" spans="1:2">
      <c r="A719" s="189">
        <v>41453</v>
      </c>
      <c r="B719">
        <v>7386.16</v>
      </c>
    </row>
    <row r="720" spans="1:2">
      <c r="A720" s="189">
        <v>41452</v>
      </c>
      <c r="B720">
        <v>7194.05</v>
      </c>
    </row>
    <row r="721" spans="1:2">
      <c r="A721" s="189">
        <v>41451</v>
      </c>
      <c r="B721">
        <v>7017.73</v>
      </c>
    </row>
    <row r="722" spans="1:2">
      <c r="A722" s="189">
        <v>41450</v>
      </c>
      <c r="B722">
        <v>6973.86</v>
      </c>
    </row>
    <row r="723" spans="1:2">
      <c r="A723" s="189">
        <v>41449</v>
      </c>
      <c r="B723">
        <v>6979.13</v>
      </c>
    </row>
    <row r="724" spans="1:2">
      <c r="A724" s="189">
        <v>41446</v>
      </c>
      <c r="B724">
        <v>7259.84</v>
      </c>
    </row>
    <row r="725" spans="1:2">
      <c r="A725" s="189">
        <v>41445</v>
      </c>
      <c r="B725">
        <v>7453.12</v>
      </c>
    </row>
    <row r="726" spans="1:2">
      <c r="A726" s="189">
        <v>41444</v>
      </c>
      <c r="B726">
        <v>7280.64</v>
      </c>
    </row>
    <row r="727" spans="1:2">
      <c r="A727" s="189">
        <v>41443</v>
      </c>
      <c r="B727">
        <v>7349.98</v>
      </c>
    </row>
    <row r="728" spans="1:2">
      <c r="A728" s="189">
        <v>41439</v>
      </c>
      <c r="B728">
        <v>7453.12</v>
      </c>
    </row>
    <row r="729" spans="1:2">
      <c r="A729" s="189">
        <v>41438</v>
      </c>
      <c r="B729">
        <v>7627.34</v>
      </c>
    </row>
    <row r="730" spans="1:2">
      <c r="A730" s="189">
        <v>41437</v>
      </c>
      <c r="B730">
        <v>7760.81</v>
      </c>
    </row>
    <row r="731" spans="1:2">
      <c r="A731" s="189">
        <v>41436</v>
      </c>
      <c r="B731">
        <v>7792.02</v>
      </c>
    </row>
    <row r="732" spans="1:2">
      <c r="A732" s="189">
        <v>41435</v>
      </c>
      <c r="B732">
        <v>7974.03</v>
      </c>
    </row>
    <row r="733" spans="1:2">
      <c r="A733" s="189">
        <v>41432</v>
      </c>
      <c r="B733">
        <v>7864.82</v>
      </c>
    </row>
    <row r="734" spans="1:2">
      <c r="A734" s="189">
        <v>41431</v>
      </c>
      <c r="B734">
        <v>7913.36</v>
      </c>
    </row>
    <row r="735" spans="1:2">
      <c r="A735" s="189">
        <v>41430</v>
      </c>
      <c r="B735">
        <v>7887.36</v>
      </c>
    </row>
    <row r="736" spans="1:2">
      <c r="A736" s="189">
        <v>41429</v>
      </c>
      <c r="B736">
        <v>7714.01</v>
      </c>
    </row>
    <row r="737" spans="1:2">
      <c r="A737" s="189">
        <v>41428</v>
      </c>
      <c r="B737">
        <v>7453.99</v>
      </c>
    </row>
    <row r="738" spans="1:2">
      <c r="A738" s="189">
        <v>41425</v>
      </c>
      <c r="B738">
        <v>7453.99</v>
      </c>
    </row>
    <row r="739" spans="1:2">
      <c r="A739" s="189">
        <v>41424</v>
      </c>
      <c r="B739">
        <v>7453.99</v>
      </c>
    </row>
    <row r="740" spans="1:2">
      <c r="A740" s="189">
        <v>41423</v>
      </c>
      <c r="B740">
        <v>7471.32</v>
      </c>
    </row>
    <row r="741" spans="1:2">
      <c r="A741" s="189">
        <v>41422</v>
      </c>
      <c r="B741">
        <v>7453.12</v>
      </c>
    </row>
    <row r="742" spans="1:2">
      <c r="A742" s="189">
        <v>41421</v>
      </c>
      <c r="B742">
        <v>7445.32</v>
      </c>
    </row>
    <row r="743" spans="1:2">
      <c r="A743" s="189">
        <v>41418</v>
      </c>
      <c r="B743">
        <v>7471.32</v>
      </c>
    </row>
    <row r="744" spans="1:2">
      <c r="A744" s="189">
        <v>41417</v>
      </c>
      <c r="B744">
        <v>7453.99</v>
      </c>
    </row>
    <row r="745" spans="1:2">
      <c r="A745" s="189">
        <v>41416</v>
      </c>
      <c r="B745">
        <v>7453.99</v>
      </c>
    </row>
    <row r="746" spans="1:2">
      <c r="A746" s="189">
        <v>41415</v>
      </c>
      <c r="B746">
        <v>7254.64</v>
      </c>
    </row>
    <row r="747" spans="1:2">
      <c r="A747" s="189">
        <v>41414</v>
      </c>
      <c r="B747">
        <v>7258.97</v>
      </c>
    </row>
    <row r="748" spans="1:2">
      <c r="A748" s="189">
        <v>41411</v>
      </c>
      <c r="B748">
        <v>7193.96</v>
      </c>
    </row>
    <row r="749" spans="1:2">
      <c r="A749" s="189">
        <v>41410</v>
      </c>
      <c r="B749">
        <v>7193.96</v>
      </c>
    </row>
    <row r="750" spans="1:2">
      <c r="A750" s="189">
        <v>41409</v>
      </c>
      <c r="B750">
        <v>7150.63</v>
      </c>
    </row>
    <row r="751" spans="1:2">
      <c r="A751" s="189">
        <v>41408</v>
      </c>
      <c r="B751">
        <v>7150.63</v>
      </c>
    </row>
    <row r="752" spans="1:2">
      <c r="A752" s="189">
        <v>41407</v>
      </c>
      <c r="B752">
        <v>7160.16</v>
      </c>
    </row>
    <row r="753" spans="1:2">
      <c r="A753" s="189">
        <v>41404</v>
      </c>
      <c r="B753">
        <v>7149.76</v>
      </c>
    </row>
    <row r="754" spans="1:2">
      <c r="A754" s="189">
        <v>41403</v>
      </c>
      <c r="B754">
        <v>7128.96</v>
      </c>
    </row>
    <row r="755" spans="1:2">
      <c r="A755" s="189">
        <v>41402</v>
      </c>
      <c r="B755">
        <v>7107.29</v>
      </c>
    </row>
    <row r="756" spans="1:2">
      <c r="A756" s="189">
        <v>41401</v>
      </c>
      <c r="B756">
        <v>7020.62</v>
      </c>
    </row>
    <row r="757" spans="1:2">
      <c r="A757" s="189">
        <v>41400</v>
      </c>
      <c r="B757">
        <v>7020.62</v>
      </c>
    </row>
    <row r="758" spans="1:2">
      <c r="A758" s="189">
        <v>41397</v>
      </c>
      <c r="B758">
        <v>7107.29</v>
      </c>
    </row>
    <row r="759" spans="1:2">
      <c r="A759" s="189">
        <v>41396</v>
      </c>
      <c r="B759">
        <v>7020.62</v>
      </c>
    </row>
    <row r="760" spans="1:2">
      <c r="A760" s="189">
        <v>41394</v>
      </c>
      <c r="B760">
        <v>6947.81</v>
      </c>
    </row>
    <row r="761" spans="1:2">
      <c r="A761" s="189">
        <v>41393</v>
      </c>
      <c r="B761">
        <v>6951.28</v>
      </c>
    </row>
    <row r="762" spans="1:2">
      <c r="A762" s="189">
        <v>41390</v>
      </c>
      <c r="B762">
        <v>7005.88</v>
      </c>
    </row>
    <row r="763" spans="1:2">
      <c r="A763" s="189">
        <v>41389</v>
      </c>
      <c r="B763">
        <v>6959.94</v>
      </c>
    </row>
    <row r="764" spans="1:2">
      <c r="A764" s="189">
        <v>41388</v>
      </c>
      <c r="B764">
        <v>7020.62</v>
      </c>
    </row>
    <row r="765" spans="1:2">
      <c r="A765" s="189">
        <v>41387</v>
      </c>
      <c r="B765">
        <v>6990.28</v>
      </c>
    </row>
    <row r="766" spans="1:2">
      <c r="A766" s="189">
        <v>41386</v>
      </c>
      <c r="B766">
        <v>6965.14</v>
      </c>
    </row>
    <row r="767" spans="1:2">
      <c r="A767" s="189">
        <v>41383</v>
      </c>
      <c r="B767">
        <v>6933.94</v>
      </c>
    </row>
    <row r="768" spans="1:2">
      <c r="A768" s="189">
        <v>41382</v>
      </c>
      <c r="B768">
        <v>6891.47</v>
      </c>
    </row>
    <row r="769" spans="1:2">
      <c r="A769" s="189">
        <v>41381</v>
      </c>
      <c r="B769">
        <v>6933.94</v>
      </c>
    </row>
    <row r="770" spans="1:2">
      <c r="A770" s="189">
        <v>41380</v>
      </c>
      <c r="B770">
        <v>6899.27</v>
      </c>
    </row>
    <row r="771" spans="1:2">
      <c r="A771" s="189">
        <v>41379</v>
      </c>
      <c r="B771">
        <v>6933.94</v>
      </c>
    </row>
    <row r="772" spans="1:2">
      <c r="A772" s="189">
        <v>41376</v>
      </c>
      <c r="B772">
        <v>6864.6</v>
      </c>
    </row>
    <row r="773" spans="1:2">
      <c r="A773" s="189">
        <v>41375</v>
      </c>
      <c r="B773">
        <v>6717.26</v>
      </c>
    </row>
    <row r="774" spans="1:2">
      <c r="A774" s="189">
        <v>41374</v>
      </c>
      <c r="B774">
        <v>6717.26</v>
      </c>
    </row>
    <row r="775" spans="1:2">
      <c r="A775" s="189">
        <v>41373</v>
      </c>
      <c r="B775">
        <v>6738.92</v>
      </c>
    </row>
    <row r="776" spans="1:2">
      <c r="A776" s="189">
        <v>41372</v>
      </c>
      <c r="B776">
        <v>6770.13</v>
      </c>
    </row>
    <row r="777" spans="1:2">
      <c r="A777" s="189">
        <v>41369</v>
      </c>
      <c r="B777">
        <v>6803.93</v>
      </c>
    </row>
    <row r="778" spans="1:2">
      <c r="A778" s="189">
        <v>41368</v>
      </c>
      <c r="B778">
        <v>6847.27</v>
      </c>
    </row>
    <row r="779" spans="1:2">
      <c r="A779" s="189">
        <v>41367</v>
      </c>
      <c r="B779">
        <v>6808.26</v>
      </c>
    </row>
    <row r="780" spans="1:2">
      <c r="A780" s="189">
        <v>41366</v>
      </c>
      <c r="B780">
        <v>6757.99</v>
      </c>
    </row>
    <row r="781" spans="1:2">
      <c r="A781" s="189">
        <v>41361</v>
      </c>
      <c r="B781">
        <v>6757.13</v>
      </c>
    </row>
    <row r="782" spans="1:2">
      <c r="A782" s="189">
        <v>41360</v>
      </c>
      <c r="B782">
        <v>6782.26</v>
      </c>
    </row>
    <row r="783" spans="1:2">
      <c r="A783" s="189">
        <v>41359</v>
      </c>
      <c r="B783">
        <v>6977.28</v>
      </c>
    </row>
    <row r="784" spans="1:2">
      <c r="A784" s="189">
        <v>41358</v>
      </c>
      <c r="B784">
        <v>6920.07</v>
      </c>
    </row>
    <row r="785" spans="1:2">
      <c r="A785" s="189">
        <v>41355</v>
      </c>
      <c r="B785">
        <v>6977.28</v>
      </c>
    </row>
    <row r="786" spans="1:2">
      <c r="A786" s="189">
        <v>41353</v>
      </c>
      <c r="B786">
        <v>7020.62</v>
      </c>
    </row>
    <row r="787" spans="1:2">
      <c r="A787" s="189">
        <v>41352</v>
      </c>
      <c r="B787">
        <v>7020.62</v>
      </c>
    </row>
    <row r="788" spans="1:2">
      <c r="A788" s="189">
        <v>41351</v>
      </c>
      <c r="B788">
        <v>7020.62</v>
      </c>
    </row>
    <row r="789" spans="1:2">
      <c r="A789" s="189">
        <v>41348</v>
      </c>
      <c r="B789">
        <v>7107.29</v>
      </c>
    </row>
    <row r="790" spans="1:2">
      <c r="A790" s="189">
        <v>41347</v>
      </c>
      <c r="B790">
        <v>7107.29</v>
      </c>
    </row>
    <row r="791" spans="1:2">
      <c r="A791" s="189">
        <v>41346</v>
      </c>
      <c r="B791">
        <v>6673.92</v>
      </c>
    </row>
    <row r="792" spans="1:2">
      <c r="A792" s="189">
        <v>41345</v>
      </c>
      <c r="B792">
        <v>6673.92</v>
      </c>
    </row>
    <row r="793" spans="1:2">
      <c r="A793" s="189">
        <v>41344</v>
      </c>
      <c r="B793">
        <v>6500.57</v>
      </c>
    </row>
    <row r="794" spans="1:2">
      <c r="A794" s="189">
        <v>41341</v>
      </c>
      <c r="B794">
        <v>6457.23</v>
      </c>
    </row>
    <row r="795" spans="1:2">
      <c r="A795" s="189">
        <v>41340</v>
      </c>
      <c r="B795">
        <v>6500.57</v>
      </c>
    </row>
    <row r="796" spans="1:2">
      <c r="A796" s="189">
        <v>41339</v>
      </c>
      <c r="B796">
        <v>6586.38</v>
      </c>
    </row>
    <row r="797" spans="1:2">
      <c r="A797" s="189">
        <v>41338</v>
      </c>
      <c r="B797">
        <v>6409.56</v>
      </c>
    </row>
    <row r="798" spans="1:2">
      <c r="A798" s="189">
        <v>41337</v>
      </c>
      <c r="B798">
        <v>6097.53</v>
      </c>
    </row>
    <row r="799" spans="1:2">
      <c r="A799" s="189">
        <v>41334</v>
      </c>
      <c r="B799">
        <v>5945.85</v>
      </c>
    </row>
    <row r="800" spans="1:2">
      <c r="A800" s="189">
        <v>41333</v>
      </c>
      <c r="B800">
        <v>5980.52</v>
      </c>
    </row>
    <row r="801" spans="1:2">
      <c r="A801" s="189">
        <v>41332</v>
      </c>
      <c r="B801">
        <v>5978.79</v>
      </c>
    </row>
    <row r="802" spans="1:2">
      <c r="A802" s="189">
        <v>41331</v>
      </c>
      <c r="B802">
        <v>5893.85</v>
      </c>
    </row>
    <row r="803" spans="1:2">
      <c r="A803" s="189">
        <v>41330</v>
      </c>
      <c r="B803">
        <v>5937.19</v>
      </c>
    </row>
    <row r="804" spans="1:2">
      <c r="A804" s="189">
        <v>41327</v>
      </c>
      <c r="B804">
        <v>5980.52</v>
      </c>
    </row>
    <row r="805" spans="1:2">
      <c r="A805" s="189">
        <v>41326</v>
      </c>
      <c r="B805">
        <v>5976.19</v>
      </c>
    </row>
    <row r="806" spans="1:2">
      <c r="A806" s="189">
        <v>41325</v>
      </c>
      <c r="B806">
        <v>5893.85</v>
      </c>
    </row>
    <row r="807" spans="1:2">
      <c r="A807" s="189">
        <v>41324</v>
      </c>
      <c r="B807">
        <v>5947.59</v>
      </c>
    </row>
    <row r="808" spans="1:2">
      <c r="A808" s="189">
        <v>41323</v>
      </c>
      <c r="B808">
        <v>5947.59</v>
      </c>
    </row>
    <row r="809" spans="1:2">
      <c r="A809" s="189">
        <v>41320</v>
      </c>
      <c r="B809">
        <v>5962.32</v>
      </c>
    </row>
    <row r="810" spans="1:2">
      <c r="A810" s="189">
        <v>41319</v>
      </c>
      <c r="B810">
        <v>5939.79</v>
      </c>
    </row>
    <row r="811" spans="1:2">
      <c r="A811" s="189">
        <v>41318</v>
      </c>
      <c r="B811">
        <v>5960.59</v>
      </c>
    </row>
    <row r="812" spans="1:2">
      <c r="A812" s="189">
        <v>41317</v>
      </c>
      <c r="B812">
        <v>5963.19</v>
      </c>
    </row>
    <row r="813" spans="1:2">
      <c r="A813" s="189">
        <v>41316</v>
      </c>
      <c r="B813">
        <v>5965.79</v>
      </c>
    </row>
    <row r="814" spans="1:2">
      <c r="A814" s="189">
        <v>41313</v>
      </c>
      <c r="B814">
        <v>5915.52</v>
      </c>
    </row>
    <row r="815" spans="1:2">
      <c r="A815" s="189">
        <v>41312</v>
      </c>
      <c r="B815">
        <v>5980.52</v>
      </c>
    </row>
    <row r="816" spans="1:2">
      <c r="A816" s="189">
        <v>41311</v>
      </c>
      <c r="B816">
        <v>5931.12</v>
      </c>
    </row>
    <row r="817" spans="1:2">
      <c r="A817" s="189">
        <v>41310</v>
      </c>
      <c r="B817">
        <v>5925.92</v>
      </c>
    </row>
    <row r="818" spans="1:2">
      <c r="A818" s="189">
        <v>41309</v>
      </c>
      <c r="B818">
        <v>5901.65</v>
      </c>
    </row>
    <row r="819" spans="1:2">
      <c r="A819" s="189">
        <v>41306</v>
      </c>
      <c r="B819">
        <v>5954.52</v>
      </c>
    </row>
    <row r="820" spans="1:2">
      <c r="A820" s="189">
        <v>41305</v>
      </c>
      <c r="B820">
        <v>5937.19</v>
      </c>
    </row>
    <row r="821" spans="1:2">
      <c r="A821" s="189">
        <v>41304</v>
      </c>
      <c r="B821">
        <v>5980.52</v>
      </c>
    </row>
    <row r="822" spans="1:2">
      <c r="A822" s="189">
        <v>41303</v>
      </c>
      <c r="B822">
        <v>5915.52</v>
      </c>
    </row>
    <row r="823" spans="1:2">
      <c r="A823" s="189">
        <v>41302</v>
      </c>
      <c r="B823">
        <v>5893.85</v>
      </c>
    </row>
    <row r="824" spans="1:2">
      <c r="A824" s="189">
        <v>41299</v>
      </c>
      <c r="B824">
        <v>5892.98</v>
      </c>
    </row>
    <row r="825" spans="1:2">
      <c r="A825" s="189">
        <v>41298</v>
      </c>
      <c r="B825">
        <v>5893.85</v>
      </c>
    </row>
    <row r="826" spans="1:2">
      <c r="A826" s="189">
        <v>41297</v>
      </c>
      <c r="B826">
        <v>5850.51</v>
      </c>
    </row>
    <row r="827" spans="1:2">
      <c r="A827" s="189">
        <v>41296</v>
      </c>
      <c r="B827">
        <v>5771.64</v>
      </c>
    </row>
    <row r="828" spans="1:2">
      <c r="A828" s="189">
        <v>41295</v>
      </c>
      <c r="B828">
        <v>5742.17</v>
      </c>
    </row>
    <row r="829" spans="1:2">
      <c r="A829" s="189">
        <v>41292</v>
      </c>
      <c r="B829">
        <v>5730.04</v>
      </c>
    </row>
    <row r="830" spans="1:2">
      <c r="A830" s="189">
        <v>41291</v>
      </c>
      <c r="B830">
        <v>5759.5</v>
      </c>
    </row>
    <row r="831" spans="1:2">
      <c r="A831" s="189">
        <v>41290</v>
      </c>
      <c r="B831">
        <v>5728.3</v>
      </c>
    </row>
    <row r="832" spans="1:2">
      <c r="A832" s="189">
        <v>41289</v>
      </c>
      <c r="B832">
        <v>5807.18</v>
      </c>
    </row>
    <row r="833" spans="1:2">
      <c r="A833" s="189">
        <v>41288</v>
      </c>
      <c r="B833">
        <v>5807.18</v>
      </c>
    </row>
    <row r="834" spans="1:2">
      <c r="A834" s="189">
        <v>41285</v>
      </c>
      <c r="B834">
        <v>5807.18</v>
      </c>
    </row>
    <row r="835" spans="1:2">
      <c r="A835" s="189">
        <v>41284</v>
      </c>
      <c r="B835">
        <v>5720.5</v>
      </c>
    </row>
    <row r="836" spans="1:2">
      <c r="A836" s="189">
        <v>41283</v>
      </c>
      <c r="B836">
        <v>5720.5</v>
      </c>
    </row>
    <row r="837" spans="1:2">
      <c r="A837" s="189">
        <v>41282</v>
      </c>
      <c r="B837">
        <v>5720.5</v>
      </c>
    </row>
    <row r="838" spans="1:2">
      <c r="A838" s="189">
        <v>41281</v>
      </c>
      <c r="B838">
        <v>5772.51</v>
      </c>
    </row>
    <row r="839" spans="1:2">
      <c r="A839" s="189">
        <v>41278</v>
      </c>
      <c r="B839">
        <v>5757.77</v>
      </c>
    </row>
    <row r="840" spans="1:2">
      <c r="A840" s="189">
        <v>41277</v>
      </c>
      <c r="B840">
        <v>5758.61</v>
      </c>
    </row>
    <row r="841" spans="1:2">
      <c r="A841" s="189">
        <v>41276</v>
      </c>
      <c r="B841">
        <v>5825.37</v>
      </c>
    </row>
    <row r="842" spans="1:2">
      <c r="A842" s="189">
        <v>41274</v>
      </c>
      <c r="B842">
        <v>5827.04</v>
      </c>
    </row>
    <row r="843" spans="1:2">
      <c r="A843" s="189">
        <v>41271</v>
      </c>
      <c r="B843">
        <v>5924.69</v>
      </c>
    </row>
    <row r="844" spans="1:2">
      <c r="A844" s="189">
        <v>41270</v>
      </c>
      <c r="B844">
        <v>5925.52</v>
      </c>
    </row>
    <row r="845" spans="1:2">
      <c r="A845" s="189">
        <v>41267</v>
      </c>
      <c r="B845">
        <v>5924.69</v>
      </c>
    </row>
    <row r="846" spans="1:2">
      <c r="A846" s="189">
        <v>41264</v>
      </c>
      <c r="B846">
        <v>5842.9</v>
      </c>
    </row>
    <row r="847" spans="1:2">
      <c r="A847" s="189">
        <v>41263</v>
      </c>
      <c r="B847">
        <v>5925.52</v>
      </c>
    </row>
    <row r="848" spans="1:2">
      <c r="A848" s="189">
        <v>41262</v>
      </c>
      <c r="B848">
        <v>5826.21</v>
      </c>
    </row>
    <row r="849" spans="1:2">
      <c r="A849" s="189">
        <v>41261</v>
      </c>
      <c r="B849">
        <v>5825.37</v>
      </c>
    </row>
    <row r="850" spans="1:2">
      <c r="A850" s="189">
        <v>41257</v>
      </c>
      <c r="B850">
        <v>5842.06</v>
      </c>
    </row>
    <row r="851" spans="1:2">
      <c r="A851" s="189">
        <v>41256</v>
      </c>
      <c r="B851">
        <v>5800.34</v>
      </c>
    </row>
    <row r="852" spans="1:2">
      <c r="A852" s="189">
        <v>41255</v>
      </c>
      <c r="B852">
        <v>5902.15</v>
      </c>
    </row>
    <row r="853" spans="1:2">
      <c r="A853" s="189">
        <v>41254</v>
      </c>
      <c r="B853">
        <v>5925.52</v>
      </c>
    </row>
    <row r="854" spans="1:2">
      <c r="A854" s="189">
        <v>41253</v>
      </c>
      <c r="B854">
        <v>5925.52</v>
      </c>
    </row>
    <row r="855" spans="1:2">
      <c r="A855" s="189">
        <v>41250</v>
      </c>
      <c r="B855">
        <v>5800.34</v>
      </c>
    </row>
    <row r="856" spans="1:2">
      <c r="A856" s="189">
        <v>41249</v>
      </c>
      <c r="B856">
        <v>5758.61</v>
      </c>
    </row>
    <row r="857" spans="1:2">
      <c r="A857" s="189">
        <v>41248</v>
      </c>
      <c r="B857">
        <v>5883.79</v>
      </c>
    </row>
    <row r="858" spans="1:2">
      <c r="A858" s="189">
        <v>41247</v>
      </c>
      <c r="B858">
        <v>5872.11</v>
      </c>
    </row>
    <row r="859" spans="1:2">
      <c r="A859" s="189">
        <v>41246</v>
      </c>
      <c r="B859">
        <v>5926.36</v>
      </c>
    </row>
    <row r="860" spans="1:2">
      <c r="A860" s="189">
        <v>41243</v>
      </c>
      <c r="B860">
        <v>5708.53</v>
      </c>
    </row>
    <row r="861" spans="1:2">
      <c r="A861" s="189">
        <v>41242</v>
      </c>
      <c r="B861">
        <v>5722.72</v>
      </c>
    </row>
    <row r="862" spans="1:2">
      <c r="A862" s="189">
        <v>41241</v>
      </c>
      <c r="B862">
        <v>5716.88</v>
      </c>
    </row>
    <row r="863" spans="1:2">
      <c r="A863" s="189">
        <v>41240</v>
      </c>
      <c r="B863">
        <v>5704.36</v>
      </c>
    </row>
    <row r="864" spans="1:2">
      <c r="A864" s="189">
        <v>41239</v>
      </c>
      <c r="B864">
        <v>5675.15</v>
      </c>
    </row>
    <row r="865" spans="1:2">
      <c r="A865" s="189">
        <v>41236</v>
      </c>
      <c r="B865">
        <v>5569.99</v>
      </c>
    </row>
    <row r="866" spans="1:2">
      <c r="A866" s="189">
        <v>41235</v>
      </c>
      <c r="B866">
        <v>5512.4</v>
      </c>
    </row>
    <row r="867" spans="1:2">
      <c r="A867" s="189">
        <v>41234</v>
      </c>
      <c r="B867">
        <v>5549.13</v>
      </c>
    </row>
    <row r="868" spans="1:2">
      <c r="A868" s="189">
        <v>41233</v>
      </c>
      <c r="B868">
        <v>5549.96</v>
      </c>
    </row>
    <row r="869" spans="1:2">
      <c r="A869" s="189">
        <v>41232</v>
      </c>
      <c r="B869">
        <v>5440.63</v>
      </c>
    </row>
    <row r="870" spans="1:2">
      <c r="A870" s="189">
        <v>41229</v>
      </c>
      <c r="B870">
        <v>5508.23</v>
      </c>
    </row>
    <row r="871" spans="1:2">
      <c r="A871" s="189">
        <v>41228</v>
      </c>
      <c r="B871">
        <v>5424.77</v>
      </c>
    </row>
    <row r="872" spans="1:2">
      <c r="A872" s="189">
        <v>41227</v>
      </c>
      <c r="B872">
        <v>5341.32</v>
      </c>
    </row>
    <row r="873" spans="1:2">
      <c r="A873" s="189">
        <v>41226</v>
      </c>
      <c r="B873">
        <v>5332.97</v>
      </c>
    </row>
    <row r="874" spans="1:2">
      <c r="A874" s="189">
        <v>41225</v>
      </c>
      <c r="B874">
        <v>5090.1099999999997</v>
      </c>
    </row>
    <row r="875" spans="1:2">
      <c r="A875" s="189">
        <v>41222</v>
      </c>
      <c r="B875">
        <v>5074.25</v>
      </c>
    </row>
    <row r="876" spans="1:2">
      <c r="A876" s="189">
        <v>41221</v>
      </c>
      <c r="B876">
        <v>5090.9399999999996</v>
      </c>
    </row>
    <row r="877" spans="1:2">
      <c r="A877" s="189">
        <v>41220</v>
      </c>
      <c r="B877">
        <v>5007.4799999999996</v>
      </c>
    </row>
    <row r="878" spans="1:2">
      <c r="A878" s="189">
        <v>41219</v>
      </c>
      <c r="B878">
        <v>5090.9399999999996</v>
      </c>
    </row>
    <row r="879" spans="1:2">
      <c r="A879" s="189">
        <v>41218</v>
      </c>
      <c r="B879">
        <v>5090.9399999999996</v>
      </c>
    </row>
    <row r="880" spans="1:2">
      <c r="A880" s="189">
        <v>41215</v>
      </c>
      <c r="B880">
        <v>5090.9399999999996</v>
      </c>
    </row>
    <row r="881" spans="1:2">
      <c r="A881" s="189">
        <v>41214</v>
      </c>
      <c r="B881">
        <v>4840.57</v>
      </c>
    </row>
    <row r="882" spans="1:2">
      <c r="A882" s="189">
        <v>41213</v>
      </c>
      <c r="B882">
        <v>5007.4799999999996</v>
      </c>
    </row>
    <row r="883" spans="1:2">
      <c r="A883" s="189">
        <v>41212</v>
      </c>
      <c r="B883">
        <v>4840.57</v>
      </c>
    </row>
    <row r="884" spans="1:2">
      <c r="A884" s="189">
        <v>41211</v>
      </c>
      <c r="B884">
        <v>4840.57</v>
      </c>
    </row>
    <row r="885" spans="1:2">
      <c r="A885" s="189">
        <v>41208</v>
      </c>
      <c r="B885">
        <v>4840.57</v>
      </c>
    </row>
    <row r="886" spans="1:2">
      <c r="A886" s="189">
        <v>41207</v>
      </c>
      <c r="B886">
        <v>4757.1099999999997</v>
      </c>
    </row>
    <row r="887" spans="1:2">
      <c r="A887" s="189">
        <v>41206</v>
      </c>
      <c r="B887">
        <v>4736.24</v>
      </c>
    </row>
    <row r="888" spans="1:2">
      <c r="A888" s="189">
        <v>41205</v>
      </c>
      <c r="B888">
        <v>4840.57</v>
      </c>
    </row>
    <row r="889" spans="1:2">
      <c r="A889" s="189">
        <v>41204</v>
      </c>
      <c r="B889">
        <v>4757.1099999999997</v>
      </c>
    </row>
    <row r="890" spans="1:2">
      <c r="A890" s="189">
        <v>41201</v>
      </c>
      <c r="B890">
        <v>4700.3599999999997</v>
      </c>
    </row>
    <row r="891" spans="1:2">
      <c r="A891" s="189">
        <v>41200</v>
      </c>
      <c r="B891">
        <v>4840.57</v>
      </c>
    </row>
    <row r="892" spans="1:2">
      <c r="A892" s="189">
        <v>41199</v>
      </c>
      <c r="B892">
        <v>4757.1099999999997</v>
      </c>
    </row>
    <row r="893" spans="1:2">
      <c r="A893" s="189">
        <v>41198</v>
      </c>
      <c r="B893">
        <v>4840.57</v>
      </c>
    </row>
    <row r="894" spans="1:2">
      <c r="A894" s="189">
        <v>41197</v>
      </c>
      <c r="B894">
        <v>4698.6899999999996</v>
      </c>
    </row>
    <row r="895" spans="1:2">
      <c r="A895" s="189">
        <v>41194</v>
      </c>
      <c r="B895">
        <v>4590.1899999999996</v>
      </c>
    </row>
    <row r="896" spans="1:2">
      <c r="A896" s="189">
        <v>41193</v>
      </c>
      <c r="B896">
        <v>4723.7299999999996</v>
      </c>
    </row>
    <row r="897" spans="1:2">
      <c r="A897" s="189">
        <v>41192</v>
      </c>
      <c r="B897">
        <v>4552.6400000000003</v>
      </c>
    </row>
    <row r="898" spans="1:2">
      <c r="A898" s="189">
        <v>41191</v>
      </c>
      <c r="B898">
        <v>4548.46</v>
      </c>
    </row>
    <row r="899" spans="1:2">
      <c r="A899" s="189">
        <v>41190</v>
      </c>
      <c r="B899">
        <v>4506.74</v>
      </c>
    </row>
    <row r="900" spans="1:2">
      <c r="A900" s="189">
        <v>41187</v>
      </c>
      <c r="B900">
        <v>4506.74</v>
      </c>
    </row>
    <row r="901" spans="1:2">
      <c r="A901" s="189">
        <v>41186</v>
      </c>
      <c r="B901">
        <v>4590.1899999999996</v>
      </c>
    </row>
    <row r="902" spans="1:2">
      <c r="A902" s="189">
        <v>41185</v>
      </c>
      <c r="B902">
        <v>4569.33</v>
      </c>
    </row>
    <row r="903" spans="1:2">
      <c r="A903" s="189">
        <v>41184</v>
      </c>
      <c r="B903">
        <v>4581.8500000000004</v>
      </c>
    </row>
    <row r="904" spans="1:2">
      <c r="A904" s="189">
        <v>41183</v>
      </c>
      <c r="B904">
        <v>4590.1899999999996</v>
      </c>
    </row>
    <row r="905" spans="1:2">
      <c r="A905" s="189">
        <v>41180</v>
      </c>
      <c r="B905">
        <v>4506.74</v>
      </c>
    </row>
    <row r="906" spans="1:2">
      <c r="A906" s="189">
        <v>41179</v>
      </c>
      <c r="B906">
        <v>4506.74</v>
      </c>
    </row>
    <row r="907" spans="1:2">
      <c r="A907" s="189">
        <v>41178</v>
      </c>
      <c r="B907">
        <v>4506.74</v>
      </c>
    </row>
    <row r="908" spans="1:2">
      <c r="A908" s="189">
        <v>41177</v>
      </c>
      <c r="B908">
        <v>4506.74</v>
      </c>
    </row>
    <row r="909" spans="1:2">
      <c r="A909" s="189">
        <v>41173</v>
      </c>
      <c r="B909">
        <v>4506.74</v>
      </c>
    </row>
    <row r="910" spans="1:2">
      <c r="A910" s="189">
        <v>41172</v>
      </c>
      <c r="B910">
        <v>4506.74</v>
      </c>
    </row>
    <row r="911" spans="1:2">
      <c r="A911" s="189">
        <v>41171</v>
      </c>
      <c r="B911">
        <v>4506.74</v>
      </c>
    </row>
    <row r="912" spans="1:2">
      <c r="A912" s="189">
        <v>41170</v>
      </c>
      <c r="B912">
        <v>4590.1899999999996</v>
      </c>
    </row>
    <row r="913" spans="1:2">
      <c r="A913" s="189">
        <v>41169</v>
      </c>
      <c r="B913">
        <v>4590.1899999999996</v>
      </c>
    </row>
    <row r="914" spans="1:2">
      <c r="A914" s="189">
        <v>41166</v>
      </c>
      <c r="B914">
        <v>4381.55</v>
      </c>
    </row>
    <row r="915" spans="1:2">
      <c r="A915" s="189">
        <v>41165</v>
      </c>
      <c r="B915">
        <v>4381.55</v>
      </c>
    </row>
    <row r="916" spans="1:2">
      <c r="A916" s="189">
        <v>41164</v>
      </c>
      <c r="B916">
        <v>4465.01</v>
      </c>
    </row>
    <row r="917" spans="1:2">
      <c r="A917" s="189">
        <v>41163</v>
      </c>
      <c r="B917">
        <v>4423.28</v>
      </c>
    </row>
    <row r="918" spans="1:2">
      <c r="A918" s="189">
        <v>41162</v>
      </c>
      <c r="B918">
        <v>4381.55</v>
      </c>
    </row>
    <row r="919" spans="1:2">
      <c r="A919" s="189">
        <v>41159</v>
      </c>
      <c r="B919">
        <v>4423.28</v>
      </c>
    </row>
    <row r="920" spans="1:2">
      <c r="A920" s="189">
        <v>41158</v>
      </c>
      <c r="B920">
        <v>4422.4399999999996</v>
      </c>
    </row>
    <row r="921" spans="1:2">
      <c r="A921" s="189">
        <v>41157</v>
      </c>
      <c r="B921">
        <v>4429.95</v>
      </c>
    </row>
    <row r="922" spans="1:2">
      <c r="A922" s="189">
        <v>41156</v>
      </c>
      <c r="B922">
        <v>4505.8999999999996</v>
      </c>
    </row>
    <row r="923" spans="1:2">
      <c r="A923" s="189">
        <v>41155</v>
      </c>
      <c r="B923">
        <v>4506.74</v>
      </c>
    </row>
    <row r="924" spans="1:2">
      <c r="A924" s="189">
        <v>41152</v>
      </c>
      <c r="B924">
        <v>4352.34</v>
      </c>
    </row>
    <row r="925" spans="1:2">
      <c r="A925" s="189">
        <v>41151</v>
      </c>
      <c r="B925">
        <v>4298.92</v>
      </c>
    </row>
    <row r="926" spans="1:2">
      <c r="A926" s="189">
        <v>41150</v>
      </c>
      <c r="B926">
        <v>4438.3</v>
      </c>
    </row>
    <row r="927" spans="1:2">
      <c r="A927" s="189">
        <v>41149</v>
      </c>
      <c r="B927">
        <v>4406.59</v>
      </c>
    </row>
    <row r="928" spans="1:2">
      <c r="A928" s="189">
        <v>41148</v>
      </c>
      <c r="B928">
        <v>4456.66</v>
      </c>
    </row>
    <row r="929" spans="1:2">
      <c r="A929" s="189">
        <v>41145</v>
      </c>
      <c r="B929">
        <v>4506.74</v>
      </c>
    </row>
    <row r="930" spans="1:2">
      <c r="A930" s="189">
        <v>41144</v>
      </c>
      <c r="B930">
        <v>4544.29</v>
      </c>
    </row>
    <row r="931" spans="1:2">
      <c r="A931" s="189">
        <v>41143</v>
      </c>
      <c r="B931">
        <v>4548.46</v>
      </c>
    </row>
    <row r="932" spans="1:2">
      <c r="A932" s="189">
        <v>41142</v>
      </c>
      <c r="B932">
        <v>4666.1400000000003</v>
      </c>
    </row>
    <row r="933" spans="1:2">
      <c r="A933" s="189">
        <v>41141</v>
      </c>
      <c r="B933">
        <v>4505.8999999999996</v>
      </c>
    </row>
    <row r="934" spans="1:2">
      <c r="A934" s="189">
        <v>41138</v>
      </c>
      <c r="B934">
        <v>4405.75</v>
      </c>
    </row>
    <row r="935" spans="1:2">
      <c r="A935" s="189">
        <v>41137</v>
      </c>
      <c r="B935">
        <v>4348.16</v>
      </c>
    </row>
    <row r="936" spans="1:2">
      <c r="A936" s="189">
        <v>41136</v>
      </c>
      <c r="B936">
        <v>4548.46</v>
      </c>
    </row>
    <row r="937" spans="1:2">
      <c r="A937" s="189">
        <v>41135</v>
      </c>
      <c r="B937">
        <v>4298.09</v>
      </c>
    </row>
    <row r="938" spans="1:2">
      <c r="A938" s="189">
        <v>41134</v>
      </c>
      <c r="B938">
        <v>4339.82</v>
      </c>
    </row>
    <row r="939" spans="1:2">
      <c r="A939" s="189">
        <v>41131</v>
      </c>
      <c r="B939">
        <v>4331.47</v>
      </c>
    </row>
    <row r="940" spans="1:2">
      <c r="A940" s="189">
        <v>41129</v>
      </c>
      <c r="B940">
        <v>4338.9799999999996</v>
      </c>
    </row>
    <row r="941" spans="1:2">
      <c r="A941" s="189">
        <v>41128</v>
      </c>
      <c r="B941">
        <v>4097.79</v>
      </c>
    </row>
    <row r="942" spans="1:2">
      <c r="A942" s="189">
        <v>41127</v>
      </c>
      <c r="B942">
        <v>4047.72</v>
      </c>
    </row>
    <row r="943" spans="1:2">
      <c r="A943" s="189">
        <v>41124</v>
      </c>
      <c r="B943">
        <v>4089.44</v>
      </c>
    </row>
    <row r="944" spans="1:2">
      <c r="A944" s="189">
        <v>41123</v>
      </c>
      <c r="B944">
        <v>4089.44</v>
      </c>
    </row>
    <row r="945" spans="1:2">
      <c r="A945" s="189">
        <v>41122</v>
      </c>
      <c r="B945">
        <v>4089.44</v>
      </c>
    </row>
    <row r="946" spans="1:2">
      <c r="A946" s="189">
        <v>41121</v>
      </c>
      <c r="B946">
        <v>4047.72</v>
      </c>
    </row>
    <row r="947" spans="1:2">
      <c r="A947" s="189">
        <v>41120</v>
      </c>
      <c r="B947">
        <v>4089.44</v>
      </c>
    </row>
    <row r="948" spans="1:2">
      <c r="A948" s="189">
        <v>41117</v>
      </c>
      <c r="B948">
        <v>4081.1</v>
      </c>
    </row>
    <row r="949" spans="1:2">
      <c r="A949" s="189">
        <v>41116</v>
      </c>
      <c r="B949">
        <v>4047.72</v>
      </c>
    </row>
    <row r="950" spans="1:2">
      <c r="A950" s="189">
        <v>41115</v>
      </c>
      <c r="B950">
        <v>4010.16</v>
      </c>
    </row>
    <row r="951" spans="1:2">
      <c r="A951" s="189">
        <v>41114</v>
      </c>
      <c r="B951">
        <v>4110.3100000000004</v>
      </c>
    </row>
    <row r="952" spans="1:2">
      <c r="A952" s="189">
        <v>41113</v>
      </c>
      <c r="B952">
        <v>4131.17</v>
      </c>
    </row>
    <row r="953" spans="1:2">
      <c r="A953" s="189">
        <v>41110</v>
      </c>
      <c r="B953">
        <v>4156.21</v>
      </c>
    </row>
    <row r="954" spans="1:2">
      <c r="A954" s="189">
        <v>41109</v>
      </c>
      <c r="B954">
        <v>4168.7299999999996</v>
      </c>
    </row>
    <row r="955" spans="1:2">
      <c r="A955" s="189">
        <v>41108</v>
      </c>
      <c r="B955">
        <v>4172.8999999999996</v>
      </c>
    </row>
    <row r="956" spans="1:2">
      <c r="A956" s="189">
        <v>41107</v>
      </c>
      <c r="B956">
        <v>4339.82</v>
      </c>
    </row>
    <row r="957" spans="1:2">
      <c r="A957" s="189">
        <v>41106</v>
      </c>
      <c r="B957">
        <v>4340.6499999999996</v>
      </c>
    </row>
    <row r="958" spans="1:2">
      <c r="A958" s="189">
        <v>41103</v>
      </c>
      <c r="B958">
        <v>4256.3599999999997</v>
      </c>
    </row>
    <row r="959" spans="1:2">
      <c r="A959" s="189">
        <v>41102</v>
      </c>
      <c r="B959">
        <v>4022.68</v>
      </c>
    </row>
    <row r="960" spans="1:2">
      <c r="A960" s="189">
        <v>41101</v>
      </c>
      <c r="B960">
        <v>4005.99</v>
      </c>
    </row>
    <row r="961" spans="1:2">
      <c r="A961" s="189">
        <v>41100</v>
      </c>
      <c r="B961">
        <v>3924.2</v>
      </c>
    </row>
    <row r="962" spans="1:2">
      <c r="A962" s="189">
        <v>41099</v>
      </c>
      <c r="B962">
        <v>3989.3</v>
      </c>
    </row>
    <row r="963" spans="1:2">
      <c r="A963" s="189">
        <v>41096</v>
      </c>
      <c r="B963">
        <v>4005.99</v>
      </c>
    </row>
    <row r="964" spans="1:2">
      <c r="A964" s="189">
        <v>41095</v>
      </c>
      <c r="B964">
        <v>4089.44</v>
      </c>
    </row>
    <row r="965" spans="1:2">
      <c r="A965" s="189">
        <v>41094</v>
      </c>
      <c r="B965">
        <v>4089.44</v>
      </c>
    </row>
    <row r="966" spans="1:2">
      <c r="A966" s="189">
        <v>41093</v>
      </c>
      <c r="B966">
        <v>4089.44</v>
      </c>
    </row>
    <row r="967" spans="1:2">
      <c r="A967" s="189">
        <v>41092</v>
      </c>
      <c r="B967">
        <v>4089.44</v>
      </c>
    </row>
    <row r="968" spans="1:2">
      <c r="A968" s="189">
        <v>41089</v>
      </c>
      <c r="B968">
        <v>4089.44</v>
      </c>
    </row>
    <row r="969" spans="1:2">
      <c r="A969" s="189">
        <v>41088</v>
      </c>
      <c r="B969">
        <v>4005.99</v>
      </c>
    </row>
    <row r="970" spans="1:2">
      <c r="A970" s="189">
        <v>41087</v>
      </c>
      <c r="B970">
        <v>4022.68</v>
      </c>
    </row>
    <row r="971" spans="1:2">
      <c r="A971" s="189">
        <v>41086</v>
      </c>
      <c r="B971">
        <v>4047.72</v>
      </c>
    </row>
    <row r="972" spans="1:2">
      <c r="A972" s="189">
        <v>41085</v>
      </c>
      <c r="B972">
        <v>4047.72</v>
      </c>
    </row>
    <row r="973" spans="1:2">
      <c r="A973" s="189">
        <v>41082</v>
      </c>
      <c r="B973">
        <v>4135.3500000000004</v>
      </c>
    </row>
    <row r="974" spans="1:2">
      <c r="A974" s="189">
        <v>41081</v>
      </c>
      <c r="B974">
        <v>4135.3500000000004</v>
      </c>
    </row>
    <row r="975" spans="1:2">
      <c r="A975" s="189">
        <v>41080</v>
      </c>
      <c r="B975">
        <v>4052.64</v>
      </c>
    </row>
    <row r="976" spans="1:2">
      <c r="A976" s="189">
        <v>41079</v>
      </c>
      <c r="B976">
        <v>4135.3500000000004</v>
      </c>
    </row>
    <row r="977" spans="1:2">
      <c r="A977" s="189">
        <v>41078</v>
      </c>
      <c r="B977">
        <v>4052.64</v>
      </c>
    </row>
    <row r="978" spans="1:2">
      <c r="A978" s="189">
        <v>41075</v>
      </c>
      <c r="B978">
        <v>4135.3500000000004</v>
      </c>
    </row>
    <row r="979" spans="1:2">
      <c r="A979" s="189">
        <v>41074</v>
      </c>
      <c r="B979">
        <v>4052.64</v>
      </c>
    </row>
    <row r="980" spans="1:2">
      <c r="A980" s="189">
        <v>41073</v>
      </c>
      <c r="B980">
        <v>4052.64</v>
      </c>
    </row>
    <row r="981" spans="1:2">
      <c r="A981" s="189">
        <v>41072</v>
      </c>
      <c r="B981">
        <v>4052.64</v>
      </c>
    </row>
    <row r="982" spans="1:2">
      <c r="A982" s="189">
        <v>41071</v>
      </c>
      <c r="B982">
        <v>3854.14</v>
      </c>
    </row>
    <row r="983" spans="1:2">
      <c r="A983" s="189">
        <v>41068</v>
      </c>
      <c r="B983">
        <v>4093.99</v>
      </c>
    </row>
    <row r="984" spans="1:2">
      <c r="A984" s="189">
        <v>41067</v>
      </c>
      <c r="B984">
        <v>4000.53</v>
      </c>
    </row>
    <row r="985" spans="1:2">
      <c r="A985" s="189">
        <v>41066</v>
      </c>
      <c r="B985">
        <v>4053.47</v>
      </c>
    </row>
    <row r="986" spans="1:2">
      <c r="A986" s="189">
        <v>41065</v>
      </c>
      <c r="B986">
        <v>3891.36</v>
      </c>
    </row>
    <row r="987" spans="1:2">
      <c r="A987" s="189">
        <v>41064</v>
      </c>
      <c r="B987">
        <v>4102.26</v>
      </c>
    </row>
    <row r="988" spans="1:2">
      <c r="A988" s="189">
        <v>41061</v>
      </c>
      <c r="B988">
        <v>3808.65</v>
      </c>
    </row>
    <row r="989" spans="1:2">
      <c r="A989" s="189">
        <v>41060</v>
      </c>
      <c r="B989">
        <v>3804.52</v>
      </c>
    </row>
    <row r="990" spans="1:2">
      <c r="A990" s="189">
        <v>41059</v>
      </c>
      <c r="B990">
        <v>3804.52</v>
      </c>
    </row>
    <row r="991" spans="1:2">
      <c r="A991" s="189">
        <v>41058</v>
      </c>
      <c r="B991">
        <v>3804.52</v>
      </c>
    </row>
    <row r="992" spans="1:2">
      <c r="A992" s="189">
        <v>41057</v>
      </c>
      <c r="B992">
        <v>3805.35</v>
      </c>
    </row>
    <row r="993" spans="1:2">
      <c r="A993" s="189">
        <v>41054</v>
      </c>
      <c r="B993">
        <v>4135.3500000000004</v>
      </c>
    </row>
    <row r="994" spans="1:2">
      <c r="A994" s="189">
        <v>41053</v>
      </c>
      <c r="B994">
        <v>3804.52</v>
      </c>
    </row>
    <row r="995" spans="1:2">
      <c r="A995" s="189">
        <v>41052</v>
      </c>
      <c r="B995">
        <v>3804.52</v>
      </c>
    </row>
    <row r="996" spans="1:2">
      <c r="A996" s="189">
        <v>41051</v>
      </c>
      <c r="B996">
        <v>3804.52</v>
      </c>
    </row>
    <row r="997" spans="1:2">
      <c r="A997" s="189">
        <v>41050</v>
      </c>
      <c r="B997">
        <v>3804.52</v>
      </c>
    </row>
    <row r="998" spans="1:2">
      <c r="A998" s="189">
        <v>41047</v>
      </c>
      <c r="B998">
        <v>3804.52</v>
      </c>
    </row>
    <row r="999" spans="1:2">
      <c r="A999" s="189">
        <v>41046</v>
      </c>
      <c r="B999">
        <v>3816.93</v>
      </c>
    </row>
    <row r="1000" spans="1:2">
      <c r="A1000" s="189">
        <v>41045</v>
      </c>
      <c r="B1000">
        <v>3803.69</v>
      </c>
    </row>
    <row r="1001" spans="1:2">
      <c r="A1001" s="189">
        <v>41044</v>
      </c>
      <c r="B1001">
        <v>3802.04</v>
      </c>
    </row>
    <row r="1002" spans="1:2">
      <c r="A1002" s="189">
        <v>41043</v>
      </c>
      <c r="B1002">
        <v>3680.46</v>
      </c>
    </row>
    <row r="1003" spans="1:2">
      <c r="A1003" s="189">
        <v>41040</v>
      </c>
      <c r="B1003">
        <v>3680.46</v>
      </c>
    </row>
    <row r="1004" spans="1:2">
      <c r="A1004" s="189">
        <v>41039</v>
      </c>
      <c r="B1004">
        <v>3680.46</v>
      </c>
    </row>
    <row r="1005" spans="1:2">
      <c r="A1005" s="189">
        <v>41038</v>
      </c>
      <c r="B1005">
        <v>3713.54</v>
      </c>
    </row>
    <row r="1006" spans="1:2">
      <c r="A1006" s="189">
        <v>41037</v>
      </c>
      <c r="B1006">
        <v>3597.75</v>
      </c>
    </row>
    <row r="1007" spans="1:2">
      <c r="A1007" s="189">
        <v>41036</v>
      </c>
      <c r="B1007">
        <v>3639.11</v>
      </c>
    </row>
    <row r="1008" spans="1:2">
      <c r="A1008" s="189">
        <v>41033</v>
      </c>
      <c r="B1008">
        <v>3639.11</v>
      </c>
    </row>
    <row r="1009" spans="1:2">
      <c r="A1009" s="189">
        <v>41032</v>
      </c>
      <c r="B1009">
        <v>3680.46</v>
      </c>
    </row>
    <row r="1010" spans="1:2">
      <c r="A1010" s="189">
        <v>41031</v>
      </c>
      <c r="B1010">
        <v>3721.81</v>
      </c>
    </row>
    <row r="1011" spans="1:2">
      <c r="A1011" s="189">
        <v>41029</v>
      </c>
      <c r="B1011">
        <v>3721.81</v>
      </c>
    </row>
    <row r="1012" spans="1:2">
      <c r="A1012" s="189">
        <v>41025</v>
      </c>
      <c r="B1012">
        <v>3721.81</v>
      </c>
    </row>
    <row r="1013" spans="1:2">
      <c r="A1013" s="189">
        <v>41024</v>
      </c>
      <c r="B1013">
        <v>3721.81</v>
      </c>
    </row>
    <row r="1014" spans="1:2">
      <c r="A1014" s="189">
        <v>41023</v>
      </c>
      <c r="B1014">
        <v>3721.81</v>
      </c>
    </row>
    <row r="1015" spans="1:2">
      <c r="A1015" s="189">
        <v>41022</v>
      </c>
      <c r="B1015">
        <v>3721.81</v>
      </c>
    </row>
    <row r="1016" spans="1:2">
      <c r="A1016" s="189">
        <v>41019</v>
      </c>
      <c r="B1016">
        <v>3730.08</v>
      </c>
    </row>
    <row r="1017" spans="1:2">
      <c r="A1017" s="189">
        <v>41018</v>
      </c>
      <c r="B1017">
        <v>3800.38</v>
      </c>
    </row>
    <row r="1018" spans="1:2">
      <c r="A1018" s="189">
        <v>41017</v>
      </c>
      <c r="B1018">
        <v>3787.98</v>
      </c>
    </row>
    <row r="1019" spans="1:2">
      <c r="A1019" s="189">
        <v>41016</v>
      </c>
      <c r="B1019">
        <v>3803.69</v>
      </c>
    </row>
    <row r="1020" spans="1:2">
      <c r="A1020" s="189">
        <v>41015</v>
      </c>
      <c r="B1020">
        <v>3802.86</v>
      </c>
    </row>
    <row r="1021" spans="1:2">
      <c r="A1021" s="189">
        <v>41012</v>
      </c>
      <c r="B1021">
        <v>3804.52</v>
      </c>
    </row>
    <row r="1022" spans="1:2">
      <c r="A1022" s="189">
        <v>41011</v>
      </c>
      <c r="B1022">
        <v>3735.87</v>
      </c>
    </row>
    <row r="1023" spans="1:2">
      <c r="A1023" s="189">
        <v>41010</v>
      </c>
      <c r="B1023">
        <v>3886.4</v>
      </c>
    </row>
    <row r="1024" spans="1:2">
      <c r="A1024" s="189">
        <v>41009</v>
      </c>
      <c r="B1024">
        <v>3886.4</v>
      </c>
    </row>
    <row r="1025" spans="1:2">
      <c r="A1025" s="189">
        <v>41004</v>
      </c>
      <c r="B1025">
        <v>3887.23</v>
      </c>
    </row>
    <row r="1026" spans="1:2">
      <c r="A1026" s="189">
        <v>41003</v>
      </c>
      <c r="B1026">
        <v>3887.23</v>
      </c>
    </row>
    <row r="1027" spans="1:2">
      <c r="A1027" s="189">
        <v>41002</v>
      </c>
      <c r="B1027">
        <v>4051.81</v>
      </c>
    </row>
    <row r="1028" spans="1:2">
      <c r="A1028" s="189">
        <v>41001</v>
      </c>
      <c r="B1028">
        <v>3969.93</v>
      </c>
    </row>
    <row r="1029" spans="1:2">
      <c r="A1029" s="189">
        <v>40998</v>
      </c>
      <c r="B1029">
        <v>3888.88</v>
      </c>
    </row>
    <row r="1030" spans="1:2">
      <c r="A1030" s="189">
        <v>40997</v>
      </c>
      <c r="B1030">
        <v>3887.23</v>
      </c>
    </row>
    <row r="1031" spans="1:2">
      <c r="A1031" s="189">
        <v>40996</v>
      </c>
      <c r="B1031">
        <v>3887.23</v>
      </c>
    </row>
    <row r="1032" spans="1:2">
      <c r="A1032" s="189">
        <v>40995</v>
      </c>
      <c r="B1032">
        <v>3887.23</v>
      </c>
    </row>
    <row r="1033" spans="1:2">
      <c r="A1033" s="189">
        <v>40994</v>
      </c>
      <c r="B1033">
        <v>3887.23</v>
      </c>
    </row>
    <row r="1034" spans="1:2">
      <c r="A1034" s="189">
        <v>40991</v>
      </c>
      <c r="B1034">
        <v>3887.23</v>
      </c>
    </row>
    <row r="1035" spans="1:2">
      <c r="A1035" s="189">
        <v>40990</v>
      </c>
      <c r="B1035">
        <v>3887.23</v>
      </c>
    </row>
    <row r="1036" spans="1:2">
      <c r="A1036" s="189">
        <v>40988</v>
      </c>
      <c r="B1036">
        <v>3852.49</v>
      </c>
    </row>
    <row r="1037" spans="1:2">
      <c r="A1037" s="189">
        <v>40987</v>
      </c>
      <c r="B1037">
        <v>3830.16</v>
      </c>
    </row>
    <row r="1038" spans="1:2">
      <c r="A1038" s="189">
        <v>40984</v>
      </c>
      <c r="B1038">
        <v>3826.02</v>
      </c>
    </row>
    <row r="1039" spans="1:2">
      <c r="A1039" s="189">
        <v>40983</v>
      </c>
      <c r="B1039">
        <v>3734.22</v>
      </c>
    </row>
    <row r="1040" spans="1:2">
      <c r="A1040" s="189">
        <v>40982</v>
      </c>
      <c r="B1040">
        <v>3812.79</v>
      </c>
    </row>
    <row r="1041" spans="1:2">
      <c r="A1041" s="189">
        <v>40981</v>
      </c>
      <c r="B1041">
        <v>3804.52</v>
      </c>
    </row>
    <row r="1042" spans="1:2">
      <c r="A1042" s="189">
        <v>40980</v>
      </c>
      <c r="B1042">
        <v>3811.96</v>
      </c>
    </row>
    <row r="1043" spans="1:2">
      <c r="A1043" s="189">
        <v>40977</v>
      </c>
      <c r="B1043">
        <v>3812.79</v>
      </c>
    </row>
    <row r="1044" spans="1:2">
      <c r="A1044" s="189">
        <v>40976</v>
      </c>
      <c r="B1044">
        <v>3680.46</v>
      </c>
    </row>
    <row r="1045" spans="1:2">
      <c r="A1045" s="189">
        <v>40975</v>
      </c>
      <c r="B1045">
        <v>3730.08</v>
      </c>
    </row>
    <row r="1046" spans="1:2">
      <c r="A1046" s="189">
        <v>40974</v>
      </c>
      <c r="B1046">
        <v>3723.47</v>
      </c>
    </row>
    <row r="1047" spans="1:2">
      <c r="A1047" s="189">
        <v>40973</v>
      </c>
      <c r="B1047">
        <v>3721.81</v>
      </c>
    </row>
    <row r="1048" spans="1:2">
      <c r="A1048" s="189">
        <v>40970</v>
      </c>
      <c r="B1048">
        <v>3721.81</v>
      </c>
    </row>
    <row r="1049" spans="1:2">
      <c r="A1049" s="189">
        <v>40969</v>
      </c>
      <c r="B1049">
        <v>3680.46</v>
      </c>
    </row>
    <row r="1050" spans="1:2">
      <c r="A1050" s="189">
        <v>40968</v>
      </c>
      <c r="B1050">
        <v>3818.58</v>
      </c>
    </row>
    <row r="1051" spans="1:2">
      <c r="A1051" s="189">
        <v>40967</v>
      </c>
      <c r="B1051">
        <v>3721.81</v>
      </c>
    </row>
    <row r="1052" spans="1:2">
      <c r="A1052" s="189">
        <v>40966</v>
      </c>
      <c r="B1052">
        <v>3639.11</v>
      </c>
    </row>
    <row r="1053" spans="1:2">
      <c r="A1053" s="189">
        <v>40963</v>
      </c>
      <c r="B1053">
        <v>3680.46</v>
      </c>
    </row>
    <row r="1054" spans="1:2">
      <c r="A1054" s="189">
        <v>40962</v>
      </c>
      <c r="B1054">
        <v>3680.46</v>
      </c>
    </row>
    <row r="1055" spans="1:2">
      <c r="A1055" s="189">
        <v>40961</v>
      </c>
      <c r="B1055">
        <v>3680.46</v>
      </c>
    </row>
    <row r="1056" spans="1:2">
      <c r="A1056" s="189">
        <v>40960</v>
      </c>
      <c r="B1056">
        <v>3680.46</v>
      </c>
    </row>
    <row r="1057" spans="1:2">
      <c r="A1057" s="189">
        <v>40959</v>
      </c>
      <c r="B1057">
        <v>3680.46</v>
      </c>
    </row>
    <row r="1058" spans="1:2">
      <c r="A1058" s="189">
        <v>40956</v>
      </c>
      <c r="B1058">
        <v>3746.62</v>
      </c>
    </row>
    <row r="1059" spans="1:2">
      <c r="A1059" s="189">
        <v>40955</v>
      </c>
      <c r="B1059">
        <v>3746.62</v>
      </c>
    </row>
    <row r="1060" spans="1:2">
      <c r="A1060" s="189">
        <v>40954</v>
      </c>
      <c r="B1060">
        <v>3746.62</v>
      </c>
    </row>
    <row r="1061" spans="1:2">
      <c r="A1061" s="189">
        <v>40953</v>
      </c>
      <c r="B1061">
        <v>3722.64</v>
      </c>
    </row>
    <row r="1062" spans="1:2">
      <c r="A1062" s="189">
        <v>40952</v>
      </c>
      <c r="B1062">
        <v>3736.7</v>
      </c>
    </row>
    <row r="1063" spans="1:2">
      <c r="A1063" s="189">
        <v>40949</v>
      </c>
      <c r="B1063">
        <v>3730.91</v>
      </c>
    </row>
    <row r="1064" spans="1:2">
      <c r="A1064" s="189">
        <v>40948</v>
      </c>
      <c r="B1064">
        <v>3818.58</v>
      </c>
    </row>
    <row r="1065" spans="1:2">
      <c r="A1065" s="189">
        <v>40947</v>
      </c>
      <c r="B1065">
        <v>3812.79</v>
      </c>
    </row>
    <row r="1066" spans="1:2">
      <c r="A1066" s="189">
        <v>40946</v>
      </c>
      <c r="B1066">
        <v>3816.93</v>
      </c>
    </row>
    <row r="1067" spans="1:2">
      <c r="A1067" s="189">
        <v>40945</v>
      </c>
      <c r="B1067">
        <v>3804.52</v>
      </c>
    </row>
    <row r="1068" spans="1:2">
      <c r="A1068" s="189">
        <v>40942</v>
      </c>
      <c r="B1068">
        <v>3719.33</v>
      </c>
    </row>
    <row r="1069" spans="1:2">
      <c r="A1069" s="189">
        <v>40941</v>
      </c>
      <c r="B1069">
        <v>3721.81</v>
      </c>
    </row>
    <row r="1070" spans="1:2">
      <c r="A1070" s="189">
        <v>40940</v>
      </c>
      <c r="B1070">
        <v>3589.48</v>
      </c>
    </row>
    <row r="1071" spans="1:2">
      <c r="A1071" s="189">
        <v>40939</v>
      </c>
      <c r="B1071">
        <v>3818.58</v>
      </c>
    </row>
    <row r="1072" spans="1:2">
      <c r="A1072" s="189">
        <v>40938</v>
      </c>
      <c r="B1072">
        <v>3804.52</v>
      </c>
    </row>
    <row r="1073" spans="1:2">
      <c r="A1073" s="189">
        <v>40935</v>
      </c>
      <c r="B1073">
        <v>3804.52</v>
      </c>
    </row>
    <row r="1074" spans="1:2">
      <c r="A1074" s="189">
        <v>40934</v>
      </c>
      <c r="B1074">
        <v>3721.81</v>
      </c>
    </row>
    <row r="1075" spans="1:2">
      <c r="A1075" s="189">
        <v>40933</v>
      </c>
      <c r="B1075">
        <v>3720.16</v>
      </c>
    </row>
    <row r="1076" spans="1:2">
      <c r="A1076" s="189">
        <v>40932</v>
      </c>
      <c r="B1076">
        <v>3721.81</v>
      </c>
    </row>
    <row r="1077" spans="1:2">
      <c r="A1077" s="189">
        <v>40931</v>
      </c>
      <c r="B1077">
        <v>3672.19</v>
      </c>
    </row>
    <row r="1078" spans="1:2">
      <c r="A1078" s="189">
        <v>40928</v>
      </c>
      <c r="B1078">
        <v>3639.11</v>
      </c>
    </row>
    <row r="1079" spans="1:2">
      <c r="A1079" s="189">
        <v>40927</v>
      </c>
      <c r="B1079">
        <v>3675.5</v>
      </c>
    </row>
    <row r="1080" spans="1:2">
      <c r="A1080" s="189">
        <v>40926</v>
      </c>
      <c r="B1080">
        <v>3721.81</v>
      </c>
    </row>
    <row r="1081" spans="1:2">
      <c r="A1081" s="189">
        <v>40925</v>
      </c>
      <c r="B1081">
        <v>3763.17</v>
      </c>
    </row>
    <row r="1082" spans="1:2">
      <c r="A1082" s="189">
        <v>40924</v>
      </c>
      <c r="B1082">
        <v>3779.71</v>
      </c>
    </row>
    <row r="1083" spans="1:2">
      <c r="A1083" s="189">
        <v>40921</v>
      </c>
      <c r="B1083">
        <v>3783.84</v>
      </c>
    </row>
    <row r="1084" spans="1:2">
      <c r="A1084" s="189">
        <v>40920</v>
      </c>
      <c r="B1084">
        <v>3739.18</v>
      </c>
    </row>
    <row r="1085" spans="1:2">
      <c r="A1085" s="189">
        <v>40919</v>
      </c>
      <c r="B1085">
        <v>3804.52</v>
      </c>
    </row>
    <row r="1086" spans="1:2">
      <c r="A1086" s="189">
        <v>40918</v>
      </c>
      <c r="B1086">
        <v>3804.52</v>
      </c>
    </row>
    <row r="1087" spans="1:2">
      <c r="A1087" s="189">
        <v>40917</v>
      </c>
      <c r="B1087">
        <v>3841.74</v>
      </c>
    </row>
    <row r="1088" spans="1:2">
      <c r="A1088" s="189">
        <v>40914</v>
      </c>
      <c r="B1088">
        <v>3694.52</v>
      </c>
    </row>
    <row r="1089" spans="1:2">
      <c r="A1089" s="189">
        <v>40913</v>
      </c>
      <c r="B1089">
        <v>3734.24</v>
      </c>
    </row>
    <row r="1090" spans="1:2">
      <c r="A1090" s="189">
        <v>40912</v>
      </c>
      <c r="B1090">
        <v>3734.24</v>
      </c>
    </row>
    <row r="1091" spans="1:2">
      <c r="A1091" s="189">
        <v>40911</v>
      </c>
      <c r="B1091">
        <v>3813.7</v>
      </c>
    </row>
    <row r="1092" spans="1:2">
      <c r="A1092" s="189">
        <v>40907</v>
      </c>
      <c r="B1092">
        <v>3813.7</v>
      </c>
    </row>
    <row r="1093" spans="1:2">
      <c r="A1093" s="189">
        <v>40906</v>
      </c>
      <c r="B1093">
        <v>3773.18</v>
      </c>
    </row>
    <row r="1094" spans="1:2">
      <c r="A1094" s="189">
        <v>40905</v>
      </c>
      <c r="B1094">
        <v>3892.35</v>
      </c>
    </row>
    <row r="1095" spans="1:2">
      <c r="A1095" s="189">
        <v>40900</v>
      </c>
      <c r="B1095">
        <v>3773.97</v>
      </c>
    </row>
    <row r="1096" spans="1:2">
      <c r="A1096" s="189">
        <v>40899</v>
      </c>
      <c r="B1096">
        <v>3734.24</v>
      </c>
    </row>
    <row r="1097" spans="1:2">
      <c r="A1097" s="189">
        <v>40898</v>
      </c>
      <c r="B1097">
        <v>3654.79</v>
      </c>
    </row>
    <row r="1098" spans="1:2">
      <c r="A1098" s="189">
        <v>40897</v>
      </c>
      <c r="B1098">
        <v>3654.79</v>
      </c>
    </row>
    <row r="1099" spans="1:2">
      <c r="A1099" s="189">
        <v>40896</v>
      </c>
      <c r="B1099">
        <v>3575.34</v>
      </c>
    </row>
    <row r="1100" spans="1:2">
      <c r="A1100" s="189">
        <v>40892</v>
      </c>
      <c r="B1100">
        <v>3575.34</v>
      </c>
    </row>
    <row r="1101" spans="1:2">
      <c r="A1101" s="189">
        <v>40891</v>
      </c>
      <c r="B1101">
        <v>3686.57</v>
      </c>
    </row>
    <row r="1102" spans="1:2">
      <c r="A1102" s="189">
        <v>40890</v>
      </c>
      <c r="B1102">
        <v>3607.12</v>
      </c>
    </row>
    <row r="1103" spans="1:2">
      <c r="A1103" s="189">
        <v>40889</v>
      </c>
      <c r="B1103">
        <v>3607.12</v>
      </c>
    </row>
    <row r="1104" spans="1:2">
      <c r="A1104" s="189">
        <v>40886</v>
      </c>
      <c r="B1104">
        <v>3587.26</v>
      </c>
    </row>
    <row r="1105" spans="1:2">
      <c r="A1105" s="189">
        <v>40885</v>
      </c>
      <c r="B1105">
        <v>3595.2</v>
      </c>
    </row>
    <row r="1106" spans="1:2">
      <c r="A1106" s="189">
        <v>40884</v>
      </c>
      <c r="B1106">
        <v>3694.52</v>
      </c>
    </row>
    <row r="1107" spans="1:2">
      <c r="A1107" s="189">
        <v>40883</v>
      </c>
      <c r="B1107">
        <v>3417.23</v>
      </c>
    </row>
    <row r="1108" spans="1:2">
      <c r="A1108" s="189">
        <v>40882</v>
      </c>
      <c r="B1108">
        <v>3417.23</v>
      </c>
    </row>
    <row r="1109" spans="1:2">
      <c r="A1109" s="189">
        <v>40879</v>
      </c>
      <c r="B1109">
        <v>3376.71</v>
      </c>
    </row>
    <row r="1110" spans="1:2">
      <c r="A1110" s="189">
        <v>40878</v>
      </c>
      <c r="B1110">
        <v>3336.98</v>
      </c>
    </row>
    <row r="1111" spans="1:2">
      <c r="A1111" s="189">
        <v>40877</v>
      </c>
      <c r="B1111">
        <v>3336.98</v>
      </c>
    </row>
    <row r="1112" spans="1:2">
      <c r="A1112" s="189">
        <v>40876</v>
      </c>
      <c r="B1112">
        <v>3336.98</v>
      </c>
    </row>
    <row r="1113" spans="1:2">
      <c r="A1113" s="189">
        <v>40875</v>
      </c>
      <c r="B1113">
        <v>3335.4</v>
      </c>
    </row>
    <row r="1114" spans="1:2">
      <c r="A1114" s="189">
        <v>40872</v>
      </c>
      <c r="B1114">
        <v>3336.98</v>
      </c>
    </row>
    <row r="1115" spans="1:2">
      <c r="A1115" s="189">
        <v>40871</v>
      </c>
      <c r="B1115">
        <v>3313.15</v>
      </c>
    </row>
    <row r="1116" spans="1:2">
      <c r="A1116" s="189">
        <v>40870</v>
      </c>
      <c r="B1116">
        <v>3313.15</v>
      </c>
    </row>
    <row r="1117" spans="1:2">
      <c r="A1117" s="189">
        <v>40869</v>
      </c>
      <c r="B1117">
        <v>3313.15</v>
      </c>
    </row>
    <row r="1118" spans="1:2">
      <c r="A1118" s="189">
        <v>40868</v>
      </c>
      <c r="B1118">
        <v>3358.44</v>
      </c>
    </row>
    <row r="1119" spans="1:2">
      <c r="A1119" s="189">
        <v>40865</v>
      </c>
      <c r="B1119">
        <v>3404.52</v>
      </c>
    </row>
    <row r="1120" spans="1:2">
      <c r="A1120" s="189">
        <v>40864</v>
      </c>
      <c r="B1120">
        <v>3416.44</v>
      </c>
    </row>
    <row r="1121" spans="1:2">
      <c r="A1121" s="189">
        <v>40863</v>
      </c>
      <c r="B1121">
        <v>3416.44</v>
      </c>
    </row>
    <row r="1122" spans="1:2">
      <c r="A1122" s="189">
        <v>40862</v>
      </c>
      <c r="B1122">
        <v>3416.44</v>
      </c>
    </row>
    <row r="1123" spans="1:2">
      <c r="A1123" s="189">
        <v>40861</v>
      </c>
      <c r="B1123">
        <v>3376.71</v>
      </c>
    </row>
    <row r="1124" spans="1:2">
      <c r="A1124" s="189">
        <v>40858</v>
      </c>
      <c r="B1124">
        <v>3338.57</v>
      </c>
    </row>
    <row r="1125" spans="1:2">
      <c r="A1125" s="189">
        <v>40857</v>
      </c>
      <c r="B1125">
        <v>3338.57</v>
      </c>
    </row>
    <row r="1126" spans="1:2">
      <c r="A1126" s="189">
        <v>40856</v>
      </c>
      <c r="B1126">
        <v>3377.51</v>
      </c>
    </row>
    <row r="1127" spans="1:2">
      <c r="A1127" s="189">
        <v>40855</v>
      </c>
      <c r="B1127">
        <v>3436.3</v>
      </c>
    </row>
    <row r="1128" spans="1:2">
      <c r="A1128" s="189">
        <v>40854</v>
      </c>
      <c r="B1128">
        <v>3467.29</v>
      </c>
    </row>
    <row r="1129" spans="1:2">
      <c r="A1129" s="189">
        <v>40851</v>
      </c>
      <c r="B1129">
        <v>3495.89</v>
      </c>
    </row>
    <row r="1130" spans="1:2">
      <c r="A1130" s="189">
        <v>40850</v>
      </c>
      <c r="B1130">
        <v>3575.34</v>
      </c>
    </row>
    <row r="1131" spans="1:2">
      <c r="A1131" s="189">
        <v>40849</v>
      </c>
      <c r="B1131">
        <v>3444.24</v>
      </c>
    </row>
    <row r="1132" spans="1:2">
      <c r="A1132" s="189">
        <v>40848</v>
      </c>
      <c r="B1132">
        <v>3456.16</v>
      </c>
    </row>
    <row r="1133" spans="1:2">
      <c r="A1133" s="189">
        <v>40847</v>
      </c>
      <c r="B1133">
        <v>3384.66</v>
      </c>
    </row>
    <row r="1134" spans="1:2">
      <c r="A1134" s="189">
        <v>40844</v>
      </c>
      <c r="B1134">
        <v>3416.44</v>
      </c>
    </row>
    <row r="1135" spans="1:2">
      <c r="A1135" s="189">
        <v>40843</v>
      </c>
      <c r="B1135">
        <v>3358.44</v>
      </c>
    </row>
    <row r="1136" spans="1:2">
      <c r="A1136" s="189">
        <v>40842</v>
      </c>
      <c r="B1136">
        <v>3337.78</v>
      </c>
    </row>
    <row r="1137" spans="1:2">
      <c r="A1137" s="189">
        <v>40841</v>
      </c>
      <c r="B1137">
        <v>3336.98</v>
      </c>
    </row>
    <row r="1138" spans="1:2">
      <c r="A1138" s="189">
        <v>40840</v>
      </c>
      <c r="B1138">
        <v>3336.98</v>
      </c>
    </row>
    <row r="1139" spans="1:2">
      <c r="A1139" s="189">
        <v>40837</v>
      </c>
      <c r="B1139">
        <v>3336.98</v>
      </c>
    </row>
    <row r="1140" spans="1:2">
      <c r="A1140" s="189">
        <v>40836</v>
      </c>
      <c r="B1140">
        <v>3178.08</v>
      </c>
    </row>
    <row r="1141" spans="1:2">
      <c r="A1141" s="189">
        <v>40835</v>
      </c>
      <c r="B1141">
        <v>3138.35</v>
      </c>
    </row>
    <row r="1142" spans="1:2">
      <c r="A1142" s="189">
        <v>40834</v>
      </c>
      <c r="B1142">
        <v>3138.35</v>
      </c>
    </row>
    <row r="1143" spans="1:2">
      <c r="A1143" s="189">
        <v>40833</v>
      </c>
      <c r="B1143">
        <v>3139.94</v>
      </c>
    </row>
    <row r="1144" spans="1:2">
      <c r="A1144" s="189">
        <v>40830</v>
      </c>
      <c r="B1144">
        <v>3027.12</v>
      </c>
    </row>
    <row r="1145" spans="1:2">
      <c r="A1145" s="189">
        <v>40829</v>
      </c>
      <c r="B1145">
        <v>3019.18</v>
      </c>
    </row>
    <row r="1146" spans="1:2">
      <c r="A1146" s="189">
        <v>40828</v>
      </c>
      <c r="B1146">
        <v>3027.12</v>
      </c>
    </row>
    <row r="1147" spans="1:2">
      <c r="A1147" s="189">
        <v>40827</v>
      </c>
      <c r="B1147">
        <v>3019.18</v>
      </c>
    </row>
    <row r="1148" spans="1:2">
      <c r="A1148" s="189">
        <v>40826</v>
      </c>
      <c r="B1148">
        <v>3018.38</v>
      </c>
    </row>
    <row r="1149" spans="1:2">
      <c r="A1149" s="189">
        <v>40823</v>
      </c>
      <c r="B1149">
        <v>2947.67</v>
      </c>
    </row>
    <row r="1150" spans="1:2">
      <c r="A1150" s="189">
        <v>40822</v>
      </c>
      <c r="B1150">
        <v>2963.56</v>
      </c>
    </row>
    <row r="1151" spans="1:2">
      <c r="A1151" s="189">
        <v>40821</v>
      </c>
      <c r="B1151">
        <v>2963.56</v>
      </c>
    </row>
    <row r="1152" spans="1:2">
      <c r="A1152" s="189">
        <v>40820</v>
      </c>
      <c r="B1152">
        <v>2939.72</v>
      </c>
    </row>
    <row r="1153" spans="1:2">
      <c r="A1153" s="189">
        <v>40819</v>
      </c>
      <c r="B1153">
        <v>2975.48</v>
      </c>
    </row>
    <row r="1154" spans="1:2">
      <c r="A1154" s="189">
        <v>40816</v>
      </c>
      <c r="B1154">
        <v>2975.48</v>
      </c>
    </row>
    <row r="1155" spans="1:2">
      <c r="A1155" s="189">
        <v>40815</v>
      </c>
      <c r="B1155">
        <v>2959.59</v>
      </c>
    </row>
    <row r="1156" spans="1:2">
      <c r="A1156" s="189">
        <v>40814</v>
      </c>
      <c r="B1156">
        <v>2959.59</v>
      </c>
    </row>
    <row r="1157" spans="1:2">
      <c r="A1157" s="189">
        <v>40813</v>
      </c>
      <c r="B1157">
        <v>2963.56</v>
      </c>
    </row>
    <row r="1158" spans="1:2">
      <c r="A1158" s="189">
        <v>40812</v>
      </c>
      <c r="B1158">
        <v>2971.51</v>
      </c>
    </row>
    <row r="1159" spans="1:2">
      <c r="A1159" s="189">
        <v>40809</v>
      </c>
      <c r="B1159">
        <v>2971.51</v>
      </c>
    </row>
    <row r="1160" spans="1:2">
      <c r="A1160" s="189">
        <v>40808</v>
      </c>
      <c r="B1160">
        <v>2979.45</v>
      </c>
    </row>
    <row r="1161" spans="1:2">
      <c r="A1161" s="189">
        <v>40807</v>
      </c>
      <c r="B1161">
        <v>2979.45</v>
      </c>
    </row>
    <row r="1162" spans="1:2">
      <c r="A1162" s="189">
        <v>40806</v>
      </c>
      <c r="B1162">
        <v>3031.09</v>
      </c>
    </row>
    <row r="1163" spans="1:2">
      <c r="A1163" s="189">
        <v>40805</v>
      </c>
      <c r="B1163">
        <v>2995.34</v>
      </c>
    </row>
    <row r="1164" spans="1:2">
      <c r="A1164" s="189">
        <v>40802</v>
      </c>
      <c r="B1164">
        <v>2939.72</v>
      </c>
    </row>
    <row r="1165" spans="1:2">
      <c r="A1165" s="189">
        <v>40801</v>
      </c>
      <c r="B1165">
        <v>2860.27</v>
      </c>
    </row>
    <row r="1166" spans="1:2">
      <c r="A1166" s="189">
        <v>40800</v>
      </c>
      <c r="B1166">
        <v>3000.9</v>
      </c>
    </row>
    <row r="1167" spans="1:2">
      <c r="A1167" s="189">
        <v>40799</v>
      </c>
      <c r="B1167">
        <v>2980.25</v>
      </c>
    </row>
    <row r="1168" spans="1:2">
      <c r="A1168" s="189">
        <v>40798</v>
      </c>
      <c r="B1168">
        <v>2939.72</v>
      </c>
    </row>
    <row r="1169" spans="1:2">
      <c r="A1169" s="189">
        <v>40795</v>
      </c>
      <c r="B1169">
        <v>2943.7</v>
      </c>
    </row>
    <row r="1170" spans="1:2">
      <c r="A1170" s="189">
        <v>40794</v>
      </c>
      <c r="B1170">
        <v>3019.18</v>
      </c>
    </row>
    <row r="1171" spans="1:2">
      <c r="A1171" s="189">
        <v>40793</v>
      </c>
      <c r="B1171">
        <v>3011.23</v>
      </c>
    </row>
    <row r="1172" spans="1:2">
      <c r="A1172" s="189">
        <v>40792</v>
      </c>
      <c r="B1172">
        <v>3008.85</v>
      </c>
    </row>
    <row r="1173" spans="1:2">
      <c r="A1173" s="189">
        <v>40791</v>
      </c>
      <c r="B1173">
        <v>3008.85</v>
      </c>
    </row>
    <row r="1174" spans="1:2">
      <c r="A1174" s="189">
        <v>40788</v>
      </c>
      <c r="B1174">
        <v>2861.07</v>
      </c>
    </row>
    <row r="1175" spans="1:2">
      <c r="A1175" s="189">
        <v>40787</v>
      </c>
      <c r="B1175">
        <v>3019.18</v>
      </c>
    </row>
    <row r="1176" spans="1:2">
      <c r="A1176" s="189">
        <v>40786</v>
      </c>
      <c r="B1176">
        <v>3019.18</v>
      </c>
    </row>
    <row r="1177" spans="1:2">
      <c r="A1177" s="189">
        <v>40785</v>
      </c>
      <c r="B1177">
        <v>3011.23</v>
      </c>
    </row>
    <row r="1178" spans="1:2">
      <c r="A1178" s="189">
        <v>40784</v>
      </c>
      <c r="B1178">
        <v>3018.38</v>
      </c>
    </row>
    <row r="1179" spans="1:2">
      <c r="A1179" s="189">
        <v>40781</v>
      </c>
      <c r="B1179">
        <v>2979.45</v>
      </c>
    </row>
    <row r="1180" spans="1:2">
      <c r="A1180" s="189">
        <v>40780</v>
      </c>
      <c r="B1180">
        <v>2979.45</v>
      </c>
    </row>
    <row r="1181" spans="1:2">
      <c r="A1181" s="189">
        <v>40779</v>
      </c>
      <c r="B1181">
        <v>2919.86</v>
      </c>
    </row>
    <row r="1182" spans="1:2">
      <c r="A1182" s="189">
        <v>40778</v>
      </c>
      <c r="B1182">
        <v>2979.45</v>
      </c>
    </row>
    <row r="1183" spans="1:2">
      <c r="A1183" s="189">
        <v>40777</v>
      </c>
      <c r="B1183">
        <v>2979.45</v>
      </c>
    </row>
    <row r="1184" spans="1:2">
      <c r="A1184" s="189">
        <v>40774</v>
      </c>
      <c r="B1184">
        <v>2979.45</v>
      </c>
    </row>
    <row r="1185" spans="1:2">
      <c r="A1185" s="189">
        <v>40773</v>
      </c>
      <c r="B1185">
        <v>2979.45</v>
      </c>
    </row>
    <row r="1186" spans="1:2">
      <c r="A1186" s="189">
        <v>40772</v>
      </c>
      <c r="B1186">
        <v>2979.45</v>
      </c>
    </row>
    <row r="1187" spans="1:2">
      <c r="A1187" s="189">
        <v>40771</v>
      </c>
      <c r="B1187">
        <v>2919.86</v>
      </c>
    </row>
    <row r="1188" spans="1:2">
      <c r="A1188" s="189">
        <v>40770</v>
      </c>
      <c r="B1188">
        <v>2919.86</v>
      </c>
    </row>
    <row r="1189" spans="1:2">
      <c r="A1189" s="189">
        <v>40767</v>
      </c>
      <c r="B1189">
        <v>2939.72</v>
      </c>
    </row>
    <row r="1190" spans="1:2">
      <c r="A1190" s="189">
        <v>40766</v>
      </c>
      <c r="B1190">
        <v>2947.67</v>
      </c>
    </row>
    <row r="1191" spans="1:2">
      <c r="A1191" s="189">
        <v>40765</v>
      </c>
      <c r="B1191">
        <v>2941.31</v>
      </c>
    </row>
    <row r="1192" spans="1:2">
      <c r="A1192" s="189">
        <v>40763</v>
      </c>
      <c r="B1192">
        <v>2979.45</v>
      </c>
    </row>
    <row r="1193" spans="1:2">
      <c r="A1193" s="189">
        <v>40760</v>
      </c>
      <c r="B1193">
        <v>2979.45</v>
      </c>
    </row>
    <row r="1194" spans="1:2">
      <c r="A1194" s="189">
        <v>40759</v>
      </c>
      <c r="B1194">
        <v>2860.27</v>
      </c>
    </row>
    <row r="1195" spans="1:2">
      <c r="A1195" s="189">
        <v>40758</v>
      </c>
      <c r="B1195">
        <v>2979.45</v>
      </c>
    </row>
    <row r="1196" spans="1:2">
      <c r="A1196" s="189">
        <v>40757</v>
      </c>
      <c r="B1196">
        <v>2979.45</v>
      </c>
    </row>
    <row r="1197" spans="1:2">
      <c r="A1197" s="189">
        <v>40756</v>
      </c>
      <c r="B1197">
        <v>3011.23</v>
      </c>
    </row>
    <row r="1198" spans="1:2">
      <c r="A1198" s="189">
        <v>40753</v>
      </c>
      <c r="B1198">
        <v>3011.23</v>
      </c>
    </row>
    <row r="1199" spans="1:2">
      <c r="A1199" s="189">
        <v>40752</v>
      </c>
      <c r="B1199">
        <v>3011.23</v>
      </c>
    </row>
    <row r="1200" spans="1:2">
      <c r="A1200" s="189">
        <v>40751</v>
      </c>
      <c r="B1200">
        <v>3011.23</v>
      </c>
    </row>
    <row r="1201" spans="1:2">
      <c r="A1201" s="189">
        <v>40750</v>
      </c>
      <c r="B1201">
        <v>3010.44</v>
      </c>
    </row>
    <row r="1202" spans="1:2">
      <c r="A1202" s="189">
        <v>40749</v>
      </c>
      <c r="B1202">
        <v>3011.23</v>
      </c>
    </row>
    <row r="1203" spans="1:2">
      <c r="A1203" s="189">
        <v>40746</v>
      </c>
      <c r="B1203">
        <v>3007.26</v>
      </c>
    </row>
    <row r="1204" spans="1:2">
      <c r="A1204" s="189">
        <v>40745</v>
      </c>
      <c r="B1204">
        <v>3011.23</v>
      </c>
    </row>
    <row r="1205" spans="1:2">
      <c r="A1205" s="189">
        <v>40744</v>
      </c>
      <c r="B1205">
        <v>3019.18</v>
      </c>
    </row>
    <row r="1206" spans="1:2">
      <c r="A1206" s="189">
        <v>40743</v>
      </c>
      <c r="B1206">
        <v>2939.72</v>
      </c>
    </row>
    <row r="1207" spans="1:2">
      <c r="A1207" s="189">
        <v>40742</v>
      </c>
      <c r="B1207">
        <v>2939.72</v>
      </c>
    </row>
    <row r="1208" spans="1:2">
      <c r="A1208" s="189">
        <v>40739</v>
      </c>
      <c r="B1208">
        <v>2939.72</v>
      </c>
    </row>
    <row r="1209" spans="1:2">
      <c r="A1209" s="189">
        <v>40738</v>
      </c>
      <c r="B1209">
        <v>2939.72</v>
      </c>
    </row>
    <row r="1210" spans="1:2">
      <c r="A1210" s="189">
        <v>40737</v>
      </c>
      <c r="B1210">
        <v>2939.72</v>
      </c>
    </row>
    <row r="1211" spans="1:2">
      <c r="A1211" s="189">
        <v>40736</v>
      </c>
      <c r="B1211">
        <v>2939.72</v>
      </c>
    </row>
    <row r="1212" spans="1:2">
      <c r="A1212" s="189">
        <v>40735</v>
      </c>
      <c r="B1212">
        <v>2939.72</v>
      </c>
    </row>
    <row r="1213" spans="1:2">
      <c r="A1213" s="189">
        <v>40732</v>
      </c>
      <c r="B1213">
        <v>2939.72</v>
      </c>
    </row>
    <row r="1214" spans="1:2">
      <c r="A1214" s="189">
        <v>40731</v>
      </c>
      <c r="B1214">
        <v>2880.14</v>
      </c>
    </row>
    <row r="1215" spans="1:2">
      <c r="A1215" s="189">
        <v>40730</v>
      </c>
      <c r="B1215">
        <v>2879.34</v>
      </c>
    </row>
    <row r="1216" spans="1:2">
      <c r="A1216" s="189">
        <v>40729</v>
      </c>
      <c r="B1216">
        <v>2879.34</v>
      </c>
    </row>
    <row r="1217" spans="1:2">
      <c r="A1217" s="189">
        <v>40728</v>
      </c>
      <c r="B1217">
        <v>2821.34</v>
      </c>
    </row>
    <row r="1218" spans="1:2">
      <c r="A1218" s="189">
        <v>40725</v>
      </c>
      <c r="B1218">
        <v>2880.14</v>
      </c>
    </row>
    <row r="1219" spans="1:2">
      <c r="A1219" s="189">
        <v>40724</v>
      </c>
      <c r="B1219">
        <v>2876.96</v>
      </c>
    </row>
    <row r="1220" spans="1:2">
      <c r="A1220" s="189">
        <v>40723</v>
      </c>
      <c r="B1220">
        <v>2923.83</v>
      </c>
    </row>
    <row r="1221" spans="1:2">
      <c r="A1221" s="189">
        <v>40722</v>
      </c>
      <c r="B1221">
        <v>2931.78</v>
      </c>
    </row>
    <row r="1222" spans="1:2">
      <c r="A1222" s="189">
        <v>40721</v>
      </c>
      <c r="B1222">
        <v>2938.93</v>
      </c>
    </row>
    <row r="1223" spans="1:2">
      <c r="A1223" s="189">
        <v>40718</v>
      </c>
      <c r="B1223">
        <v>2910.33</v>
      </c>
    </row>
    <row r="1224" spans="1:2">
      <c r="A1224" s="189">
        <v>40717</v>
      </c>
      <c r="B1224">
        <v>2988.98</v>
      </c>
    </row>
    <row r="1225" spans="1:2">
      <c r="A1225" s="189">
        <v>40716</v>
      </c>
      <c r="B1225">
        <v>2910.33</v>
      </c>
    </row>
    <row r="1226" spans="1:2">
      <c r="A1226" s="189">
        <v>40715</v>
      </c>
      <c r="B1226">
        <v>2980.33</v>
      </c>
    </row>
    <row r="1227" spans="1:2">
      <c r="A1227" s="189">
        <v>40714</v>
      </c>
      <c r="B1227">
        <v>2988.98</v>
      </c>
    </row>
    <row r="1228" spans="1:2">
      <c r="A1228" s="189">
        <v>40711</v>
      </c>
      <c r="B1228">
        <v>2988.98</v>
      </c>
    </row>
    <row r="1229" spans="1:2">
      <c r="A1229" s="189">
        <v>40709</v>
      </c>
      <c r="B1229">
        <v>2988.98</v>
      </c>
    </row>
    <row r="1230" spans="1:2">
      <c r="A1230" s="189">
        <v>40708</v>
      </c>
      <c r="B1230">
        <v>2933.92</v>
      </c>
    </row>
    <row r="1231" spans="1:2">
      <c r="A1231" s="189">
        <v>40707</v>
      </c>
      <c r="B1231">
        <v>2949.66</v>
      </c>
    </row>
    <row r="1232" spans="1:2">
      <c r="A1232" s="189">
        <v>40704</v>
      </c>
      <c r="B1232">
        <v>2988.98</v>
      </c>
    </row>
    <row r="1233" spans="1:2">
      <c r="A1233" s="189">
        <v>40703</v>
      </c>
      <c r="B1233">
        <v>2929.99</v>
      </c>
    </row>
    <row r="1234" spans="1:2">
      <c r="A1234" s="189">
        <v>40702</v>
      </c>
      <c r="B1234">
        <v>2941.79</v>
      </c>
    </row>
    <row r="1235" spans="1:2">
      <c r="A1235" s="189">
        <v>40701</v>
      </c>
      <c r="B1235">
        <v>2949.66</v>
      </c>
    </row>
    <row r="1236" spans="1:2">
      <c r="A1236" s="189">
        <v>40700</v>
      </c>
      <c r="B1236">
        <v>2949.66</v>
      </c>
    </row>
    <row r="1237" spans="1:2">
      <c r="A1237" s="189">
        <v>40697</v>
      </c>
      <c r="B1237">
        <v>2949.66</v>
      </c>
    </row>
    <row r="1238" spans="1:2">
      <c r="A1238" s="189">
        <v>40696</v>
      </c>
      <c r="B1238">
        <v>2949.66</v>
      </c>
    </row>
    <row r="1239" spans="1:2">
      <c r="A1239" s="189">
        <v>40695</v>
      </c>
      <c r="B1239">
        <v>2949.66</v>
      </c>
    </row>
    <row r="1240" spans="1:2">
      <c r="A1240" s="189">
        <v>40694</v>
      </c>
      <c r="B1240">
        <v>2949.66</v>
      </c>
    </row>
    <row r="1241" spans="1:2">
      <c r="A1241" s="189">
        <v>40693</v>
      </c>
      <c r="B1241">
        <v>2886.73</v>
      </c>
    </row>
    <row r="1242" spans="1:2">
      <c r="A1242" s="189">
        <v>40690</v>
      </c>
      <c r="B1242">
        <v>2910.33</v>
      </c>
    </row>
    <row r="1243" spans="1:2">
      <c r="A1243" s="189">
        <v>40689</v>
      </c>
      <c r="B1243">
        <v>2900.1</v>
      </c>
    </row>
    <row r="1244" spans="1:2">
      <c r="A1244" s="189">
        <v>40688</v>
      </c>
      <c r="B1244">
        <v>2910.33</v>
      </c>
    </row>
    <row r="1245" spans="1:2">
      <c r="A1245" s="189">
        <v>40687</v>
      </c>
      <c r="B1245">
        <v>2879.65</v>
      </c>
    </row>
    <row r="1246" spans="1:2">
      <c r="A1246" s="189">
        <v>40686</v>
      </c>
      <c r="B1246">
        <v>2879.65</v>
      </c>
    </row>
    <row r="1247" spans="1:2">
      <c r="A1247" s="189">
        <v>40683</v>
      </c>
      <c r="B1247">
        <v>2910.33</v>
      </c>
    </row>
    <row r="1248" spans="1:2">
      <c r="A1248" s="189">
        <v>40682</v>
      </c>
      <c r="B1248">
        <v>2949.66</v>
      </c>
    </row>
    <row r="1249" spans="1:2">
      <c r="A1249" s="189">
        <v>40680</v>
      </c>
      <c r="B1249">
        <v>3012.58</v>
      </c>
    </row>
    <row r="1250" spans="1:2">
      <c r="A1250" s="189">
        <v>40679</v>
      </c>
      <c r="B1250">
        <v>3028.31</v>
      </c>
    </row>
    <row r="1251" spans="1:2">
      <c r="A1251" s="189">
        <v>40676</v>
      </c>
      <c r="B1251">
        <v>3044.05</v>
      </c>
    </row>
    <row r="1252" spans="1:2">
      <c r="A1252" s="189">
        <v>40675</v>
      </c>
      <c r="B1252">
        <v>3067.64</v>
      </c>
    </row>
    <row r="1253" spans="1:2">
      <c r="A1253" s="189">
        <v>40674</v>
      </c>
      <c r="B1253">
        <v>3087.31</v>
      </c>
    </row>
    <row r="1254" spans="1:2">
      <c r="A1254" s="189">
        <v>40673</v>
      </c>
      <c r="B1254">
        <v>3087.31</v>
      </c>
    </row>
    <row r="1255" spans="1:2">
      <c r="A1255" s="189">
        <v>40672</v>
      </c>
      <c r="B1255">
        <v>3146.3</v>
      </c>
    </row>
    <row r="1256" spans="1:2">
      <c r="A1256" s="189">
        <v>40669</v>
      </c>
      <c r="B1256">
        <v>3146.3</v>
      </c>
    </row>
    <row r="1257" spans="1:2">
      <c r="A1257" s="189">
        <v>40668</v>
      </c>
      <c r="B1257">
        <v>3138.43</v>
      </c>
    </row>
    <row r="1258" spans="1:2">
      <c r="A1258" s="189">
        <v>40667</v>
      </c>
      <c r="B1258">
        <v>3165.96</v>
      </c>
    </row>
    <row r="1259" spans="1:2">
      <c r="A1259" s="189">
        <v>40666</v>
      </c>
      <c r="B1259">
        <v>3146.3</v>
      </c>
    </row>
    <row r="1260" spans="1:2">
      <c r="A1260" s="189">
        <v>40662</v>
      </c>
      <c r="B1260">
        <v>3067.64</v>
      </c>
    </row>
    <row r="1261" spans="1:2">
      <c r="A1261" s="189">
        <v>40661</v>
      </c>
      <c r="B1261">
        <v>3067.64</v>
      </c>
    </row>
    <row r="1262" spans="1:2">
      <c r="A1262" s="189">
        <v>40659</v>
      </c>
      <c r="B1262">
        <v>3067.64</v>
      </c>
    </row>
    <row r="1263" spans="1:2">
      <c r="A1263" s="189">
        <v>40654</v>
      </c>
      <c r="B1263">
        <v>2996.85</v>
      </c>
    </row>
    <row r="1264" spans="1:2">
      <c r="A1264" s="189">
        <v>40653</v>
      </c>
      <c r="B1264">
        <v>3028.31</v>
      </c>
    </row>
    <row r="1265" spans="1:2">
      <c r="A1265" s="189">
        <v>40652</v>
      </c>
      <c r="B1265">
        <v>2988.98</v>
      </c>
    </row>
    <row r="1266" spans="1:2">
      <c r="A1266" s="189">
        <v>40651</v>
      </c>
      <c r="B1266">
        <v>2988.98</v>
      </c>
    </row>
    <row r="1267" spans="1:2">
      <c r="A1267" s="189">
        <v>40648</v>
      </c>
      <c r="B1267">
        <v>3008.65</v>
      </c>
    </row>
    <row r="1268" spans="1:2">
      <c r="A1268" s="189">
        <v>40647</v>
      </c>
      <c r="B1268">
        <v>3028.31</v>
      </c>
    </row>
    <row r="1269" spans="1:2">
      <c r="A1269" s="189">
        <v>40646</v>
      </c>
      <c r="B1269">
        <v>3028.31</v>
      </c>
    </row>
    <row r="1270" spans="1:2">
      <c r="A1270" s="189">
        <v>40645</v>
      </c>
      <c r="B1270">
        <v>3028.31</v>
      </c>
    </row>
    <row r="1271" spans="1:2">
      <c r="A1271" s="189">
        <v>40644</v>
      </c>
      <c r="B1271">
        <v>3028.31</v>
      </c>
    </row>
    <row r="1272" spans="1:2">
      <c r="A1272" s="189">
        <v>40641</v>
      </c>
      <c r="B1272">
        <v>3020.45</v>
      </c>
    </row>
    <row r="1273" spans="1:2">
      <c r="A1273" s="189">
        <v>40640</v>
      </c>
      <c r="B1273">
        <v>3028.31</v>
      </c>
    </row>
    <row r="1274" spans="1:2">
      <c r="A1274" s="189">
        <v>40639</v>
      </c>
      <c r="B1274">
        <v>3059.78</v>
      </c>
    </row>
    <row r="1275" spans="1:2">
      <c r="A1275" s="189">
        <v>40638</v>
      </c>
      <c r="B1275">
        <v>3059.78</v>
      </c>
    </row>
    <row r="1276" spans="1:2">
      <c r="A1276" s="189">
        <v>40637</v>
      </c>
      <c r="B1276">
        <v>3067.64</v>
      </c>
    </row>
    <row r="1277" spans="1:2">
      <c r="A1277" s="189">
        <v>40634</v>
      </c>
      <c r="B1277">
        <v>3067.64</v>
      </c>
    </row>
    <row r="1278" spans="1:2">
      <c r="A1278" s="189">
        <v>40633</v>
      </c>
      <c r="B1278">
        <v>3067.64</v>
      </c>
    </row>
    <row r="1279" spans="1:2">
      <c r="A1279" s="189">
        <v>40632</v>
      </c>
      <c r="B1279">
        <v>3067.64</v>
      </c>
    </row>
    <row r="1280" spans="1:2">
      <c r="A1280" s="189">
        <v>40631</v>
      </c>
      <c r="B1280">
        <v>3036.18</v>
      </c>
    </row>
    <row r="1281" spans="1:2">
      <c r="A1281" s="189">
        <v>40630</v>
      </c>
      <c r="B1281">
        <v>3042.47</v>
      </c>
    </row>
    <row r="1282" spans="1:2">
      <c r="A1282" s="189">
        <v>40627</v>
      </c>
      <c r="B1282">
        <v>2988.98</v>
      </c>
    </row>
    <row r="1283" spans="1:2">
      <c r="A1283" s="189">
        <v>40626</v>
      </c>
      <c r="B1283">
        <v>2988.98</v>
      </c>
    </row>
    <row r="1284" spans="1:2">
      <c r="A1284" s="189">
        <v>40625</v>
      </c>
      <c r="B1284">
        <v>2988.98</v>
      </c>
    </row>
    <row r="1285" spans="1:2">
      <c r="A1285" s="189">
        <v>40624</v>
      </c>
      <c r="B1285">
        <v>2988.98</v>
      </c>
    </row>
    <row r="1286" spans="1:2">
      <c r="A1286" s="189">
        <v>40620</v>
      </c>
      <c r="B1286">
        <v>2949.66</v>
      </c>
    </row>
    <row r="1287" spans="1:2">
      <c r="A1287" s="189">
        <v>40619</v>
      </c>
      <c r="B1287">
        <v>2988.98</v>
      </c>
    </row>
    <row r="1288" spans="1:2">
      <c r="A1288" s="189">
        <v>40618</v>
      </c>
      <c r="B1288">
        <v>3044.05</v>
      </c>
    </row>
    <row r="1289" spans="1:2">
      <c r="A1289" s="189">
        <v>40617</v>
      </c>
      <c r="B1289">
        <v>3044.05</v>
      </c>
    </row>
    <row r="1290" spans="1:2">
      <c r="A1290" s="189">
        <v>40616</v>
      </c>
      <c r="B1290">
        <v>2949.66</v>
      </c>
    </row>
    <row r="1291" spans="1:2">
      <c r="A1291" s="189">
        <v>40613</v>
      </c>
      <c r="B1291">
        <v>2985.05</v>
      </c>
    </row>
    <row r="1292" spans="1:2">
      <c r="A1292" s="189">
        <v>40612</v>
      </c>
      <c r="B1292">
        <v>2949.66</v>
      </c>
    </row>
    <row r="1293" spans="1:2">
      <c r="A1293" s="189">
        <v>40611</v>
      </c>
      <c r="B1293">
        <v>2988.98</v>
      </c>
    </row>
    <row r="1294" spans="1:2">
      <c r="A1294" s="189">
        <v>40610</v>
      </c>
      <c r="B1294">
        <v>2988.98</v>
      </c>
    </row>
    <row r="1295" spans="1:2">
      <c r="A1295" s="189">
        <v>40609</v>
      </c>
      <c r="B1295">
        <v>2914.26</v>
      </c>
    </row>
    <row r="1296" spans="1:2">
      <c r="A1296" s="189">
        <v>40606</v>
      </c>
      <c r="B1296">
        <v>2988.98</v>
      </c>
    </row>
    <row r="1297" spans="1:2">
      <c r="A1297" s="189">
        <v>40605</v>
      </c>
      <c r="B1297">
        <v>2911.11</v>
      </c>
    </row>
    <row r="1298" spans="1:2">
      <c r="A1298" s="189">
        <v>40604</v>
      </c>
      <c r="B1298">
        <v>2911.11</v>
      </c>
    </row>
    <row r="1299" spans="1:2">
      <c r="A1299" s="189">
        <v>40603</v>
      </c>
      <c r="B1299">
        <v>2949.66</v>
      </c>
    </row>
    <row r="1300" spans="1:2">
      <c r="A1300" s="189">
        <v>40602</v>
      </c>
      <c r="B1300">
        <v>2988.2</v>
      </c>
    </row>
    <row r="1301" spans="1:2">
      <c r="A1301" s="189">
        <v>40599</v>
      </c>
      <c r="B1301">
        <v>2949.66</v>
      </c>
    </row>
    <row r="1302" spans="1:2">
      <c r="A1302" s="189">
        <v>40598</v>
      </c>
      <c r="B1302">
        <v>2910.33</v>
      </c>
    </row>
    <row r="1303" spans="1:2">
      <c r="A1303" s="189">
        <v>40597</v>
      </c>
      <c r="B1303">
        <v>2958.31</v>
      </c>
    </row>
    <row r="1304" spans="1:2">
      <c r="A1304" s="189">
        <v>40596</v>
      </c>
      <c r="B1304">
        <v>2974.04</v>
      </c>
    </row>
    <row r="1305" spans="1:2">
      <c r="A1305" s="189">
        <v>40595</v>
      </c>
      <c r="B1305">
        <v>3036.18</v>
      </c>
    </row>
    <row r="1306" spans="1:2">
      <c r="A1306" s="189">
        <v>40592</v>
      </c>
      <c r="B1306">
        <v>2988.98</v>
      </c>
    </row>
    <row r="1307" spans="1:2">
      <c r="A1307" s="189">
        <v>40591</v>
      </c>
      <c r="B1307">
        <v>2987.41</v>
      </c>
    </row>
    <row r="1308" spans="1:2">
      <c r="A1308" s="189">
        <v>40590</v>
      </c>
      <c r="B1308">
        <v>2831.67</v>
      </c>
    </row>
    <row r="1309" spans="1:2">
      <c r="A1309" s="189">
        <v>40589</v>
      </c>
      <c r="B1309">
        <v>2800.21</v>
      </c>
    </row>
    <row r="1310" spans="1:2">
      <c r="A1310" s="189">
        <v>40588</v>
      </c>
      <c r="B1310">
        <v>2833.24</v>
      </c>
    </row>
    <row r="1311" spans="1:2">
      <c r="A1311" s="189">
        <v>40585</v>
      </c>
      <c r="B1311">
        <v>2871</v>
      </c>
    </row>
    <row r="1312" spans="1:2">
      <c r="A1312" s="189">
        <v>40584</v>
      </c>
      <c r="B1312">
        <v>2910.33</v>
      </c>
    </row>
    <row r="1313" spans="1:2">
      <c r="A1313" s="189">
        <v>40583</v>
      </c>
      <c r="B1313">
        <v>2910.33</v>
      </c>
    </row>
    <row r="1314" spans="1:2">
      <c r="A1314" s="189">
        <v>40582</v>
      </c>
      <c r="B1314">
        <v>2910.33</v>
      </c>
    </row>
    <row r="1315" spans="1:2">
      <c r="A1315" s="189">
        <v>40581</v>
      </c>
      <c r="B1315">
        <v>2910.33</v>
      </c>
    </row>
    <row r="1316" spans="1:2">
      <c r="A1316" s="189">
        <v>40578</v>
      </c>
      <c r="B1316">
        <v>2918.19</v>
      </c>
    </row>
    <row r="1317" spans="1:2">
      <c r="A1317" s="189">
        <v>40577</v>
      </c>
      <c r="B1317">
        <v>2910.33</v>
      </c>
    </row>
    <row r="1318" spans="1:2">
      <c r="A1318" s="189">
        <v>40576</v>
      </c>
      <c r="B1318">
        <v>2890.66</v>
      </c>
    </row>
    <row r="1319" spans="1:2">
      <c r="A1319" s="189">
        <v>40575</v>
      </c>
      <c r="B1319">
        <v>2800.21</v>
      </c>
    </row>
    <row r="1320" spans="1:2">
      <c r="A1320" s="189">
        <v>40574</v>
      </c>
      <c r="B1320">
        <v>2878.08</v>
      </c>
    </row>
    <row r="1321" spans="1:2">
      <c r="A1321" s="189">
        <v>40571</v>
      </c>
      <c r="B1321">
        <v>2886.73</v>
      </c>
    </row>
    <row r="1322" spans="1:2">
      <c r="A1322" s="189">
        <v>40570</v>
      </c>
      <c r="B1322">
        <v>2910.33</v>
      </c>
    </row>
    <row r="1323" spans="1:2">
      <c r="A1323" s="189">
        <v>40569</v>
      </c>
      <c r="B1323">
        <v>2902.46</v>
      </c>
    </row>
    <row r="1324" spans="1:2">
      <c r="A1324" s="189">
        <v>40568</v>
      </c>
      <c r="B1324">
        <v>2949.66</v>
      </c>
    </row>
    <row r="1325" spans="1:2">
      <c r="A1325" s="189">
        <v>40567</v>
      </c>
      <c r="B1325">
        <v>2949.66</v>
      </c>
    </row>
    <row r="1326" spans="1:2">
      <c r="A1326" s="189">
        <v>40564</v>
      </c>
      <c r="B1326">
        <v>2910.33</v>
      </c>
    </row>
    <row r="1327" spans="1:2">
      <c r="A1327" s="189">
        <v>40563</v>
      </c>
      <c r="B1327">
        <v>2910.33</v>
      </c>
    </row>
    <row r="1328" spans="1:2">
      <c r="A1328" s="189">
        <v>40562</v>
      </c>
      <c r="B1328">
        <v>2910.33</v>
      </c>
    </row>
    <row r="1329" spans="1:2">
      <c r="A1329" s="189">
        <v>40561</v>
      </c>
      <c r="B1329">
        <v>2949.66</v>
      </c>
    </row>
    <row r="1330" spans="1:2">
      <c r="A1330" s="189">
        <v>40560</v>
      </c>
      <c r="B1330">
        <v>2949.66</v>
      </c>
    </row>
    <row r="1331" spans="1:2">
      <c r="A1331" s="189">
        <v>40557</v>
      </c>
      <c r="B1331">
        <v>2949.66</v>
      </c>
    </row>
    <row r="1332" spans="1:2">
      <c r="A1332" s="189">
        <v>40556</v>
      </c>
      <c r="B1332">
        <v>2930.78</v>
      </c>
    </row>
    <row r="1333" spans="1:2">
      <c r="A1333" s="189">
        <v>40555</v>
      </c>
      <c r="B1333">
        <v>2915.05</v>
      </c>
    </row>
    <row r="1334" spans="1:2">
      <c r="A1334" s="189">
        <v>40554</v>
      </c>
      <c r="B1334">
        <v>2988.98</v>
      </c>
    </row>
    <row r="1335" spans="1:2">
      <c r="A1335" s="189">
        <v>40553</v>
      </c>
      <c r="B1335">
        <v>2988.98</v>
      </c>
    </row>
    <row r="1336" spans="1:2">
      <c r="A1336" s="189">
        <v>40550</v>
      </c>
      <c r="B1336">
        <v>2933.92</v>
      </c>
    </row>
    <row r="1337" spans="1:2">
      <c r="A1337" s="189">
        <v>40549</v>
      </c>
      <c r="B1337">
        <v>3005.3</v>
      </c>
    </row>
    <row r="1338" spans="1:2">
      <c r="A1338" s="189">
        <v>40548</v>
      </c>
      <c r="B1338">
        <v>3005.3</v>
      </c>
    </row>
    <row r="1339" spans="1:2">
      <c r="A1339" s="189">
        <v>40547</v>
      </c>
      <c r="B1339">
        <v>3005.3</v>
      </c>
    </row>
    <row r="1340" spans="1:2">
      <c r="A1340" s="189">
        <v>40546</v>
      </c>
      <c r="B1340">
        <v>3005.3</v>
      </c>
    </row>
    <row r="1341" spans="1:2">
      <c r="A1341" s="189">
        <v>40543</v>
      </c>
      <c r="B1341">
        <v>2892.6</v>
      </c>
    </row>
    <row r="1342" spans="1:2">
      <c r="A1342" s="189">
        <v>40542</v>
      </c>
      <c r="B1342">
        <v>2892.6</v>
      </c>
    </row>
    <row r="1343" spans="1:2">
      <c r="A1343" s="189">
        <v>40541</v>
      </c>
      <c r="B1343">
        <v>2888.85</v>
      </c>
    </row>
    <row r="1344" spans="1:2">
      <c r="A1344" s="189">
        <v>40540</v>
      </c>
      <c r="B1344">
        <v>2892.6</v>
      </c>
    </row>
    <row r="1345" spans="1:2">
      <c r="A1345" s="189">
        <v>40536</v>
      </c>
      <c r="B1345">
        <v>2817.47</v>
      </c>
    </row>
    <row r="1346" spans="1:2">
      <c r="A1346" s="189">
        <v>40535</v>
      </c>
      <c r="B1346">
        <v>2817.47</v>
      </c>
    </row>
    <row r="1347" spans="1:2">
      <c r="A1347" s="189">
        <v>40534</v>
      </c>
      <c r="B1347">
        <v>2818.22</v>
      </c>
    </row>
    <row r="1348" spans="1:2">
      <c r="A1348" s="189">
        <v>40533</v>
      </c>
      <c r="B1348">
        <v>2817.47</v>
      </c>
    </row>
    <row r="1349" spans="1:2">
      <c r="A1349" s="189">
        <v>40532</v>
      </c>
      <c r="B1349">
        <v>2779.9</v>
      </c>
    </row>
    <row r="1350" spans="1:2">
      <c r="A1350" s="189">
        <v>40529</v>
      </c>
      <c r="B1350">
        <v>2705.52</v>
      </c>
    </row>
    <row r="1351" spans="1:2">
      <c r="A1351" s="189">
        <v>40527</v>
      </c>
      <c r="B1351">
        <v>2877.58</v>
      </c>
    </row>
    <row r="1352" spans="1:2">
      <c r="A1352" s="189">
        <v>40526</v>
      </c>
      <c r="B1352">
        <v>2846.77</v>
      </c>
    </row>
    <row r="1353" spans="1:2">
      <c r="A1353" s="189">
        <v>40525</v>
      </c>
      <c r="B1353">
        <v>2794.93</v>
      </c>
    </row>
    <row r="1354" spans="1:2">
      <c r="A1354" s="189">
        <v>40522</v>
      </c>
      <c r="B1354">
        <v>2779.9</v>
      </c>
    </row>
    <row r="1355" spans="1:2">
      <c r="A1355" s="189">
        <v>40521</v>
      </c>
      <c r="B1355">
        <v>2708.53</v>
      </c>
    </row>
    <row r="1356" spans="1:2">
      <c r="A1356" s="189">
        <v>40520</v>
      </c>
      <c r="B1356">
        <v>2706.27</v>
      </c>
    </row>
    <row r="1357" spans="1:2">
      <c r="A1357" s="189">
        <v>40519</v>
      </c>
      <c r="B1357">
        <v>2704.77</v>
      </c>
    </row>
    <row r="1358" spans="1:2">
      <c r="A1358" s="189">
        <v>40518</v>
      </c>
      <c r="B1358">
        <v>2779.9</v>
      </c>
    </row>
    <row r="1359" spans="1:2">
      <c r="A1359" s="189">
        <v>40515</v>
      </c>
      <c r="B1359">
        <v>2784.41</v>
      </c>
    </row>
    <row r="1360" spans="1:2">
      <c r="A1360" s="189">
        <v>40514</v>
      </c>
      <c r="B1360">
        <v>2817.47</v>
      </c>
    </row>
    <row r="1361" spans="1:2">
      <c r="A1361" s="189">
        <v>40513</v>
      </c>
      <c r="B1361">
        <v>2817.47</v>
      </c>
    </row>
    <row r="1362" spans="1:2">
      <c r="A1362" s="189">
        <v>40512</v>
      </c>
      <c r="B1362">
        <v>2817.47</v>
      </c>
    </row>
    <row r="1363" spans="1:2">
      <c r="A1363" s="189">
        <v>40511</v>
      </c>
      <c r="B1363">
        <v>2779.9</v>
      </c>
    </row>
    <row r="1364" spans="1:2">
      <c r="A1364" s="189">
        <v>40508</v>
      </c>
      <c r="B1364">
        <v>2704.77</v>
      </c>
    </row>
    <row r="1365" spans="1:2">
      <c r="A1365" s="189">
        <v>40507</v>
      </c>
      <c r="B1365">
        <v>2704.77</v>
      </c>
    </row>
    <row r="1366" spans="1:2">
      <c r="A1366" s="189">
        <v>40506</v>
      </c>
      <c r="B1366">
        <v>2704.77</v>
      </c>
    </row>
    <row r="1367" spans="1:2">
      <c r="A1367" s="189">
        <v>40505</v>
      </c>
      <c r="B1367">
        <v>2704.77</v>
      </c>
    </row>
    <row r="1368" spans="1:2">
      <c r="A1368" s="189">
        <v>40504</v>
      </c>
      <c r="B1368">
        <v>2704.77</v>
      </c>
    </row>
    <row r="1369" spans="1:2">
      <c r="A1369" s="189">
        <v>40501</v>
      </c>
      <c r="B1369">
        <v>2779.9</v>
      </c>
    </row>
    <row r="1370" spans="1:2">
      <c r="A1370" s="189">
        <v>40500</v>
      </c>
      <c r="B1370">
        <v>2704.77</v>
      </c>
    </row>
    <row r="1371" spans="1:2">
      <c r="A1371" s="189">
        <v>40499</v>
      </c>
      <c r="B1371">
        <v>2667.2</v>
      </c>
    </row>
    <row r="1372" spans="1:2">
      <c r="A1372" s="189">
        <v>40498</v>
      </c>
      <c r="B1372">
        <v>2742.34</v>
      </c>
    </row>
    <row r="1373" spans="1:2">
      <c r="A1373" s="189">
        <v>40497</v>
      </c>
      <c r="B1373">
        <v>2794.93</v>
      </c>
    </row>
    <row r="1374" spans="1:2">
      <c r="A1374" s="189">
        <v>40494</v>
      </c>
      <c r="B1374">
        <v>2704.02</v>
      </c>
    </row>
    <row r="1375" spans="1:2">
      <c r="A1375" s="189">
        <v>40493</v>
      </c>
      <c r="B1375">
        <v>2710.03</v>
      </c>
    </row>
    <row r="1376" spans="1:2">
      <c r="A1376" s="189">
        <v>40492</v>
      </c>
      <c r="B1376">
        <v>2629.64</v>
      </c>
    </row>
    <row r="1377" spans="1:2">
      <c r="A1377" s="189">
        <v>40491</v>
      </c>
      <c r="B1377">
        <v>2704.77</v>
      </c>
    </row>
    <row r="1378" spans="1:2">
      <c r="A1378" s="189">
        <v>40490</v>
      </c>
      <c r="B1378">
        <v>2523.6999999999998</v>
      </c>
    </row>
    <row r="1379" spans="1:2">
      <c r="A1379" s="189">
        <v>40487</v>
      </c>
      <c r="B1379">
        <v>2441.81</v>
      </c>
    </row>
    <row r="1380" spans="1:2">
      <c r="A1380" s="189">
        <v>40486</v>
      </c>
      <c r="B1380">
        <v>2498.16</v>
      </c>
    </row>
    <row r="1381" spans="1:2">
      <c r="A1381" s="189">
        <v>40485</v>
      </c>
      <c r="B1381">
        <v>2498.16</v>
      </c>
    </row>
    <row r="1382" spans="1:2">
      <c r="A1382" s="189">
        <v>40484</v>
      </c>
      <c r="B1382">
        <v>2498.16</v>
      </c>
    </row>
    <row r="1383" spans="1:2">
      <c r="A1383" s="189">
        <v>40483</v>
      </c>
      <c r="B1383">
        <v>2479.37</v>
      </c>
    </row>
    <row r="1384" spans="1:2">
      <c r="A1384" s="189">
        <v>40480</v>
      </c>
      <c r="B1384">
        <v>2479.37</v>
      </c>
    </row>
    <row r="1385" spans="1:2">
      <c r="A1385" s="189">
        <v>40479</v>
      </c>
      <c r="B1385">
        <v>2479.37</v>
      </c>
    </row>
    <row r="1386" spans="1:2">
      <c r="A1386" s="189">
        <v>40478</v>
      </c>
      <c r="B1386">
        <v>2479.37</v>
      </c>
    </row>
    <row r="1387" spans="1:2">
      <c r="A1387" s="189">
        <v>40477</v>
      </c>
      <c r="B1387">
        <v>2479.37</v>
      </c>
    </row>
    <row r="1388" spans="1:2">
      <c r="A1388" s="189">
        <v>40476</v>
      </c>
      <c r="B1388">
        <v>2479.37</v>
      </c>
    </row>
    <row r="1389" spans="1:2">
      <c r="A1389" s="189">
        <v>40473</v>
      </c>
      <c r="B1389">
        <v>2478.62</v>
      </c>
    </row>
    <row r="1390" spans="1:2">
      <c r="A1390" s="189">
        <v>40472</v>
      </c>
      <c r="B1390">
        <v>2464.35</v>
      </c>
    </row>
    <row r="1391" spans="1:2">
      <c r="A1391" s="189">
        <v>40471</v>
      </c>
      <c r="B1391">
        <v>2471.11</v>
      </c>
    </row>
    <row r="1392" spans="1:2">
      <c r="A1392" s="189">
        <v>40470</v>
      </c>
      <c r="B1392">
        <v>2478.62</v>
      </c>
    </row>
    <row r="1393" spans="1:2">
      <c r="A1393" s="189">
        <v>40469</v>
      </c>
      <c r="B1393">
        <v>2478.62</v>
      </c>
    </row>
    <row r="1394" spans="1:2">
      <c r="A1394" s="189">
        <v>40466</v>
      </c>
      <c r="B1394">
        <v>2479.37</v>
      </c>
    </row>
    <row r="1395" spans="1:2">
      <c r="A1395" s="189">
        <v>40465</v>
      </c>
      <c r="B1395">
        <v>2479.37</v>
      </c>
    </row>
    <row r="1396" spans="1:2">
      <c r="A1396" s="189">
        <v>40464</v>
      </c>
      <c r="B1396">
        <v>2479.37</v>
      </c>
    </row>
    <row r="1397" spans="1:2">
      <c r="A1397" s="189">
        <v>40463</v>
      </c>
      <c r="B1397">
        <v>2516.94</v>
      </c>
    </row>
    <row r="1398" spans="1:2">
      <c r="A1398" s="189">
        <v>40462</v>
      </c>
      <c r="B1398">
        <v>2550.75</v>
      </c>
    </row>
    <row r="1399" spans="1:2">
      <c r="A1399" s="189">
        <v>40459</v>
      </c>
      <c r="B1399">
        <v>2592.0700000000002</v>
      </c>
    </row>
    <row r="1400" spans="1:2">
      <c r="A1400" s="189">
        <v>40458</v>
      </c>
      <c r="B1400">
        <v>2592.0700000000002</v>
      </c>
    </row>
    <row r="1401" spans="1:2">
      <c r="A1401" s="189">
        <v>40457</v>
      </c>
      <c r="B1401">
        <v>2629.64</v>
      </c>
    </row>
    <row r="1402" spans="1:2">
      <c r="A1402" s="189">
        <v>40456</v>
      </c>
      <c r="B1402">
        <v>2492.9</v>
      </c>
    </row>
    <row r="1403" spans="1:2">
      <c r="A1403" s="189">
        <v>40455</v>
      </c>
      <c r="B1403">
        <v>2479.37</v>
      </c>
    </row>
    <row r="1404" spans="1:2">
      <c r="A1404" s="189">
        <v>40452</v>
      </c>
      <c r="B1404">
        <v>2415.5100000000002</v>
      </c>
    </row>
    <row r="1405" spans="1:2">
      <c r="A1405" s="189">
        <v>40451</v>
      </c>
      <c r="B1405">
        <v>2404.2399999999998</v>
      </c>
    </row>
    <row r="1406" spans="1:2">
      <c r="A1406" s="189">
        <v>40450</v>
      </c>
      <c r="B1406">
        <v>2404.2399999999998</v>
      </c>
    </row>
    <row r="1407" spans="1:2">
      <c r="A1407" s="189">
        <v>40449</v>
      </c>
      <c r="B1407">
        <v>2329.11</v>
      </c>
    </row>
    <row r="1408" spans="1:2">
      <c r="A1408" s="189">
        <v>40448</v>
      </c>
      <c r="B1408">
        <v>2366.67</v>
      </c>
    </row>
    <row r="1409" spans="1:2">
      <c r="A1409" s="189">
        <v>40444</v>
      </c>
      <c r="B1409">
        <v>2366.67</v>
      </c>
    </row>
    <row r="1410" spans="1:2">
      <c r="A1410" s="189">
        <v>40443</v>
      </c>
      <c r="B1410">
        <v>2366.67</v>
      </c>
    </row>
    <row r="1411" spans="1:2">
      <c r="A1411" s="189">
        <v>40442</v>
      </c>
      <c r="B1411">
        <v>2329.11</v>
      </c>
    </row>
    <row r="1412" spans="1:2">
      <c r="A1412" s="189">
        <v>40441</v>
      </c>
      <c r="B1412">
        <v>2329.11</v>
      </c>
    </row>
    <row r="1413" spans="1:2">
      <c r="A1413" s="189">
        <v>40438</v>
      </c>
      <c r="B1413">
        <v>2329.11</v>
      </c>
    </row>
    <row r="1414" spans="1:2">
      <c r="A1414" s="189">
        <v>40437</v>
      </c>
      <c r="B1414">
        <v>2329.11</v>
      </c>
    </row>
    <row r="1415" spans="1:2">
      <c r="A1415" s="189">
        <v>40436</v>
      </c>
      <c r="B1415">
        <v>2329.11</v>
      </c>
    </row>
    <row r="1416" spans="1:2">
      <c r="A1416" s="189">
        <v>40435</v>
      </c>
      <c r="B1416">
        <v>2329.11</v>
      </c>
    </row>
    <row r="1417" spans="1:2">
      <c r="A1417" s="189">
        <v>40434</v>
      </c>
      <c r="B1417">
        <v>2328.36</v>
      </c>
    </row>
    <row r="1418" spans="1:2">
      <c r="A1418" s="189">
        <v>40431</v>
      </c>
      <c r="B1418">
        <v>2329.11</v>
      </c>
    </row>
    <row r="1419" spans="1:2">
      <c r="A1419" s="189">
        <v>40430</v>
      </c>
      <c r="B1419">
        <v>2329.11</v>
      </c>
    </row>
    <row r="1420" spans="1:2">
      <c r="A1420" s="189">
        <v>40429</v>
      </c>
      <c r="B1420">
        <v>2329.11</v>
      </c>
    </row>
    <row r="1421" spans="1:2">
      <c r="A1421" s="189">
        <v>40428</v>
      </c>
      <c r="B1421">
        <v>2404.2399999999998</v>
      </c>
    </row>
    <row r="1422" spans="1:2">
      <c r="A1422" s="189">
        <v>40427</v>
      </c>
      <c r="B1422">
        <v>2404.2399999999998</v>
      </c>
    </row>
    <row r="1423" spans="1:2">
      <c r="A1423" s="189">
        <v>40424</v>
      </c>
      <c r="B1423">
        <v>2329.11</v>
      </c>
    </row>
    <row r="1424" spans="1:2">
      <c r="A1424" s="189">
        <v>40423</v>
      </c>
      <c r="B1424">
        <v>2329.11</v>
      </c>
    </row>
    <row r="1425" spans="1:2">
      <c r="A1425" s="189">
        <v>40422</v>
      </c>
      <c r="B1425">
        <v>2327.61</v>
      </c>
    </row>
    <row r="1426" spans="1:2">
      <c r="A1426" s="189">
        <v>40421</v>
      </c>
      <c r="B1426">
        <v>2329.11</v>
      </c>
    </row>
    <row r="1427" spans="1:2">
      <c r="A1427" s="189">
        <v>40420</v>
      </c>
      <c r="B1427">
        <v>2321.59</v>
      </c>
    </row>
    <row r="1428" spans="1:2">
      <c r="A1428" s="189">
        <v>40417</v>
      </c>
      <c r="B1428">
        <v>2321.59</v>
      </c>
    </row>
    <row r="1429" spans="1:2">
      <c r="A1429" s="189">
        <v>40416</v>
      </c>
      <c r="B1429">
        <v>2328.36</v>
      </c>
    </row>
    <row r="1430" spans="1:2">
      <c r="A1430" s="189">
        <v>40415</v>
      </c>
      <c r="B1430">
        <v>2329.11</v>
      </c>
    </row>
    <row r="1431" spans="1:2">
      <c r="A1431" s="189">
        <v>40414</v>
      </c>
      <c r="B1431">
        <v>2329.11</v>
      </c>
    </row>
    <row r="1432" spans="1:2">
      <c r="A1432" s="189">
        <v>40413</v>
      </c>
      <c r="B1432">
        <v>2367.4299999999998</v>
      </c>
    </row>
    <row r="1433" spans="1:2">
      <c r="A1433" s="189">
        <v>40410</v>
      </c>
      <c r="B1433">
        <v>2329.11</v>
      </c>
    </row>
    <row r="1434" spans="1:2">
      <c r="A1434" s="189">
        <v>40409</v>
      </c>
      <c r="B1434">
        <v>2269</v>
      </c>
    </row>
    <row r="1435" spans="1:2">
      <c r="A1435" s="189">
        <v>40408</v>
      </c>
      <c r="B1435">
        <v>2253.98</v>
      </c>
    </row>
    <row r="1436" spans="1:2">
      <c r="A1436" s="189">
        <v>40407</v>
      </c>
      <c r="B1436">
        <v>2253.98</v>
      </c>
    </row>
    <row r="1437" spans="1:2">
      <c r="A1437" s="189">
        <v>40406</v>
      </c>
      <c r="B1437">
        <v>2253.98</v>
      </c>
    </row>
    <row r="1438" spans="1:2">
      <c r="A1438" s="189">
        <v>40403</v>
      </c>
      <c r="B1438">
        <v>2253.98</v>
      </c>
    </row>
    <row r="1439" spans="1:2">
      <c r="A1439" s="189">
        <v>40402</v>
      </c>
      <c r="B1439">
        <v>2253.98</v>
      </c>
    </row>
    <row r="1440" spans="1:2">
      <c r="A1440" s="189">
        <v>40401</v>
      </c>
      <c r="B1440">
        <v>2160.06</v>
      </c>
    </row>
    <row r="1441" spans="1:2">
      <c r="A1441" s="189">
        <v>40400</v>
      </c>
      <c r="B1441">
        <v>2160.06</v>
      </c>
    </row>
    <row r="1442" spans="1:2">
      <c r="A1442" s="189">
        <v>40396</v>
      </c>
      <c r="B1442">
        <v>2216.41</v>
      </c>
    </row>
    <row r="1443" spans="1:2">
      <c r="A1443" s="189">
        <v>40395</v>
      </c>
      <c r="B1443">
        <v>2216.41</v>
      </c>
    </row>
    <row r="1444" spans="1:2">
      <c r="A1444" s="189">
        <v>40394</v>
      </c>
      <c r="B1444">
        <v>2182.6</v>
      </c>
    </row>
    <row r="1445" spans="1:2">
      <c r="A1445" s="189">
        <v>40393</v>
      </c>
      <c r="B1445">
        <v>2205.14</v>
      </c>
    </row>
    <row r="1446" spans="1:2">
      <c r="A1446" s="189">
        <v>40392</v>
      </c>
      <c r="B1446">
        <v>2205.14</v>
      </c>
    </row>
    <row r="1447" spans="1:2">
      <c r="A1447" s="189">
        <v>40389</v>
      </c>
      <c r="B1447">
        <v>2193.87</v>
      </c>
    </row>
    <row r="1448" spans="1:2">
      <c r="A1448" s="189">
        <v>40388</v>
      </c>
      <c r="B1448">
        <v>2141.2800000000002</v>
      </c>
    </row>
    <row r="1449" spans="1:2">
      <c r="A1449" s="189">
        <v>40387</v>
      </c>
      <c r="B1449">
        <v>2141.2800000000002</v>
      </c>
    </row>
    <row r="1450" spans="1:2">
      <c r="A1450" s="189">
        <v>40386</v>
      </c>
      <c r="B1450">
        <v>2178.84</v>
      </c>
    </row>
    <row r="1451" spans="1:2">
      <c r="A1451" s="189">
        <v>40385</v>
      </c>
      <c r="B1451">
        <v>2178.84</v>
      </c>
    </row>
    <row r="1452" spans="1:2">
      <c r="A1452" s="189">
        <v>40382</v>
      </c>
      <c r="B1452">
        <v>2193.87</v>
      </c>
    </row>
    <row r="1453" spans="1:2">
      <c r="A1453" s="189">
        <v>40381</v>
      </c>
      <c r="B1453">
        <v>2193.87</v>
      </c>
    </row>
    <row r="1454" spans="1:2">
      <c r="A1454" s="189">
        <v>40380</v>
      </c>
      <c r="B1454">
        <v>2193.12</v>
      </c>
    </row>
    <row r="1455" spans="1:2">
      <c r="A1455" s="189">
        <v>40379</v>
      </c>
      <c r="B1455">
        <v>2193.12</v>
      </c>
    </row>
    <row r="1456" spans="1:2">
      <c r="A1456" s="189">
        <v>40378</v>
      </c>
      <c r="B1456">
        <v>2207.39</v>
      </c>
    </row>
    <row r="1457" spans="1:2">
      <c r="A1457" s="189">
        <v>40375</v>
      </c>
      <c r="B1457">
        <v>2253.2199999999998</v>
      </c>
    </row>
    <row r="1458" spans="1:2">
      <c r="A1458" s="189">
        <v>40374</v>
      </c>
      <c r="B1458">
        <v>2253.2199999999998</v>
      </c>
    </row>
    <row r="1459" spans="1:2">
      <c r="A1459" s="189">
        <v>40373</v>
      </c>
      <c r="B1459">
        <v>2280.27</v>
      </c>
    </row>
    <row r="1460" spans="1:2">
      <c r="A1460" s="189">
        <v>40372</v>
      </c>
      <c r="B1460">
        <v>2280.27</v>
      </c>
    </row>
    <row r="1461" spans="1:2">
      <c r="A1461" s="189">
        <v>40371</v>
      </c>
      <c r="B1461">
        <v>2269</v>
      </c>
    </row>
    <row r="1462" spans="1:2">
      <c r="A1462" s="189">
        <v>40368</v>
      </c>
      <c r="B1462">
        <v>2329.11</v>
      </c>
    </row>
    <row r="1463" spans="1:2">
      <c r="A1463" s="189">
        <v>40367</v>
      </c>
      <c r="B1463">
        <v>2253.98</v>
      </c>
    </row>
    <row r="1464" spans="1:2">
      <c r="A1464" s="189">
        <v>40366</v>
      </c>
      <c r="B1464">
        <v>2178.84</v>
      </c>
    </row>
    <row r="1465" spans="1:2">
      <c r="A1465" s="189">
        <v>40365</v>
      </c>
      <c r="B1465">
        <v>2178.84</v>
      </c>
    </row>
    <row r="1466" spans="1:2">
      <c r="A1466" s="189">
        <v>40364</v>
      </c>
      <c r="B1466">
        <v>2178.84</v>
      </c>
    </row>
    <row r="1467" spans="1:2">
      <c r="A1467" s="189">
        <v>40361</v>
      </c>
      <c r="B1467">
        <v>2178.84</v>
      </c>
    </row>
    <row r="1468" spans="1:2">
      <c r="A1468" s="189">
        <v>40360</v>
      </c>
      <c r="B1468">
        <v>2175.09</v>
      </c>
    </row>
    <row r="1469" spans="1:2">
      <c r="A1469" s="189">
        <v>40359</v>
      </c>
      <c r="B1469">
        <v>2175.09</v>
      </c>
    </row>
    <row r="1470" spans="1:2">
      <c r="A1470" s="189">
        <v>40358</v>
      </c>
      <c r="B1470">
        <v>2156.3000000000002</v>
      </c>
    </row>
    <row r="1471" spans="1:2">
      <c r="A1471" s="189">
        <v>40357</v>
      </c>
      <c r="B1471">
        <v>2160.06</v>
      </c>
    </row>
    <row r="1472" spans="1:2">
      <c r="A1472" s="189">
        <v>40354</v>
      </c>
      <c r="B1472">
        <v>2153.3000000000002</v>
      </c>
    </row>
    <row r="1473" spans="1:2">
      <c r="A1473" s="189">
        <v>40353</v>
      </c>
      <c r="B1473">
        <v>2078.2800000000002</v>
      </c>
    </row>
    <row r="1474" spans="1:2">
      <c r="A1474" s="189">
        <v>40352</v>
      </c>
      <c r="B1474">
        <v>2078.2800000000002</v>
      </c>
    </row>
    <row r="1475" spans="1:2">
      <c r="A1475" s="189">
        <v>40351</v>
      </c>
      <c r="B1475">
        <v>2079.7600000000002</v>
      </c>
    </row>
    <row r="1476" spans="1:2">
      <c r="A1476" s="189">
        <v>40350</v>
      </c>
      <c r="B1476">
        <v>2116.9</v>
      </c>
    </row>
    <row r="1477" spans="1:2">
      <c r="A1477" s="189">
        <v>40347</v>
      </c>
      <c r="B1477">
        <v>2042.62</v>
      </c>
    </row>
    <row r="1478" spans="1:2">
      <c r="A1478" s="189">
        <v>40346</v>
      </c>
      <c r="B1478">
        <v>2190.44</v>
      </c>
    </row>
    <row r="1479" spans="1:2">
      <c r="A1479" s="189">
        <v>40344</v>
      </c>
      <c r="B1479">
        <v>2228.3200000000002</v>
      </c>
    </row>
    <row r="1480" spans="1:2">
      <c r="A1480" s="189">
        <v>40343</v>
      </c>
      <c r="B1480">
        <v>2259.5100000000002</v>
      </c>
    </row>
    <row r="1481" spans="1:2">
      <c r="A1481" s="189">
        <v>40340</v>
      </c>
      <c r="B1481">
        <v>2259.5100000000002</v>
      </c>
    </row>
    <row r="1482" spans="1:2">
      <c r="A1482" s="189">
        <v>40339</v>
      </c>
      <c r="B1482">
        <v>2265.46</v>
      </c>
    </row>
    <row r="1483" spans="1:2">
      <c r="A1483" s="189">
        <v>40338</v>
      </c>
      <c r="B1483">
        <v>2209.75</v>
      </c>
    </row>
    <row r="1484" spans="1:2">
      <c r="A1484" s="189">
        <v>40337</v>
      </c>
      <c r="B1484">
        <v>2209.75</v>
      </c>
    </row>
    <row r="1485" spans="1:2">
      <c r="A1485" s="189">
        <v>40336</v>
      </c>
      <c r="B1485">
        <v>2338.9899999999998</v>
      </c>
    </row>
    <row r="1486" spans="1:2">
      <c r="A1486" s="189">
        <v>40333</v>
      </c>
      <c r="B1486">
        <v>2338.9899999999998</v>
      </c>
    </row>
    <row r="1487" spans="1:2">
      <c r="A1487" s="189">
        <v>40332</v>
      </c>
      <c r="B1487">
        <v>2338.9899999999998</v>
      </c>
    </row>
    <row r="1488" spans="1:2">
      <c r="A1488" s="189">
        <v>40331</v>
      </c>
      <c r="B1488">
        <v>2228.3200000000002</v>
      </c>
    </row>
    <row r="1489" spans="1:2">
      <c r="A1489" s="189">
        <v>40330</v>
      </c>
      <c r="B1489">
        <v>2205.29</v>
      </c>
    </row>
    <row r="1490" spans="1:2">
      <c r="A1490" s="189">
        <v>40329</v>
      </c>
      <c r="B1490">
        <v>2217.1799999999998</v>
      </c>
    </row>
    <row r="1491" spans="1:2">
      <c r="A1491" s="189">
        <v>40326</v>
      </c>
      <c r="B1491">
        <v>2217.1799999999998</v>
      </c>
    </row>
    <row r="1492" spans="1:2">
      <c r="A1492" s="189">
        <v>40325</v>
      </c>
      <c r="B1492">
        <v>2228.3200000000002</v>
      </c>
    </row>
    <row r="1493" spans="1:2">
      <c r="A1493" s="189">
        <v>40324</v>
      </c>
      <c r="B1493">
        <v>2220.89</v>
      </c>
    </row>
    <row r="1494" spans="1:2">
      <c r="A1494" s="189">
        <v>40323</v>
      </c>
      <c r="B1494">
        <v>2124.33</v>
      </c>
    </row>
    <row r="1495" spans="1:2">
      <c r="A1495" s="189">
        <v>40322</v>
      </c>
      <c r="B1495">
        <v>2124.33</v>
      </c>
    </row>
    <row r="1496" spans="1:2">
      <c r="A1496" s="189">
        <v>40319</v>
      </c>
      <c r="B1496">
        <v>2154.04</v>
      </c>
    </row>
    <row r="1497" spans="1:2">
      <c r="A1497" s="189">
        <v>40318</v>
      </c>
      <c r="B1497">
        <v>2154.04</v>
      </c>
    </row>
    <row r="1498" spans="1:2">
      <c r="A1498" s="189">
        <v>40317</v>
      </c>
      <c r="B1498">
        <v>2157.75</v>
      </c>
    </row>
    <row r="1499" spans="1:2">
      <c r="A1499" s="189">
        <v>40316</v>
      </c>
      <c r="B1499">
        <v>2332.31</v>
      </c>
    </row>
    <row r="1500" spans="1:2">
      <c r="A1500" s="189">
        <v>40315</v>
      </c>
      <c r="B1500">
        <v>2336.02</v>
      </c>
    </row>
    <row r="1501" spans="1:2">
      <c r="A1501" s="189">
        <v>40312</v>
      </c>
      <c r="B1501">
        <v>2229.06</v>
      </c>
    </row>
    <row r="1502" spans="1:2">
      <c r="A1502" s="189">
        <v>40311</v>
      </c>
      <c r="B1502">
        <v>2339.73</v>
      </c>
    </row>
    <row r="1503" spans="1:2">
      <c r="A1503" s="189">
        <v>40310</v>
      </c>
      <c r="B1503">
        <v>2339.73</v>
      </c>
    </row>
    <row r="1504" spans="1:2">
      <c r="A1504" s="189">
        <v>40309</v>
      </c>
      <c r="B1504">
        <v>2339.73</v>
      </c>
    </row>
    <row r="1505" spans="1:2">
      <c r="A1505" s="189">
        <v>40308</v>
      </c>
      <c r="B1505">
        <v>2339.73</v>
      </c>
    </row>
    <row r="1506" spans="1:2">
      <c r="A1506" s="189">
        <v>40305</v>
      </c>
      <c r="B1506">
        <v>2339.73</v>
      </c>
    </row>
    <row r="1507" spans="1:2">
      <c r="A1507" s="189">
        <v>40304</v>
      </c>
      <c r="B1507">
        <v>2339.73</v>
      </c>
    </row>
    <row r="1508" spans="1:2">
      <c r="A1508" s="189">
        <v>40303</v>
      </c>
      <c r="B1508">
        <v>2339.73</v>
      </c>
    </row>
    <row r="1509" spans="1:2">
      <c r="A1509" s="189">
        <v>40302</v>
      </c>
      <c r="B1509">
        <v>2376.87</v>
      </c>
    </row>
    <row r="1510" spans="1:2">
      <c r="A1510" s="189">
        <v>40301</v>
      </c>
      <c r="B1510">
        <v>2339.73</v>
      </c>
    </row>
    <row r="1511" spans="1:2">
      <c r="A1511" s="189">
        <v>40298</v>
      </c>
      <c r="B1511">
        <v>2376.13</v>
      </c>
    </row>
    <row r="1512" spans="1:2">
      <c r="A1512" s="189">
        <v>40297</v>
      </c>
      <c r="B1512">
        <v>2302.6</v>
      </c>
    </row>
    <row r="1513" spans="1:2">
      <c r="A1513" s="189">
        <v>40296</v>
      </c>
      <c r="B1513">
        <v>2347.16</v>
      </c>
    </row>
    <row r="1514" spans="1:2">
      <c r="A1514" s="189">
        <v>40294</v>
      </c>
      <c r="B1514">
        <v>2376.87</v>
      </c>
    </row>
    <row r="1515" spans="1:2">
      <c r="A1515" s="189">
        <v>40291</v>
      </c>
      <c r="B1515">
        <v>2376.87</v>
      </c>
    </row>
    <row r="1516" spans="1:2">
      <c r="A1516" s="189">
        <v>40290</v>
      </c>
      <c r="B1516">
        <v>2339.73</v>
      </c>
    </row>
    <row r="1517" spans="1:2">
      <c r="A1517" s="189">
        <v>40289</v>
      </c>
      <c r="B1517">
        <v>2339.73</v>
      </c>
    </row>
    <row r="1518" spans="1:2">
      <c r="A1518" s="189">
        <v>40288</v>
      </c>
      <c r="B1518">
        <v>2339.73</v>
      </c>
    </row>
    <row r="1519" spans="1:2">
      <c r="A1519" s="189">
        <v>40287</v>
      </c>
      <c r="B1519">
        <v>2368.6999999999998</v>
      </c>
    </row>
    <row r="1520" spans="1:2">
      <c r="A1520" s="189">
        <v>40284</v>
      </c>
      <c r="B1520">
        <v>2369.44</v>
      </c>
    </row>
    <row r="1521" spans="1:2">
      <c r="A1521" s="189">
        <v>40283</v>
      </c>
      <c r="B1521">
        <v>2369.44</v>
      </c>
    </row>
    <row r="1522" spans="1:2">
      <c r="A1522" s="189">
        <v>40282</v>
      </c>
      <c r="B1522">
        <v>2362.02</v>
      </c>
    </row>
    <row r="1523" spans="1:2">
      <c r="A1523" s="189">
        <v>40281</v>
      </c>
      <c r="B1523">
        <v>2265.46</v>
      </c>
    </row>
    <row r="1524" spans="1:2">
      <c r="A1524" s="189">
        <v>40280</v>
      </c>
      <c r="B1524">
        <v>2228.3200000000002</v>
      </c>
    </row>
    <row r="1525" spans="1:2">
      <c r="A1525" s="189">
        <v>40277</v>
      </c>
      <c r="B1525">
        <v>2228.3200000000002</v>
      </c>
    </row>
    <row r="1526" spans="1:2">
      <c r="A1526" s="189">
        <v>40276</v>
      </c>
      <c r="B1526">
        <v>2228.3200000000002</v>
      </c>
    </row>
    <row r="1527" spans="1:2">
      <c r="A1527" s="189">
        <v>40275</v>
      </c>
      <c r="B1527">
        <v>2228.3200000000002</v>
      </c>
    </row>
    <row r="1528" spans="1:2">
      <c r="A1528" s="189">
        <v>40274</v>
      </c>
      <c r="B1528">
        <v>2213.46</v>
      </c>
    </row>
    <row r="1529" spans="1:2">
      <c r="A1529" s="189">
        <v>40269</v>
      </c>
      <c r="B1529">
        <v>2210.4899999999998</v>
      </c>
    </row>
    <row r="1530" spans="1:2">
      <c r="A1530" s="189">
        <v>40268</v>
      </c>
      <c r="B1530">
        <v>2228.3200000000002</v>
      </c>
    </row>
    <row r="1531" spans="1:2">
      <c r="A1531" s="189">
        <v>40267</v>
      </c>
      <c r="B1531">
        <v>2217.1799999999998</v>
      </c>
    </row>
    <row r="1532" spans="1:2">
      <c r="A1532" s="189">
        <v>40266</v>
      </c>
      <c r="B1532">
        <v>2228.3200000000002</v>
      </c>
    </row>
    <row r="1533" spans="1:2">
      <c r="A1533" s="189">
        <v>40263</v>
      </c>
      <c r="B1533">
        <v>2228.3200000000002</v>
      </c>
    </row>
    <row r="1534" spans="1:2">
      <c r="A1534" s="189">
        <v>40262</v>
      </c>
      <c r="B1534">
        <v>2228.3200000000002</v>
      </c>
    </row>
    <row r="1535" spans="1:2">
      <c r="A1535" s="189">
        <v>40261</v>
      </c>
      <c r="B1535">
        <v>2249.86</v>
      </c>
    </row>
    <row r="1536" spans="1:2">
      <c r="A1536" s="189">
        <v>40260</v>
      </c>
      <c r="B1536">
        <v>2250.6</v>
      </c>
    </row>
    <row r="1537" spans="1:2">
      <c r="A1537" s="189">
        <v>40256</v>
      </c>
      <c r="B1537">
        <v>2250.6</v>
      </c>
    </row>
    <row r="1538" spans="1:2">
      <c r="A1538" s="189">
        <v>40255</v>
      </c>
      <c r="B1538">
        <v>2291.4499999999998</v>
      </c>
    </row>
    <row r="1539" spans="1:2">
      <c r="A1539" s="189">
        <v>40254</v>
      </c>
      <c r="B1539">
        <v>2302.6</v>
      </c>
    </row>
    <row r="1540" spans="1:2">
      <c r="A1540" s="189">
        <v>40253</v>
      </c>
      <c r="B1540">
        <v>2302.6</v>
      </c>
    </row>
    <row r="1541" spans="1:2">
      <c r="A1541" s="189">
        <v>40252</v>
      </c>
      <c r="B1541">
        <v>2346.42</v>
      </c>
    </row>
    <row r="1542" spans="1:2">
      <c r="A1542" s="189">
        <v>40249</v>
      </c>
      <c r="B1542">
        <v>2346.42</v>
      </c>
    </row>
    <row r="1543" spans="1:2">
      <c r="A1543" s="189">
        <v>40248</v>
      </c>
      <c r="B1543">
        <v>2362.02</v>
      </c>
    </row>
    <row r="1544" spans="1:2">
      <c r="A1544" s="189">
        <v>40247</v>
      </c>
      <c r="B1544">
        <v>2362.02</v>
      </c>
    </row>
    <row r="1545" spans="1:2">
      <c r="A1545" s="189">
        <v>40246</v>
      </c>
      <c r="B1545">
        <v>2374.64</v>
      </c>
    </row>
    <row r="1546" spans="1:2">
      <c r="A1546" s="189">
        <v>40245</v>
      </c>
      <c r="B1546">
        <v>2374.64</v>
      </c>
    </row>
    <row r="1547" spans="1:2">
      <c r="A1547" s="189">
        <v>40242</v>
      </c>
      <c r="B1547">
        <v>2376.87</v>
      </c>
    </row>
    <row r="1548" spans="1:2">
      <c r="A1548" s="189">
        <v>40241</v>
      </c>
      <c r="B1548">
        <v>2376.87</v>
      </c>
    </row>
    <row r="1549" spans="1:2">
      <c r="A1549" s="189">
        <v>40240</v>
      </c>
      <c r="B1549">
        <v>2376.87</v>
      </c>
    </row>
    <row r="1550" spans="1:2">
      <c r="A1550" s="189">
        <v>40239</v>
      </c>
      <c r="B1550">
        <v>2376.87</v>
      </c>
    </row>
    <row r="1551" spans="1:2">
      <c r="A1551" s="189">
        <v>40238</v>
      </c>
      <c r="B1551">
        <v>2228.3200000000002</v>
      </c>
    </row>
    <row r="1552" spans="1:2">
      <c r="A1552" s="189">
        <v>40235</v>
      </c>
      <c r="B1552">
        <v>2376.87</v>
      </c>
    </row>
    <row r="1553" spans="1:2">
      <c r="A1553" s="189">
        <v>40234</v>
      </c>
      <c r="B1553">
        <v>2376.87</v>
      </c>
    </row>
    <row r="1554" spans="1:2">
      <c r="A1554" s="189">
        <v>40233</v>
      </c>
      <c r="B1554">
        <v>2376.87</v>
      </c>
    </row>
    <row r="1555" spans="1:2">
      <c r="A1555" s="189">
        <v>40232</v>
      </c>
      <c r="B1555">
        <v>2376.87</v>
      </c>
    </row>
    <row r="1556" spans="1:2">
      <c r="A1556" s="189">
        <v>40231</v>
      </c>
      <c r="B1556">
        <v>2376.87</v>
      </c>
    </row>
    <row r="1557" spans="1:2">
      <c r="A1557" s="189">
        <v>40228</v>
      </c>
      <c r="B1557">
        <v>2317.4499999999998</v>
      </c>
    </row>
    <row r="1558" spans="1:2">
      <c r="A1558" s="189">
        <v>40227</v>
      </c>
      <c r="B1558">
        <v>2302.6</v>
      </c>
    </row>
    <row r="1559" spans="1:2">
      <c r="A1559" s="189">
        <v>40226</v>
      </c>
      <c r="B1559">
        <v>2443.7199999999998</v>
      </c>
    </row>
    <row r="1560" spans="1:2">
      <c r="A1560" s="189">
        <v>40225</v>
      </c>
      <c r="B1560">
        <v>2306.31</v>
      </c>
    </row>
    <row r="1561" spans="1:2">
      <c r="A1561" s="189">
        <v>40224</v>
      </c>
      <c r="B1561">
        <v>2405.84</v>
      </c>
    </row>
    <row r="1562" spans="1:2">
      <c r="A1562" s="189">
        <v>40221</v>
      </c>
      <c r="B1562">
        <v>2228.3200000000002</v>
      </c>
    </row>
    <row r="1563" spans="1:2">
      <c r="A1563" s="189">
        <v>40220</v>
      </c>
      <c r="B1563">
        <v>2284.0300000000002</v>
      </c>
    </row>
    <row r="1564" spans="1:2">
      <c r="A1564" s="189">
        <v>40219</v>
      </c>
      <c r="B1564">
        <v>2228.3200000000002</v>
      </c>
    </row>
    <row r="1565" spans="1:2">
      <c r="A1565" s="189">
        <v>40218</v>
      </c>
      <c r="B1565">
        <v>2206.0300000000002</v>
      </c>
    </row>
    <row r="1566" spans="1:2">
      <c r="A1566" s="189">
        <v>40217</v>
      </c>
      <c r="B1566">
        <v>2198.61</v>
      </c>
    </row>
    <row r="1567" spans="1:2">
      <c r="A1567" s="189">
        <v>40214</v>
      </c>
      <c r="B1567">
        <v>2302.6</v>
      </c>
    </row>
    <row r="1568" spans="1:2">
      <c r="A1568" s="189">
        <v>40213</v>
      </c>
      <c r="B1568">
        <v>2183.75</v>
      </c>
    </row>
    <row r="1569" spans="1:2">
      <c r="A1569" s="189">
        <v>40212</v>
      </c>
      <c r="B1569">
        <v>2191.1799999999998</v>
      </c>
    </row>
    <row r="1570" spans="1:2">
      <c r="A1570" s="189">
        <v>40211</v>
      </c>
      <c r="B1570">
        <v>2154.04</v>
      </c>
    </row>
    <row r="1571" spans="1:2">
      <c r="A1571" s="189">
        <v>40210</v>
      </c>
      <c r="B1571">
        <v>2154.04</v>
      </c>
    </row>
    <row r="1572" spans="1:2">
      <c r="A1572" s="189">
        <v>40207</v>
      </c>
      <c r="B1572">
        <v>2191.1799999999998</v>
      </c>
    </row>
    <row r="1573" spans="1:2">
      <c r="A1573" s="189">
        <v>40206</v>
      </c>
      <c r="B1573">
        <v>2154.04</v>
      </c>
    </row>
    <row r="1574" spans="1:2">
      <c r="A1574" s="189">
        <v>40205</v>
      </c>
      <c r="B1574">
        <v>2154.04</v>
      </c>
    </row>
    <row r="1575" spans="1:2">
      <c r="A1575" s="189">
        <v>40204</v>
      </c>
      <c r="B1575">
        <v>2154.04</v>
      </c>
    </row>
    <row r="1576" spans="1:2">
      <c r="A1576" s="189">
        <v>40203</v>
      </c>
      <c r="B1576">
        <v>2190.44</v>
      </c>
    </row>
    <row r="1577" spans="1:2">
      <c r="A1577" s="189">
        <v>40200</v>
      </c>
      <c r="B1577">
        <v>2154.04</v>
      </c>
    </row>
    <row r="1578" spans="1:2">
      <c r="A1578" s="189">
        <v>40199</v>
      </c>
      <c r="B1578">
        <v>2191.1799999999998</v>
      </c>
    </row>
    <row r="1579" spans="1:2">
      <c r="A1579" s="189">
        <v>40198</v>
      </c>
      <c r="B1579">
        <v>2191.1799999999998</v>
      </c>
    </row>
    <row r="1580" spans="1:2">
      <c r="A1580" s="189">
        <v>40197</v>
      </c>
      <c r="B1580">
        <v>2161.4699999999998</v>
      </c>
    </row>
    <row r="1581" spans="1:2">
      <c r="A1581" s="189">
        <v>40196</v>
      </c>
      <c r="B1581">
        <v>2168.9</v>
      </c>
    </row>
    <row r="1582" spans="1:2">
      <c r="A1582" s="189">
        <v>40193</v>
      </c>
      <c r="B1582">
        <v>2168.9</v>
      </c>
    </row>
    <row r="1583" spans="1:2">
      <c r="A1583" s="189">
        <v>40192</v>
      </c>
      <c r="B1583">
        <v>2168.9</v>
      </c>
    </row>
    <row r="1584" spans="1:2">
      <c r="A1584" s="189">
        <v>40191</v>
      </c>
      <c r="B1584">
        <v>2168.9</v>
      </c>
    </row>
    <row r="1585" spans="1:2">
      <c r="A1585" s="189">
        <v>40190</v>
      </c>
      <c r="B1585">
        <v>2191.1799999999998</v>
      </c>
    </row>
    <row r="1586" spans="1:2">
      <c r="A1586" s="189">
        <v>40189</v>
      </c>
      <c r="B1586">
        <v>2191.1799999999998</v>
      </c>
    </row>
    <row r="1587" spans="1:2">
      <c r="A1587" s="189">
        <v>40186</v>
      </c>
      <c r="B1587">
        <v>2215.69</v>
      </c>
    </row>
    <row r="1588" spans="1:2">
      <c r="A1588" s="189">
        <v>40185</v>
      </c>
      <c r="B1588">
        <v>2215.69</v>
      </c>
    </row>
    <row r="1589" spans="1:2">
      <c r="A1589" s="189">
        <v>40184</v>
      </c>
      <c r="B1589">
        <v>2228.3200000000002</v>
      </c>
    </row>
    <row r="1590" spans="1:2">
      <c r="A1590" s="189">
        <v>40183</v>
      </c>
      <c r="B1590">
        <v>2228.3200000000002</v>
      </c>
    </row>
    <row r="1591" spans="1:2">
      <c r="A1591" s="189">
        <v>40182</v>
      </c>
      <c r="B1591">
        <v>2228.3200000000002</v>
      </c>
    </row>
    <row r="1592" spans="1:2">
      <c r="A1592" s="189">
        <v>40178</v>
      </c>
      <c r="B1592">
        <v>2188.9499999999998</v>
      </c>
    </row>
    <row r="1593" spans="1:2">
      <c r="A1593" s="189">
        <v>40177</v>
      </c>
      <c r="B1593">
        <v>2187.54</v>
      </c>
    </row>
    <row r="1594" spans="1:2">
      <c r="A1594" s="189">
        <v>40176</v>
      </c>
      <c r="B1594">
        <v>2160.71</v>
      </c>
    </row>
    <row r="1595" spans="1:2">
      <c r="A1595" s="189">
        <v>40175</v>
      </c>
      <c r="B1595">
        <v>2259.56</v>
      </c>
    </row>
    <row r="1596" spans="1:2">
      <c r="A1596" s="189">
        <v>40171</v>
      </c>
      <c r="B1596">
        <v>2259.56</v>
      </c>
    </row>
    <row r="1597" spans="1:2">
      <c r="A1597" s="189">
        <v>40170</v>
      </c>
      <c r="B1597">
        <v>2259.56</v>
      </c>
    </row>
    <row r="1598" spans="1:2">
      <c r="A1598" s="189">
        <v>40169</v>
      </c>
      <c r="B1598">
        <v>2259.56</v>
      </c>
    </row>
    <row r="1599" spans="1:2">
      <c r="A1599" s="189">
        <v>40168</v>
      </c>
      <c r="B1599">
        <v>2259.56</v>
      </c>
    </row>
    <row r="1600" spans="1:2">
      <c r="A1600" s="189">
        <v>40165</v>
      </c>
      <c r="B1600">
        <v>2330.17</v>
      </c>
    </row>
    <row r="1601" spans="1:2">
      <c r="A1601" s="189">
        <v>40164</v>
      </c>
      <c r="B1601">
        <v>2012.42</v>
      </c>
    </row>
    <row r="1602" spans="1:2">
      <c r="A1602" s="189">
        <v>40162</v>
      </c>
      <c r="B1602">
        <v>2012.42</v>
      </c>
    </row>
    <row r="1603" spans="1:2">
      <c r="A1603" s="189">
        <v>40161</v>
      </c>
      <c r="B1603">
        <v>2047.73</v>
      </c>
    </row>
    <row r="1604" spans="1:2">
      <c r="A1604" s="189">
        <v>40158</v>
      </c>
      <c r="B1604">
        <v>1977.12</v>
      </c>
    </row>
    <row r="1605" spans="1:2">
      <c r="A1605" s="189">
        <v>40157</v>
      </c>
      <c r="B1605">
        <v>1998.3</v>
      </c>
    </row>
    <row r="1606" spans="1:2">
      <c r="A1606" s="189">
        <v>40156</v>
      </c>
      <c r="B1606">
        <v>1977.12</v>
      </c>
    </row>
    <row r="1607" spans="1:2">
      <c r="A1607" s="189">
        <v>40155</v>
      </c>
      <c r="B1607">
        <v>1977.12</v>
      </c>
    </row>
    <row r="1608" spans="1:2">
      <c r="A1608" s="189">
        <v>40154</v>
      </c>
      <c r="B1608">
        <v>1977.82</v>
      </c>
    </row>
    <row r="1609" spans="1:2">
      <c r="A1609" s="189">
        <v>40151</v>
      </c>
      <c r="B1609">
        <v>1977.12</v>
      </c>
    </row>
    <row r="1610" spans="1:2">
      <c r="A1610" s="189">
        <v>40150</v>
      </c>
      <c r="B1610">
        <v>2047.73</v>
      </c>
    </row>
    <row r="1611" spans="1:2">
      <c r="A1611" s="189">
        <v>40149</v>
      </c>
      <c r="B1611">
        <v>2061.85</v>
      </c>
    </row>
    <row r="1612" spans="1:2">
      <c r="A1612" s="189">
        <v>40148</v>
      </c>
      <c r="B1612">
        <v>2100.69</v>
      </c>
    </row>
    <row r="1613" spans="1:2">
      <c r="A1613" s="189">
        <v>40147</v>
      </c>
      <c r="B1613">
        <v>2107.75</v>
      </c>
    </row>
    <row r="1614" spans="1:2">
      <c r="A1614" s="189">
        <v>40144</v>
      </c>
      <c r="B1614">
        <v>2118.34</v>
      </c>
    </row>
    <row r="1615" spans="1:2">
      <c r="A1615" s="189">
        <v>40143</v>
      </c>
      <c r="B1615">
        <v>2075.9699999999998</v>
      </c>
    </row>
    <row r="1616" spans="1:2">
      <c r="A1616" s="189">
        <v>40142</v>
      </c>
      <c r="B1616">
        <v>2090.1</v>
      </c>
    </row>
    <row r="1617" spans="1:2">
      <c r="A1617" s="189">
        <v>40141</v>
      </c>
      <c r="B1617">
        <v>2100.69</v>
      </c>
    </row>
    <row r="1618" spans="1:2">
      <c r="A1618" s="189">
        <v>40140</v>
      </c>
      <c r="B1618">
        <v>2118.34</v>
      </c>
    </row>
    <row r="1619" spans="1:2">
      <c r="A1619" s="189">
        <v>40137</v>
      </c>
      <c r="B1619">
        <v>2090.1</v>
      </c>
    </row>
    <row r="1620" spans="1:2">
      <c r="A1620" s="189">
        <v>40136</v>
      </c>
      <c r="B1620">
        <v>2111.2800000000002</v>
      </c>
    </row>
    <row r="1621" spans="1:2">
      <c r="A1621" s="189">
        <v>40135</v>
      </c>
      <c r="B1621">
        <v>2111.2800000000002</v>
      </c>
    </row>
    <row r="1622" spans="1:2">
      <c r="A1622" s="189">
        <v>40134</v>
      </c>
      <c r="B1622">
        <v>2083.0300000000002</v>
      </c>
    </row>
    <row r="1623" spans="1:2">
      <c r="A1623" s="189">
        <v>40133</v>
      </c>
      <c r="B1623">
        <v>2083.0300000000002</v>
      </c>
    </row>
    <row r="1624" spans="1:2">
      <c r="A1624" s="189">
        <v>40130</v>
      </c>
      <c r="B1624">
        <v>1991.24</v>
      </c>
    </row>
    <row r="1625" spans="1:2">
      <c r="A1625" s="189">
        <v>40129</v>
      </c>
      <c r="B1625">
        <v>1906.51</v>
      </c>
    </row>
    <row r="1626" spans="1:2">
      <c r="A1626" s="189">
        <v>40128</v>
      </c>
      <c r="B1626">
        <v>1924.86</v>
      </c>
    </row>
    <row r="1627" spans="1:2">
      <c r="A1627" s="189">
        <v>40127</v>
      </c>
      <c r="B1627">
        <v>1977.12</v>
      </c>
    </row>
    <row r="1628" spans="1:2">
      <c r="A1628" s="189">
        <v>40126</v>
      </c>
      <c r="B1628">
        <v>1977.12</v>
      </c>
    </row>
    <row r="1629" spans="1:2">
      <c r="A1629" s="189">
        <v>40123</v>
      </c>
      <c r="B1629">
        <v>1977.12</v>
      </c>
    </row>
    <row r="1630" spans="1:2">
      <c r="A1630" s="189">
        <v>40122</v>
      </c>
      <c r="B1630">
        <v>1976.41</v>
      </c>
    </row>
    <row r="1631" spans="1:2">
      <c r="A1631" s="189">
        <v>40121</v>
      </c>
      <c r="B1631">
        <v>2011.72</v>
      </c>
    </row>
    <row r="1632" spans="1:2">
      <c r="A1632" s="189">
        <v>40120</v>
      </c>
      <c r="B1632">
        <v>2104.2199999999998</v>
      </c>
    </row>
    <row r="1633" spans="1:2">
      <c r="A1633" s="189">
        <v>40119</v>
      </c>
      <c r="B1633">
        <v>2013.13</v>
      </c>
    </row>
    <row r="1634" spans="1:2">
      <c r="A1634" s="189">
        <v>40116</v>
      </c>
      <c r="B1634">
        <v>2104.2199999999998</v>
      </c>
    </row>
    <row r="1635" spans="1:2">
      <c r="A1635" s="189">
        <v>40115</v>
      </c>
      <c r="B1635">
        <v>2104.2199999999998</v>
      </c>
    </row>
    <row r="1636" spans="1:2">
      <c r="A1636" s="189">
        <v>40114</v>
      </c>
      <c r="B1636">
        <v>2104.2199999999998</v>
      </c>
    </row>
    <row r="1637" spans="1:2">
      <c r="A1637" s="189">
        <v>40113</v>
      </c>
      <c r="B1637">
        <v>2104.2199999999998</v>
      </c>
    </row>
    <row r="1638" spans="1:2">
      <c r="A1638" s="189">
        <v>40112</v>
      </c>
      <c r="B1638">
        <v>2104.2199999999998</v>
      </c>
    </row>
    <row r="1639" spans="1:2">
      <c r="A1639" s="189">
        <v>40109</v>
      </c>
      <c r="B1639">
        <v>2104.2199999999998</v>
      </c>
    </row>
    <row r="1640" spans="1:2">
      <c r="A1640" s="189">
        <v>40108</v>
      </c>
      <c r="B1640">
        <v>2104.2199999999998</v>
      </c>
    </row>
    <row r="1641" spans="1:2">
      <c r="A1641" s="189">
        <v>40107</v>
      </c>
      <c r="B1641">
        <v>2083.0300000000002</v>
      </c>
    </row>
    <row r="1642" spans="1:2">
      <c r="A1642" s="189">
        <v>40106</v>
      </c>
      <c r="B1642">
        <v>2111.2800000000002</v>
      </c>
    </row>
    <row r="1643" spans="1:2">
      <c r="A1643" s="189">
        <v>40105</v>
      </c>
      <c r="B1643">
        <v>2111.2800000000002</v>
      </c>
    </row>
    <row r="1644" spans="1:2">
      <c r="A1644" s="189">
        <v>40102</v>
      </c>
      <c r="B1644">
        <v>2111.2800000000002</v>
      </c>
    </row>
    <row r="1645" spans="1:2">
      <c r="A1645" s="189">
        <v>40101</v>
      </c>
      <c r="B1645">
        <v>2118.34</v>
      </c>
    </row>
    <row r="1646" spans="1:2">
      <c r="A1646" s="189">
        <v>40100</v>
      </c>
      <c r="B1646">
        <v>2061.14</v>
      </c>
    </row>
    <row r="1647" spans="1:2">
      <c r="A1647" s="189">
        <v>40099</v>
      </c>
      <c r="B1647">
        <v>1977.12</v>
      </c>
    </row>
    <row r="1648" spans="1:2">
      <c r="A1648" s="189">
        <v>40098</v>
      </c>
      <c r="B1648">
        <v>1906.51</v>
      </c>
    </row>
    <row r="1649" spans="1:2">
      <c r="A1649" s="189">
        <v>40095</v>
      </c>
      <c r="B1649">
        <v>1906.51</v>
      </c>
    </row>
    <row r="1650" spans="1:2">
      <c r="A1650" s="189">
        <v>40094</v>
      </c>
      <c r="B1650">
        <v>1853.55</v>
      </c>
    </row>
    <row r="1651" spans="1:2">
      <c r="A1651" s="189">
        <v>40093</v>
      </c>
      <c r="B1651">
        <v>1853.55</v>
      </c>
    </row>
    <row r="1652" spans="1:2">
      <c r="A1652" s="189">
        <v>40092</v>
      </c>
      <c r="B1652">
        <v>1853.55</v>
      </c>
    </row>
    <row r="1653" spans="1:2">
      <c r="A1653" s="189">
        <v>40091</v>
      </c>
      <c r="B1653">
        <v>1853.55</v>
      </c>
    </row>
    <row r="1654" spans="1:2">
      <c r="A1654" s="189">
        <v>40088</v>
      </c>
      <c r="B1654">
        <v>1853.55</v>
      </c>
    </row>
    <row r="1655" spans="1:2">
      <c r="A1655" s="189">
        <v>40087</v>
      </c>
      <c r="B1655">
        <v>1853.55</v>
      </c>
    </row>
    <row r="1656" spans="1:2">
      <c r="A1656" s="189">
        <v>40086</v>
      </c>
      <c r="B1656">
        <v>1853.55</v>
      </c>
    </row>
    <row r="1657" spans="1:2">
      <c r="A1657" s="189">
        <v>40085</v>
      </c>
      <c r="B1657">
        <v>1853.55</v>
      </c>
    </row>
    <row r="1658" spans="1:2">
      <c r="A1658" s="189">
        <v>40084</v>
      </c>
      <c r="B1658">
        <v>1871.2</v>
      </c>
    </row>
    <row r="1659" spans="1:2">
      <c r="A1659" s="189">
        <v>40081</v>
      </c>
      <c r="B1659">
        <v>1871.2</v>
      </c>
    </row>
    <row r="1660" spans="1:2">
      <c r="A1660" s="189">
        <v>40079</v>
      </c>
      <c r="B1660">
        <v>1832.36</v>
      </c>
    </row>
    <row r="1661" spans="1:2">
      <c r="A1661" s="189">
        <v>40078</v>
      </c>
      <c r="B1661">
        <v>1832.36</v>
      </c>
    </row>
    <row r="1662" spans="1:2">
      <c r="A1662" s="189">
        <v>40077</v>
      </c>
      <c r="B1662">
        <v>1828.83</v>
      </c>
    </row>
    <row r="1663" spans="1:2">
      <c r="A1663" s="189">
        <v>40074</v>
      </c>
      <c r="B1663">
        <v>1832.36</v>
      </c>
    </row>
    <row r="1664" spans="1:2">
      <c r="A1664" s="189">
        <v>40073</v>
      </c>
      <c r="B1664">
        <v>1832.36</v>
      </c>
    </row>
    <row r="1665" spans="1:2">
      <c r="A1665" s="189">
        <v>40072</v>
      </c>
      <c r="B1665">
        <v>1870.49</v>
      </c>
    </row>
    <row r="1666" spans="1:2">
      <c r="A1666" s="189">
        <v>40071</v>
      </c>
      <c r="B1666">
        <v>1870.49</v>
      </c>
    </row>
    <row r="1667" spans="1:2">
      <c r="A1667" s="189">
        <v>40070</v>
      </c>
      <c r="B1667">
        <v>1870.49</v>
      </c>
    </row>
    <row r="1668" spans="1:2">
      <c r="A1668" s="189">
        <v>40067</v>
      </c>
      <c r="B1668">
        <v>1839.42</v>
      </c>
    </row>
    <row r="1669" spans="1:2">
      <c r="A1669" s="189">
        <v>40066</v>
      </c>
      <c r="B1669">
        <v>1853.55</v>
      </c>
    </row>
    <row r="1670" spans="1:2">
      <c r="A1670" s="189">
        <v>40065</v>
      </c>
      <c r="B1670">
        <v>1853.55</v>
      </c>
    </row>
    <row r="1671" spans="1:2">
      <c r="A1671" s="189">
        <v>40064</v>
      </c>
      <c r="B1671">
        <v>1835.89</v>
      </c>
    </row>
    <row r="1672" spans="1:2">
      <c r="A1672" s="189">
        <v>40063</v>
      </c>
      <c r="B1672">
        <v>1835.89</v>
      </c>
    </row>
    <row r="1673" spans="1:2">
      <c r="A1673" s="189">
        <v>40060</v>
      </c>
      <c r="B1673">
        <v>1835.89</v>
      </c>
    </row>
    <row r="1674" spans="1:2">
      <c r="A1674" s="189">
        <v>40059</v>
      </c>
      <c r="B1674">
        <v>1765.28</v>
      </c>
    </row>
    <row r="1675" spans="1:2">
      <c r="A1675" s="189">
        <v>40058</v>
      </c>
      <c r="B1675">
        <v>1729.98</v>
      </c>
    </row>
    <row r="1676" spans="1:2">
      <c r="A1676" s="189">
        <v>40057</v>
      </c>
      <c r="B1676">
        <v>1695.38</v>
      </c>
    </row>
    <row r="1677" spans="1:2">
      <c r="A1677" s="189">
        <v>40056</v>
      </c>
      <c r="B1677">
        <v>1729.98</v>
      </c>
    </row>
    <row r="1678" spans="1:2">
      <c r="A1678" s="189">
        <v>40053</v>
      </c>
      <c r="B1678">
        <v>1729.98</v>
      </c>
    </row>
    <row r="1679" spans="1:2">
      <c r="A1679" s="189">
        <v>40052</v>
      </c>
      <c r="B1679">
        <v>1729.98</v>
      </c>
    </row>
    <row r="1680" spans="1:2">
      <c r="A1680" s="189">
        <v>40051</v>
      </c>
      <c r="B1680">
        <v>1729.98</v>
      </c>
    </row>
    <row r="1681" spans="1:2">
      <c r="A1681" s="189">
        <v>40050</v>
      </c>
      <c r="B1681">
        <v>1729.98</v>
      </c>
    </row>
    <row r="1682" spans="1:2">
      <c r="A1682" s="189">
        <v>40049</v>
      </c>
      <c r="B1682">
        <v>1729.98</v>
      </c>
    </row>
    <row r="1683" spans="1:2">
      <c r="A1683" s="189">
        <v>40046</v>
      </c>
      <c r="B1683">
        <v>1729.98</v>
      </c>
    </row>
    <row r="1684" spans="1:2">
      <c r="A1684" s="189">
        <v>40045</v>
      </c>
      <c r="B1684">
        <v>1729.98</v>
      </c>
    </row>
    <row r="1685" spans="1:2">
      <c r="A1685" s="189">
        <v>40044</v>
      </c>
      <c r="B1685">
        <v>1722.92</v>
      </c>
    </row>
    <row r="1686" spans="1:2">
      <c r="A1686" s="189">
        <v>40043</v>
      </c>
      <c r="B1686">
        <v>1744.1</v>
      </c>
    </row>
    <row r="1687" spans="1:2">
      <c r="A1687" s="189">
        <v>40042</v>
      </c>
      <c r="B1687">
        <v>1799.88</v>
      </c>
    </row>
    <row r="1688" spans="1:2">
      <c r="A1688" s="189">
        <v>40039</v>
      </c>
      <c r="B1688">
        <v>1799.88</v>
      </c>
    </row>
    <row r="1689" spans="1:2">
      <c r="A1689" s="189">
        <v>40038</v>
      </c>
      <c r="B1689">
        <v>1799.88</v>
      </c>
    </row>
    <row r="1690" spans="1:2">
      <c r="A1690" s="189">
        <v>40037</v>
      </c>
      <c r="B1690">
        <v>1800.59</v>
      </c>
    </row>
    <row r="1691" spans="1:2">
      <c r="A1691" s="189">
        <v>40036</v>
      </c>
      <c r="B1691">
        <v>1800.59</v>
      </c>
    </row>
    <row r="1692" spans="1:2">
      <c r="A1692" s="189">
        <v>40032</v>
      </c>
      <c r="B1692">
        <v>1765.28</v>
      </c>
    </row>
    <row r="1693" spans="1:2">
      <c r="A1693" s="189">
        <v>40031</v>
      </c>
      <c r="B1693">
        <v>1729.98</v>
      </c>
    </row>
    <row r="1694" spans="1:2">
      <c r="A1694" s="189">
        <v>40030</v>
      </c>
      <c r="B1694">
        <v>1729.98</v>
      </c>
    </row>
    <row r="1695" spans="1:2">
      <c r="A1695" s="189">
        <v>40029</v>
      </c>
      <c r="B1695">
        <v>1765.28</v>
      </c>
    </row>
    <row r="1696" spans="1:2">
      <c r="A1696" s="189">
        <v>40028</v>
      </c>
      <c r="B1696">
        <v>1782.94</v>
      </c>
    </row>
    <row r="1697" spans="1:2">
      <c r="A1697" s="189">
        <v>40025</v>
      </c>
      <c r="B1697">
        <v>1764.58</v>
      </c>
    </row>
    <row r="1698" spans="1:2">
      <c r="A1698" s="189">
        <v>40024</v>
      </c>
      <c r="B1698">
        <v>1765.28</v>
      </c>
    </row>
    <row r="1699" spans="1:2">
      <c r="A1699" s="189">
        <v>40023</v>
      </c>
      <c r="B1699">
        <v>1765.28</v>
      </c>
    </row>
    <row r="1700" spans="1:2">
      <c r="A1700" s="189">
        <v>40022</v>
      </c>
      <c r="B1700">
        <v>1765.28</v>
      </c>
    </row>
    <row r="1701" spans="1:2">
      <c r="A1701" s="189">
        <v>40021</v>
      </c>
      <c r="B1701">
        <v>1765.28</v>
      </c>
    </row>
    <row r="1702" spans="1:2">
      <c r="A1702" s="189">
        <v>40018</v>
      </c>
      <c r="B1702">
        <v>1765.28</v>
      </c>
    </row>
    <row r="1703" spans="1:2">
      <c r="A1703" s="189">
        <v>40017</v>
      </c>
      <c r="B1703">
        <v>1729.98</v>
      </c>
    </row>
    <row r="1704" spans="1:2">
      <c r="A1704" s="189">
        <v>40016</v>
      </c>
      <c r="B1704">
        <v>1694.67</v>
      </c>
    </row>
    <row r="1705" spans="1:2">
      <c r="A1705" s="189">
        <v>40015</v>
      </c>
      <c r="B1705">
        <v>1694.67</v>
      </c>
    </row>
    <row r="1706" spans="1:2">
      <c r="A1706" s="189">
        <v>40014</v>
      </c>
      <c r="B1706">
        <v>1693.97</v>
      </c>
    </row>
    <row r="1707" spans="1:2">
      <c r="A1707" s="189">
        <v>40011</v>
      </c>
      <c r="B1707">
        <v>1693.97</v>
      </c>
    </row>
    <row r="1708" spans="1:2">
      <c r="A1708" s="189">
        <v>40010</v>
      </c>
      <c r="B1708">
        <v>1684.08</v>
      </c>
    </row>
    <row r="1709" spans="1:2">
      <c r="A1709" s="189">
        <v>40009</v>
      </c>
      <c r="B1709">
        <v>1684.08</v>
      </c>
    </row>
    <row r="1710" spans="1:2">
      <c r="A1710" s="189">
        <v>40008</v>
      </c>
      <c r="B1710">
        <v>1684.08</v>
      </c>
    </row>
    <row r="1711" spans="1:2">
      <c r="A1711" s="189">
        <v>40007</v>
      </c>
      <c r="B1711">
        <v>1677.02</v>
      </c>
    </row>
    <row r="1712" spans="1:2">
      <c r="A1712" s="189">
        <v>40004</v>
      </c>
      <c r="B1712">
        <v>1673.49</v>
      </c>
    </row>
    <row r="1713" spans="1:2">
      <c r="A1713" s="189">
        <v>40003</v>
      </c>
      <c r="B1713">
        <v>1659.37</v>
      </c>
    </row>
    <row r="1714" spans="1:2">
      <c r="A1714" s="189">
        <v>40002</v>
      </c>
      <c r="B1714">
        <v>1659.37</v>
      </c>
    </row>
    <row r="1715" spans="1:2">
      <c r="A1715" s="189">
        <v>40001</v>
      </c>
      <c r="B1715">
        <v>1659.37</v>
      </c>
    </row>
    <row r="1716" spans="1:2">
      <c r="A1716" s="189">
        <v>40000</v>
      </c>
      <c r="B1716">
        <v>1659.37</v>
      </c>
    </row>
    <row r="1717" spans="1:2">
      <c r="A1717" s="189">
        <v>39997</v>
      </c>
      <c r="B1717">
        <v>1659.37</v>
      </c>
    </row>
    <row r="1718" spans="1:2">
      <c r="A1718" s="189">
        <v>39996</v>
      </c>
      <c r="B1718">
        <v>1659.37</v>
      </c>
    </row>
    <row r="1719" spans="1:2">
      <c r="A1719" s="189">
        <v>39995</v>
      </c>
      <c r="B1719">
        <v>1659.37</v>
      </c>
    </row>
    <row r="1720" spans="1:2">
      <c r="A1720" s="189">
        <v>39994</v>
      </c>
      <c r="B1720">
        <v>1659.37</v>
      </c>
    </row>
    <row r="1721" spans="1:2">
      <c r="A1721" s="189">
        <v>39993</v>
      </c>
      <c r="B1721">
        <v>1684.08</v>
      </c>
    </row>
    <row r="1722" spans="1:2">
      <c r="A1722" s="189">
        <v>39990</v>
      </c>
      <c r="B1722">
        <v>1669.25</v>
      </c>
    </row>
    <row r="1723" spans="1:2">
      <c r="A1723" s="189">
        <v>39989</v>
      </c>
      <c r="B1723">
        <v>1669.25</v>
      </c>
    </row>
    <row r="1724" spans="1:2">
      <c r="A1724" s="189">
        <v>39988</v>
      </c>
      <c r="B1724">
        <v>1637.89</v>
      </c>
    </row>
    <row r="1725" spans="1:2">
      <c r="A1725" s="189">
        <v>39987</v>
      </c>
      <c r="B1725">
        <v>1637.89</v>
      </c>
    </row>
    <row r="1726" spans="1:2">
      <c r="A1726" s="189">
        <v>39986</v>
      </c>
      <c r="B1726">
        <v>1637.89</v>
      </c>
    </row>
    <row r="1727" spans="1:2">
      <c r="A1727" s="189">
        <v>39983</v>
      </c>
      <c r="B1727">
        <v>1637.89</v>
      </c>
    </row>
    <row r="1728" spans="1:2">
      <c r="A1728" s="189">
        <v>39982</v>
      </c>
      <c r="B1728">
        <v>1637.89</v>
      </c>
    </row>
    <row r="1729" spans="1:2">
      <c r="A1729" s="189">
        <v>39981</v>
      </c>
      <c r="B1729">
        <v>1637.89</v>
      </c>
    </row>
    <row r="1730" spans="1:2">
      <c r="A1730" s="189">
        <v>39979</v>
      </c>
      <c r="B1730">
        <v>1637.89</v>
      </c>
    </row>
    <row r="1731" spans="1:2">
      <c r="A1731" s="189">
        <v>39976</v>
      </c>
      <c r="B1731">
        <v>1637.89</v>
      </c>
    </row>
    <row r="1732" spans="1:2">
      <c r="A1732" s="189">
        <v>39975</v>
      </c>
      <c r="B1732">
        <v>1603.74</v>
      </c>
    </row>
    <row r="1733" spans="1:2">
      <c r="A1733" s="189">
        <v>39974</v>
      </c>
      <c r="B1733">
        <v>1676.22</v>
      </c>
    </row>
    <row r="1734" spans="1:2">
      <c r="A1734" s="189">
        <v>39973</v>
      </c>
      <c r="B1734">
        <v>1700.62</v>
      </c>
    </row>
    <row r="1735" spans="1:2">
      <c r="A1735" s="189">
        <v>39972</v>
      </c>
      <c r="B1735">
        <v>1714.55</v>
      </c>
    </row>
    <row r="1736" spans="1:2">
      <c r="A1736" s="189">
        <v>39969</v>
      </c>
      <c r="B1736">
        <v>1735.46</v>
      </c>
    </row>
    <row r="1737" spans="1:2">
      <c r="A1737" s="189">
        <v>39968</v>
      </c>
      <c r="B1737">
        <v>1742.43</v>
      </c>
    </row>
    <row r="1738" spans="1:2">
      <c r="A1738" s="189">
        <v>39967</v>
      </c>
      <c r="B1738">
        <v>1742.43</v>
      </c>
    </row>
    <row r="1739" spans="1:2">
      <c r="A1739" s="189">
        <v>39966</v>
      </c>
      <c r="B1739">
        <v>1742.43</v>
      </c>
    </row>
    <row r="1740" spans="1:2">
      <c r="A1740" s="189">
        <v>39965</v>
      </c>
      <c r="B1740">
        <v>1881.83</v>
      </c>
    </row>
    <row r="1741" spans="1:2">
      <c r="A1741" s="189">
        <v>39962</v>
      </c>
      <c r="B1741">
        <v>1881.83</v>
      </c>
    </row>
    <row r="1742" spans="1:2">
      <c r="A1742" s="189">
        <v>39961</v>
      </c>
      <c r="B1742">
        <v>1895.77</v>
      </c>
    </row>
    <row r="1743" spans="1:2">
      <c r="A1743" s="189">
        <v>39960</v>
      </c>
      <c r="B1743">
        <v>1895.77</v>
      </c>
    </row>
    <row r="1744" spans="1:2">
      <c r="A1744" s="189">
        <v>39959</v>
      </c>
      <c r="B1744">
        <v>1895.77</v>
      </c>
    </row>
    <row r="1745" spans="1:2">
      <c r="A1745" s="189">
        <v>39958</v>
      </c>
      <c r="B1745">
        <v>1881.83</v>
      </c>
    </row>
    <row r="1746" spans="1:2">
      <c r="A1746" s="189">
        <v>39955</v>
      </c>
      <c r="B1746">
        <v>1881.83</v>
      </c>
    </row>
    <row r="1747" spans="1:2">
      <c r="A1747" s="189">
        <v>39954</v>
      </c>
      <c r="B1747">
        <v>1934.1</v>
      </c>
    </row>
    <row r="1748" spans="1:2">
      <c r="A1748" s="189">
        <v>39953</v>
      </c>
      <c r="B1748">
        <v>1934.1</v>
      </c>
    </row>
    <row r="1749" spans="1:2">
      <c r="A1749" s="189">
        <v>39952</v>
      </c>
      <c r="B1749">
        <v>1916.68</v>
      </c>
    </row>
    <row r="1750" spans="1:2">
      <c r="A1750" s="189">
        <v>39951</v>
      </c>
      <c r="B1750">
        <v>1944.56</v>
      </c>
    </row>
    <row r="1751" spans="1:2">
      <c r="A1751" s="189">
        <v>39948</v>
      </c>
      <c r="B1751">
        <v>1944.56</v>
      </c>
    </row>
    <row r="1752" spans="1:2">
      <c r="A1752" s="189">
        <v>39947</v>
      </c>
      <c r="B1752">
        <v>1944.56</v>
      </c>
    </row>
    <row r="1753" spans="1:2">
      <c r="A1753" s="189">
        <v>39946</v>
      </c>
      <c r="B1753">
        <v>1944.56</v>
      </c>
    </row>
    <row r="1754" spans="1:2">
      <c r="A1754" s="189">
        <v>39945</v>
      </c>
      <c r="B1754">
        <v>1944.56</v>
      </c>
    </row>
    <row r="1755" spans="1:2">
      <c r="A1755" s="189">
        <v>39944</v>
      </c>
      <c r="B1755">
        <v>1846.98</v>
      </c>
    </row>
    <row r="1756" spans="1:2">
      <c r="A1756" s="189">
        <v>39941</v>
      </c>
      <c r="B1756">
        <v>1846.98</v>
      </c>
    </row>
    <row r="1757" spans="1:2">
      <c r="A1757" s="189">
        <v>39940</v>
      </c>
      <c r="B1757">
        <v>1747.31</v>
      </c>
    </row>
    <row r="1758" spans="1:2">
      <c r="A1758" s="189">
        <v>39939</v>
      </c>
      <c r="B1758">
        <v>1735.46</v>
      </c>
    </row>
    <row r="1759" spans="1:2">
      <c r="A1759" s="189">
        <v>39938</v>
      </c>
      <c r="B1759">
        <v>1735.46</v>
      </c>
    </row>
    <row r="1760" spans="1:2">
      <c r="A1760" s="189">
        <v>39937</v>
      </c>
      <c r="B1760">
        <v>1711.07</v>
      </c>
    </row>
    <row r="1761" spans="1:2">
      <c r="A1761" s="189">
        <v>39933</v>
      </c>
      <c r="B1761">
        <v>1700.62</v>
      </c>
    </row>
    <row r="1762" spans="1:2">
      <c r="A1762" s="189">
        <v>39932</v>
      </c>
      <c r="B1762">
        <v>1711.07</v>
      </c>
    </row>
    <row r="1763" spans="1:2">
      <c r="A1763" s="189">
        <v>39931</v>
      </c>
      <c r="B1763">
        <v>1690.16</v>
      </c>
    </row>
    <row r="1764" spans="1:2">
      <c r="A1764" s="189">
        <v>39927</v>
      </c>
      <c r="B1764">
        <v>1690.16</v>
      </c>
    </row>
    <row r="1765" spans="1:2">
      <c r="A1765" s="189">
        <v>39926</v>
      </c>
      <c r="B1765">
        <v>1690.16</v>
      </c>
    </row>
    <row r="1766" spans="1:2">
      <c r="A1766" s="189">
        <v>39924</v>
      </c>
      <c r="B1766">
        <v>1672.74</v>
      </c>
    </row>
    <row r="1767" spans="1:2">
      <c r="A1767" s="189">
        <v>39923</v>
      </c>
      <c r="B1767">
        <v>1672.74</v>
      </c>
    </row>
    <row r="1768" spans="1:2">
      <c r="A1768" s="189">
        <v>39920</v>
      </c>
      <c r="B1768">
        <v>1672.74</v>
      </c>
    </row>
    <row r="1769" spans="1:2">
      <c r="A1769" s="189">
        <v>39919</v>
      </c>
      <c r="B1769">
        <v>1706.89</v>
      </c>
    </row>
    <row r="1770" spans="1:2">
      <c r="A1770" s="189">
        <v>39918</v>
      </c>
      <c r="B1770">
        <v>1706.89</v>
      </c>
    </row>
    <row r="1771" spans="1:2">
      <c r="A1771" s="189">
        <v>39917</v>
      </c>
      <c r="B1771">
        <v>1706.89</v>
      </c>
    </row>
    <row r="1772" spans="1:2">
      <c r="A1772" s="189">
        <v>39912</v>
      </c>
      <c r="B1772">
        <v>1706.89</v>
      </c>
    </row>
    <row r="1773" spans="1:2">
      <c r="A1773" s="189">
        <v>39911</v>
      </c>
      <c r="B1773">
        <v>1706.89</v>
      </c>
    </row>
    <row r="1774" spans="1:2">
      <c r="A1774" s="189">
        <v>39910</v>
      </c>
      <c r="B1774">
        <v>1706.89</v>
      </c>
    </row>
    <row r="1775" spans="1:2">
      <c r="A1775" s="189">
        <v>39909</v>
      </c>
      <c r="B1775">
        <v>1707.59</v>
      </c>
    </row>
    <row r="1776" spans="1:2">
      <c r="A1776" s="189">
        <v>39906</v>
      </c>
      <c r="B1776">
        <v>1707.59</v>
      </c>
    </row>
    <row r="1777" spans="1:2">
      <c r="A1777" s="189">
        <v>39905</v>
      </c>
      <c r="B1777">
        <v>1707.59</v>
      </c>
    </row>
    <row r="1778" spans="1:2">
      <c r="A1778" s="189">
        <v>39904</v>
      </c>
      <c r="B1778">
        <v>1672.74</v>
      </c>
    </row>
    <row r="1779" spans="1:2">
      <c r="A1779" s="189">
        <v>39903</v>
      </c>
      <c r="B1779">
        <v>1572.37</v>
      </c>
    </row>
    <row r="1780" spans="1:2">
      <c r="A1780" s="189">
        <v>39902</v>
      </c>
      <c r="B1780">
        <v>1533.34</v>
      </c>
    </row>
    <row r="1781" spans="1:2">
      <c r="A1781" s="189">
        <v>39899</v>
      </c>
      <c r="B1781">
        <v>1533.34</v>
      </c>
    </row>
    <row r="1782" spans="1:2">
      <c r="A1782" s="189">
        <v>39898</v>
      </c>
      <c r="B1782">
        <v>1533.34</v>
      </c>
    </row>
    <row r="1783" spans="1:2">
      <c r="A1783" s="189">
        <v>39897</v>
      </c>
      <c r="B1783">
        <v>1721.52</v>
      </c>
    </row>
    <row r="1784" spans="1:2">
      <c r="A1784" s="189">
        <v>39896</v>
      </c>
      <c r="B1784">
        <v>1721.52</v>
      </c>
    </row>
    <row r="1785" spans="1:2">
      <c r="A1785" s="189">
        <v>39895</v>
      </c>
      <c r="B1785">
        <v>1721.52</v>
      </c>
    </row>
    <row r="1786" spans="1:2">
      <c r="A1786" s="189">
        <v>39892</v>
      </c>
      <c r="B1786">
        <v>1721.52</v>
      </c>
    </row>
    <row r="1787" spans="1:2">
      <c r="A1787" s="189">
        <v>39891</v>
      </c>
      <c r="B1787">
        <v>1707.59</v>
      </c>
    </row>
    <row r="1788" spans="1:2">
      <c r="A1788" s="189">
        <v>39890</v>
      </c>
      <c r="B1788">
        <v>1707.59</v>
      </c>
    </row>
    <row r="1789" spans="1:2">
      <c r="A1789" s="189">
        <v>39889</v>
      </c>
      <c r="B1789">
        <v>1707.59</v>
      </c>
    </row>
    <row r="1790" spans="1:2">
      <c r="A1790" s="189">
        <v>39888</v>
      </c>
      <c r="B1790">
        <v>1707.59</v>
      </c>
    </row>
    <row r="1791" spans="1:2">
      <c r="A1791" s="189">
        <v>39885</v>
      </c>
      <c r="B1791">
        <v>1707.59</v>
      </c>
    </row>
    <row r="1792" spans="1:2">
      <c r="A1792" s="189">
        <v>39884</v>
      </c>
      <c r="B1792">
        <v>1714.55</v>
      </c>
    </row>
    <row r="1793" spans="1:2">
      <c r="A1793" s="189">
        <v>39883</v>
      </c>
      <c r="B1793">
        <v>1742.43</v>
      </c>
    </row>
    <row r="1794" spans="1:2">
      <c r="A1794" s="189">
        <v>39882</v>
      </c>
      <c r="B1794">
        <v>1734.77</v>
      </c>
    </row>
    <row r="1795" spans="1:2">
      <c r="A1795" s="189">
        <v>39881</v>
      </c>
      <c r="B1795">
        <v>1759.86</v>
      </c>
    </row>
    <row r="1796" spans="1:2">
      <c r="A1796" s="189">
        <v>39878</v>
      </c>
      <c r="B1796">
        <v>1759.86</v>
      </c>
    </row>
    <row r="1797" spans="1:2">
      <c r="A1797" s="189">
        <v>39877</v>
      </c>
      <c r="B1797">
        <v>1759.86</v>
      </c>
    </row>
    <row r="1798" spans="1:2">
      <c r="A1798" s="189">
        <v>39876</v>
      </c>
      <c r="B1798">
        <v>1777.28</v>
      </c>
    </row>
    <row r="1799" spans="1:2">
      <c r="A1799" s="189">
        <v>39875</v>
      </c>
      <c r="B1799">
        <v>1777.28</v>
      </c>
    </row>
    <row r="1800" spans="1:2">
      <c r="A1800" s="189">
        <v>39874</v>
      </c>
      <c r="B1800">
        <v>1784.25</v>
      </c>
    </row>
    <row r="1801" spans="1:2">
      <c r="A1801" s="189">
        <v>39871</v>
      </c>
      <c r="B1801">
        <v>1846.98</v>
      </c>
    </row>
    <row r="1802" spans="1:2">
      <c r="A1802" s="189">
        <v>39870</v>
      </c>
      <c r="B1802">
        <v>1846.98</v>
      </c>
    </row>
    <row r="1803" spans="1:2">
      <c r="A1803" s="189">
        <v>39869</v>
      </c>
      <c r="B1803">
        <v>1812.13</v>
      </c>
    </row>
    <row r="1804" spans="1:2">
      <c r="A1804" s="189">
        <v>39868</v>
      </c>
      <c r="B1804">
        <v>1812.13</v>
      </c>
    </row>
    <row r="1805" spans="1:2">
      <c r="A1805" s="189">
        <v>39867</v>
      </c>
      <c r="B1805">
        <v>1812.13</v>
      </c>
    </row>
    <row r="1806" spans="1:2">
      <c r="A1806" s="189">
        <v>39864</v>
      </c>
      <c r="B1806">
        <v>1742.43</v>
      </c>
    </row>
    <row r="1807" spans="1:2">
      <c r="A1807" s="189">
        <v>39863</v>
      </c>
      <c r="B1807">
        <v>1742.43</v>
      </c>
    </row>
    <row r="1808" spans="1:2">
      <c r="A1808" s="189">
        <v>39862</v>
      </c>
      <c r="B1808">
        <v>1683.19</v>
      </c>
    </row>
    <row r="1809" spans="1:2">
      <c r="A1809" s="189">
        <v>39861</v>
      </c>
      <c r="B1809">
        <v>1690.16</v>
      </c>
    </row>
    <row r="1810" spans="1:2">
      <c r="A1810" s="189">
        <v>39860</v>
      </c>
      <c r="B1810">
        <v>1690.16</v>
      </c>
    </row>
    <row r="1811" spans="1:2">
      <c r="A1811" s="189">
        <v>39857</v>
      </c>
      <c r="B1811">
        <v>1672.74</v>
      </c>
    </row>
    <row r="1812" spans="1:2">
      <c r="A1812" s="189">
        <v>39856</v>
      </c>
      <c r="B1812">
        <v>1662.28</v>
      </c>
    </row>
    <row r="1813" spans="1:2">
      <c r="A1813" s="189">
        <v>39855</v>
      </c>
      <c r="B1813">
        <v>1651.83</v>
      </c>
    </row>
    <row r="1814" spans="1:2">
      <c r="A1814" s="189">
        <v>39854</v>
      </c>
      <c r="B1814">
        <v>1672.74</v>
      </c>
    </row>
    <row r="1815" spans="1:2">
      <c r="A1815" s="189">
        <v>39853</v>
      </c>
      <c r="B1815">
        <v>1690.16</v>
      </c>
    </row>
    <row r="1816" spans="1:2">
      <c r="A1816" s="189">
        <v>39850</v>
      </c>
      <c r="B1816">
        <v>1690.16</v>
      </c>
    </row>
    <row r="1817" spans="1:2">
      <c r="A1817" s="189">
        <v>39849</v>
      </c>
      <c r="B1817">
        <v>1690.16</v>
      </c>
    </row>
    <row r="1818" spans="1:2">
      <c r="A1818" s="189">
        <v>39848</v>
      </c>
      <c r="B1818">
        <v>1690.16</v>
      </c>
    </row>
    <row r="1819" spans="1:2">
      <c r="A1819" s="189">
        <v>39847</v>
      </c>
      <c r="B1819">
        <v>1637.89</v>
      </c>
    </row>
    <row r="1820" spans="1:2">
      <c r="A1820" s="189">
        <v>39846</v>
      </c>
      <c r="B1820">
        <v>1603.04</v>
      </c>
    </row>
    <row r="1821" spans="1:2">
      <c r="A1821" s="189">
        <v>39843</v>
      </c>
      <c r="B1821">
        <v>1603.04</v>
      </c>
    </row>
    <row r="1822" spans="1:2">
      <c r="A1822" s="189">
        <v>39842</v>
      </c>
      <c r="B1822">
        <v>1603.04</v>
      </c>
    </row>
    <row r="1823" spans="1:2">
      <c r="A1823" s="189">
        <v>39841</v>
      </c>
      <c r="B1823">
        <v>1602.34</v>
      </c>
    </row>
    <row r="1824" spans="1:2">
      <c r="A1824" s="189">
        <v>39840</v>
      </c>
      <c r="B1824">
        <v>1602.34</v>
      </c>
    </row>
    <row r="1825" spans="1:2">
      <c r="A1825" s="189">
        <v>39839</v>
      </c>
      <c r="B1825">
        <v>1602.34</v>
      </c>
    </row>
    <row r="1826" spans="1:2">
      <c r="A1826" s="189">
        <v>39836</v>
      </c>
      <c r="B1826">
        <v>1602.34</v>
      </c>
    </row>
    <row r="1827" spans="1:2">
      <c r="A1827" s="189">
        <v>39835</v>
      </c>
      <c r="B1827">
        <v>1603.04</v>
      </c>
    </row>
    <row r="1828" spans="1:2">
      <c r="A1828" s="189">
        <v>39834</v>
      </c>
      <c r="B1828">
        <v>1603.04</v>
      </c>
    </row>
    <row r="1829" spans="1:2">
      <c r="A1829" s="189">
        <v>39833</v>
      </c>
      <c r="B1829">
        <v>1533.34</v>
      </c>
    </row>
    <row r="1830" spans="1:2">
      <c r="A1830" s="189">
        <v>39832</v>
      </c>
      <c r="B1830">
        <v>1533.34</v>
      </c>
    </row>
    <row r="1831" spans="1:2">
      <c r="A1831" s="189">
        <v>39829</v>
      </c>
      <c r="B1831">
        <v>1533.34</v>
      </c>
    </row>
    <row r="1832" spans="1:2">
      <c r="A1832" s="189">
        <v>39828</v>
      </c>
      <c r="B1832">
        <v>1533.34</v>
      </c>
    </row>
    <row r="1833" spans="1:2">
      <c r="A1833" s="189">
        <v>39827</v>
      </c>
      <c r="B1833">
        <v>1533.34</v>
      </c>
    </row>
    <row r="1834" spans="1:2">
      <c r="A1834" s="189">
        <v>39826</v>
      </c>
      <c r="B1834">
        <v>1533.34</v>
      </c>
    </row>
    <row r="1835" spans="1:2">
      <c r="A1835" s="189">
        <v>39825</v>
      </c>
      <c r="B1835">
        <v>1568.19</v>
      </c>
    </row>
    <row r="1836" spans="1:2">
      <c r="A1836" s="189">
        <v>39822</v>
      </c>
      <c r="B1836">
        <v>1568.19</v>
      </c>
    </row>
    <row r="1837" spans="1:2">
      <c r="A1837" s="189">
        <v>39821</v>
      </c>
      <c r="B1837">
        <v>1568.19</v>
      </c>
    </row>
    <row r="1838" spans="1:2">
      <c r="A1838" s="189">
        <v>39820</v>
      </c>
      <c r="B1838">
        <v>1568.19</v>
      </c>
    </row>
    <row r="1839" spans="1:2">
      <c r="A1839" s="189">
        <v>39819</v>
      </c>
      <c r="B1839">
        <v>1568.19</v>
      </c>
    </row>
    <row r="1840" spans="1:2">
      <c r="A1840" s="189">
        <v>39818</v>
      </c>
      <c r="B1840">
        <v>1568.19</v>
      </c>
    </row>
    <row r="1841" spans="1:2">
      <c r="A1841" s="189">
        <v>39815</v>
      </c>
      <c r="B1841">
        <v>1481.07</v>
      </c>
    </row>
    <row r="1842" spans="1:2">
      <c r="A1842" s="189">
        <v>39813</v>
      </c>
      <c r="B1842">
        <v>1481.07</v>
      </c>
    </row>
    <row r="1843" spans="1:2">
      <c r="A1843" s="189">
        <v>39812</v>
      </c>
      <c r="B1843">
        <v>1481.07</v>
      </c>
    </row>
    <row r="1844" spans="1:2">
      <c r="A1844" s="189">
        <v>39811</v>
      </c>
      <c r="B1844">
        <v>1481.07</v>
      </c>
    </row>
    <row r="1845" spans="1:2">
      <c r="A1845" s="189">
        <v>39806</v>
      </c>
      <c r="B1845">
        <v>1481.07</v>
      </c>
    </row>
    <row r="1846" spans="1:2">
      <c r="A1846" s="189">
        <v>39805</v>
      </c>
      <c r="B1846">
        <v>1481.07</v>
      </c>
    </row>
    <row r="1847" spans="1:2">
      <c r="A1847" s="189">
        <v>39804</v>
      </c>
      <c r="B1847">
        <v>1477.78</v>
      </c>
    </row>
    <row r="1848" spans="1:2">
      <c r="A1848" s="189">
        <v>39801</v>
      </c>
      <c r="B1848">
        <v>1477.78</v>
      </c>
    </row>
    <row r="1849" spans="1:2">
      <c r="A1849" s="189">
        <v>39800</v>
      </c>
      <c r="B1849">
        <v>1477.78</v>
      </c>
    </row>
    <row r="1850" spans="1:2">
      <c r="A1850" s="189">
        <v>39799</v>
      </c>
      <c r="B1850">
        <v>1477.78</v>
      </c>
    </row>
    <row r="1851" spans="1:2">
      <c r="A1851" s="189">
        <v>39797</v>
      </c>
      <c r="B1851">
        <v>1477.78</v>
      </c>
    </row>
    <row r="1852" spans="1:2">
      <c r="A1852" s="189">
        <v>39794</v>
      </c>
      <c r="B1852">
        <v>1477.78</v>
      </c>
    </row>
    <row r="1853" spans="1:2">
      <c r="A1853" s="189">
        <v>39793</v>
      </c>
      <c r="B1853">
        <v>1510.62</v>
      </c>
    </row>
    <row r="1854" spans="1:2">
      <c r="A1854" s="189">
        <v>39792</v>
      </c>
      <c r="B1854">
        <v>1477.78</v>
      </c>
    </row>
    <row r="1855" spans="1:2">
      <c r="A1855" s="189">
        <v>39791</v>
      </c>
      <c r="B1855">
        <v>1477.78</v>
      </c>
    </row>
    <row r="1856" spans="1:2">
      <c r="A1856" s="189">
        <v>39790</v>
      </c>
      <c r="B1856">
        <v>1477.78</v>
      </c>
    </row>
    <row r="1857" spans="1:2">
      <c r="A1857" s="189">
        <v>39787</v>
      </c>
      <c r="B1857">
        <v>1484.35</v>
      </c>
    </row>
    <row r="1858" spans="1:2">
      <c r="A1858" s="189">
        <v>39786</v>
      </c>
      <c r="B1858">
        <v>1477.78</v>
      </c>
    </row>
    <row r="1859" spans="1:2">
      <c r="A1859" s="189">
        <v>39785</v>
      </c>
      <c r="B1859">
        <v>1448.23</v>
      </c>
    </row>
    <row r="1860" spans="1:2">
      <c r="A1860" s="189">
        <v>39784</v>
      </c>
      <c r="B1860">
        <v>1507.34</v>
      </c>
    </row>
    <row r="1861" spans="1:2">
      <c r="A1861" s="189">
        <v>39783</v>
      </c>
      <c r="B1861">
        <v>1507.34</v>
      </c>
    </row>
    <row r="1862" spans="1:2">
      <c r="A1862" s="189">
        <v>39780</v>
      </c>
      <c r="B1862">
        <v>1494.2</v>
      </c>
    </row>
    <row r="1863" spans="1:2">
      <c r="A1863" s="189">
        <v>39779</v>
      </c>
      <c r="B1863">
        <v>1477.78</v>
      </c>
    </row>
    <row r="1864" spans="1:2">
      <c r="A1864" s="189">
        <v>39778</v>
      </c>
      <c r="B1864">
        <v>1477.78</v>
      </c>
    </row>
    <row r="1865" spans="1:2">
      <c r="A1865" s="189">
        <v>39777</v>
      </c>
      <c r="B1865">
        <v>1445.6</v>
      </c>
    </row>
    <row r="1866" spans="1:2">
      <c r="A1866" s="189">
        <v>39776</v>
      </c>
      <c r="B1866">
        <v>1445.6</v>
      </c>
    </row>
    <row r="1867" spans="1:2">
      <c r="A1867" s="189">
        <v>39773</v>
      </c>
      <c r="B1867">
        <v>1444.95</v>
      </c>
    </row>
    <row r="1868" spans="1:2">
      <c r="A1868" s="189">
        <v>39772</v>
      </c>
      <c r="B1868">
        <v>1444.95</v>
      </c>
    </row>
    <row r="1869" spans="1:2">
      <c r="A1869" s="189">
        <v>39771</v>
      </c>
      <c r="B1869">
        <v>1444.95</v>
      </c>
    </row>
    <row r="1870" spans="1:2">
      <c r="A1870" s="189">
        <v>39769</v>
      </c>
      <c r="B1870">
        <v>1379.27</v>
      </c>
    </row>
    <row r="1871" spans="1:2">
      <c r="A1871" s="189">
        <v>39766</v>
      </c>
      <c r="B1871">
        <v>1380.58</v>
      </c>
    </row>
    <row r="1872" spans="1:2">
      <c r="A1872" s="189">
        <v>39765</v>
      </c>
      <c r="B1872">
        <v>1379.27</v>
      </c>
    </row>
    <row r="1873" spans="1:2">
      <c r="A1873" s="189">
        <v>39764</v>
      </c>
      <c r="B1873">
        <v>1297.17</v>
      </c>
    </row>
    <row r="1874" spans="1:2">
      <c r="A1874" s="189">
        <v>39763</v>
      </c>
      <c r="B1874">
        <v>1297.17</v>
      </c>
    </row>
    <row r="1875" spans="1:2">
      <c r="A1875" s="189">
        <v>39762</v>
      </c>
      <c r="B1875">
        <v>1297.17</v>
      </c>
    </row>
    <row r="1876" spans="1:2">
      <c r="A1876" s="189">
        <v>39759</v>
      </c>
      <c r="B1876">
        <v>1297.17</v>
      </c>
    </row>
    <row r="1877" spans="1:2">
      <c r="A1877" s="189">
        <v>39758</v>
      </c>
      <c r="B1877">
        <v>1437.72</v>
      </c>
    </row>
    <row r="1878" spans="1:2">
      <c r="A1878" s="189">
        <v>39757</v>
      </c>
      <c r="B1878">
        <v>1458.08</v>
      </c>
    </row>
    <row r="1879" spans="1:2">
      <c r="A1879" s="189">
        <v>39756</v>
      </c>
      <c r="B1879">
        <v>1458.08</v>
      </c>
    </row>
    <row r="1880" spans="1:2">
      <c r="A1880" s="189">
        <v>39755</v>
      </c>
      <c r="B1880">
        <v>1444.95</v>
      </c>
    </row>
    <row r="1881" spans="1:2">
      <c r="A1881" s="189">
        <v>39752</v>
      </c>
      <c r="B1881">
        <v>1444.95</v>
      </c>
    </row>
    <row r="1882" spans="1:2">
      <c r="A1882" s="189">
        <v>39751</v>
      </c>
      <c r="B1882">
        <v>1441.66</v>
      </c>
    </row>
    <row r="1883" spans="1:2">
      <c r="A1883" s="189">
        <v>39750</v>
      </c>
      <c r="B1883">
        <v>1441.66</v>
      </c>
    </row>
    <row r="1884" spans="1:2">
      <c r="A1884" s="189">
        <v>39749</v>
      </c>
      <c r="B1884">
        <v>1438.38</v>
      </c>
    </row>
    <row r="1885" spans="1:2">
      <c r="A1885" s="189">
        <v>39748</v>
      </c>
      <c r="B1885">
        <v>1346.43</v>
      </c>
    </row>
    <row r="1886" spans="1:2">
      <c r="A1886" s="189">
        <v>39745</v>
      </c>
      <c r="B1886">
        <v>1366.13</v>
      </c>
    </row>
    <row r="1887" spans="1:2">
      <c r="A1887" s="189">
        <v>39744</v>
      </c>
      <c r="B1887">
        <v>1451.51</v>
      </c>
    </row>
    <row r="1888" spans="1:2">
      <c r="A1888" s="189">
        <v>39743</v>
      </c>
      <c r="B1888">
        <v>1379.27</v>
      </c>
    </row>
    <row r="1889" spans="1:2">
      <c r="A1889" s="189">
        <v>39742</v>
      </c>
      <c r="B1889">
        <v>1379.27</v>
      </c>
    </row>
    <row r="1890" spans="1:2">
      <c r="A1890" s="189">
        <v>39741</v>
      </c>
      <c r="B1890">
        <v>1510.62</v>
      </c>
    </row>
    <row r="1891" spans="1:2">
      <c r="A1891" s="189">
        <v>39738</v>
      </c>
      <c r="B1891">
        <v>1510.62</v>
      </c>
    </row>
    <row r="1892" spans="1:2">
      <c r="A1892" s="189">
        <v>39737</v>
      </c>
      <c r="B1892">
        <v>1379.27</v>
      </c>
    </row>
    <row r="1893" spans="1:2">
      <c r="A1893" s="189">
        <v>39736</v>
      </c>
      <c r="B1893">
        <v>1313.59</v>
      </c>
    </row>
    <row r="1894" spans="1:2">
      <c r="A1894" s="189">
        <v>39735</v>
      </c>
      <c r="B1894">
        <v>1346.43</v>
      </c>
    </row>
    <row r="1895" spans="1:2">
      <c r="A1895" s="189">
        <v>39734</v>
      </c>
      <c r="B1895">
        <v>1346.43</v>
      </c>
    </row>
    <row r="1896" spans="1:2">
      <c r="A1896" s="189">
        <v>39731</v>
      </c>
      <c r="B1896">
        <v>1346.43</v>
      </c>
    </row>
    <row r="1897" spans="1:2">
      <c r="A1897" s="189">
        <v>39730</v>
      </c>
      <c r="B1897">
        <v>1346.43</v>
      </c>
    </row>
    <row r="1898" spans="1:2">
      <c r="A1898" s="189">
        <v>39729</v>
      </c>
      <c r="B1898">
        <v>1346.43</v>
      </c>
    </row>
    <row r="1899" spans="1:2">
      <c r="A1899" s="189">
        <v>39728</v>
      </c>
      <c r="B1899">
        <v>1379.27</v>
      </c>
    </row>
    <row r="1900" spans="1:2">
      <c r="A1900" s="189">
        <v>39727</v>
      </c>
      <c r="B1900">
        <v>1379.27</v>
      </c>
    </row>
    <row r="1901" spans="1:2">
      <c r="A1901" s="189">
        <v>39724</v>
      </c>
      <c r="B1901">
        <v>1379.27</v>
      </c>
    </row>
    <row r="1902" spans="1:2">
      <c r="A1902" s="189">
        <v>39723</v>
      </c>
      <c r="B1902">
        <v>1379.27</v>
      </c>
    </row>
    <row r="1903" spans="1:2">
      <c r="A1903" s="189">
        <v>39722</v>
      </c>
      <c r="B1903">
        <v>1379.92</v>
      </c>
    </row>
    <row r="1904" spans="1:2">
      <c r="A1904" s="189">
        <v>39721</v>
      </c>
      <c r="B1904">
        <v>1382.55</v>
      </c>
    </row>
    <row r="1905" spans="1:2">
      <c r="A1905" s="189">
        <v>39720</v>
      </c>
      <c r="B1905">
        <v>1389.12</v>
      </c>
    </row>
    <row r="1906" spans="1:2">
      <c r="A1906" s="189">
        <v>39717</v>
      </c>
      <c r="B1906">
        <v>1438.38</v>
      </c>
    </row>
    <row r="1907" spans="1:2">
      <c r="A1907" s="189">
        <v>39716</v>
      </c>
      <c r="B1907">
        <v>1425.24</v>
      </c>
    </row>
    <row r="1908" spans="1:2">
      <c r="A1908" s="189">
        <v>39714</v>
      </c>
      <c r="B1908">
        <v>1425.24</v>
      </c>
    </row>
    <row r="1909" spans="1:2">
      <c r="A1909" s="189">
        <v>39713</v>
      </c>
      <c r="B1909">
        <v>1379.27</v>
      </c>
    </row>
    <row r="1910" spans="1:2">
      <c r="A1910" s="189">
        <v>39710</v>
      </c>
      <c r="B1910">
        <v>1379.27</v>
      </c>
    </row>
    <row r="1911" spans="1:2">
      <c r="A1911" s="189">
        <v>39709</v>
      </c>
      <c r="B1911">
        <v>1362.85</v>
      </c>
    </row>
    <row r="1912" spans="1:2">
      <c r="A1912" s="189">
        <v>39708</v>
      </c>
      <c r="B1912">
        <v>1379.27</v>
      </c>
    </row>
    <row r="1913" spans="1:2">
      <c r="A1913" s="189">
        <v>39707</v>
      </c>
      <c r="B1913">
        <v>1379.27</v>
      </c>
    </row>
    <row r="1914" spans="1:2">
      <c r="A1914" s="189">
        <v>39706</v>
      </c>
      <c r="B1914">
        <v>1379.27</v>
      </c>
    </row>
    <row r="1915" spans="1:2">
      <c r="A1915" s="189">
        <v>39703</v>
      </c>
      <c r="B1915">
        <v>1379.27</v>
      </c>
    </row>
    <row r="1916" spans="1:2">
      <c r="A1916" s="189">
        <v>39702</v>
      </c>
      <c r="B1916">
        <v>1379.27</v>
      </c>
    </row>
    <row r="1917" spans="1:2">
      <c r="A1917" s="189">
        <v>39701</v>
      </c>
      <c r="B1917">
        <v>1379.27</v>
      </c>
    </row>
    <row r="1918" spans="1:2">
      <c r="A1918" s="189">
        <v>39700</v>
      </c>
      <c r="B1918">
        <v>1379.27</v>
      </c>
    </row>
    <row r="1919" spans="1:2">
      <c r="A1919" s="189">
        <v>39699</v>
      </c>
      <c r="B1919">
        <v>1293.8800000000001</v>
      </c>
    </row>
    <row r="1920" spans="1:2">
      <c r="A1920" s="189">
        <v>39696</v>
      </c>
      <c r="B1920">
        <v>1293.8800000000001</v>
      </c>
    </row>
    <row r="1921" spans="1:2">
      <c r="A1921" s="189">
        <v>39695</v>
      </c>
      <c r="B1921">
        <v>1267.6099999999999</v>
      </c>
    </row>
    <row r="1922" spans="1:2">
      <c r="A1922" s="189">
        <v>39694</v>
      </c>
      <c r="B1922">
        <v>1293.8800000000001</v>
      </c>
    </row>
    <row r="1923" spans="1:2">
      <c r="A1923" s="189">
        <v>39693</v>
      </c>
      <c r="B1923">
        <v>1280.75</v>
      </c>
    </row>
    <row r="1924" spans="1:2">
      <c r="A1924" s="189">
        <v>39692</v>
      </c>
      <c r="B1924">
        <v>1231.49</v>
      </c>
    </row>
    <row r="1925" spans="1:2">
      <c r="A1925" s="189">
        <v>39689</v>
      </c>
      <c r="B1925">
        <v>1234.77</v>
      </c>
    </row>
    <row r="1926" spans="1:2">
      <c r="A1926" s="189">
        <v>39688</v>
      </c>
      <c r="B1926">
        <v>1230.17</v>
      </c>
    </row>
    <row r="1927" spans="1:2">
      <c r="A1927" s="189">
        <v>39687</v>
      </c>
      <c r="B1927">
        <v>1215.07</v>
      </c>
    </row>
    <row r="1928" spans="1:2">
      <c r="A1928" s="189">
        <v>39686</v>
      </c>
      <c r="B1928">
        <v>1227.55</v>
      </c>
    </row>
    <row r="1929" spans="1:2">
      <c r="A1929" s="189">
        <v>39685</v>
      </c>
      <c r="B1929">
        <v>1195.3599999999999</v>
      </c>
    </row>
    <row r="1930" spans="1:2">
      <c r="A1930" s="189">
        <v>39682</v>
      </c>
      <c r="B1930">
        <v>1195.3599999999999</v>
      </c>
    </row>
    <row r="1931" spans="1:2">
      <c r="A1931" s="189">
        <v>39681</v>
      </c>
      <c r="B1931">
        <v>1228.2</v>
      </c>
    </row>
    <row r="1932" spans="1:2">
      <c r="A1932" s="189">
        <v>39680</v>
      </c>
      <c r="B1932">
        <v>1228.2</v>
      </c>
    </row>
    <row r="1933" spans="1:2">
      <c r="A1933" s="189">
        <v>39679</v>
      </c>
      <c r="B1933">
        <v>1228.2</v>
      </c>
    </row>
    <row r="1934" spans="1:2">
      <c r="A1934" s="189">
        <v>39678</v>
      </c>
      <c r="B1934">
        <v>1228.2</v>
      </c>
    </row>
    <row r="1935" spans="1:2">
      <c r="A1935" s="189">
        <v>39675</v>
      </c>
      <c r="B1935">
        <v>1228.2</v>
      </c>
    </row>
    <row r="1936" spans="1:2">
      <c r="A1936" s="189">
        <v>39674</v>
      </c>
      <c r="B1936">
        <v>1230.17</v>
      </c>
    </row>
    <row r="1937" spans="1:2">
      <c r="A1937" s="189">
        <v>39673</v>
      </c>
      <c r="B1937">
        <v>1230.83</v>
      </c>
    </row>
    <row r="1938" spans="1:2">
      <c r="A1938" s="189">
        <v>39672</v>
      </c>
      <c r="B1938">
        <v>1230.83</v>
      </c>
    </row>
    <row r="1939" spans="1:2">
      <c r="A1939" s="189">
        <v>39671</v>
      </c>
      <c r="B1939">
        <v>1231.49</v>
      </c>
    </row>
    <row r="1940" spans="1:2">
      <c r="A1940" s="189">
        <v>39668</v>
      </c>
      <c r="B1940">
        <v>1231.49</v>
      </c>
    </row>
    <row r="1941" spans="1:2">
      <c r="A1941" s="189">
        <v>39667</v>
      </c>
      <c r="B1941">
        <v>1231.49</v>
      </c>
    </row>
    <row r="1942" spans="1:2">
      <c r="A1942" s="189">
        <v>39666</v>
      </c>
      <c r="B1942">
        <v>1211.78</v>
      </c>
    </row>
    <row r="1943" spans="1:2">
      <c r="A1943" s="189">
        <v>39665</v>
      </c>
      <c r="B1943">
        <v>1234.77</v>
      </c>
    </row>
    <row r="1944" spans="1:2">
      <c r="A1944" s="189">
        <v>39664</v>
      </c>
      <c r="B1944">
        <v>1234.77</v>
      </c>
    </row>
    <row r="1945" spans="1:2">
      <c r="A1945" s="189">
        <v>39661</v>
      </c>
      <c r="B1945">
        <v>1247.9100000000001</v>
      </c>
    </row>
    <row r="1946" spans="1:2">
      <c r="A1946" s="189">
        <v>39660</v>
      </c>
      <c r="B1946">
        <v>1247.9100000000001</v>
      </c>
    </row>
    <row r="1947" spans="1:2">
      <c r="A1947" s="189">
        <v>39659</v>
      </c>
      <c r="B1947">
        <v>1247.9100000000001</v>
      </c>
    </row>
    <row r="1948" spans="1:2">
      <c r="A1948" s="189">
        <v>39658</v>
      </c>
      <c r="B1948">
        <v>1247.9100000000001</v>
      </c>
    </row>
    <row r="1949" spans="1:2">
      <c r="A1949" s="189">
        <v>39657</v>
      </c>
      <c r="B1949">
        <v>1247.9100000000001</v>
      </c>
    </row>
    <row r="1950" spans="1:2">
      <c r="A1950" s="189">
        <v>39654</v>
      </c>
      <c r="B1950">
        <v>1247.9100000000001</v>
      </c>
    </row>
    <row r="1951" spans="1:2">
      <c r="A1951" s="189">
        <v>39653</v>
      </c>
      <c r="B1951">
        <v>1247.9100000000001</v>
      </c>
    </row>
    <row r="1952" spans="1:2">
      <c r="A1952" s="189">
        <v>39652</v>
      </c>
      <c r="B1952">
        <v>1247.9100000000001</v>
      </c>
    </row>
    <row r="1953" spans="1:2">
      <c r="A1953" s="189">
        <v>39651</v>
      </c>
      <c r="B1953">
        <v>1247.9100000000001</v>
      </c>
    </row>
    <row r="1954" spans="1:2">
      <c r="A1954" s="189">
        <v>39650</v>
      </c>
      <c r="B1954">
        <v>1247.9100000000001</v>
      </c>
    </row>
    <row r="1955" spans="1:2">
      <c r="A1955" s="189">
        <v>39647</v>
      </c>
      <c r="B1955">
        <v>1247.9100000000001</v>
      </c>
    </row>
    <row r="1956" spans="1:2">
      <c r="A1956" s="189">
        <v>39646</v>
      </c>
      <c r="B1956">
        <v>1185.51</v>
      </c>
    </row>
    <row r="1957" spans="1:2">
      <c r="A1957" s="189">
        <v>39645</v>
      </c>
      <c r="B1957">
        <v>1169.0899999999999</v>
      </c>
    </row>
    <row r="1958" spans="1:2">
      <c r="A1958" s="189">
        <v>39644</v>
      </c>
      <c r="B1958">
        <v>1159.24</v>
      </c>
    </row>
    <row r="1959" spans="1:2">
      <c r="A1959" s="189">
        <v>39643</v>
      </c>
      <c r="B1959">
        <v>1169.0899999999999</v>
      </c>
    </row>
    <row r="1960" spans="1:2">
      <c r="A1960" s="189">
        <v>39640</v>
      </c>
      <c r="B1960">
        <v>1162.52</v>
      </c>
    </row>
    <row r="1961" spans="1:2">
      <c r="A1961" s="189">
        <v>39639</v>
      </c>
      <c r="B1961">
        <v>1175.6600000000001</v>
      </c>
    </row>
    <row r="1962" spans="1:2">
      <c r="A1962" s="189">
        <v>39638</v>
      </c>
      <c r="B1962">
        <v>1175.6600000000001</v>
      </c>
    </row>
    <row r="1963" spans="1:2">
      <c r="A1963" s="189">
        <v>39637</v>
      </c>
      <c r="B1963">
        <v>1208.5</v>
      </c>
    </row>
    <row r="1964" spans="1:2">
      <c r="A1964" s="189">
        <v>39636</v>
      </c>
      <c r="B1964">
        <v>1247.9100000000001</v>
      </c>
    </row>
    <row r="1965" spans="1:2">
      <c r="A1965" s="189">
        <v>39633</v>
      </c>
      <c r="B1965">
        <v>1247.9100000000001</v>
      </c>
    </row>
    <row r="1966" spans="1:2">
      <c r="A1966" s="189">
        <v>39632</v>
      </c>
      <c r="B1966">
        <v>1270.8900000000001</v>
      </c>
    </row>
    <row r="1967" spans="1:2">
      <c r="A1967" s="189">
        <v>39631</v>
      </c>
      <c r="B1967">
        <v>1280.75</v>
      </c>
    </row>
    <row r="1968" spans="1:2">
      <c r="A1968" s="189">
        <v>39630</v>
      </c>
      <c r="B1968">
        <v>1293.8800000000001</v>
      </c>
    </row>
    <row r="1969" spans="1:2">
      <c r="A1969" s="189">
        <v>39629</v>
      </c>
      <c r="B1969">
        <v>1313.59</v>
      </c>
    </row>
    <row r="1970" spans="1:2">
      <c r="A1970" s="189">
        <v>39626</v>
      </c>
      <c r="B1970">
        <v>1303.08</v>
      </c>
    </row>
    <row r="1971" spans="1:2">
      <c r="A1971" s="189">
        <v>39625</v>
      </c>
      <c r="B1971">
        <v>1361.42</v>
      </c>
    </row>
    <row r="1972" spans="1:2">
      <c r="A1972" s="189">
        <v>39624</v>
      </c>
      <c r="B1972">
        <v>1393.84</v>
      </c>
    </row>
    <row r="1973" spans="1:2">
      <c r="A1973" s="189">
        <v>39623</v>
      </c>
      <c r="B1973">
        <v>1393.84</v>
      </c>
    </row>
    <row r="1974" spans="1:2">
      <c r="A1974" s="189">
        <v>39622</v>
      </c>
      <c r="B1974">
        <v>1393.84</v>
      </c>
    </row>
    <row r="1975" spans="1:2">
      <c r="A1975" s="189">
        <v>39619</v>
      </c>
      <c r="B1975">
        <v>1393.84</v>
      </c>
    </row>
    <row r="1976" spans="1:2">
      <c r="A1976" s="189">
        <v>39618</v>
      </c>
      <c r="B1976">
        <v>1393.84</v>
      </c>
    </row>
    <row r="1977" spans="1:2">
      <c r="A1977" s="189">
        <v>39617</v>
      </c>
      <c r="B1977">
        <v>1426.25</v>
      </c>
    </row>
    <row r="1978" spans="1:2">
      <c r="A1978" s="189">
        <v>39616</v>
      </c>
      <c r="B1978">
        <v>1400.32</v>
      </c>
    </row>
    <row r="1979" spans="1:2">
      <c r="A1979" s="189">
        <v>39612</v>
      </c>
      <c r="B1979">
        <v>1400.32</v>
      </c>
    </row>
    <row r="1980" spans="1:2">
      <c r="A1980" s="189">
        <v>39611</v>
      </c>
      <c r="B1980">
        <v>1400.32</v>
      </c>
    </row>
    <row r="1981" spans="1:2">
      <c r="A1981" s="189">
        <v>39610</v>
      </c>
      <c r="B1981">
        <v>1393.84</v>
      </c>
    </row>
    <row r="1982" spans="1:2">
      <c r="A1982" s="189">
        <v>39609</v>
      </c>
      <c r="B1982">
        <v>1393.84</v>
      </c>
    </row>
    <row r="1983" spans="1:2">
      <c r="A1983" s="189">
        <v>39608</v>
      </c>
      <c r="B1983">
        <v>1393.84</v>
      </c>
    </row>
    <row r="1984" spans="1:2">
      <c r="A1984" s="189">
        <v>39605</v>
      </c>
      <c r="B1984">
        <v>1361.42</v>
      </c>
    </row>
    <row r="1985" spans="1:2">
      <c r="A1985" s="189">
        <v>39604</v>
      </c>
      <c r="B1985">
        <v>1361.42</v>
      </c>
    </row>
    <row r="1986" spans="1:2">
      <c r="A1986" s="189">
        <v>39603</v>
      </c>
      <c r="B1986">
        <v>1361.42</v>
      </c>
    </row>
    <row r="1987" spans="1:2">
      <c r="A1987" s="189">
        <v>39602</v>
      </c>
      <c r="B1987">
        <v>1361.42</v>
      </c>
    </row>
    <row r="1988" spans="1:2">
      <c r="A1988" s="189">
        <v>39601</v>
      </c>
      <c r="B1988">
        <v>1393.84</v>
      </c>
    </row>
    <row r="1989" spans="1:2">
      <c r="A1989" s="189">
        <v>39598</v>
      </c>
      <c r="B1989">
        <v>1393.84</v>
      </c>
    </row>
    <row r="1990" spans="1:2">
      <c r="A1990" s="189">
        <v>39597</v>
      </c>
      <c r="B1990">
        <v>1393.84</v>
      </c>
    </row>
    <row r="1991" spans="1:2">
      <c r="A1991" s="189">
        <v>39596</v>
      </c>
      <c r="B1991">
        <v>1393.84</v>
      </c>
    </row>
    <row r="1992" spans="1:2">
      <c r="A1992" s="189">
        <v>39595</v>
      </c>
      <c r="B1992">
        <v>1377.63</v>
      </c>
    </row>
    <row r="1993" spans="1:2">
      <c r="A1993" s="189">
        <v>39594</v>
      </c>
      <c r="B1993">
        <v>1361.42</v>
      </c>
    </row>
    <row r="1994" spans="1:2">
      <c r="A1994" s="189">
        <v>39591</v>
      </c>
      <c r="B1994">
        <v>1361.42</v>
      </c>
    </row>
    <row r="1995" spans="1:2">
      <c r="A1995" s="189">
        <v>39590</v>
      </c>
      <c r="B1995">
        <v>1361.42</v>
      </c>
    </row>
    <row r="1996" spans="1:2">
      <c r="A1996" s="189">
        <v>39589</v>
      </c>
      <c r="B1996">
        <v>1383.47</v>
      </c>
    </row>
    <row r="1997" spans="1:2">
      <c r="A1997" s="189">
        <v>39588</v>
      </c>
      <c r="B1997">
        <v>1383.47</v>
      </c>
    </row>
    <row r="1998" spans="1:2">
      <c r="A1998" s="189">
        <v>39587</v>
      </c>
      <c r="B1998">
        <v>1384.11</v>
      </c>
    </row>
    <row r="1999" spans="1:2">
      <c r="A1999" s="189">
        <v>39584</v>
      </c>
      <c r="B1999">
        <v>1377.63</v>
      </c>
    </row>
    <row r="2000" spans="1:2">
      <c r="A2000" s="189">
        <v>39583</v>
      </c>
      <c r="B2000">
        <v>1377.63</v>
      </c>
    </row>
    <row r="2001" spans="1:2">
      <c r="A2001" s="189">
        <v>39582</v>
      </c>
      <c r="B2001">
        <v>1329.01</v>
      </c>
    </row>
    <row r="2002" spans="1:2">
      <c r="A2002" s="189">
        <v>39581</v>
      </c>
      <c r="B2002">
        <v>1303.08</v>
      </c>
    </row>
    <row r="2003" spans="1:2">
      <c r="A2003" s="189">
        <v>39580</v>
      </c>
      <c r="B2003">
        <v>1296.5899999999999</v>
      </c>
    </row>
    <row r="2004" spans="1:2">
      <c r="A2004" s="189">
        <v>39577</v>
      </c>
      <c r="B2004">
        <v>1299.8399999999999</v>
      </c>
    </row>
    <row r="2005" spans="1:2">
      <c r="A2005" s="189">
        <v>39576</v>
      </c>
      <c r="B2005">
        <v>1264.18</v>
      </c>
    </row>
    <row r="2006" spans="1:2">
      <c r="A2006" s="189">
        <v>39575</v>
      </c>
      <c r="B2006">
        <v>1296.5899999999999</v>
      </c>
    </row>
    <row r="2007" spans="1:2">
      <c r="A2007" s="189">
        <v>39574</v>
      </c>
      <c r="B2007">
        <v>1296.5899999999999</v>
      </c>
    </row>
    <row r="2008" spans="1:2">
      <c r="A2008" s="189">
        <v>39573</v>
      </c>
      <c r="B2008">
        <v>1296.5899999999999</v>
      </c>
    </row>
    <row r="2009" spans="1:2">
      <c r="A2009" s="189">
        <v>39568</v>
      </c>
      <c r="B2009">
        <v>1296.5899999999999</v>
      </c>
    </row>
    <row r="2010" spans="1:2">
      <c r="A2010" s="189">
        <v>39567</v>
      </c>
      <c r="B2010">
        <v>1283.6300000000001</v>
      </c>
    </row>
    <row r="2011" spans="1:2">
      <c r="A2011" s="189">
        <v>39563</v>
      </c>
      <c r="B2011">
        <v>1264.18</v>
      </c>
    </row>
    <row r="2012" spans="1:2">
      <c r="A2012" s="189">
        <v>39562</v>
      </c>
      <c r="B2012">
        <v>1257.7</v>
      </c>
    </row>
    <row r="2013" spans="1:2">
      <c r="A2013" s="189">
        <v>39561</v>
      </c>
      <c r="B2013">
        <v>1296.5899999999999</v>
      </c>
    </row>
    <row r="2014" spans="1:2">
      <c r="A2014" s="189">
        <v>39560</v>
      </c>
      <c r="B2014">
        <v>1296.5899999999999</v>
      </c>
    </row>
    <row r="2015" spans="1:2">
      <c r="A2015" s="189">
        <v>39559</v>
      </c>
      <c r="B2015">
        <v>1375.69</v>
      </c>
    </row>
    <row r="2016" spans="1:2">
      <c r="A2016" s="189">
        <v>39556</v>
      </c>
      <c r="B2016">
        <v>1426.25</v>
      </c>
    </row>
    <row r="2017" spans="1:2">
      <c r="A2017" s="189">
        <v>39555</v>
      </c>
      <c r="B2017">
        <v>1458.67</v>
      </c>
    </row>
    <row r="2018" spans="1:2">
      <c r="A2018" s="189">
        <v>39554</v>
      </c>
      <c r="B2018">
        <v>1458.67</v>
      </c>
    </row>
    <row r="2019" spans="1:2">
      <c r="A2019" s="189">
        <v>39553</v>
      </c>
      <c r="B2019">
        <v>1458.67</v>
      </c>
    </row>
    <row r="2020" spans="1:2">
      <c r="A2020" s="189">
        <v>39552</v>
      </c>
      <c r="B2020">
        <v>1458.67</v>
      </c>
    </row>
    <row r="2021" spans="1:2">
      <c r="A2021" s="189">
        <v>39549</v>
      </c>
      <c r="B2021">
        <v>1458.67</v>
      </c>
    </row>
    <row r="2022" spans="1:2">
      <c r="A2022" s="189">
        <v>39548</v>
      </c>
      <c r="B2022">
        <v>1452.19</v>
      </c>
    </row>
    <row r="2023" spans="1:2">
      <c r="A2023" s="189">
        <v>39547</v>
      </c>
      <c r="B2023">
        <v>1426.25</v>
      </c>
    </row>
    <row r="2024" spans="1:2">
      <c r="A2024" s="189">
        <v>39546</v>
      </c>
      <c r="B2024">
        <v>1393.84</v>
      </c>
    </row>
    <row r="2025" spans="1:2">
      <c r="A2025" s="189">
        <v>39545</v>
      </c>
      <c r="B2025">
        <v>1361.42</v>
      </c>
    </row>
    <row r="2026" spans="1:2">
      <c r="A2026" s="189">
        <v>39542</v>
      </c>
      <c r="B2026">
        <v>1368.56</v>
      </c>
    </row>
    <row r="2027" spans="1:2">
      <c r="A2027" s="189">
        <v>39541</v>
      </c>
      <c r="B2027">
        <v>1361.42</v>
      </c>
    </row>
    <row r="2028" spans="1:2">
      <c r="A2028" s="189">
        <v>39540</v>
      </c>
      <c r="B2028">
        <v>1361.42</v>
      </c>
    </row>
    <row r="2029" spans="1:2">
      <c r="A2029" s="189">
        <v>39539</v>
      </c>
      <c r="B2029">
        <v>1235.01</v>
      </c>
    </row>
    <row r="2030" spans="1:2">
      <c r="A2030" s="189">
        <v>39538</v>
      </c>
      <c r="B2030">
        <v>1235.01</v>
      </c>
    </row>
    <row r="2031" spans="1:2">
      <c r="A2031" s="189">
        <v>39535</v>
      </c>
      <c r="B2031">
        <v>1245.3800000000001</v>
      </c>
    </row>
    <row r="2032" spans="1:2">
      <c r="A2032" s="189">
        <v>39534</v>
      </c>
      <c r="B2032">
        <v>1235.01</v>
      </c>
    </row>
    <row r="2033" spans="1:2">
      <c r="A2033" s="189">
        <v>39533</v>
      </c>
      <c r="B2033">
        <v>1231.77</v>
      </c>
    </row>
    <row r="2034" spans="1:2">
      <c r="A2034" s="189">
        <v>39532</v>
      </c>
      <c r="B2034">
        <v>1231.77</v>
      </c>
    </row>
    <row r="2035" spans="1:2">
      <c r="A2035" s="189">
        <v>39527</v>
      </c>
      <c r="B2035">
        <v>1231.77</v>
      </c>
    </row>
    <row r="2036" spans="1:2">
      <c r="A2036" s="189">
        <v>39526</v>
      </c>
      <c r="B2036">
        <v>1231.77</v>
      </c>
    </row>
    <row r="2037" spans="1:2">
      <c r="A2037" s="189">
        <v>39525</v>
      </c>
      <c r="B2037">
        <v>1218.8</v>
      </c>
    </row>
    <row r="2038" spans="1:2">
      <c r="A2038" s="189">
        <v>39524</v>
      </c>
      <c r="B2038">
        <v>1183.1400000000001</v>
      </c>
    </row>
    <row r="2039" spans="1:2">
      <c r="A2039" s="189">
        <v>39521</v>
      </c>
      <c r="B2039">
        <v>1183.1400000000001</v>
      </c>
    </row>
    <row r="2040" spans="1:2">
      <c r="A2040" s="189">
        <v>39520</v>
      </c>
      <c r="B2040">
        <v>1199.3499999999999</v>
      </c>
    </row>
    <row r="2041" spans="1:2">
      <c r="A2041" s="189">
        <v>39519</v>
      </c>
      <c r="B2041">
        <v>1199.3499999999999</v>
      </c>
    </row>
    <row r="2042" spans="1:2">
      <c r="A2042" s="189">
        <v>39518</v>
      </c>
      <c r="B2042">
        <v>1199.3499999999999</v>
      </c>
    </row>
    <row r="2043" spans="1:2">
      <c r="A2043" s="189">
        <v>39517</v>
      </c>
      <c r="B2043">
        <v>1218.8</v>
      </c>
    </row>
    <row r="2044" spans="1:2">
      <c r="A2044" s="189">
        <v>39514</v>
      </c>
      <c r="B2044">
        <v>1166.94</v>
      </c>
    </row>
    <row r="2045" spans="1:2">
      <c r="A2045" s="189">
        <v>39513</v>
      </c>
      <c r="B2045">
        <v>1102.75</v>
      </c>
    </row>
    <row r="2046" spans="1:2">
      <c r="A2046" s="189">
        <v>39512</v>
      </c>
      <c r="B2046">
        <v>1102.75</v>
      </c>
    </row>
    <row r="2047" spans="1:2">
      <c r="A2047" s="189">
        <v>39511</v>
      </c>
      <c r="B2047">
        <v>1205.83</v>
      </c>
    </row>
    <row r="2048" spans="1:2">
      <c r="A2048" s="189">
        <v>39510</v>
      </c>
      <c r="B2048">
        <v>1205.83</v>
      </c>
    </row>
    <row r="2049" spans="1:2">
      <c r="A2049" s="189">
        <v>39507</v>
      </c>
      <c r="B2049">
        <v>1102.1099999999999</v>
      </c>
    </row>
    <row r="2050" spans="1:2">
      <c r="A2050" s="189">
        <v>39506</v>
      </c>
      <c r="B2050">
        <v>1037.92</v>
      </c>
    </row>
    <row r="2051" spans="1:2">
      <c r="A2051" s="189">
        <v>39505</v>
      </c>
      <c r="B2051">
        <v>1037.92</v>
      </c>
    </row>
    <row r="2052" spans="1:2">
      <c r="A2052" s="189">
        <v>39504</v>
      </c>
      <c r="B2052">
        <v>1037.92</v>
      </c>
    </row>
    <row r="2053" spans="1:2">
      <c r="A2053" s="189">
        <v>39503</v>
      </c>
      <c r="B2053">
        <v>1037.92</v>
      </c>
    </row>
    <row r="2054" spans="1:2">
      <c r="A2054" s="189">
        <v>39500</v>
      </c>
      <c r="B2054">
        <v>1069.69</v>
      </c>
    </row>
    <row r="2055" spans="1:2">
      <c r="A2055" s="189">
        <v>39499</v>
      </c>
      <c r="B2055">
        <v>1073.58</v>
      </c>
    </row>
    <row r="2056" spans="1:2">
      <c r="A2056" s="189">
        <v>39498</v>
      </c>
      <c r="B2056">
        <v>1076.17</v>
      </c>
    </row>
    <row r="2057" spans="1:2">
      <c r="A2057" s="189">
        <v>39497</v>
      </c>
      <c r="B2057">
        <v>1102.1099999999999</v>
      </c>
    </row>
    <row r="2058" spans="1:2">
      <c r="A2058" s="189">
        <v>39496</v>
      </c>
      <c r="B2058">
        <v>1133.22</v>
      </c>
    </row>
    <row r="2059" spans="1:2">
      <c r="A2059" s="189">
        <v>39493</v>
      </c>
      <c r="B2059">
        <v>1134.52</v>
      </c>
    </row>
    <row r="2060" spans="1:2">
      <c r="A2060" s="189">
        <v>39492</v>
      </c>
      <c r="B2060">
        <v>1150.73</v>
      </c>
    </row>
    <row r="2061" spans="1:2">
      <c r="A2061" s="189">
        <v>39491</v>
      </c>
      <c r="B2061">
        <v>1173.42</v>
      </c>
    </row>
    <row r="2062" spans="1:2">
      <c r="A2062" s="189">
        <v>39490</v>
      </c>
      <c r="B2062">
        <v>1179.9000000000001</v>
      </c>
    </row>
    <row r="2063" spans="1:2">
      <c r="A2063" s="189">
        <v>39489</v>
      </c>
      <c r="B2063">
        <v>1186.3800000000001</v>
      </c>
    </row>
    <row r="2064" spans="1:2">
      <c r="A2064" s="189">
        <v>39486</v>
      </c>
      <c r="B2064">
        <v>1170.18</v>
      </c>
    </row>
    <row r="2065" spans="1:2">
      <c r="A2065" s="189">
        <v>39485</v>
      </c>
      <c r="B2065">
        <v>1170.18</v>
      </c>
    </row>
    <row r="2066" spans="1:2">
      <c r="A2066" s="189">
        <v>39484</v>
      </c>
      <c r="B2066">
        <v>1228.52</v>
      </c>
    </row>
    <row r="2067" spans="1:2">
      <c r="A2067" s="189">
        <v>39483</v>
      </c>
      <c r="B2067">
        <v>1228.52</v>
      </c>
    </row>
    <row r="2068" spans="1:2">
      <c r="A2068" s="189">
        <v>39482</v>
      </c>
      <c r="B2068">
        <v>1228.52</v>
      </c>
    </row>
    <row r="2069" spans="1:2">
      <c r="A2069" s="189">
        <v>39479</v>
      </c>
      <c r="B2069">
        <v>1231.77</v>
      </c>
    </row>
    <row r="2070" spans="1:2">
      <c r="A2070" s="189">
        <v>39478</v>
      </c>
      <c r="B2070">
        <v>1202.5899999999999</v>
      </c>
    </row>
    <row r="2071" spans="1:2">
      <c r="A2071" s="189">
        <v>39477</v>
      </c>
      <c r="B2071">
        <v>1199.3499999999999</v>
      </c>
    </row>
    <row r="2072" spans="1:2">
      <c r="A2072" s="189">
        <v>39476</v>
      </c>
      <c r="B2072">
        <v>1166.94</v>
      </c>
    </row>
    <row r="2073" spans="1:2">
      <c r="A2073" s="189">
        <v>39475</v>
      </c>
      <c r="B2073">
        <v>1166.94</v>
      </c>
    </row>
    <row r="2074" spans="1:2">
      <c r="A2074" s="189">
        <v>39472</v>
      </c>
      <c r="B2074">
        <v>1199.3499999999999</v>
      </c>
    </row>
    <row r="2075" spans="1:2">
      <c r="A2075" s="189">
        <v>39471</v>
      </c>
      <c r="B2075">
        <v>1176.6600000000001</v>
      </c>
    </row>
    <row r="2076" spans="1:2">
      <c r="A2076" s="189">
        <v>39470</v>
      </c>
      <c r="B2076">
        <v>1183.1400000000001</v>
      </c>
    </row>
    <row r="2077" spans="1:2">
      <c r="A2077" s="189">
        <v>39469</v>
      </c>
      <c r="B2077">
        <v>1231.77</v>
      </c>
    </row>
    <row r="2078" spans="1:2">
      <c r="A2078" s="189">
        <v>39468</v>
      </c>
      <c r="B2078">
        <v>1231.77</v>
      </c>
    </row>
    <row r="2079" spans="1:2">
      <c r="A2079" s="189">
        <v>39465</v>
      </c>
      <c r="B2079">
        <v>1260.94</v>
      </c>
    </row>
    <row r="2080" spans="1:2">
      <c r="A2080" s="189">
        <v>39464</v>
      </c>
      <c r="B2080">
        <v>1260.94</v>
      </c>
    </row>
    <row r="2081" spans="1:2">
      <c r="A2081" s="189">
        <v>39463</v>
      </c>
      <c r="B2081">
        <v>1260.94</v>
      </c>
    </row>
    <row r="2082" spans="1:2">
      <c r="A2082" s="189">
        <v>39462</v>
      </c>
      <c r="B2082">
        <v>1277.1500000000001</v>
      </c>
    </row>
    <row r="2083" spans="1:2">
      <c r="A2083" s="189">
        <v>39461</v>
      </c>
      <c r="B2083">
        <v>1277.1500000000001</v>
      </c>
    </row>
    <row r="2084" spans="1:2">
      <c r="A2084" s="189">
        <v>39458</v>
      </c>
      <c r="B2084">
        <v>1277.1500000000001</v>
      </c>
    </row>
    <row r="2085" spans="1:2">
      <c r="A2085" s="189">
        <v>39457</v>
      </c>
      <c r="B2085">
        <v>1264.18</v>
      </c>
    </row>
    <row r="2086" spans="1:2">
      <c r="A2086" s="189">
        <v>39456</v>
      </c>
      <c r="B2086">
        <v>1264.18</v>
      </c>
    </row>
    <row r="2087" spans="1:2">
      <c r="A2087" s="189">
        <v>39455</v>
      </c>
      <c r="B2087">
        <v>1277.1500000000001</v>
      </c>
    </row>
    <row r="2088" spans="1:2">
      <c r="A2088" s="189">
        <v>39454</v>
      </c>
      <c r="B2088">
        <v>1264.18</v>
      </c>
    </row>
    <row r="2089" spans="1:2">
      <c r="A2089" s="189">
        <v>39451</v>
      </c>
      <c r="B2089">
        <v>1240.19</v>
      </c>
    </row>
    <row r="2090" spans="1:2">
      <c r="A2090" s="189">
        <v>39450</v>
      </c>
      <c r="B2090">
        <v>1240.19</v>
      </c>
    </row>
    <row r="2091" spans="1:2">
      <c r="A2091" s="189">
        <v>39449</v>
      </c>
      <c r="B2091">
        <v>1240.19</v>
      </c>
    </row>
    <row r="2092" spans="1:2">
      <c r="A2092" s="189">
        <v>39447</v>
      </c>
      <c r="B2092">
        <v>1240.19</v>
      </c>
    </row>
    <row r="2093" spans="1:2">
      <c r="A2093" s="189">
        <v>39444</v>
      </c>
      <c r="B2093">
        <v>1252.5899999999999</v>
      </c>
    </row>
    <row r="2094" spans="1:2">
      <c r="A2094" s="189">
        <v>39443</v>
      </c>
      <c r="B2094">
        <v>1240.19</v>
      </c>
    </row>
    <row r="2095" spans="1:2">
      <c r="A2095" s="189">
        <v>39440</v>
      </c>
      <c r="B2095">
        <v>1240.19</v>
      </c>
    </row>
    <row r="2096" spans="1:2">
      <c r="A2096" s="189">
        <v>39437</v>
      </c>
      <c r="B2096">
        <v>1209.19</v>
      </c>
    </row>
    <row r="2097" spans="1:2">
      <c r="A2097" s="189">
        <v>39436</v>
      </c>
      <c r="B2097">
        <v>1240.19</v>
      </c>
    </row>
    <row r="2098" spans="1:2">
      <c r="A2098" s="189">
        <v>39435</v>
      </c>
      <c r="B2098">
        <v>1261.9000000000001</v>
      </c>
    </row>
    <row r="2099" spans="1:2">
      <c r="A2099" s="189">
        <v>39434</v>
      </c>
      <c r="B2099">
        <v>1277.4000000000001</v>
      </c>
    </row>
    <row r="2100" spans="1:2">
      <c r="A2100" s="189">
        <v>39430</v>
      </c>
      <c r="B2100">
        <v>1277.4000000000001</v>
      </c>
    </row>
    <row r="2101" spans="1:2">
      <c r="A2101" s="189">
        <v>39429</v>
      </c>
      <c r="B2101">
        <v>1240.19</v>
      </c>
    </row>
    <row r="2102" spans="1:2">
      <c r="A2102" s="189">
        <v>39428</v>
      </c>
      <c r="B2102">
        <v>1299.0999999999999</v>
      </c>
    </row>
    <row r="2103" spans="1:2">
      <c r="A2103" s="189">
        <v>39427</v>
      </c>
      <c r="B2103">
        <v>1302.2</v>
      </c>
    </row>
    <row r="2104" spans="1:2">
      <c r="A2104" s="189">
        <v>39426</v>
      </c>
      <c r="B2104">
        <v>1302.2</v>
      </c>
    </row>
    <row r="2105" spans="1:2">
      <c r="A2105" s="189">
        <v>39423</v>
      </c>
      <c r="B2105">
        <v>1302.2</v>
      </c>
    </row>
    <row r="2106" spans="1:2">
      <c r="A2106" s="189">
        <v>39422</v>
      </c>
      <c r="B2106">
        <v>1333.21</v>
      </c>
    </row>
    <row r="2107" spans="1:2">
      <c r="A2107" s="189">
        <v>39421</v>
      </c>
      <c r="B2107">
        <v>1364.21</v>
      </c>
    </row>
    <row r="2108" spans="1:2">
      <c r="A2108" s="189">
        <v>39420</v>
      </c>
      <c r="B2108">
        <v>1426.22</v>
      </c>
    </row>
    <row r="2109" spans="1:2">
      <c r="A2109" s="189">
        <v>39419</v>
      </c>
      <c r="B2109">
        <v>1475.83</v>
      </c>
    </row>
    <row r="2110" spans="1:2">
      <c r="A2110" s="189">
        <v>39416</v>
      </c>
      <c r="B2110">
        <v>1475.83</v>
      </c>
    </row>
    <row r="2111" spans="1:2">
      <c r="A2111" s="189">
        <v>39415</v>
      </c>
      <c r="B2111">
        <v>1463.43</v>
      </c>
    </row>
    <row r="2112" spans="1:2">
      <c r="A2112" s="189">
        <v>39414</v>
      </c>
      <c r="B2112">
        <v>1438.62</v>
      </c>
    </row>
    <row r="2113" spans="1:2">
      <c r="A2113" s="189">
        <v>39413</v>
      </c>
      <c r="B2113">
        <v>1438.62</v>
      </c>
    </row>
    <row r="2114" spans="1:2">
      <c r="A2114" s="189">
        <v>39412</v>
      </c>
      <c r="B2114">
        <v>1488.23</v>
      </c>
    </row>
    <row r="2115" spans="1:2">
      <c r="A2115" s="189">
        <v>39409</v>
      </c>
      <c r="B2115">
        <v>1488.23</v>
      </c>
    </row>
    <row r="2116" spans="1:2">
      <c r="A2116" s="189">
        <v>39408</v>
      </c>
      <c r="B2116">
        <v>1519.24</v>
      </c>
    </row>
    <row r="2117" spans="1:2">
      <c r="A2117" s="189">
        <v>39407</v>
      </c>
      <c r="B2117">
        <v>1519.24</v>
      </c>
    </row>
    <row r="2118" spans="1:2">
      <c r="A2118" s="189">
        <v>39406</v>
      </c>
      <c r="B2118">
        <v>1550.24</v>
      </c>
    </row>
    <row r="2119" spans="1:2">
      <c r="A2119" s="189">
        <v>39405</v>
      </c>
      <c r="B2119">
        <v>1535.36</v>
      </c>
    </row>
    <row r="2120" spans="1:2">
      <c r="A2120" s="189">
        <v>39402</v>
      </c>
      <c r="B2120">
        <v>1550.24</v>
      </c>
    </row>
    <row r="2121" spans="1:2">
      <c r="A2121" s="189">
        <v>39401</v>
      </c>
      <c r="B2121">
        <v>1590.55</v>
      </c>
    </row>
    <row r="2122" spans="1:2">
      <c r="A2122" s="189">
        <v>39400</v>
      </c>
      <c r="B2122">
        <v>1612.25</v>
      </c>
    </row>
    <row r="2123" spans="1:2">
      <c r="A2123" s="189">
        <v>39399</v>
      </c>
      <c r="B2123">
        <v>1595.51</v>
      </c>
    </row>
    <row r="2124" spans="1:2">
      <c r="A2124" s="189">
        <v>39398</v>
      </c>
      <c r="B2124">
        <v>1540.94</v>
      </c>
    </row>
    <row r="2125" spans="1:2">
      <c r="A2125" s="189">
        <v>39395</v>
      </c>
      <c r="B2125">
        <v>1504.97</v>
      </c>
    </row>
    <row r="2126" spans="1:2">
      <c r="A2126" s="189">
        <v>39394</v>
      </c>
      <c r="B2126">
        <v>1498.77</v>
      </c>
    </row>
    <row r="2127" spans="1:2">
      <c r="A2127" s="189">
        <v>39393</v>
      </c>
      <c r="B2127">
        <v>1498.77</v>
      </c>
    </row>
    <row r="2128" spans="1:2">
      <c r="A2128" s="189">
        <v>39392</v>
      </c>
      <c r="B2128">
        <v>1491.33</v>
      </c>
    </row>
    <row r="2129" spans="1:2">
      <c r="A2129" s="189">
        <v>39391</v>
      </c>
      <c r="B2129">
        <v>1488.23</v>
      </c>
    </row>
    <row r="2130" spans="1:2">
      <c r="A2130" s="189">
        <v>39388</v>
      </c>
      <c r="B2130">
        <v>1488.23</v>
      </c>
    </row>
    <row r="2131" spans="1:2">
      <c r="A2131" s="189">
        <v>39387</v>
      </c>
      <c r="B2131">
        <v>1519.24</v>
      </c>
    </row>
    <row r="2132" spans="1:2">
      <c r="A2132" s="189">
        <v>39386</v>
      </c>
      <c r="B2132">
        <v>1550.24</v>
      </c>
    </row>
    <row r="2133" spans="1:2">
      <c r="A2133" s="189">
        <v>39385</v>
      </c>
      <c r="B2133">
        <v>1488.23</v>
      </c>
    </row>
    <row r="2134" spans="1:2">
      <c r="A2134" s="189">
        <v>39384</v>
      </c>
      <c r="B2134">
        <v>1488.85</v>
      </c>
    </row>
    <row r="2135" spans="1:2">
      <c r="A2135" s="189">
        <v>39381</v>
      </c>
      <c r="B2135">
        <v>1488.23</v>
      </c>
    </row>
    <row r="2136" spans="1:2">
      <c r="A2136" s="189">
        <v>39380</v>
      </c>
      <c r="B2136">
        <v>1488.23</v>
      </c>
    </row>
    <row r="2137" spans="1:2">
      <c r="A2137" s="189">
        <v>39379</v>
      </c>
      <c r="B2137">
        <v>1488.23</v>
      </c>
    </row>
    <row r="2138" spans="1:2">
      <c r="A2138" s="189">
        <v>39378</v>
      </c>
      <c r="B2138">
        <v>1488.23</v>
      </c>
    </row>
    <row r="2139" spans="1:2">
      <c r="A2139" s="189">
        <v>39377</v>
      </c>
      <c r="B2139">
        <v>1488.23</v>
      </c>
    </row>
    <row r="2140" spans="1:2">
      <c r="A2140" s="189">
        <v>39374</v>
      </c>
      <c r="B2140">
        <v>1519.24</v>
      </c>
    </row>
    <row r="2141" spans="1:2">
      <c r="A2141" s="189">
        <v>39373</v>
      </c>
      <c r="B2141">
        <v>1519.24</v>
      </c>
    </row>
    <row r="2142" spans="1:2">
      <c r="A2142" s="189">
        <v>39372</v>
      </c>
      <c r="B2142">
        <v>1534.74</v>
      </c>
    </row>
    <row r="2143" spans="1:2">
      <c r="A2143" s="189">
        <v>39371</v>
      </c>
      <c r="B2143">
        <v>1519.24</v>
      </c>
    </row>
    <row r="2144" spans="1:2">
      <c r="A2144" s="189">
        <v>39370</v>
      </c>
      <c r="B2144">
        <v>1519.24</v>
      </c>
    </row>
    <row r="2145" spans="1:2">
      <c r="A2145" s="189">
        <v>39367</v>
      </c>
      <c r="B2145">
        <v>1519.24</v>
      </c>
    </row>
    <row r="2146" spans="1:2">
      <c r="A2146" s="189">
        <v>39366</v>
      </c>
      <c r="B2146">
        <v>1519.24</v>
      </c>
    </row>
    <row r="2147" spans="1:2">
      <c r="A2147" s="189">
        <v>39365</v>
      </c>
      <c r="B2147">
        <v>1488.23</v>
      </c>
    </row>
    <row r="2148" spans="1:2">
      <c r="A2148" s="189">
        <v>39364</v>
      </c>
      <c r="B2148">
        <v>1488.23</v>
      </c>
    </row>
    <row r="2149" spans="1:2">
      <c r="A2149" s="189">
        <v>39363</v>
      </c>
      <c r="B2149">
        <v>1491.33</v>
      </c>
    </row>
    <row r="2150" spans="1:2">
      <c r="A2150" s="189">
        <v>39360</v>
      </c>
      <c r="B2150">
        <v>1488.23</v>
      </c>
    </row>
    <row r="2151" spans="1:2">
      <c r="A2151" s="189">
        <v>39359</v>
      </c>
      <c r="B2151">
        <v>1488.23</v>
      </c>
    </row>
    <row r="2152" spans="1:2">
      <c r="A2152" s="189">
        <v>39358</v>
      </c>
      <c r="B2152">
        <v>1457.23</v>
      </c>
    </row>
    <row r="2153" spans="1:2">
      <c r="A2153" s="189">
        <v>39357</v>
      </c>
      <c r="B2153">
        <v>1429.32</v>
      </c>
    </row>
    <row r="2154" spans="1:2">
      <c r="A2154" s="189">
        <v>39356</v>
      </c>
      <c r="B2154">
        <v>1404.52</v>
      </c>
    </row>
    <row r="2155" spans="1:2">
      <c r="A2155" s="189">
        <v>39353</v>
      </c>
      <c r="B2155">
        <v>1401.42</v>
      </c>
    </row>
    <row r="2156" spans="1:2">
      <c r="A2156" s="189">
        <v>39352</v>
      </c>
      <c r="B2156">
        <v>1395.22</v>
      </c>
    </row>
    <row r="2157" spans="1:2">
      <c r="A2157" s="189">
        <v>39351</v>
      </c>
      <c r="B2157">
        <v>1395.22</v>
      </c>
    </row>
    <row r="2158" spans="1:2">
      <c r="A2158" s="189">
        <v>39350</v>
      </c>
      <c r="B2158">
        <v>1395.22</v>
      </c>
    </row>
    <row r="2159" spans="1:2">
      <c r="A2159" s="189">
        <v>39346</v>
      </c>
      <c r="B2159">
        <v>1395.22</v>
      </c>
    </row>
    <row r="2160" spans="1:2">
      <c r="A2160" s="189">
        <v>39345</v>
      </c>
      <c r="B2160">
        <v>1364.21</v>
      </c>
    </row>
    <row r="2161" spans="1:2">
      <c r="A2161" s="189">
        <v>39344</v>
      </c>
      <c r="B2161">
        <v>1364.21</v>
      </c>
    </row>
    <row r="2162" spans="1:2">
      <c r="A2162" s="189">
        <v>39343</v>
      </c>
      <c r="B2162">
        <v>1241.43</v>
      </c>
    </row>
    <row r="2163" spans="1:2">
      <c r="A2163" s="189">
        <v>39342</v>
      </c>
      <c r="B2163">
        <v>1234.6099999999999</v>
      </c>
    </row>
    <row r="2164" spans="1:2">
      <c r="A2164" s="189">
        <v>39339</v>
      </c>
      <c r="B2164">
        <v>1199.8900000000001</v>
      </c>
    </row>
    <row r="2165" spans="1:2">
      <c r="A2165" s="189">
        <v>39338</v>
      </c>
      <c r="B2165">
        <v>1199.8900000000001</v>
      </c>
    </row>
    <row r="2166" spans="1:2">
      <c r="A2166" s="189">
        <v>39337</v>
      </c>
      <c r="B2166">
        <v>1199.8900000000001</v>
      </c>
    </row>
    <row r="2167" spans="1:2">
      <c r="A2167" s="189">
        <v>39336</v>
      </c>
      <c r="B2167">
        <v>1178.18</v>
      </c>
    </row>
    <row r="2168" spans="1:2">
      <c r="A2168" s="189">
        <v>39335</v>
      </c>
      <c r="B2168">
        <v>1178.18</v>
      </c>
    </row>
    <row r="2169" spans="1:2">
      <c r="A2169" s="189">
        <v>39332</v>
      </c>
      <c r="B2169">
        <v>1199.8900000000001</v>
      </c>
    </row>
    <row r="2170" spans="1:2">
      <c r="A2170" s="189">
        <v>39331</v>
      </c>
      <c r="B2170">
        <v>1199.8900000000001</v>
      </c>
    </row>
    <row r="2171" spans="1:2">
      <c r="A2171" s="189">
        <v>39330</v>
      </c>
      <c r="B2171">
        <v>1199.8900000000001</v>
      </c>
    </row>
    <row r="2172" spans="1:2">
      <c r="A2172" s="189">
        <v>39329</v>
      </c>
      <c r="B2172">
        <v>1178.18</v>
      </c>
    </row>
    <row r="2173" spans="1:2">
      <c r="A2173" s="189">
        <v>39328</v>
      </c>
      <c r="B2173">
        <v>1209.19</v>
      </c>
    </row>
    <row r="2174" spans="1:2">
      <c r="A2174" s="189">
        <v>39325</v>
      </c>
      <c r="B2174">
        <v>1116.17</v>
      </c>
    </row>
    <row r="2175" spans="1:2">
      <c r="A2175" s="189">
        <v>39324</v>
      </c>
      <c r="B2175">
        <v>1116.17</v>
      </c>
    </row>
    <row r="2176" spans="1:2">
      <c r="A2176" s="189">
        <v>39323</v>
      </c>
      <c r="B2176">
        <v>1116.17</v>
      </c>
    </row>
    <row r="2177" spans="1:2">
      <c r="A2177" s="189">
        <v>39322</v>
      </c>
      <c r="B2177">
        <v>1060.3599999999999</v>
      </c>
    </row>
    <row r="2178" spans="1:2">
      <c r="A2178" s="189">
        <v>39321</v>
      </c>
      <c r="B2178">
        <v>1057.8800000000001</v>
      </c>
    </row>
    <row r="2179" spans="1:2">
      <c r="A2179" s="189">
        <v>39318</v>
      </c>
      <c r="B2179">
        <v>1054.1600000000001</v>
      </c>
    </row>
    <row r="2180" spans="1:2">
      <c r="A2180" s="189">
        <v>39317</v>
      </c>
      <c r="B2180">
        <v>1054.1600000000001</v>
      </c>
    </row>
    <row r="2181" spans="1:2">
      <c r="A2181" s="189">
        <v>39316</v>
      </c>
      <c r="B2181">
        <v>1054.1600000000001</v>
      </c>
    </row>
    <row r="2182" spans="1:2">
      <c r="A2182" s="189">
        <v>39315</v>
      </c>
      <c r="B2182">
        <v>1054.1600000000001</v>
      </c>
    </row>
    <row r="2183" spans="1:2">
      <c r="A2183" s="189">
        <v>39314</v>
      </c>
      <c r="B2183">
        <v>1054.1600000000001</v>
      </c>
    </row>
    <row r="2184" spans="1:2">
      <c r="A2184" s="189">
        <v>39311</v>
      </c>
      <c r="B2184">
        <v>1054.1600000000001</v>
      </c>
    </row>
    <row r="2185" spans="1:2">
      <c r="A2185" s="189">
        <v>39310</v>
      </c>
      <c r="B2185">
        <v>1057.8800000000001</v>
      </c>
    </row>
    <row r="2186" spans="1:2">
      <c r="A2186" s="189">
        <v>39309</v>
      </c>
      <c r="B2186">
        <v>1057.8800000000001</v>
      </c>
    </row>
    <row r="2187" spans="1:2">
      <c r="A2187" s="189">
        <v>39308</v>
      </c>
      <c r="B2187">
        <v>1063.47</v>
      </c>
    </row>
    <row r="2188" spans="1:2">
      <c r="A2188" s="189">
        <v>39307</v>
      </c>
      <c r="B2188">
        <v>1063.47</v>
      </c>
    </row>
    <row r="2189" spans="1:2">
      <c r="A2189" s="189">
        <v>39304</v>
      </c>
      <c r="B2189">
        <v>1054.1600000000001</v>
      </c>
    </row>
    <row r="2190" spans="1:2">
      <c r="A2190" s="189">
        <v>39302</v>
      </c>
      <c r="B2190">
        <v>1063.47</v>
      </c>
    </row>
    <row r="2191" spans="1:2">
      <c r="A2191" s="189">
        <v>39301</v>
      </c>
      <c r="B2191">
        <v>1054.1600000000001</v>
      </c>
    </row>
    <row r="2192" spans="1:2">
      <c r="A2192" s="189">
        <v>39300</v>
      </c>
      <c r="B2192">
        <v>1054.1600000000001</v>
      </c>
    </row>
    <row r="2193" spans="1:2">
      <c r="A2193" s="189">
        <v>39297</v>
      </c>
      <c r="B2193">
        <v>1116.17</v>
      </c>
    </row>
    <row r="2194" spans="1:2">
      <c r="A2194" s="189">
        <v>39296</v>
      </c>
      <c r="B2194">
        <v>1153.3800000000001</v>
      </c>
    </row>
    <row r="2195" spans="1:2">
      <c r="A2195" s="189">
        <v>39295</v>
      </c>
      <c r="B2195">
        <v>1119.27</v>
      </c>
    </row>
    <row r="2196" spans="1:2">
      <c r="A2196" s="189">
        <v>39294</v>
      </c>
      <c r="B2196">
        <v>1178.18</v>
      </c>
    </row>
    <row r="2197" spans="1:2">
      <c r="A2197" s="189">
        <v>39293</v>
      </c>
      <c r="B2197">
        <v>1178.18</v>
      </c>
    </row>
    <row r="2198" spans="1:2">
      <c r="A2198" s="189">
        <v>39290</v>
      </c>
      <c r="B2198">
        <v>1209.19</v>
      </c>
    </row>
    <row r="2199" spans="1:2">
      <c r="A2199" s="189">
        <v>39289</v>
      </c>
      <c r="B2199">
        <v>1209.19</v>
      </c>
    </row>
    <row r="2200" spans="1:2">
      <c r="A2200" s="189">
        <v>39288</v>
      </c>
      <c r="B2200">
        <v>1227.79</v>
      </c>
    </row>
    <row r="2201" spans="1:2">
      <c r="A2201" s="189">
        <v>39287</v>
      </c>
      <c r="B2201">
        <v>1227.79</v>
      </c>
    </row>
    <row r="2202" spans="1:2">
      <c r="A2202" s="189">
        <v>39286</v>
      </c>
      <c r="B2202">
        <v>1219.73</v>
      </c>
    </row>
    <row r="2203" spans="1:2">
      <c r="A2203" s="189">
        <v>39283</v>
      </c>
      <c r="B2203">
        <v>1227.79</v>
      </c>
    </row>
    <row r="2204" spans="1:2">
      <c r="A2204" s="189">
        <v>39282</v>
      </c>
      <c r="B2204">
        <v>1227.79</v>
      </c>
    </row>
    <row r="2205" spans="1:2">
      <c r="A2205" s="189">
        <v>39281</v>
      </c>
      <c r="B2205">
        <v>1227.79</v>
      </c>
    </row>
    <row r="2206" spans="1:2">
      <c r="A2206" s="189">
        <v>39280</v>
      </c>
      <c r="B2206">
        <v>1221.5899999999999</v>
      </c>
    </row>
    <row r="2207" spans="1:2">
      <c r="A2207" s="189">
        <v>39279</v>
      </c>
      <c r="B2207">
        <v>1221.5899999999999</v>
      </c>
    </row>
    <row r="2208" spans="1:2">
      <c r="A2208" s="189">
        <v>39276</v>
      </c>
      <c r="B2208">
        <v>1221.5899999999999</v>
      </c>
    </row>
    <row r="2209" spans="1:2">
      <c r="A2209" s="189">
        <v>39275</v>
      </c>
      <c r="B2209">
        <v>1221.5899999999999</v>
      </c>
    </row>
    <row r="2210" spans="1:2">
      <c r="A2210" s="189">
        <v>39274</v>
      </c>
      <c r="B2210">
        <v>1221.5899999999999</v>
      </c>
    </row>
    <row r="2211" spans="1:2">
      <c r="A2211" s="189">
        <v>39273</v>
      </c>
      <c r="B2211">
        <v>1221.5899999999999</v>
      </c>
    </row>
    <row r="2212" spans="1:2">
      <c r="A2212" s="189">
        <v>39272</v>
      </c>
      <c r="B2212">
        <v>1240.19</v>
      </c>
    </row>
    <row r="2213" spans="1:2">
      <c r="A2213" s="189">
        <v>39269</v>
      </c>
      <c r="B2213">
        <v>1209.19</v>
      </c>
    </row>
    <row r="2214" spans="1:2">
      <c r="A2214" s="189">
        <v>39268</v>
      </c>
      <c r="B2214">
        <v>1240.19</v>
      </c>
    </row>
    <row r="2215" spans="1:2">
      <c r="A2215" s="189">
        <v>39267</v>
      </c>
      <c r="B2215">
        <v>1240.19</v>
      </c>
    </row>
    <row r="2216" spans="1:2">
      <c r="A2216" s="189">
        <v>39266</v>
      </c>
      <c r="B2216">
        <v>1178.18</v>
      </c>
    </row>
    <row r="2217" spans="1:2">
      <c r="A2217" s="189">
        <v>39265</v>
      </c>
      <c r="B2217">
        <v>1178.18</v>
      </c>
    </row>
    <row r="2218" spans="1:2">
      <c r="A2218" s="189">
        <v>39262</v>
      </c>
      <c r="B2218">
        <v>1178.18</v>
      </c>
    </row>
    <row r="2219" spans="1:2">
      <c r="A2219" s="189">
        <v>39261</v>
      </c>
      <c r="B2219">
        <v>1215.3900000000001</v>
      </c>
    </row>
    <row r="2220" spans="1:2">
      <c r="A2220" s="189">
        <v>39260</v>
      </c>
      <c r="B2220">
        <v>1181.28</v>
      </c>
    </row>
    <row r="2221" spans="1:2">
      <c r="A2221" s="189">
        <v>39259</v>
      </c>
      <c r="B2221">
        <v>1178.18</v>
      </c>
    </row>
    <row r="2222" spans="1:2">
      <c r="A2222" s="189">
        <v>39258</v>
      </c>
      <c r="B2222">
        <v>1162.68</v>
      </c>
    </row>
    <row r="2223" spans="1:2">
      <c r="A2223" s="189">
        <v>39255</v>
      </c>
      <c r="B2223">
        <v>1135.4000000000001</v>
      </c>
    </row>
    <row r="2224" spans="1:2">
      <c r="A2224" s="189">
        <v>39254</v>
      </c>
      <c r="B2224">
        <v>1135.4000000000001</v>
      </c>
    </row>
    <row r="2225" spans="1:2">
      <c r="A2225" s="189">
        <v>39253</v>
      </c>
      <c r="B2225">
        <v>1135.4000000000001</v>
      </c>
    </row>
    <row r="2226" spans="1:2">
      <c r="A2226" s="189">
        <v>39252</v>
      </c>
      <c r="B2226">
        <v>1145.83</v>
      </c>
    </row>
    <row r="2227" spans="1:2">
      <c r="A2227" s="189">
        <v>39251</v>
      </c>
      <c r="B2227">
        <v>1150.74</v>
      </c>
    </row>
    <row r="2228" spans="1:2">
      <c r="A2228" s="189">
        <v>39248</v>
      </c>
      <c r="B2228">
        <v>1138.47</v>
      </c>
    </row>
    <row r="2229" spans="1:2">
      <c r="A2229" s="189">
        <v>39247</v>
      </c>
      <c r="B2229">
        <v>1166.08</v>
      </c>
    </row>
    <row r="2230" spans="1:2">
      <c r="A2230" s="189">
        <v>39246</v>
      </c>
      <c r="B2230">
        <v>1166.08</v>
      </c>
    </row>
    <row r="2231" spans="1:2">
      <c r="A2231" s="189">
        <v>39245</v>
      </c>
      <c r="B2231">
        <v>1196.77</v>
      </c>
    </row>
    <row r="2232" spans="1:2">
      <c r="A2232" s="189">
        <v>39244</v>
      </c>
      <c r="B2232">
        <v>1227.46</v>
      </c>
    </row>
    <row r="2233" spans="1:2">
      <c r="A2233" s="189">
        <v>39241</v>
      </c>
      <c r="B2233">
        <v>1227.46</v>
      </c>
    </row>
    <row r="2234" spans="1:2">
      <c r="A2234" s="189">
        <v>39240</v>
      </c>
      <c r="B2234">
        <v>1288.83</v>
      </c>
    </row>
    <row r="2235" spans="1:2">
      <c r="A2235" s="189">
        <v>39239</v>
      </c>
      <c r="B2235">
        <v>1288.83</v>
      </c>
    </row>
    <row r="2236" spans="1:2">
      <c r="A2236" s="189">
        <v>39238</v>
      </c>
      <c r="B2236">
        <v>1316.45</v>
      </c>
    </row>
    <row r="2237" spans="1:2">
      <c r="A2237" s="189">
        <v>39237</v>
      </c>
      <c r="B2237">
        <v>1318.29</v>
      </c>
    </row>
    <row r="2238" spans="1:2">
      <c r="A2238" s="189">
        <v>39234</v>
      </c>
      <c r="B2238">
        <v>1319.51</v>
      </c>
    </row>
    <row r="2239" spans="1:2">
      <c r="A2239" s="189">
        <v>39233</v>
      </c>
      <c r="B2239">
        <v>1331.79</v>
      </c>
    </row>
    <row r="2240" spans="1:2">
      <c r="A2240" s="189">
        <v>39232</v>
      </c>
      <c r="B2240">
        <v>1349.59</v>
      </c>
    </row>
    <row r="2241" spans="1:2">
      <c r="A2241" s="189">
        <v>39231</v>
      </c>
      <c r="B2241">
        <v>1350.2</v>
      </c>
    </row>
    <row r="2242" spans="1:2">
      <c r="A2242" s="189">
        <v>39230</v>
      </c>
      <c r="B2242">
        <v>1350.2</v>
      </c>
    </row>
    <row r="2243" spans="1:2">
      <c r="A2243" s="189">
        <v>39227</v>
      </c>
      <c r="B2243">
        <v>1362.48</v>
      </c>
    </row>
    <row r="2244" spans="1:2">
      <c r="A2244" s="189">
        <v>39226</v>
      </c>
      <c r="B2244">
        <v>1334.86</v>
      </c>
    </row>
    <row r="2245" spans="1:2">
      <c r="A2245" s="189">
        <v>39225</v>
      </c>
      <c r="B2245">
        <v>1334.86</v>
      </c>
    </row>
    <row r="2246" spans="1:2">
      <c r="A2246" s="189">
        <v>39224</v>
      </c>
      <c r="B2246">
        <v>1319.51</v>
      </c>
    </row>
    <row r="2247" spans="1:2">
      <c r="A2247" s="189">
        <v>39223</v>
      </c>
      <c r="B2247">
        <v>1258.1400000000001</v>
      </c>
    </row>
    <row r="2248" spans="1:2">
      <c r="A2248" s="189">
        <v>39220</v>
      </c>
      <c r="B2248">
        <v>1227.46</v>
      </c>
    </row>
    <row r="2249" spans="1:2">
      <c r="A2249" s="189">
        <v>39219</v>
      </c>
      <c r="B2249">
        <v>1227.46</v>
      </c>
    </row>
    <row r="2250" spans="1:2">
      <c r="A2250" s="189">
        <v>39218</v>
      </c>
      <c r="B2250">
        <v>1227.46</v>
      </c>
    </row>
    <row r="2251" spans="1:2">
      <c r="A2251" s="189">
        <v>39217</v>
      </c>
      <c r="B2251">
        <v>1189.4000000000001</v>
      </c>
    </row>
    <row r="2252" spans="1:2">
      <c r="A2252" s="189">
        <v>39216</v>
      </c>
      <c r="B2252">
        <v>1185.1099999999999</v>
      </c>
    </row>
    <row r="2253" spans="1:2">
      <c r="A2253" s="189">
        <v>39213</v>
      </c>
      <c r="B2253">
        <v>1150.74</v>
      </c>
    </row>
    <row r="2254" spans="1:2">
      <c r="A2254" s="189">
        <v>39212</v>
      </c>
      <c r="B2254">
        <v>1147.67</v>
      </c>
    </row>
    <row r="2255" spans="1:2">
      <c r="A2255" s="189">
        <v>39211</v>
      </c>
      <c r="B2255">
        <v>1138.47</v>
      </c>
    </row>
    <row r="2256" spans="1:2">
      <c r="A2256" s="189">
        <v>39210</v>
      </c>
      <c r="B2256">
        <v>1138.47</v>
      </c>
    </row>
    <row r="2257" spans="1:2">
      <c r="A2257" s="189">
        <v>39209</v>
      </c>
      <c r="B2257">
        <v>1136.01</v>
      </c>
    </row>
    <row r="2258" spans="1:2">
      <c r="A2258" s="189">
        <v>39206</v>
      </c>
      <c r="B2258">
        <v>1136.01</v>
      </c>
    </row>
    <row r="2259" spans="1:2">
      <c r="A2259" s="189">
        <v>39205</v>
      </c>
      <c r="B2259">
        <v>1104.71</v>
      </c>
    </row>
    <row r="2260" spans="1:2">
      <c r="A2260" s="189">
        <v>39204</v>
      </c>
      <c r="B2260">
        <v>1104.71</v>
      </c>
    </row>
    <row r="2261" spans="1:2">
      <c r="A2261" s="189">
        <v>39202</v>
      </c>
      <c r="B2261">
        <v>1104.71</v>
      </c>
    </row>
    <row r="2262" spans="1:2">
      <c r="A2262" s="189">
        <v>39198</v>
      </c>
      <c r="B2262">
        <v>1104.71</v>
      </c>
    </row>
    <row r="2263" spans="1:2">
      <c r="A2263" s="189">
        <v>39197</v>
      </c>
      <c r="B2263">
        <v>1105.32</v>
      </c>
    </row>
    <row r="2264" spans="1:2">
      <c r="A2264" s="189">
        <v>39196</v>
      </c>
      <c r="B2264">
        <v>1104.71</v>
      </c>
    </row>
    <row r="2265" spans="1:2">
      <c r="A2265" s="189">
        <v>39195</v>
      </c>
      <c r="B2265">
        <v>1105.32</v>
      </c>
    </row>
    <row r="2266" spans="1:2">
      <c r="A2266" s="189">
        <v>39192</v>
      </c>
      <c r="B2266">
        <v>1104.71</v>
      </c>
    </row>
    <row r="2267" spans="1:2">
      <c r="A2267" s="189">
        <v>39191</v>
      </c>
      <c r="B2267">
        <v>1101.6400000000001</v>
      </c>
    </row>
    <row r="2268" spans="1:2">
      <c r="A2268" s="189">
        <v>39190</v>
      </c>
      <c r="B2268">
        <v>1101.6400000000001</v>
      </c>
    </row>
    <row r="2269" spans="1:2">
      <c r="A2269" s="189">
        <v>39189</v>
      </c>
      <c r="B2269">
        <v>1046.4100000000001</v>
      </c>
    </row>
    <row r="2270" spans="1:2">
      <c r="A2270" s="189">
        <v>39188</v>
      </c>
      <c r="B2270">
        <v>1046.4100000000001</v>
      </c>
    </row>
    <row r="2271" spans="1:2">
      <c r="A2271" s="189">
        <v>39185</v>
      </c>
      <c r="B2271">
        <v>1046.4100000000001</v>
      </c>
    </row>
    <row r="2272" spans="1:2">
      <c r="A2272" s="189">
        <v>39184</v>
      </c>
      <c r="B2272">
        <v>1043.95</v>
      </c>
    </row>
    <row r="2273" spans="1:2">
      <c r="A2273" s="189">
        <v>39183</v>
      </c>
      <c r="B2273">
        <v>1012.65</v>
      </c>
    </row>
    <row r="2274" spans="1:2">
      <c r="A2274" s="189">
        <v>39182</v>
      </c>
      <c r="B2274">
        <v>1012.65</v>
      </c>
    </row>
    <row r="2275" spans="1:2">
      <c r="A2275" s="189">
        <v>39177</v>
      </c>
      <c r="B2275">
        <v>1012.65</v>
      </c>
    </row>
    <row r="2276" spans="1:2">
      <c r="A2276" s="189">
        <v>39176</v>
      </c>
      <c r="B2276">
        <v>1024.93</v>
      </c>
    </row>
    <row r="2277" spans="1:2">
      <c r="A2277" s="189">
        <v>39175</v>
      </c>
      <c r="B2277">
        <v>1027.99</v>
      </c>
    </row>
    <row r="2278" spans="1:2">
      <c r="A2278" s="189">
        <v>39174</v>
      </c>
      <c r="B2278">
        <v>1018.79</v>
      </c>
    </row>
    <row r="2279" spans="1:2">
      <c r="A2279" s="189">
        <v>39171</v>
      </c>
      <c r="B2279">
        <v>1027.99</v>
      </c>
    </row>
    <row r="2280" spans="1:2">
      <c r="A2280" s="189">
        <v>39170</v>
      </c>
      <c r="B2280">
        <v>1013.26</v>
      </c>
    </row>
    <row r="2281" spans="1:2">
      <c r="A2281" s="189">
        <v>39169</v>
      </c>
      <c r="B2281">
        <v>1013.26</v>
      </c>
    </row>
    <row r="2282" spans="1:2">
      <c r="A2282" s="189">
        <v>39168</v>
      </c>
      <c r="B2282">
        <v>1012.65</v>
      </c>
    </row>
    <row r="2283" spans="1:2">
      <c r="A2283" s="189">
        <v>39167</v>
      </c>
      <c r="B2283">
        <v>1012.65</v>
      </c>
    </row>
    <row r="2284" spans="1:2">
      <c r="A2284" s="189">
        <v>39164</v>
      </c>
      <c r="B2284">
        <v>1012.65</v>
      </c>
    </row>
    <row r="2285" spans="1:2">
      <c r="A2285" s="189">
        <v>39163</v>
      </c>
      <c r="B2285">
        <v>1012.65</v>
      </c>
    </row>
    <row r="2286" spans="1:2">
      <c r="A2286" s="189">
        <v>39161</v>
      </c>
      <c r="B2286">
        <v>1012.65</v>
      </c>
    </row>
    <row r="2287" spans="1:2">
      <c r="A2287" s="189">
        <v>39160</v>
      </c>
      <c r="B2287">
        <v>1012.65</v>
      </c>
    </row>
    <row r="2288" spans="1:2">
      <c r="A2288" s="189">
        <v>39157</v>
      </c>
      <c r="B2288">
        <v>1012.65</v>
      </c>
    </row>
    <row r="2289" spans="1:2">
      <c r="A2289" s="189">
        <v>39156</v>
      </c>
      <c r="B2289">
        <v>1012.65</v>
      </c>
    </row>
    <row r="2290" spans="1:2">
      <c r="A2290" s="189">
        <v>39155</v>
      </c>
      <c r="B2290">
        <v>1012.65</v>
      </c>
    </row>
    <row r="2291" spans="1:2">
      <c r="A2291" s="189">
        <v>39154</v>
      </c>
      <c r="B2291">
        <v>1012.65</v>
      </c>
    </row>
    <row r="2292" spans="1:2">
      <c r="A2292" s="189">
        <v>39153</v>
      </c>
      <c r="B2292">
        <v>1012.65</v>
      </c>
    </row>
    <row r="2293" spans="1:2">
      <c r="A2293" s="189">
        <v>39150</v>
      </c>
      <c r="B2293">
        <v>981.96</v>
      </c>
    </row>
    <row r="2294" spans="1:2">
      <c r="A2294" s="189">
        <v>39149</v>
      </c>
      <c r="B2294">
        <v>985.03</v>
      </c>
    </row>
    <row r="2295" spans="1:2">
      <c r="A2295" s="189">
        <v>39148</v>
      </c>
      <c r="B2295">
        <v>981.96</v>
      </c>
    </row>
    <row r="2296" spans="1:2">
      <c r="A2296" s="189">
        <v>39147</v>
      </c>
      <c r="B2296">
        <v>981.96</v>
      </c>
    </row>
    <row r="2297" spans="1:2">
      <c r="A2297" s="189">
        <v>39146</v>
      </c>
      <c r="B2297">
        <v>957.42</v>
      </c>
    </row>
    <row r="2298" spans="1:2">
      <c r="A2298" s="189">
        <v>39143</v>
      </c>
      <c r="B2298">
        <v>957.42</v>
      </c>
    </row>
    <row r="2299" spans="1:2">
      <c r="A2299" s="189">
        <v>39142</v>
      </c>
      <c r="B2299">
        <v>957.42</v>
      </c>
    </row>
    <row r="2300" spans="1:2">
      <c r="A2300" s="189">
        <v>39141</v>
      </c>
      <c r="B2300">
        <v>969.69</v>
      </c>
    </row>
    <row r="2301" spans="1:2">
      <c r="A2301" s="189">
        <v>39140</v>
      </c>
      <c r="B2301">
        <v>988.1</v>
      </c>
    </row>
    <row r="2302" spans="1:2">
      <c r="A2302" s="189">
        <v>39139</v>
      </c>
      <c r="B2302">
        <v>981.96</v>
      </c>
    </row>
    <row r="2303" spans="1:2">
      <c r="A2303" s="189">
        <v>39136</v>
      </c>
      <c r="B2303">
        <v>988.1</v>
      </c>
    </row>
    <row r="2304" spans="1:2">
      <c r="A2304" s="189">
        <v>39135</v>
      </c>
      <c r="B2304">
        <v>994.24</v>
      </c>
    </row>
    <row r="2305" spans="1:2">
      <c r="A2305" s="189">
        <v>39134</v>
      </c>
      <c r="B2305">
        <v>997.31</v>
      </c>
    </row>
    <row r="2306" spans="1:2">
      <c r="A2306" s="189">
        <v>39133</v>
      </c>
      <c r="B2306">
        <v>1012.65</v>
      </c>
    </row>
    <row r="2307" spans="1:2">
      <c r="A2307" s="189">
        <v>39132</v>
      </c>
      <c r="B2307">
        <v>1012.65</v>
      </c>
    </row>
    <row r="2308" spans="1:2">
      <c r="A2308" s="189">
        <v>39129</v>
      </c>
      <c r="B2308">
        <v>1012.65</v>
      </c>
    </row>
    <row r="2309" spans="1:2">
      <c r="A2309" s="189">
        <v>39128</v>
      </c>
      <c r="B2309">
        <v>1012.65</v>
      </c>
    </row>
    <row r="2310" spans="1:2">
      <c r="A2310" s="189">
        <v>39127</v>
      </c>
      <c r="B2310">
        <v>1043.3399999999999</v>
      </c>
    </row>
    <row r="2311" spans="1:2">
      <c r="A2311" s="189">
        <v>39126</v>
      </c>
      <c r="B2311">
        <v>1012.65</v>
      </c>
    </row>
    <row r="2312" spans="1:2">
      <c r="A2312" s="189">
        <v>39125</v>
      </c>
      <c r="B2312">
        <v>1043.3399999999999</v>
      </c>
    </row>
    <row r="2313" spans="1:2">
      <c r="A2313" s="189">
        <v>39122</v>
      </c>
      <c r="B2313">
        <v>1070.96</v>
      </c>
    </row>
    <row r="2314" spans="1:2">
      <c r="A2314" s="189">
        <v>39121</v>
      </c>
      <c r="B2314">
        <v>1074.02</v>
      </c>
    </row>
    <row r="2315" spans="1:2">
      <c r="A2315" s="189">
        <v>39120</v>
      </c>
      <c r="B2315">
        <v>1092.44</v>
      </c>
    </row>
    <row r="2316" spans="1:2">
      <c r="A2316" s="189">
        <v>39119</v>
      </c>
      <c r="B2316">
        <v>1092.44</v>
      </c>
    </row>
    <row r="2317" spans="1:2">
      <c r="A2317" s="189">
        <v>39118</v>
      </c>
      <c r="B2317">
        <v>1074.02</v>
      </c>
    </row>
    <row r="2318" spans="1:2">
      <c r="A2318" s="189">
        <v>39115</v>
      </c>
      <c r="B2318">
        <v>1077.0899999999999</v>
      </c>
    </row>
    <row r="2319" spans="1:2">
      <c r="A2319" s="189">
        <v>39114</v>
      </c>
      <c r="B2319">
        <v>1086.3</v>
      </c>
    </row>
    <row r="2320" spans="1:2">
      <c r="A2320" s="189">
        <v>39113</v>
      </c>
      <c r="B2320">
        <v>1074.02</v>
      </c>
    </row>
    <row r="2321" spans="1:2">
      <c r="A2321" s="189">
        <v>39112</v>
      </c>
      <c r="B2321">
        <v>1074.02</v>
      </c>
    </row>
    <row r="2322" spans="1:2">
      <c r="A2322" s="189">
        <v>39111</v>
      </c>
      <c r="B2322">
        <v>1043.3399999999999</v>
      </c>
    </row>
    <row r="2323" spans="1:2">
      <c r="A2323" s="189">
        <v>39108</v>
      </c>
      <c r="B2323">
        <v>1043.3399999999999</v>
      </c>
    </row>
    <row r="2324" spans="1:2">
      <c r="A2324" s="189">
        <v>39107</v>
      </c>
      <c r="B2324">
        <v>1012.65</v>
      </c>
    </row>
    <row r="2325" spans="1:2">
      <c r="A2325" s="189">
        <v>39106</v>
      </c>
      <c r="B2325">
        <v>1012.65</v>
      </c>
    </row>
    <row r="2326" spans="1:2">
      <c r="A2326" s="189">
        <v>39105</v>
      </c>
      <c r="B2326">
        <v>1012.65</v>
      </c>
    </row>
    <row r="2327" spans="1:2">
      <c r="A2327" s="189">
        <v>39104</v>
      </c>
      <c r="B2327">
        <v>1018.79</v>
      </c>
    </row>
    <row r="2328" spans="1:2">
      <c r="A2328" s="189">
        <v>39101</v>
      </c>
      <c r="B2328">
        <v>1012.65</v>
      </c>
    </row>
    <row r="2329" spans="1:2">
      <c r="A2329" s="189">
        <v>39100</v>
      </c>
      <c r="B2329">
        <v>1012.65</v>
      </c>
    </row>
    <row r="2330" spans="1:2">
      <c r="A2330" s="189">
        <v>39099</v>
      </c>
      <c r="B2330">
        <v>1012.65</v>
      </c>
    </row>
    <row r="2331" spans="1:2">
      <c r="A2331" s="189">
        <v>39098</v>
      </c>
      <c r="B2331">
        <v>994.24</v>
      </c>
    </row>
    <row r="2332" spans="1:2">
      <c r="A2332" s="189">
        <v>39097</v>
      </c>
      <c r="B2332">
        <v>985.03</v>
      </c>
    </row>
    <row r="2333" spans="1:2">
      <c r="A2333" s="189">
        <v>39094</v>
      </c>
      <c r="B2333">
        <v>981.96</v>
      </c>
    </row>
    <row r="2334" spans="1:2">
      <c r="A2334" s="189">
        <v>39093</v>
      </c>
      <c r="B2334">
        <v>981.96</v>
      </c>
    </row>
    <row r="2335" spans="1:2">
      <c r="A2335" s="189">
        <v>39092</v>
      </c>
      <c r="B2335">
        <v>981.96</v>
      </c>
    </row>
    <row r="2336" spans="1:2">
      <c r="A2336" s="189">
        <v>39091</v>
      </c>
      <c r="B2336">
        <v>981.96</v>
      </c>
    </row>
    <row r="2337" spans="1:2">
      <c r="A2337" s="189">
        <v>39090</v>
      </c>
      <c r="B2337">
        <v>1013.26</v>
      </c>
    </row>
    <row r="2338" spans="1:2">
      <c r="A2338" s="189">
        <v>39087</v>
      </c>
      <c r="B2338">
        <v>977.05</v>
      </c>
    </row>
    <row r="2339" spans="1:2">
      <c r="A2339" s="189">
        <v>39086</v>
      </c>
      <c r="B2339">
        <v>977.05</v>
      </c>
    </row>
    <row r="2340" spans="1:2">
      <c r="A2340" s="189">
        <v>39085</v>
      </c>
      <c r="B2340">
        <v>976.46</v>
      </c>
    </row>
    <row r="2341" spans="1:2">
      <c r="A2341" s="189">
        <v>39084</v>
      </c>
      <c r="B2341">
        <v>976.46</v>
      </c>
    </row>
    <row r="2342" spans="1:2">
      <c r="A2342" s="189">
        <v>39080</v>
      </c>
      <c r="B2342">
        <v>976.46</v>
      </c>
    </row>
    <row r="2343" spans="1:2">
      <c r="A2343" s="189">
        <v>39079</v>
      </c>
      <c r="B2343">
        <v>994.22</v>
      </c>
    </row>
    <row r="2344" spans="1:2">
      <c r="A2344" s="189">
        <v>39078</v>
      </c>
      <c r="B2344">
        <v>994.22</v>
      </c>
    </row>
    <row r="2345" spans="1:2">
      <c r="A2345" s="189">
        <v>39073</v>
      </c>
      <c r="B2345">
        <v>994.22</v>
      </c>
    </row>
    <row r="2346" spans="1:2">
      <c r="A2346" s="189">
        <v>39072</v>
      </c>
      <c r="B2346">
        <v>976.46</v>
      </c>
    </row>
    <row r="2347" spans="1:2">
      <c r="A2347" s="189">
        <v>39071</v>
      </c>
      <c r="B2347">
        <v>976.46</v>
      </c>
    </row>
    <row r="2348" spans="1:2">
      <c r="A2348" s="189">
        <v>39070</v>
      </c>
      <c r="B2348">
        <v>976.46</v>
      </c>
    </row>
    <row r="2349" spans="1:2">
      <c r="A2349" s="189">
        <v>39069</v>
      </c>
      <c r="B2349">
        <v>976.46</v>
      </c>
    </row>
    <row r="2350" spans="1:2">
      <c r="A2350" s="189">
        <v>39066</v>
      </c>
      <c r="B2350">
        <v>978.83</v>
      </c>
    </row>
    <row r="2351" spans="1:2">
      <c r="A2351" s="189">
        <v>39065</v>
      </c>
      <c r="B2351">
        <v>976.46</v>
      </c>
    </row>
    <row r="2352" spans="1:2">
      <c r="A2352" s="189">
        <v>39064</v>
      </c>
      <c r="B2352">
        <v>976.46</v>
      </c>
    </row>
    <row r="2353" spans="1:2">
      <c r="A2353" s="189">
        <v>39063</v>
      </c>
      <c r="B2353">
        <v>976.46</v>
      </c>
    </row>
    <row r="2354" spans="1:2">
      <c r="A2354" s="189">
        <v>39062</v>
      </c>
      <c r="B2354">
        <v>976.46</v>
      </c>
    </row>
    <row r="2355" spans="1:2">
      <c r="A2355" s="189">
        <v>39059</v>
      </c>
      <c r="B2355">
        <v>976.46</v>
      </c>
    </row>
    <row r="2356" spans="1:2">
      <c r="A2356" s="189">
        <v>39058</v>
      </c>
      <c r="B2356">
        <v>976.46</v>
      </c>
    </row>
    <row r="2357" spans="1:2">
      <c r="A2357" s="189">
        <v>39057</v>
      </c>
      <c r="B2357">
        <v>976.46</v>
      </c>
    </row>
    <row r="2358" spans="1:2">
      <c r="A2358" s="189">
        <v>39056</v>
      </c>
      <c r="B2358">
        <v>979.42</v>
      </c>
    </row>
    <row r="2359" spans="1:2">
      <c r="A2359" s="189">
        <v>39055</v>
      </c>
      <c r="B2359">
        <v>976.46</v>
      </c>
    </row>
    <row r="2360" spans="1:2">
      <c r="A2360" s="189">
        <v>39052</v>
      </c>
      <c r="B2360">
        <v>994.22</v>
      </c>
    </row>
    <row r="2361" spans="1:2">
      <c r="A2361" s="189">
        <v>39051</v>
      </c>
      <c r="B2361">
        <v>976.46</v>
      </c>
    </row>
    <row r="2362" spans="1:2">
      <c r="A2362" s="189">
        <v>39050</v>
      </c>
      <c r="B2362">
        <v>976.46</v>
      </c>
    </row>
    <row r="2363" spans="1:2">
      <c r="A2363" s="189">
        <v>39049</v>
      </c>
      <c r="B2363">
        <v>1006.05</v>
      </c>
    </row>
    <row r="2364" spans="1:2">
      <c r="A2364" s="189">
        <v>39048</v>
      </c>
      <c r="B2364">
        <v>1026.77</v>
      </c>
    </row>
    <row r="2365" spans="1:2">
      <c r="A2365" s="189">
        <v>39045</v>
      </c>
      <c r="B2365">
        <v>1026.77</v>
      </c>
    </row>
    <row r="2366" spans="1:2">
      <c r="A2366" s="189">
        <v>39044</v>
      </c>
      <c r="B2366">
        <v>1023.81</v>
      </c>
    </row>
    <row r="2367" spans="1:2">
      <c r="A2367" s="189">
        <v>39043</v>
      </c>
      <c r="B2367">
        <v>1035.6400000000001</v>
      </c>
    </row>
    <row r="2368" spans="1:2">
      <c r="A2368" s="189">
        <v>39042</v>
      </c>
      <c r="B2368">
        <v>1035.6400000000001</v>
      </c>
    </row>
    <row r="2369" spans="1:2">
      <c r="A2369" s="189">
        <v>39041</v>
      </c>
      <c r="B2369">
        <v>1035.6400000000001</v>
      </c>
    </row>
    <row r="2370" spans="1:2">
      <c r="A2370" s="189">
        <v>39038</v>
      </c>
      <c r="B2370">
        <v>1035.6400000000001</v>
      </c>
    </row>
    <row r="2371" spans="1:2">
      <c r="A2371" s="189">
        <v>39037</v>
      </c>
      <c r="B2371">
        <v>1052.8</v>
      </c>
    </row>
    <row r="2372" spans="1:2">
      <c r="A2372" s="189">
        <v>39036</v>
      </c>
      <c r="B2372">
        <v>1035.6400000000001</v>
      </c>
    </row>
    <row r="2373" spans="1:2">
      <c r="A2373" s="189">
        <v>39035</v>
      </c>
      <c r="B2373">
        <v>1035.6400000000001</v>
      </c>
    </row>
    <row r="2374" spans="1:2">
      <c r="A2374" s="189">
        <v>39034</v>
      </c>
      <c r="B2374">
        <v>1017.89</v>
      </c>
    </row>
    <row r="2375" spans="1:2">
      <c r="A2375" s="189">
        <v>39031</v>
      </c>
      <c r="B2375">
        <v>1017.89</v>
      </c>
    </row>
    <row r="2376" spans="1:2">
      <c r="A2376" s="189">
        <v>39030</v>
      </c>
      <c r="B2376">
        <v>1029.72</v>
      </c>
    </row>
    <row r="2377" spans="1:2">
      <c r="A2377" s="189">
        <v>39029</v>
      </c>
      <c r="B2377">
        <v>1029.72</v>
      </c>
    </row>
    <row r="2378" spans="1:2">
      <c r="A2378" s="189">
        <v>39028</v>
      </c>
      <c r="B2378">
        <v>1029.72</v>
      </c>
    </row>
    <row r="2379" spans="1:2">
      <c r="A2379" s="189">
        <v>39027</v>
      </c>
      <c r="B2379">
        <v>1006.05</v>
      </c>
    </row>
    <row r="2380" spans="1:2">
      <c r="A2380" s="189">
        <v>39024</v>
      </c>
      <c r="B2380">
        <v>1035.6400000000001</v>
      </c>
    </row>
    <row r="2381" spans="1:2">
      <c r="A2381" s="189">
        <v>39023</v>
      </c>
      <c r="B2381">
        <v>1065.23</v>
      </c>
    </row>
    <row r="2382" spans="1:2">
      <c r="A2382" s="189">
        <v>39022</v>
      </c>
      <c r="B2382">
        <v>1050.44</v>
      </c>
    </row>
    <row r="2383" spans="1:2">
      <c r="A2383" s="189">
        <v>39021</v>
      </c>
      <c r="B2383">
        <v>1020.85</v>
      </c>
    </row>
    <row r="2384" spans="1:2">
      <c r="A2384" s="189">
        <v>39020</v>
      </c>
      <c r="B2384">
        <v>1006.05</v>
      </c>
    </row>
    <row r="2385" spans="1:2">
      <c r="A2385" s="189">
        <v>39017</v>
      </c>
      <c r="B2385">
        <v>1009.01</v>
      </c>
    </row>
    <row r="2386" spans="1:2">
      <c r="A2386" s="189">
        <v>39016</v>
      </c>
      <c r="B2386">
        <v>1006.05</v>
      </c>
    </row>
    <row r="2387" spans="1:2">
      <c r="A2387" s="189">
        <v>39015</v>
      </c>
      <c r="B2387">
        <v>1006.05</v>
      </c>
    </row>
    <row r="2388" spans="1:2">
      <c r="A2388" s="189">
        <v>39014</v>
      </c>
      <c r="B2388">
        <v>1006.05</v>
      </c>
    </row>
    <row r="2389" spans="1:2">
      <c r="A2389" s="189">
        <v>39013</v>
      </c>
      <c r="B2389">
        <v>1006.05</v>
      </c>
    </row>
    <row r="2390" spans="1:2">
      <c r="A2390" s="189">
        <v>39010</v>
      </c>
      <c r="B2390">
        <v>976.46</v>
      </c>
    </row>
    <row r="2391" spans="1:2">
      <c r="A2391" s="189">
        <v>39009</v>
      </c>
      <c r="B2391">
        <v>1006.05</v>
      </c>
    </row>
    <row r="2392" spans="1:2">
      <c r="A2392" s="189">
        <v>39008</v>
      </c>
      <c r="B2392">
        <v>991.26</v>
      </c>
    </row>
    <row r="2393" spans="1:2">
      <c r="A2393" s="189">
        <v>39007</v>
      </c>
      <c r="B2393">
        <v>1003.09</v>
      </c>
    </row>
    <row r="2394" spans="1:2">
      <c r="A2394" s="189">
        <v>39006</v>
      </c>
      <c r="B2394">
        <v>1006.05</v>
      </c>
    </row>
    <row r="2395" spans="1:2">
      <c r="A2395" s="189">
        <v>39003</v>
      </c>
      <c r="B2395">
        <v>991.26</v>
      </c>
    </row>
    <row r="2396" spans="1:2">
      <c r="A2396" s="189">
        <v>39002</v>
      </c>
      <c r="B2396">
        <v>991.26</v>
      </c>
    </row>
    <row r="2397" spans="1:2">
      <c r="A2397" s="189">
        <v>39001</v>
      </c>
      <c r="B2397">
        <v>991.26</v>
      </c>
    </row>
    <row r="2398" spans="1:2">
      <c r="A2398" s="189">
        <v>39000</v>
      </c>
      <c r="B2398">
        <v>991.26</v>
      </c>
    </row>
    <row r="2399" spans="1:2">
      <c r="A2399" s="189">
        <v>38999</v>
      </c>
      <c r="B2399">
        <v>991.26</v>
      </c>
    </row>
    <row r="2400" spans="1:2">
      <c r="A2400" s="189">
        <v>38996</v>
      </c>
      <c r="B2400">
        <v>982.38</v>
      </c>
    </row>
    <row r="2401" spans="1:2">
      <c r="A2401" s="189">
        <v>38995</v>
      </c>
      <c r="B2401">
        <v>982.38</v>
      </c>
    </row>
    <row r="2402" spans="1:2">
      <c r="A2402" s="189">
        <v>38994</v>
      </c>
      <c r="B2402">
        <v>982.38</v>
      </c>
    </row>
    <row r="2403" spans="1:2">
      <c r="A2403" s="189">
        <v>38993</v>
      </c>
      <c r="B2403">
        <v>964.63</v>
      </c>
    </row>
    <row r="2404" spans="1:2">
      <c r="A2404" s="189">
        <v>38992</v>
      </c>
      <c r="B2404">
        <v>935.04</v>
      </c>
    </row>
    <row r="2405" spans="1:2">
      <c r="A2405" s="189">
        <v>38989</v>
      </c>
      <c r="B2405">
        <v>935.04</v>
      </c>
    </row>
    <row r="2406" spans="1:2">
      <c r="A2406" s="189">
        <v>38988</v>
      </c>
      <c r="B2406">
        <v>929.12</v>
      </c>
    </row>
    <row r="2407" spans="1:2">
      <c r="A2407" s="189">
        <v>38987</v>
      </c>
      <c r="B2407">
        <v>929.12</v>
      </c>
    </row>
    <row r="2408" spans="1:2">
      <c r="A2408" s="189">
        <v>38986</v>
      </c>
      <c r="B2408">
        <v>929.12</v>
      </c>
    </row>
    <row r="2409" spans="1:2">
      <c r="A2409" s="189">
        <v>38982</v>
      </c>
      <c r="B2409">
        <v>923.2</v>
      </c>
    </row>
    <row r="2410" spans="1:2">
      <c r="A2410" s="189">
        <v>38981</v>
      </c>
      <c r="B2410">
        <v>923.2</v>
      </c>
    </row>
    <row r="2411" spans="1:2">
      <c r="A2411" s="189">
        <v>38980</v>
      </c>
      <c r="B2411">
        <v>923.2</v>
      </c>
    </row>
    <row r="2412" spans="1:2">
      <c r="A2412" s="189">
        <v>38979</v>
      </c>
      <c r="B2412">
        <v>923.2</v>
      </c>
    </row>
    <row r="2413" spans="1:2">
      <c r="A2413" s="189">
        <v>38978</v>
      </c>
      <c r="B2413">
        <v>929.12</v>
      </c>
    </row>
    <row r="2414" spans="1:2">
      <c r="A2414" s="189">
        <v>38975</v>
      </c>
      <c r="B2414">
        <v>935.04</v>
      </c>
    </row>
    <row r="2415" spans="1:2">
      <c r="A2415" s="189">
        <v>38974</v>
      </c>
      <c r="B2415">
        <v>935.04</v>
      </c>
    </row>
    <row r="2416" spans="1:2">
      <c r="A2416" s="189">
        <v>38973</v>
      </c>
      <c r="B2416">
        <v>935.04</v>
      </c>
    </row>
    <row r="2417" spans="1:2">
      <c r="A2417" s="189">
        <v>38972</v>
      </c>
      <c r="B2417">
        <v>952.79</v>
      </c>
    </row>
    <row r="2418" spans="1:2">
      <c r="A2418" s="189">
        <v>38971</v>
      </c>
      <c r="B2418">
        <v>964.04</v>
      </c>
    </row>
    <row r="2419" spans="1:2">
      <c r="A2419" s="189">
        <v>38968</v>
      </c>
      <c r="B2419">
        <v>965.81</v>
      </c>
    </row>
    <row r="2420" spans="1:2">
      <c r="A2420" s="189">
        <v>38967</v>
      </c>
      <c r="B2420">
        <v>946.87</v>
      </c>
    </row>
    <row r="2421" spans="1:2">
      <c r="A2421" s="189">
        <v>38966</v>
      </c>
      <c r="B2421">
        <v>952.79</v>
      </c>
    </row>
    <row r="2422" spans="1:2">
      <c r="A2422" s="189">
        <v>38965</v>
      </c>
      <c r="B2422">
        <v>952.79</v>
      </c>
    </row>
    <row r="2423" spans="1:2">
      <c r="A2423" s="189">
        <v>38964</v>
      </c>
      <c r="B2423">
        <v>952.79</v>
      </c>
    </row>
    <row r="2424" spans="1:2">
      <c r="A2424" s="189">
        <v>38961</v>
      </c>
      <c r="B2424">
        <v>952.79</v>
      </c>
    </row>
    <row r="2425" spans="1:2">
      <c r="A2425" s="189">
        <v>38960</v>
      </c>
      <c r="B2425">
        <v>923.2</v>
      </c>
    </row>
    <row r="2426" spans="1:2">
      <c r="A2426" s="189">
        <v>38959</v>
      </c>
      <c r="B2426">
        <v>923.2</v>
      </c>
    </row>
    <row r="2427" spans="1:2">
      <c r="A2427" s="189">
        <v>38958</v>
      </c>
      <c r="B2427">
        <v>920.83</v>
      </c>
    </row>
    <row r="2428" spans="1:2">
      <c r="A2428" s="189">
        <v>38957</v>
      </c>
      <c r="B2428">
        <v>920.83</v>
      </c>
    </row>
    <row r="2429" spans="1:2">
      <c r="A2429" s="189">
        <v>38954</v>
      </c>
      <c r="B2429">
        <v>917.88</v>
      </c>
    </row>
    <row r="2430" spans="1:2">
      <c r="A2430" s="189">
        <v>38953</v>
      </c>
      <c r="B2430">
        <v>917.88</v>
      </c>
    </row>
    <row r="2431" spans="1:2">
      <c r="A2431" s="189">
        <v>38952</v>
      </c>
      <c r="B2431">
        <v>917.28</v>
      </c>
    </row>
    <row r="2432" spans="1:2">
      <c r="A2432" s="189">
        <v>38951</v>
      </c>
      <c r="B2432">
        <v>917.28</v>
      </c>
    </row>
    <row r="2433" spans="1:2">
      <c r="A2433" s="189">
        <v>38950</v>
      </c>
      <c r="B2433">
        <v>946.87</v>
      </c>
    </row>
    <row r="2434" spans="1:2">
      <c r="A2434" s="189">
        <v>38947</v>
      </c>
      <c r="B2434">
        <v>946.87</v>
      </c>
    </row>
    <row r="2435" spans="1:2">
      <c r="A2435" s="189">
        <v>38946</v>
      </c>
      <c r="B2435">
        <v>967.59</v>
      </c>
    </row>
    <row r="2436" spans="1:2">
      <c r="A2436" s="189">
        <v>38945</v>
      </c>
      <c r="B2436">
        <v>967.59</v>
      </c>
    </row>
    <row r="2437" spans="1:2">
      <c r="A2437" s="189">
        <v>38944</v>
      </c>
      <c r="B2437">
        <v>976.46</v>
      </c>
    </row>
    <row r="2438" spans="1:2">
      <c r="A2438" s="189">
        <v>38943</v>
      </c>
      <c r="B2438">
        <v>976.46</v>
      </c>
    </row>
    <row r="2439" spans="1:2">
      <c r="A2439" s="189">
        <v>38940</v>
      </c>
      <c r="B2439">
        <v>976.46</v>
      </c>
    </row>
    <row r="2440" spans="1:2">
      <c r="A2440" s="189">
        <v>38939</v>
      </c>
      <c r="B2440">
        <v>976.46</v>
      </c>
    </row>
    <row r="2441" spans="1:2">
      <c r="A2441" s="189">
        <v>38937</v>
      </c>
      <c r="B2441">
        <v>982.97</v>
      </c>
    </row>
    <row r="2442" spans="1:2">
      <c r="A2442" s="189">
        <v>38936</v>
      </c>
      <c r="B2442">
        <v>982.97</v>
      </c>
    </row>
    <row r="2443" spans="1:2">
      <c r="A2443" s="189">
        <v>38933</v>
      </c>
      <c r="B2443">
        <v>982.97</v>
      </c>
    </row>
    <row r="2444" spans="1:2">
      <c r="A2444" s="189">
        <v>38932</v>
      </c>
      <c r="B2444">
        <v>982.38</v>
      </c>
    </row>
    <row r="2445" spans="1:2">
      <c r="A2445" s="189">
        <v>38931</v>
      </c>
      <c r="B2445">
        <v>994.81</v>
      </c>
    </row>
    <row r="2446" spans="1:2">
      <c r="A2446" s="189">
        <v>38930</v>
      </c>
      <c r="B2446">
        <v>994.81</v>
      </c>
    </row>
    <row r="2447" spans="1:2">
      <c r="A2447" s="189">
        <v>38929</v>
      </c>
      <c r="B2447">
        <v>1006.05</v>
      </c>
    </row>
    <row r="2448" spans="1:2">
      <c r="A2448" s="189">
        <v>38926</v>
      </c>
      <c r="B2448">
        <v>1006.05</v>
      </c>
    </row>
    <row r="2449" spans="1:2">
      <c r="A2449" s="189">
        <v>38925</v>
      </c>
      <c r="B2449">
        <v>994.22</v>
      </c>
    </row>
    <row r="2450" spans="1:2">
      <c r="A2450" s="189">
        <v>38924</v>
      </c>
      <c r="B2450">
        <v>994.22</v>
      </c>
    </row>
    <row r="2451" spans="1:2">
      <c r="A2451" s="189">
        <v>38923</v>
      </c>
      <c r="B2451">
        <v>994.22</v>
      </c>
    </row>
    <row r="2452" spans="1:2">
      <c r="A2452" s="189">
        <v>38922</v>
      </c>
      <c r="B2452">
        <v>975.87</v>
      </c>
    </row>
    <row r="2453" spans="1:2">
      <c r="A2453" s="189">
        <v>38919</v>
      </c>
      <c r="B2453">
        <v>961.67</v>
      </c>
    </row>
    <row r="2454" spans="1:2">
      <c r="A2454" s="189">
        <v>38918</v>
      </c>
      <c r="B2454">
        <v>994.22</v>
      </c>
    </row>
    <row r="2455" spans="1:2">
      <c r="A2455" s="189">
        <v>38917</v>
      </c>
      <c r="B2455">
        <v>994.22</v>
      </c>
    </row>
    <row r="2456" spans="1:2">
      <c r="A2456" s="189">
        <v>38916</v>
      </c>
      <c r="B2456">
        <v>994.22</v>
      </c>
    </row>
    <row r="2457" spans="1:2">
      <c r="A2457" s="189">
        <v>38915</v>
      </c>
      <c r="B2457">
        <v>961.67</v>
      </c>
    </row>
    <row r="2458" spans="1:2">
      <c r="A2458" s="189">
        <v>38912</v>
      </c>
      <c r="B2458">
        <v>961.67</v>
      </c>
    </row>
    <row r="2459" spans="1:2">
      <c r="A2459" s="189">
        <v>38911</v>
      </c>
      <c r="B2459">
        <v>976.46</v>
      </c>
    </row>
    <row r="2460" spans="1:2">
      <c r="A2460" s="189">
        <v>38910</v>
      </c>
      <c r="B2460">
        <v>932.08</v>
      </c>
    </row>
    <row r="2461" spans="1:2">
      <c r="A2461" s="189">
        <v>38909</v>
      </c>
      <c r="B2461">
        <v>926.16</v>
      </c>
    </row>
    <row r="2462" spans="1:2">
      <c r="A2462" s="189">
        <v>38908</v>
      </c>
      <c r="B2462">
        <v>946.87</v>
      </c>
    </row>
    <row r="2463" spans="1:2">
      <c r="A2463" s="189">
        <v>38905</v>
      </c>
      <c r="B2463">
        <v>946.87</v>
      </c>
    </row>
    <row r="2464" spans="1:2">
      <c r="A2464" s="189">
        <v>38904</v>
      </c>
      <c r="B2464">
        <v>932.08</v>
      </c>
    </row>
    <row r="2465" spans="1:2">
      <c r="A2465" s="189">
        <v>38903</v>
      </c>
      <c r="B2465">
        <v>932.08</v>
      </c>
    </row>
    <row r="2466" spans="1:2">
      <c r="A2466" s="189">
        <v>38902</v>
      </c>
      <c r="B2466">
        <v>932.08</v>
      </c>
    </row>
    <row r="2467" spans="1:2">
      <c r="A2467" s="189">
        <v>38901</v>
      </c>
      <c r="B2467">
        <v>932.08</v>
      </c>
    </row>
    <row r="2468" spans="1:2">
      <c r="A2468" s="189">
        <v>38898</v>
      </c>
      <c r="B2468">
        <v>932.08</v>
      </c>
    </row>
    <row r="2469" spans="1:2">
      <c r="A2469" s="189">
        <v>38897</v>
      </c>
      <c r="B2469">
        <v>858.1</v>
      </c>
    </row>
    <row r="2470" spans="1:2">
      <c r="A2470" s="189">
        <v>38896</v>
      </c>
      <c r="B2470">
        <v>858.1</v>
      </c>
    </row>
    <row r="2471" spans="1:2">
      <c r="A2471" s="189">
        <v>38895</v>
      </c>
      <c r="B2471">
        <v>932.08</v>
      </c>
    </row>
    <row r="2472" spans="1:2">
      <c r="A2472" s="189">
        <v>38894</v>
      </c>
      <c r="B2472">
        <v>932.08</v>
      </c>
    </row>
    <row r="2473" spans="1:2">
      <c r="A2473" s="189">
        <v>38891</v>
      </c>
      <c r="B2473">
        <v>923.2</v>
      </c>
    </row>
    <row r="2474" spans="1:2">
      <c r="A2474" s="189">
        <v>38890</v>
      </c>
      <c r="B2474">
        <v>923.2</v>
      </c>
    </row>
    <row r="2475" spans="1:2">
      <c r="A2475" s="189">
        <v>38889</v>
      </c>
      <c r="B2475">
        <v>914.41</v>
      </c>
    </row>
    <row r="2476" spans="1:2">
      <c r="A2476" s="189">
        <v>38888</v>
      </c>
      <c r="B2476">
        <v>914.41</v>
      </c>
    </row>
    <row r="2477" spans="1:2">
      <c r="A2477" s="189">
        <v>38887</v>
      </c>
      <c r="B2477">
        <v>908.55</v>
      </c>
    </row>
    <row r="2478" spans="1:2">
      <c r="A2478" s="189">
        <v>38883</v>
      </c>
      <c r="B2478">
        <v>896.82</v>
      </c>
    </row>
    <row r="2479" spans="1:2">
      <c r="A2479" s="189">
        <v>38882</v>
      </c>
      <c r="B2479">
        <v>893.89</v>
      </c>
    </row>
    <row r="2480" spans="1:2">
      <c r="A2480" s="189">
        <v>38881</v>
      </c>
      <c r="B2480">
        <v>879.24</v>
      </c>
    </row>
    <row r="2481" spans="1:2">
      <c r="A2481" s="189">
        <v>38880</v>
      </c>
      <c r="B2481">
        <v>908.55</v>
      </c>
    </row>
    <row r="2482" spans="1:2">
      <c r="A2482" s="189">
        <v>38877</v>
      </c>
      <c r="B2482">
        <v>908.55</v>
      </c>
    </row>
    <row r="2483" spans="1:2">
      <c r="A2483" s="189">
        <v>38876</v>
      </c>
      <c r="B2483">
        <v>908.55</v>
      </c>
    </row>
    <row r="2484" spans="1:2">
      <c r="A2484" s="189">
        <v>38875</v>
      </c>
      <c r="B2484">
        <v>920.27</v>
      </c>
    </row>
    <row r="2485" spans="1:2">
      <c r="A2485" s="189">
        <v>38874</v>
      </c>
      <c r="B2485">
        <v>908.55</v>
      </c>
    </row>
    <row r="2486" spans="1:2">
      <c r="A2486" s="189">
        <v>38873</v>
      </c>
      <c r="B2486">
        <v>914.41</v>
      </c>
    </row>
    <row r="2487" spans="1:2">
      <c r="A2487" s="189">
        <v>38870</v>
      </c>
      <c r="B2487">
        <v>908.55</v>
      </c>
    </row>
    <row r="2488" spans="1:2">
      <c r="A2488" s="189">
        <v>38869</v>
      </c>
      <c r="B2488">
        <v>902.69</v>
      </c>
    </row>
    <row r="2489" spans="1:2">
      <c r="A2489" s="189">
        <v>38868</v>
      </c>
      <c r="B2489">
        <v>907.96</v>
      </c>
    </row>
    <row r="2490" spans="1:2">
      <c r="A2490" s="189">
        <v>38867</v>
      </c>
      <c r="B2490">
        <v>879.24</v>
      </c>
    </row>
    <row r="2491" spans="1:2">
      <c r="A2491" s="189">
        <v>38866</v>
      </c>
      <c r="B2491">
        <v>879.24</v>
      </c>
    </row>
    <row r="2492" spans="1:2">
      <c r="A2492" s="189">
        <v>38863</v>
      </c>
      <c r="B2492">
        <v>896.82</v>
      </c>
    </row>
    <row r="2493" spans="1:2">
      <c r="A2493" s="189">
        <v>38862</v>
      </c>
      <c r="B2493">
        <v>885.1</v>
      </c>
    </row>
    <row r="2494" spans="1:2">
      <c r="A2494" s="189">
        <v>38861</v>
      </c>
      <c r="B2494">
        <v>908.55</v>
      </c>
    </row>
    <row r="2495" spans="1:2">
      <c r="A2495" s="189">
        <v>38860</v>
      </c>
      <c r="B2495">
        <v>879.24</v>
      </c>
    </row>
    <row r="2496" spans="1:2">
      <c r="A2496" s="189">
        <v>38859</v>
      </c>
      <c r="B2496">
        <v>879.24</v>
      </c>
    </row>
    <row r="2497" spans="1:2">
      <c r="A2497" s="189">
        <v>38856</v>
      </c>
      <c r="B2497">
        <v>879.24</v>
      </c>
    </row>
    <row r="2498" spans="1:2">
      <c r="A2498" s="189">
        <v>38855</v>
      </c>
      <c r="B2498">
        <v>899.76</v>
      </c>
    </row>
    <row r="2499" spans="1:2">
      <c r="A2499" s="189">
        <v>38854</v>
      </c>
      <c r="B2499">
        <v>890.96</v>
      </c>
    </row>
    <row r="2500" spans="1:2">
      <c r="A2500" s="189">
        <v>38853</v>
      </c>
      <c r="B2500">
        <v>899.76</v>
      </c>
    </row>
    <row r="2501" spans="1:2">
      <c r="A2501" s="189">
        <v>38852</v>
      </c>
      <c r="B2501">
        <v>899.76</v>
      </c>
    </row>
    <row r="2502" spans="1:2">
      <c r="A2502" s="189">
        <v>38849</v>
      </c>
      <c r="B2502">
        <v>902.69</v>
      </c>
    </row>
    <row r="2503" spans="1:2">
      <c r="A2503" s="189">
        <v>38848</v>
      </c>
      <c r="B2503">
        <v>902.69</v>
      </c>
    </row>
    <row r="2504" spans="1:2">
      <c r="A2504" s="189">
        <v>38847</v>
      </c>
      <c r="B2504">
        <v>879.24</v>
      </c>
    </row>
    <row r="2505" spans="1:2">
      <c r="A2505" s="189">
        <v>38846</v>
      </c>
      <c r="B2505">
        <v>926.13</v>
      </c>
    </row>
    <row r="2506" spans="1:2">
      <c r="A2506" s="189">
        <v>38845</v>
      </c>
      <c r="B2506">
        <v>893.89</v>
      </c>
    </row>
    <row r="2507" spans="1:2">
      <c r="A2507" s="189">
        <v>38842</v>
      </c>
      <c r="B2507">
        <v>885.1</v>
      </c>
    </row>
    <row r="2508" spans="1:2">
      <c r="A2508" s="189">
        <v>38841</v>
      </c>
      <c r="B2508">
        <v>879.24</v>
      </c>
    </row>
    <row r="2509" spans="1:2">
      <c r="A2509" s="189">
        <v>38840</v>
      </c>
      <c r="B2509">
        <v>893.89</v>
      </c>
    </row>
    <row r="2510" spans="1:2">
      <c r="A2510" s="189">
        <v>38839</v>
      </c>
      <c r="B2510">
        <v>893.89</v>
      </c>
    </row>
    <row r="2511" spans="1:2">
      <c r="A2511" s="189">
        <v>38835</v>
      </c>
      <c r="B2511">
        <v>893.89</v>
      </c>
    </row>
    <row r="2512" spans="1:2">
      <c r="A2512" s="189">
        <v>38833</v>
      </c>
      <c r="B2512">
        <v>937.86</v>
      </c>
    </row>
    <row r="2513" spans="1:2">
      <c r="A2513" s="189">
        <v>38832</v>
      </c>
      <c r="B2513">
        <v>938.44</v>
      </c>
    </row>
    <row r="2514" spans="1:2">
      <c r="A2514" s="189">
        <v>38831</v>
      </c>
      <c r="B2514">
        <v>937.86</v>
      </c>
    </row>
    <row r="2515" spans="1:2">
      <c r="A2515" s="189">
        <v>38828</v>
      </c>
      <c r="B2515">
        <v>943.72</v>
      </c>
    </row>
    <row r="2516" spans="1:2">
      <c r="A2516" s="189">
        <v>38827</v>
      </c>
      <c r="B2516">
        <v>920.27</v>
      </c>
    </row>
    <row r="2517" spans="1:2">
      <c r="A2517" s="189">
        <v>38826</v>
      </c>
      <c r="B2517">
        <v>920.27</v>
      </c>
    </row>
    <row r="2518" spans="1:2">
      <c r="A2518" s="189">
        <v>38825</v>
      </c>
      <c r="B2518">
        <v>892.13</v>
      </c>
    </row>
    <row r="2519" spans="1:2">
      <c r="A2519" s="189">
        <v>38820</v>
      </c>
      <c r="B2519">
        <v>867.52</v>
      </c>
    </row>
    <row r="2520" spans="1:2">
      <c r="A2520" s="189">
        <v>38819</v>
      </c>
      <c r="B2520">
        <v>867.52</v>
      </c>
    </row>
    <row r="2521" spans="1:2">
      <c r="A2521" s="189">
        <v>38818</v>
      </c>
      <c r="B2521">
        <v>861.65</v>
      </c>
    </row>
    <row r="2522" spans="1:2">
      <c r="A2522" s="189">
        <v>38817</v>
      </c>
      <c r="B2522">
        <v>852.86</v>
      </c>
    </row>
    <row r="2523" spans="1:2">
      <c r="A2523" s="189">
        <v>38814</v>
      </c>
      <c r="B2523">
        <v>858.72</v>
      </c>
    </row>
    <row r="2524" spans="1:2">
      <c r="A2524" s="189">
        <v>38813</v>
      </c>
      <c r="B2524">
        <v>864.59</v>
      </c>
    </row>
    <row r="2525" spans="1:2">
      <c r="A2525" s="189">
        <v>38812</v>
      </c>
      <c r="B2525">
        <v>873.38</v>
      </c>
    </row>
    <row r="2526" spans="1:2">
      <c r="A2526" s="189">
        <v>38811</v>
      </c>
      <c r="B2526">
        <v>873.38</v>
      </c>
    </row>
    <row r="2527" spans="1:2">
      <c r="A2527" s="189">
        <v>38810</v>
      </c>
      <c r="B2527">
        <v>876.31</v>
      </c>
    </row>
    <row r="2528" spans="1:2">
      <c r="A2528" s="189">
        <v>38807</v>
      </c>
      <c r="B2528">
        <v>876.31</v>
      </c>
    </row>
    <row r="2529" spans="1:2">
      <c r="A2529" s="189">
        <v>38806</v>
      </c>
      <c r="B2529">
        <v>879.24</v>
      </c>
    </row>
    <row r="2530" spans="1:2">
      <c r="A2530" s="189">
        <v>38805</v>
      </c>
      <c r="B2530">
        <v>879.24</v>
      </c>
    </row>
    <row r="2531" spans="1:2">
      <c r="A2531" s="189">
        <v>38804</v>
      </c>
      <c r="B2531">
        <v>908.55</v>
      </c>
    </row>
    <row r="2532" spans="1:2">
      <c r="A2532" s="189">
        <v>38803</v>
      </c>
      <c r="B2532">
        <v>882.17</v>
      </c>
    </row>
    <row r="2533" spans="1:2">
      <c r="A2533" s="189">
        <v>38800</v>
      </c>
      <c r="B2533">
        <v>882.17</v>
      </c>
    </row>
    <row r="2534" spans="1:2">
      <c r="A2534" s="189">
        <v>38799</v>
      </c>
      <c r="B2534">
        <v>879.24</v>
      </c>
    </row>
    <row r="2535" spans="1:2">
      <c r="A2535" s="189">
        <v>38798</v>
      </c>
      <c r="B2535">
        <v>878.65</v>
      </c>
    </row>
    <row r="2536" spans="1:2">
      <c r="A2536" s="189">
        <v>38796</v>
      </c>
      <c r="B2536">
        <v>867.52</v>
      </c>
    </row>
    <row r="2537" spans="1:2">
      <c r="A2537" s="189">
        <v>38793</v>
      </c>
      <c r="B2537">
        <v>867.52</v>
      </c>
    </row>
    <row r="2538" spans="1:2">
      <c r="A2538" s="189">
        <v>38792</v>
      </c>
      <c r="B2538">
        <v>849.93</v>
      </c>
    </row>
    <row r="2539" spans="1:2">
      <c r="A2539" s="189">
        <v>38791</v>
      </c>
      <c r="B2539">
        <v>849.93</v>
      </c>
    </row>
    <row r="2540" spans="1:2">
      <c r="A2540" s="189">
        <v>38790</v>
      </c>
      <c r="B2540">
        <v>838.21</v>
      </c>
    </row>
    <row r="2541" spans="1:2">
      <c r="A2541" s="189">
        <v>38789</v>
      </c>
      <c r="B2541">
        <v>849.93</v>
      </c>
    </row>
    <row r="2542" spans="1:2">
      <c r="A2542" s="189">
        <v>38786</v>
      </c>
      <c r="B2542">
        <v>838.21</v>
      </c>
    </row>
    <row r="2543" spans="1:2">
      <c r="A2543" s="189">
        <v>38785</v>
      </c>
      <c r="B2543">
        <v>849.93</v>
      </c>
    </row>
    <row r="2544" spans="1:2">
      <c r="A2544" s="189">
        <v>38784</v>
      </c>
      <c r="B2544">
        <v>855.79</v>
      </c>
    </row>
    <row r="2545" spans="1:2">
      <c r="A2545" s="189">
        <v>38783</v>
      </c>
      <c r="B2545">
        <v>864.59</v>
      </c>
    </row>
    <row r="2546" spans="1:2">
      <c r="A2546" s="189">
        <v>38782</v>
      </c>
      <c r="B2546">
        <v>864.59</v>
      </c>
    </row>
    <row r="2547" spans="1:2">
      <c r="A2547" s="189">
        <v>38779</v>
      </c>
      <c r="B2547">
        <v>867.52</v>
      </c>
    </row>
    <row r="2548" spans="1:2">
      <c r="A2548" s="189">
        <v>38778</v>
      </c>
      <c r="B2548">
        <v>864.59</v>
      </c>
    </row>
    <row r="2549" spans="1:2">
      <c r="A2549" s="189">
        <v>38776</v>
      </c>
      <c r="B2549">
        <v>864.59</v>
      </c>
    </row>
    <row r="2550" spans="1:2">
      <c r="A2550" s="189">
        <v>38775</v>
      </c>
      <c r="B2550">
        <v>878.65</v>
      </c>
    </row>
    <row r="2551" spans="1:2">
      <c r="A2551" s="189">
        <v>38772</v>
      </c>
      <c r="B2551">
        <v>879.24</v>
      </c>
    </row>
    <row r="2552" spans="1:2">
      <c r="A2552" s="189">
        <v>38771</v>
      </c>
      <c r="B2552">
        <v>879.83</v>
      </c>
    </row>
    <row r="2553" spans="1:2">
      <c r="A2553" s="189">
        <v>38770</v>
      </c>
      <c r="B2553">
        <v>879.83</v>
      </c>
    </row>
    <row r="2554" spans="1:2">
      <c r="A2554" s="189">
        <v>38769</v>
      </c>
      <c r="B2554">
        <v>879.24</v>
      </c>
    </row>
    <row r="2555" spans="1:2">
      <c r="A2555" s="189">
        <v>38768</v>
      </c>
      <c r="B2555">
        <v>908.55</v>
      </c>
    </row>
    <row r="2556" spans="1:2">
      <c r="A2556" s="189">
        <v>38765</v>
      </c>
      <c r="B2556">
        <v>893.89</v>
      </c>
    </row>
    <row r="2557" spans="1:2">
      <c r="A2557" s="189">
        <v>38764</v>
      </c>
      <c r="B2557">
        <v>902.69</v>
      </c>
    </row>
    <row r="2558" spans="1:2">
      <c r="A2558" s="189">
        <v>38763</v>
      </c>
      <c r="B2558">
        <v>908.55</v>
      </c>
    </row>
    <row r="2559" spans="1:2">
      <c r="A2559" s="189">
        <v>38762</v>
      </c>
      <c r="B2559">
        <v>908.55</v>
      </c>
    </row>
    <row r="2560" spans="1:2">
      <c r="A2560" s="189">
        <v>38761</v>
      </c>
      <c r="B2560">
        <v>923.2</v>
      </c>
    </row>
    <row r="2561" spans="1:2">
      <c r="A2561" s="189">
        <v>38758</v>
      </c>
      <c r="B2561">
        <v>926.13</v>
      </c>
    </row>
    <row r="2562" spans="1:2">
      <c r="A2562" s="189">
        <v>38757</v>
      </c>
      <c r="B2562">
        <v>923.2</v>
      </c>
    </row>
    <row r="2563" spans="1:2">
      <c r="A2563" s="189">
        <v>38756</v>
      </c>
      <c r="B2563">
        <v>890.96</v>
      </c>
    </row>
    <row r="2564" spans="1:2">
      <c r="A2564" s="189">
        <v>38755</v>
      </c>
      <c r="B2564">
        <v>907.96</v>
      </c>
    </row>
    <row r="2565" spans="1:2">
      <c r="A2565" s="189">
        <v>38754</v>
      </c>
      <c r="B2565">
        <v>896.82</v>
      </c>
    </row>
    <row r="2566" spans="1:2">
      <c r="A2566" s="189">
        <v>38751</v>
      </c>
      <c r="B2566">
        <v>896.82</v>
      </c>
    </row>
    <row r="2567" spans="1:2">
      <c r="A2567" s="189">
        <v>38750</v>
      </c>
      <c r="B2567">
        <v>896.82</v>
      </c>
    </row>
    <row r="2568" spans="1:2">
      <c r="A2568" s="189">
        <v>38749</v>
      </c>
      <c r="B2568">
        <v>908.55</v>
      </c>
    </row>
    <row r="2569" spans="1:2">
      <c r="A2569" s="189">
        <v>38748</v>
      </c>
      <c r="B2569">
        <v>893.89</v>
      </c>
    </row>
    <row r="2570" spans="1:2">
      <c r="A2570" s="189">
        <v>38747</v>
      </c>
      <c r="B2570">
        <v>893.89</v>
      </c>
    </row>
    <row r="2571" spans="1:2">
      <c r="A2571" s="189">
        <v>38744</v>
      </c>
      <c r="B2571">
        <v>885.1</v>
      </c>
    </row>
    <row r="2572" spans="1:2">
      <c r="A2572" s="189">
        <v>38743</v>
      </c>
      <c r="B2572">
        <v>908.55</v>
      </c>
    </row>
    <row r="2573" spans="1:2">
      <c r="A2573" s="189">
        <v>38742</v>
      </c>
      <c r="B2573">
        <v>908.55</v>
      </c>
    </row>
    <row r="2574" spans="1:2">
      <c r="A2574" s="189">
        <v>38741</v>
      </c>
      <c r="B2574">
        <v>902.69</v>
      </c>
    </row>
    <row r="2575" spans="1:2">
      <c r="A2575" s="189">
        <v>38740</v>
      </c>
      <c r="B2575">
        <v>885.1</v>
      </c>
    </row>
    <row r="2576" spans="1:2">
      <c r="A2576" s="189">
        <v>38737</v>
      </c>
      <c r="B2576">
        <v>885.1</v>
      </c>
    </row>
    <row r="2577" spans="1:2">
      <c r="A2577" s="189">
        <v>38736</v>
      </c>
      <c r="B2577">
        <v>890.96</v>
      </c>
    </row>
    <row r="2578" spans="1:2">
      <c r="A2578" s="189">
        <v>38735</v>
      </c>
      <c r="B2578">
        <v>890.96</v>
      </c>
    </row>
    <row r="2579" spans="1:2">
      <c r="A2579" s="189">
        <v>38734</v>
      </c>
      <c r="B2579">
        <v>879.24</v>
      </c>
    </row>
    <row r="2580" spans="1:2">
      <c r="A2580" s="189">
        <v>38733</v>
      </c>
      <c r="B2580">
        <v>890.96</v>
      </c>
    </row>
    <row r="2581" spans="1:2">
      <c r="A2581" s="189">
        <v>38730</v>
      </c>
      <c r="B2581">
        <v>917.34</v>
      </c>
    </row>
    <row r="2582" spans="1:2">
      <c r="A2582" s="189">
        <v>38729</v>
      </c>
      <c r="B2582">
        <v>917.34</v>
      </c>
    </row>
    <row r="2583" spans="1:2">
      <c r="A2583" s="189">
        <v>38728</v>
      </c>
      <c r="B2583">
        <v>917.34</v>
      </c>
    </row>
    <row r="2584" spans="1:2">
      <c r="A2584" s="189">
        <v>38727</v>
      </c>
      <c r="B2584">
        <v>920.27</v>
      </c>
    </row>
    <row r="2585" spans="1:2">
      <c r="A2585" s="189">
        <v>38726</v>
      </c>
      <c r="B2585">
        <v>920.27</v>
      </c>
    </row>
    <row r="2586" spans="1:2">
      <c r="A2586" s="189">
        <v>38723</v>
      </c>
      <c r="B2586">
        <v>903.27</v>
      </c>
    </row>
    <row r="2587" spans="1:2">
      <c r="A2587" s="189">
        <v>38722</v>
      </c>
      <c r="B2587">
        <v>903.27</v>
      </c>
    </row>
    <row r="2588" spans="1:2">
      <c r="A2588" s="189">
        <v>38721</v>
      </c>
      <c r="B2588">
        <v>877.87</v>
      </c>
    </row>
    <row r="2589" spans="1:2">
      <c r="A2589" s="189">
        <v>38720</v>
      </c>
      <c r="B2589">
        <v>877.87</v>
      </c>
    </row>
    <row r="2590" spans="1:2">
      <c r="A2590" s="189">
        <v>38716</v>
      </c>
      <c r="B2590">
        <v>877.87</v>
      </c>
    </row>
    <row r="2591" spans="1:2">
      <c r="A2591" s="189">
        <v>38715</v>
      </c>
      <c r="B2591">
        <v>877.87</v>
      </c>
    </row>
    <row r="2592" spans="1:2">
      <c r="A2592" s="189">
        <v>38714</v>
      </c>
      <c r="B2592">
        <v>877.87</v>
      </c>
    </row>
    <row r="2593" spans="1:2">
      <c r="A2593" s="189">
        <v>38713</v>
      </c>
      <c r="B2593">
        <v>891.98</v>
      </c>
    </row>
    <row r="2594" spans="1:2">
      <c r="A2594" s="189">
        <v>38709</v>
      </c>
      <c r="B2594">
        <v>891.98</v>
      </c>
    </row>
    <row r="2595" spans="1:2">
      <c r="A2595" s="189">
        <v>38708</v>
      </c>
      <c r="B2595">
        <v>900.45</v>
      </c>
    </row>
    <row r="2596" spans="1:2">
      <c r="A2596" s="189">
        <v>38707</v>
      </c>
      <c r="B2596">
        <v>891.98</v>
      </c>
    </row>
    <row r="2597" spans="1:2">
      <c r="A2597" s="189">
        <v>38706</v>
      </c>
      <c r="B2597">
        <v>903.27</v>
      </c>
    </row>
    <row r="2598" spans="1:2">
      <c r="A2598" s="189">
        <v>38705</v>
      </c>
      <c r="B2598">
        <v>903.27</v>
      </c>
    </row>
    <row r="2599" spans="1:2">
      <c r="A2599" s="189">
        <v>38701</v>
      </c>
      <c r="B2599">
        <v>903.27</v>
      </c>
    </row>
    <row r="2600" spans="1:2">
      <c r="A2600" s="189">
        <v>38700</v>
      </c>
      <c r="B2600">
        <v>903.27</v>
      </c>
    </row>
    <row r="2601" spans="1:2">
      <c r="A2601" s="189">
        <v>38699</v>
      </c>
      <c r="B2601">
        <v>925.85</v>
      </c>
    </row>
    <row r="2602" spans="1:2">
      <c r="A2602" s="189">
        <v>38698</v>
      </c>
      <c r="B2602">
        <v>900.45</v>
      </c>
    </row>
    <row r="2603" spans="1:2">
      <c r="A2603" s="189">
        <v>38695</v>
      </c>
      <c r="B2603">
        <v>900.45</v>
      </c>
    </row>
    <row r="2604" spans="1:2">
      <c r="A2604" s="189">
        <v>38694</v>
      </c>
      <c r="B2604">
        <v>889.16</v>
      </c>
    </row>
    <row r="2605" spans="1:2">
      <c r="A2605" s="189">
        <v>38693</v>
      </c>
      <c r="B2605">
        <v>875.04</v>
      </c>
    </row>
    <row r="2606" spans="1:2">
      <c r="A2606" s="189">
        <v>38692</v>
      </c>
      <c r="B2606">
        <v>875.04</v>
      </c>
    </row>
    <row r="2607" spans="1:2">
      <c r="A2607" s="189">
        <v>38691</v>
      </c>
      <c r="B2607">
        <v>880.69</v>
      </c>
    </row>
    <row r="2608" spans="1:2">
      <c r="A2608" s="189">
        <v>38688</v>
      </c>
      <c r="B2608">
        <v>875.04</v>
      </c>
    </row>
    <row r="2609" spans="1:2">
      <c r="A2609" s="189">
        <v>38687</v>
      </c>
      <c r="B2609">
        <v>875.04</v>
      </c>
    </row>
    <row r="2610" spans="1:2">
      <c r="A2610" s="189">
        <v>38686</v>
      </c>
      <c r="B2610">
        <v>875.04</v>
      </c>
    </row>
    <row r="2611" spans="1:2">
      <c r="A2611" s="189">
        <v>38685</v>
      </c>
      <c r="B2611">
        <v>880.69</v>
      </c>
    </row>
    <row r="2612" spans="1:2">
      <c r="A2612" s="189">
        <v>38684</v>
      </c>
      <c r="B2612">
        <v>881.25</v>
      </c>
    </row>
    <row r="2613" spans="1:2">
      <c r="A2613" s="189">
        <v>38681</v>
      </c>
      <c r="B2613">
        <v>881.25</v>
      </c>
    </row>
    <row r="2614" spans="1:2">
      <c r="A2614" s="189">
        <v>38680</v>
      </c>
      <c r="B2614">
        <v>880.69</v>
      </c>
    </row>
    <row r="2615" spans="1:2">
      <c r="A2615" s="189">
        <v>38679</v>
      </c>
      <c r="B2615">
        <v>880.69</v>
      </c>
    </row>
    <row r="2616" spans="1:2">
      <c r="A2616" s="189">
        <v>38678</v>
      </c>
      <c r="B2616">
        <v>875.04</v>
      </c>
    </row>
    <row r="2617" spans="1:2">
      <c r="A2617" s="189">
        <v>38677</v>
      </c>
      <c r="B2617">
        <v>882.95</v>
      </c>
    </row>
    <row r="2618" spans="1:2">
      <c r="A2618" s="189">
        <v>38674</v>
      </c>
      <c r="B2618">
        <v>877.87</v>
      </c>
    </row>
    <row r="2619" spans="1:2">
      <c r="A2619" s="189">
        <v>38673</v>
      </c>
      <c r="B2619">
        <v>875.04</v>
      </c>
    </row>
    <row r="2620" spans="1:2">
      <c r="A2620" s="189">
        <v>38672</v>
      </c>
      <c r="B2620">
        <v>875.04</v>
      </c>
    </row>
    <row r="2621" spans="1:2">
      <c r="A2621" s="189">
        <v>38671</v>
      </c>
      <c r="B2621">
        <v>875.04</v>
      </c>
    </row>
    <row r="2622" spans="1:2">
      <c r="A2622" s="189">
        <v>38670</v>
      </c>
      <c r="B2622">
        <v>872.22</v>
      </c>
    </row>
    <row r="2623" spans="1:2">
      <c r="A2623" s="189">
        <v>38667</v>
      </c>
      <c r="B2623">
        <v>875.04</v>
      </c>
    </row>
    <row r="2624" spans="1:2">
      <c r="A2624" s="189">
        <v>38666</v>
      </c>
      <c r="B2624">
        <v>846.82</v>
      </c>
    </row>
    <row r="2625" spans="1:2">
      <c r="A2625" s="189">
        <v>38665</v>
      </c>
      <c r="B2625">
        <v>841.17</v>
      </c>
    </row>
    <row r="2626" spans="1:2">
      <c r="A2626" s="189">
        <v>38664</v>
      </c>
      <c r="B2626">
        <v>841.17</v>
      </c>
    </row>
    <row r="2627" spans="1:2">
      <c r="A2627" s="189">
        <v>38663</v>
      </c>
      <c r="B2627">
        <v>827.06</v>
      </c>
    </row>
    <row r="2628" spans="1:2">
      <c r="A2628" s="189">
        <v>38660</v>
      </c>
      <c r="B2628">
        <v>824.24</v>
      </c>
    </row>
    <row r="2629" spans="1:2">
      <c r="A2629" s="189">
        <v>38659</v>
      </c>
      <c r="B2629">
        <v>818.59</v>
      </c>
    </row>
    <row r="2630" spans="1:2">
      <c r="A2630" s="189">
        <v>38658</v>
      </c>
      <c r="B2630">
        <v>818.59</v>
      </c>
    </row>
    <row r="2631" spans="1:2">
      <c r="A2631" s="189">
        <v>38657</v>
      </c>
      <c r="B2631">
        <v>798.83</v>
      </c>
    </row>
    <row r="2632" spans="1:2">
      <c r="A2632" s="189">
        <v>38656</v>
      </c>
      <c r="B2632">
        <v>790.36</v>
      </c>
    </row>
    <row r="2633" spans="1:2">
      <c r="A2633" s="189">
        <v>38653</v>
      </c>
      <c r="B2633">
        <v>824.24</v>
      </c>
    </row>
    <row r="2634" spans="1:2">
      <c r="A2634" s="189">
        <v>38652</v>
      </c>
      <c r="B2634">
        <v>824.24</v>
      </c>
    </row>
    <row r="2635" spans="1:2">
      <c r="A2635" s="189">
        <v>38651</v>
      </c>
      <c r="B2635">
        <v>818.59</v>
      </c>
    </row>
    <row r="2636" spans="1:2">
      <c r="A2636" s="189">
        <v>38650</v>
      </c>
      <c r="B2636">
        <v>818.59</v>
      </c>
    </row>
    <row r="2637" spans="1:2">
      <c r="A2637" s="189">
        <v>38649</v>
      </c>
      <c r="B2637">
        <v>818.59</v>
      </c>
    </row>
    <row r="2638" spans="1:2">
      <c r="A2638" s="189">
        <v>38646</v>
      </c>
      <c r="B2638">
        <v>818.59</v>
      </c>
    </row>
    <row r="2639" spans="1:2">
      <c r="A2639" s="189">
        <v>38645</v>
      </c>
      <c r="B2639">
        <v>818.59</v>
      </c>
    </row>
    <row r="2640" spans="1:2">
      <c r="A2640" s="189">
        <v>38644</v>
      </c>
      <c r="B2640">
        <v>846.82</v>
      </c>
    </row>
    <row r="2641" spans="1:2">
      <c r="A2641" s="189">
        <v>38643</v>
      </c>
      <c r="B2641">
        <v>810.12</v>
      </c>
    </row>
    <row r="2642" spans="1:2">
      <c r="A2642" s="189">
        <v>38642</v>
      </c>
      <c r="B2642">
        <v>810.12</v>
      </c>
    </row>
    <row r="2643" spans="1:2">
      <c r="A2643" s="189">
        <v>38639</v>
      </c>
      <c r="B2643">
        <v>810.12</v>
      </c>
    </row>
    <row r="2644" spans="1:2">
      <c r="A2644" s="189">
        <v>38638</v>
      </c>
      <c r="B2644">
        <v>831.57</v>
      </c>
    </row>
    <row r="2645" spans="1:2">
      <c r="A2645" s="189">
        <v>38637</v>
      </c>
      <c r="B2645">
        <v>846.82</v>
      </c>
    </row>
    <row r="2646" spans="1:2">
      <c r="A2646" s="189">
        <v>38636</v>
      </c>
      <c r="B2646">
        <v>846.82</v>
      </c>
    </row>
    <row r="2647" spans="1:2">
      <c r="A2647" s="189">
        <v>38635</v>
      </c>
      <c r="B2647">
        <v>846.82</v>
      </c>
    </row>
    <row r="2648" spans="1:2">
      <c r="A2648" s="189">
        <v>38632</v>
      </c>
      <c r="B2648">
        <v>846.82</v>
      </c>
    </row>
    <row r="2649" spans="1:2">
      <c r="A2649" s="189">
        <v>38631</v>
      </c>
      <c r="B2649">
        <v>846.82</v>
      </c>
    </row>
    <row r="2650" spans="1:2">
      <c r="A2650" s="189">
        <v>38630</v>
      </c>
      <c r="B2650">
        <v>846.82</v>
      </c>
    </row>
    <row r="2651" spans="1:2">
      <c r="A2651" s="189">
        <v>38629</v>
      </c>
      <c r="B2651">
        <v>846.82</v>
      </c>
    </row>
    <row r="2652" spans="1:2">
      <c r="A2652" s="189">
        <v>38628</v>
      </c>
      <c r="B2652">
        <v>846.82</v>
      </c>
    </row>
    <row r="2653" spans="1:2">
      <c r="A2653" s="189">
        <v>38625</v>
      </c>
      <c r="B2653">
        <v>858.11</v>
      </c>
    </row>
    <row r="2654" spans="1:2">
      <c r="A2654" s="189">
        <v>38624</v>
      </c>
      <c r="B2654">
        <v>869.4</v>
      </c>
    </row>
    <row r="2655" spans="1:2">
      <c r="A2655" s="189">
        <v>38623</v>
      </c>
      <c r="B2655">
        <v>869.4</v>
      </c>
    </row>
    <row r="2656" spans="1:2">
      <c r="A2656" s="189">
        <v>38622</v>
      </c>
      <c r="B2656">
        <v>869.4</v>
      </c>
    </row>
    <row r="2657" spans="1:2">
      <c r="A2657" s="189">
        <v>38621</v>
      </c>
      <c r="B2657">
        <v>866.58</v>
      </c>
    </row>
    <row r="2658" spans="1:2">
      <c r="A2658" s="189">
        <v>38618</v>
      </c>
      <c r="B2658">
        <v>866.58</v>
      </c>
    </row>
    <row r="2659" spans="1:2">
      <c r="A2659" s="189">
        <v>38617</v>
      </c>
      <c r="B2659">
        <v>877.3</v>
      </c>
    </row>
    <row r="2660" spans="1:2">
      <c r="A2660" s="189">
        <v>38616</v>
      </c>
      <c r="B2660">
        <v>886.34</v>
      </c>
    </row>
    <row r="2661" spans="1:2">
      <c r="A2661" s="189">
        <v>38615</v>
      </c>
      <c r="B2661">
        <v>886.34</v>
      </c>
    </row>
    <row r="2662" spans="1:2">
      <c r="A2662" s="189">
        <v>38614</v>
      </c>
      <c r="B2662">
        <v>880.69</v>
      </c>
    </row>
    <row r="2663" spans="1:2">
      <c r="A2663" s="189">
        <v>38611</v>
      </c>
      <c r="B2663">
        <v>886.34</v>
      </c>
    </row>
    <row r="2664" spans="1:2">
      <c r="A2664" s="189">
        <v>38610</v>
      </c>
      <c r="B2664">
        <v>869.4</v>
      </c>
    </row>
    <row r="2665" spans="1:2">
      <c r="A2665" s="189">
        <v>38609</v>
      </c>
      <c r="B2665">
        <v>866.58</v>
      </c>
    </row>
    <row r="2666" spans="1:2">
      <c r="A2666" s="189">
        <v>38608</v>
      </c>
      <c r="B2666">
        <v>860.93</v>
      </c>
    </row>
    <row r="2667" spans="1:2">
      <c r="A2667" s="189">
        <v>38607</v>
      </c>
      <c r="B2667">
        <v>847.38</v>
      </c>
    </row>
    <row r="2668" spans="1:2">
      <c r="A2668" s="189">
        <v>38604</v>
      </c>
      <c r="B2668">
        <v>847.38</v>
      </c>
    </row>
    <row r="2669" spans="1:2">
      <c r="A2669" s="189">
        <v>38603</v>
      </c>
      <c r="B2669">
        <v>847.38</v>
      </c>
    </row>
    <row r="2670" spans="1:2">
      <c r="A2670" s="189">
        <v>38602</v>
      </c>
      <c r="B2670">
        <v>860.93</v>
      </c>
    </row>
    <row r="2671" spans="1:2">
      <c r="A2671" s="189">
        <v>38601</v>
      </c>
      <c r="B2671">
        <v>875.61</v>
      </c>
    </row>
    <row r="2672" spans="1:2">
      <c r="A2672" s="189">
        <v>38600</v>
      </c>
      <c r="B2672">
        <v>903.27</v>
      </c>
    </row>
    <row r="2673" spans="1:2">
      <c r="A2673" s="189">
        <v>38597</v>
      </c>
      <c r="B2673">
        <v>903.27</v>
      </c>
    </row>
    <row r="2674" spans="1:2">
      <c r="A2674" s="189">
        <v>38596</v>
      </c>
      <c r="B2674">
        <v>903.27</v>
      </c>
    </row>
    <row r="2675" spans="1:2">
      <c r="A2675" s="189">
        <v>38595</v>
      </c>
      <c r="B2675">
        <v>903.27</v>
      </c>
    </row>
    <row r="2676" spans="1:2">
      <c r="A2676" s="189">
        <v>38594</v>
      </c>
      <c r="B2676">
        <v>903.27</v>
      </c>
    </row>
    <row r="2677" spans="1:2">
      <c r="A2677" s="189">
        <v>38593</v>
      </c>
      <c r="B2677">
        <v>903.27</v>
      </c>
    </row>
    <row r="2678" spans="1:2">
      <c r="A2678" s="189">
        <v>38590</v>
      </c>
      <c r="B2678">
        <v>903.27</v>
      </c>
    </row>
    <row r="2679" spans="1:2">
      <c r="A2679" s="189">
        <v>38589</v>
      </c>
      <c r="B2679">
        <v>903.27</v>
      </c>
    </row>
    <row r="2680" spans="1:2">
      <c r="A2680" s="189">
        <v>38588</v>
      </c>
      <c r="B2680">
        <v>909.48</v>
      </c>
    </row>
    <row r="2681" spans="1:2">
      <c r="A2681" s="189">
        <v>38587</v>
      </c>
      <c r="B2681">
        <v>903.27</v>
      </c>
    </row>
    <row r="2682" spans="1:2">
      <c r="A2682" s="189">
        <v>38586</v>
      </c>
      <c r="B2682">
        <v>903.27</v>
      </c>
    </row>
    <row r="2683" spans="1:2">
      <c r="A2683" s="189">
        <v>38583</v>
      </c>
      <c r="B2683">
        <v>875.04</v>
      </c>
    </row>
    <row r="2684" spans="1:2">
      <c r="A2684" s="189">
        <v>38582</v>
      </c>
      <c r="B2684">
        <v>875.04</v>
      </c>
    </row>
    <row r="2685" spans="1:2">
      <c r="A2685" s="189">
        <v>38581</v>
      </c>
      <c r="B2685">
        <v>908.92</v>
      </c>
    </row>
    <row r="2686" spans="1:2">
      <c r="A2686" s="189">
        <v>38580</v>
      </c>
      <c r="B2686">
        <v>903.27</v>
      </c>
    </row>
    <row r="2687" spans="1:2">
      <c r="A2687" s="189">
        <v>38579</v>
      </c>
      <c r="B2687">
        <v>903.27</v>
      </c>
    </row>
    <row r="2688" spans="1:2">
      <c r="A2688" s="189">
        <v>38576</v>
      </c>
      <c r="B2688">
        <v>903.27</v>
      </c>
    </row>
    <row r="2689" spans="1:2">
      <c r="A2689" s="189">
        <v>38575</v>
      </c>
      <c r="B2689">
        <v>858.11</v>
      </c>
    </row>
    <row r="2690" spans="1:2">
      <c r="A2690" s="189">
        <v>38574</v>
      </c>
      <c r="B2690">
        <v>846.82</v>
      </c>
    </row>
    <row r="2691" spans="1:2">
      <c r="A2691" s="189">
        <v>38572</v>
      </c>
      <c r="B2691">
        <v>846.82</v>
      </c>
    </row>
    <row r="2692" spans="1:2">
      <c r="A2692" s="189">
        <v>38569</v>
      </c>
      <c r="B2692">
        <v>846.82</v>
      </c>
    </row>
    <row r="2693" spans="1:2">
      <c r="A2693" s="189">
        <v>38568</v>
      </c>
      <c r="B2693">
        <v>846.82</v>
      </c>
    </row>
    <row r="2694" spans="1:2">
      <c r="A2694" s="189">
        <v>38567</v>
      </c>
      <c r="B2694">
        <v>846.82</v>
      </c>
    </row>
    <row r="2695" spans="1:2">
      <c r="A2695" s="189">
        <v>38566</v>
      </c>
      <c r="B2695">
        <v>832.7</v>
      </c>
    </row>
    <row r="2696" spans="1:2">
      <c r="A2696" s="189">
        <v>38565</v>
      </c>
      <c r="B2696">
        <v>821.41</v>
      </c>
    </row>
    <row r="2697" spans="1:2">
      <c r="A2697" s="189">
        <v>38562</v>
      </c>
      <c r="B2697">
        <v>821.41</v>
      </c>
    </row>
    <row r="2698" spans="1:2">
      <c r="A2698" s="189">
        <v>38561</v>
      </c>
      <c r="B2698">
        <v>821.41</v>
      </c>
    </row>
    <row r="2699" spans="1:2">
      <c r="A2699" s="189">
        <v>38560</v>
      </c>
      <c r="B2699">
        <v>818.59</v>
      </c>
    </row>
    <row r="2700" spans="1:2">
      <c r="A2700" s="189">
        <v>38559</v>
      </c>
      <c r="B2700">
        <v>818.59</v>
      </c>
    </row>
    <row r="2701" spans="1:2">
      <c r="A2701" s="189">
        <v>38558</v>
      </c>
      <c r="B2701">
        <v>818.59</v>
      </c>
    </row>
    <row r="2702" spans="1:2">
      <c r="A2702" s="189">
        <v>38555</v>
      </c>
      <c r="B2702">
        <v>818.59</v>
      </c>
    </row>
    <row r="2703" spans="1:2">
      <c r="A2703" s="189">
        <v>38554</v>
      </c>
      <c r="B2703">
        <v>798.83</v>
      </c>
    </row>
    <row r="2704" spans="1:2">
      <c r="A2704" s="189">
        <v>38553</v>
      </c>
      <c r="B2704">
        <v>801.65</v>
      </c>
    </row>
    <row r="2705" spans="1:2">
      <c r="A2705" s="189">
        <v>38552</v>
      </c>
      <c r="B2705">
        <v>801.65</v>
      </c>
    </row>
    <row r="2706" spans="1:2">
      <c r="A2706" s="189">
        <v>38551</v>
      </c>
      <c r="B2706">
        <v>804.48</v>
      </c>
    </row>
    <row r="2707" spans="1:2">
      <c r="A2707" s="189">
        <v>38548</v>
      </c>
      <c r="B2707">
        <v>804.48</v>
      </c>
    </row>
    <row r="2708" spans="1:2">
      <c r="A2708" s="189">
        <v>38547</v>
      </c>
      <c r="B2708">
        <v>790.36</v>
      </c>
    </row>
    <row r="2709" spans="1:2">
      <c r="A2709" s="189">
        <v>38546</v>
      </c>
      <c r="B2709">
        <v>790.36</v>
      </c>
    </row>
    <row r="2710" spans="1:2">
      <c r="A2710" s="189">
        <v>38545</v>
      </c>
      <c r="B2710">
        <v>750.84</v>
      </c>
    </row>
    <row r="2711" spans="1:2">
      <c r="A2711" s="189">
        <v>38544</v>
      </c>
      <c r="B2711">
        <v>750.84</v>
      </c>
    </row>
    <row r="2712" spans="1:2">
      <c r="A2712" s="189">
        <v>38541</v>
      </c>
      <c r="B2712">
        <v>750.84</v>
      </c>
    </row>
    <row r="2713" spans="1:2">
      <c r="A2713" s="189">
        <v>38540</v>
      </c>
      <c r="B2713">
        <v>750.84</v>
      </c>
    </row>
    <row r="2714" spans="1:2">
      <c r="A2714" s="189">
        <v>38539</v>
      </c>
      <c r="B2714">
        <v>750.84</v>
      </c>
    </row>
    <row r="2715" spans="1:2">
      <c r="A2715" s="189">
        <v>38538</v>
      </c>
      <c r="B2715">
        <v>762.14</v>
      </c>
    </row>
    <row r="2716" spans="1:2">
      <c r="A2716" s="189">
        <v>38537</v>
      </c>
      <c r="B2716">
        <v>761.57</v>
      </c>
    </row>
    <row r="2717" spans="1:2">
      <c r="A2717" s="189">
        <v>38534</v>
      </c>
      <c r="B2717">
        <v>762.14</v>
      </c>
    </row>
    <row r="2718" spans="1:2">
      <c r="A2718" s="189">
        <v>38533</v>
      </c>
      <c r="B2718">
        <v>762.14</v>
      </c>
    </row>
    <row r="2719" spans="1:2">
      <c r="A2719" s="189">
        <v>38532</v>
      </c>
      <c r="B2719">
        <v>762.14</v>
      </c>
    </row>
    <row r="2720" spans="1:2">
      <c r="A2720" s="189">
        <v>38531</v>
      </c>
      <c r="B2720">
        <v>762.14</v>
      </c>
    </row>
    <row r="2721" spans="1:2">
      <c r="A2721" s="189">
        <v>38530</v>
      </c>
      <c r="B2721">
        <v>762.14</v>
      </c>
    </row>
    <row r="2722" spans="1:2">
      <c r="A2722" s="189">
        <v>38527</v>
      </c>
      <c r="B2722">
        <v>773.43</v>
      </c>
    </row>
    <row r="2723" spans="1:2">
      <c r="A2723" s="189">
        <v>38526</v>
      </c>
      <c r="B2723">
        <v>767.84</v>
      </c>
    </row>
    <row r="2724" spans="1:2">
      <c r="A2724" s="189">
        <v>38525</v>
      </c>
      <c r="B2724">
        <v>767.84</v>
      </c>
    </row>
    <row r="2725" spans="1:2">
      <c r="A2725" s="189">
        <v>38524</v>
      </c>
      <c r="B2725">
        <v>770.08</v>
      </c>
    </row>
    <row r="2726" spans="1:2">
      <c r="A2726" s="189">
        <v>38523</v>
      </c>
      <c r="B2726">
        <v>773.43</v>
      </c>
    </row>
    <row r="2727" spans="1:2">
      <c r="A2727" s="189">
        <v>38520</v>
      </c>
      <c r="B2727">
        <v>781.8</v>
      </c>
    </row>
    <row r="2728" spans="1:2">
      <c r="A2728" s="189">
        <v>38518</v>
      </c>
      <c r="B2728">
        <v>781.8</v>
      </c>
    </row>
    <row r="2729" spans="1:2">
      <c r="A2729" s="189">
        <v>38517</v>
      </c>
      <c r="B2729">
        <v>781.8</v>
      </c>
    </row>
    <row r="2730" spans="1:2">
      <c r="A2730" s="189">
        <v>38516</v>
      </c>
      <c r="B2730">
        <v>753.88</v>
      </c>
    </row>
    <row r="2731" spans="1:2">
      <c r="A2731" s="189">
        <v>38513</v>
      </c>
      <c r="B2731">
        <v>742.71</v>
      </c>
    </row>
    <row r="2732" spans="1:2">
      <c r="A2732" s="189">
        <v>38512</v>
      </c>
      <c r="B2732">
        <v>742.71</v>
      </c>
    </row>
    <row r="2733" spans="1:2">
      <c r="A2733" s="189">
        <v>38511</v>
      </c>
      <c r="B2733">
        <v>742.71</v>
      </c>
    </row>
    <row r="2734" spans="1:2">
      <c r="A2734" s="189">
        <v>38510</v>
      </c>
      <c r="B2734">
        <v>756.12</v>
      </c>
    </row>
    <row r="2735" spans="1:2">
      <c r="A2735" s="189">
        <v>38509</v>
      </c>
      <c r="B2735">
        <v>759.47</v>
      </c>
    </row>
    <row r="2736" spans="1:2">
      <c r="A2736" s="189">
        <v>38506</v>
      </c>
      <c r="B2736">
        <v>759.47</v>
      </c>
    </row>
    <row r="2737" spans="1:2">
      <c r="A2737" s="189">
        <v>38505</v>
      </c>
      <c r="B2737">
        <v>759.47</v>
      </c>
    </row>
    <row r="2738" spans="1:2">
      <c r="A2738" s="189">
        <v>38504</v>
      </c>
      <c r="B2738">
        <v>748.3</v>
      </c>
    </row>
    <row r="2739" spans="1:2">
      <c r="A2739" s="189">
        <v>38503</v>
      </c>
      <c r="B2739">
        <v>737.69</v>
      </c>
    </row>
    <row r="2740" spans="1:2">
      <c r="A2740" s="189">
        <v>38502</v>
      </c>
      <c r="B2740">
        <v>759.47</v>
      </c>
    </row>
    <row r="2741" spans="1:2">
      <c r="A2741" s="189">
        <v>38499</v>
      </c>
      <c r="B2741">
        <v>762.82</v>
      </c>
    </row>
    <row r="2742" spans="1:2">
      <c r="A2742" s="189">
        <v>38498</v>
      </c>
      <c r="B2742">
        <v>762.82</v>
      </c>
    </row>
    <row r="2743" spans="1:2">
      <c r="A2743" s="189">
        <v>38497</v>
      </c>
      <c r="B2743">
        <v>753.88</v>
      </c>
    </row>
    <row r="2744" spans="1:2">
      <c r="A2744" s="189">
        <v>38496</v>
      </c>
      <c r="B2744">
        <v>753.88</v>
      </c>
    </row>
    <row r="2745" spans="1:2">
      <c r="A2745" s="189">
        <v>38495</v>
      </c>
      <c r="B2745">
        <v>753.88</v>
      </c>
    </row>
    <row r="2746" spans="1:2">
      <c r="A2746" s="189">
        <v>38492</v>
      </c>
      <c r="B2746">
        <v>753.88</v>
      </c>
    </row>
    <row r="2747" spans="1:2">
      <c r="A2747" s="189">
        <v>38491</v>
      </c>
      <c r="B2747">
        <v>753.88</v>
      </c>
    </row>
    <row r="2748" spans="1:2">
      <c r="A2748" s="189">
        <v>38490</v>
      </c>
      <c r="B2748">
        <v>753.88</v>
      </c>
    </row>
    <row r="2749" spans="1:2">
      <c r="A2749" s="189">
        <v>38489</v>
      </c>
      <c r="B2749">
        <v>753.88</v>
      </c>
    </row>
    <row r="2750" spans="1:2">
      <c r="A2750" s="189">
        <v>38488</v>
      </c>
      <c r="B2750">
        <v>725.96</v>
      </c>
    </row>
    <row r="2751" spans="1:2">
      <c r="A2751" s="189">
        <v>38485</v>
      </c>
      <c r="B2751">
        <v>734.34</v>
      </c>
    </row>
    <row r="2752" spans="1:2">
      <c r="A2752" s="189">
        <v>38484</v>
      </c>
      <c r="B2752">
        <v>725.96</v>
      </c>
    </row>
    <row r="2753" spans="1:2">
      <c r="A2753" s="189">
        <v>38483</v>
      </c>
      <c r="B2753">
        <v>714.79</v>
      </c>
    </row>
    <row r="2754" spans="1:2">
      <c r="A2754" s="189">
        <v>38482</v>
      </c>
      <c r="B2754">
        <v>725.96</v>
      </c>
    </row>
    <row r="2755" spans="1:2">
      <c r="A2755" s="189">
        <v>38481</v>
      </c>
      <c r="B2755">
        <v>725.96</v>
      </c>
    </row>
    <row r="2756" spans="1:2">
      <c r="A2756" s="189">
        <v>38478</v>
      </c>
      <c r="B2756">
        <v>725.96</v>
      </c>
    </row>
    <row r="2757" spans="1:2">
      <c r="A2757" s="189">
        <v>38477</v>
      </c>
      <c r="B2757">
        <v>703.62</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D5:D36"/>
  <sheetViews>
    <sheetView showGridLines="0" zoomScale="75" zoomScaleNormal="75" zoomScalePageLayoutView="75" workbookViewId="0">
      <selection activeCell="D36" sqref="D36:E36"/>
    </sheetView>
  </sheetViews>
  <sheetFormatPr baseColWidth="10" defaultRowHeight="15" x14ac:dyDescent="0"/>
  <cols>
    <col min="5" max="5" width="6.33203125" customWidth="1"/>
    <col min="11" max="11" width="2.6640625" customWidth="1"/>
  </cols>
  <sheetData>
    <row r="5" spans="4:4" ht="20">
      <c r="D5" s="1197" t="s">
        <v>1769</v>
      </c>
    </row>
    <row r="19" spans="4:4">
      <c r="D19" t="s">
        <v>1770</v>
      </c>
    </row>
    <row r="21" spans="4:4" ht="20">
      <c r="D21" s="1197" t="s">
        <v>1771</v>
      </c>
    </row>
    <row r="36" spans="4:4">
      <c r="D36" t="s">
        <v>1770</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T33"/>
  <sheetViews>
    <sheetView topLeftCell="B1" workbookViewId="0">
      <selection activeCell="L11" sqref="L11"/>
    </sheetView>
  </sheetViews>
  <sheetFormatPr baseColWidth="10" defaultRowHeight="15" x14ac:dyDescent="0"/>
  <cols>
    <col min="4" max="4" width="28.5" bestFit="1" customWidth="1"/>
    <col min="5" max="16" width="10.1640625" customWidth="1"/>
    <col min="19" max="19" width="30.6640625" bestFit="1" customWidth="1"/>
  </cols>
  <sheetData>
    <row r="4" spans="4:20">
      <c r="D4" s="23" t="s">
        <v>1555</v>
      </c>
      <c r="E4" s="763" t="s">
        <v>216</v>
      </c>
      <c r="F4" s="763" t="s">
        <v>217</v>
      </c>
      <c r="G4" s="763" t="s">
        <v>218</v>
      </c>
      <c r="H4" s="763" t="s">
        <v>28</v>
      </c>
      <c r="I4" s="763" t="s">
        <v>17</v>
      </c>
      <c r="J4" s="763" t="s">
        <v>18</v>
      </c>
      <c r="K4" s="763" t="s">
        <v>19</v>
      </c>
      <c r="L4" s="763" t="s">
        <v>20</v>
      </c>
      <c r="M4" s="763" t="s">
        <v>21</v>
      </c>
      <c r="N4" s="763" t="s">
        <v>22</v>
      </c>
      <c r="O4" s="763" t="s">
        <v>23</v>
      </c>
      <c r="P4" s="763" t="s">
        <v>1547</v>
      </c>
      <c r="S4" s="1903" t="s">
        <v>1559</v>
      </c>
      <c r="T4" s="1903"/>
    </row>
    <row r="5" spans="4:20" s="7" customFormat="1" ht="14">
      <c r="D5" s="769" t="s">
        <v>1544</v>
      </c>
      <c r="E5" s="770"/>
      <c r="F5" s="770"/>
      <c r="G5" s="770"/>
      <c r="H5" s="770"/>
      <c r="I5" s="770"/>
      <c r="J5" s="770"/>
      <c r="K5" s="770"/>
      <c r="L5" s="770"/>
      <c r="M5" s="770"/>
      <c r="N5" s="770"/>
      <c r="O5" s="770"/>
      <c r="P5" s="770"/>
      <c r="S5" s="6" t="s">
        <v>837</v>
      </c>
      <c r="T5" s="120">
        <v>16325.5</v>
      </c>
    </row>
    <row r="6" spans="4:20" s="7" customFormat="1" ht="14">
      <c r="D6" s="7" t="s">
        <v>1541</v>
      </c>
      <c r="E6" s="770">
        <v>115.3</v>
      </c>
      <c r="F6" s="770">
        <v>119.5</v>
      </c>
      <c r="G6" s="770">
        <v>120.8</v>
      </c>
      <c r="H6" s="772">
        <v>121.4</v>
      </c>
      <c r="I6" s="772">
        <v>122.2</v>
      </c>
      <c r="J6" s="772">
        <v>122.7</v>
      </c>
      <c r="K6" s="772">
        <v>103</v>
      </c>
      <c r="L6" s="772">
        <v>103.3</v>
      </c>
      <c r="M6" s="772">
        <v>103.5</v>
      </c>
      <c r="N6" s="772">
        <v>103.6</v>
      </c>
      <c r="O6" s="772">
        <v>116.6</v>
      </c>
      <c r="P6" s="770"/>
      <c r="S6" s="7" t="s">
        <v>984</v>
      </c>
      <c r="T6" s="119">
        <v>1181.3</v>
      </c>
    </row>
    <row r="7" spans="4:20" s="7" customFormat="1" ht="14">
      <c r="D7" s="7" t="s">
        <v>1542</v>
      </c>
      <c r="E7" s="770">
        <v>115.7</v>
      </c>
      <c r="F7" s="770">
        <v>117</v>
      </c>
      <c r="G7" s="770">
        <v>104.2</v>
      </c>
      <c r="H7" s="772">
        <v>103.8</v>
      </c>
      <c r="I7" s="772">
        <v>104.9</v>
      </c>
      <c r="J7" s="772">
        <v>108.1</v>
      </c>
      <c r="K7" s="772">
        <v>109.9</v>
      </c>
      <c r="L7" s="772">
        <v>112.7</v>
      </c>
      <c r="M7" s="772">
        <v>113.8</v>
      </c>
      <c r="N7" s="772">
        <v>114.4</v>
      </c>
      <c r="O7" s="772">
        <v>118.4</v>
      </c>
      <c r="P7" s="770"/>
      <c r="S7" s="7" t="s">
        <v>1549</v>
      </c>
      <c r="T7" s="119">
        <v>0</v>
      </c>
    </row>
    <row r="8" spans="4:20" s="7" customFormat="1" ht="14">
      <c r="D8" s="7" t="s">
        <v>1543</v>
      </c>
      <c r="E8" s="770">
        <v>115</v>
      </c>
      <c r="F8" s="770">
        <v>116.7</v>
      </c>
      <c r="G8" s="770">
        <v>104.1</v>
      </c>
      <c r="H8" s="772">
        <v>101.8</v>
      </c>
      <c r="I8" s="772">
        <v>102.1</v>
      </c>
      <c r="J8" s="772">
        <v>102.7</v>
      </c>
      <c r="K8" s="772">
        <v>103</v>
      </c>
      <c r="L8" s="772">
        <v>103.2</v>
      </c>
      <c r="M8" s="772">
        <v>103.4</v>
      </c>
      <c r="N8" s="772">
        <v>103.5</v>
      </c>
      <c r="O8" s="772">
        <v>107.5</v>
      </c>
      <c r="P8" s="770"/>
      <c r="S8" s="7" t="s">
        <v>1234</v>
      </c>
      <c r="T8" s="119">
        <v>80.400000000000006</v>
      </c>
    </row>
    <row r="9" spans="4:20">
      <c r="E9" s="771"/>
      <c r="F9" s="771"/>
      <c r="G9" s="771"/>
      <c r="H9" s="771"/>
      <c r="I9" s="771"/>
      <c r="J9" s="771"/>
      <c r="K9" s="771"/>
      <c r="L9" s="771"/>
      <c r="M9" s="771"/>
      <c r="N9" s="771"/>
      <c r="O9" s="771"/>
      <c r="P9" s="771"/>
      <c r="S9" s="7" t="s">
        <v>1550</v>
      </c>
      <c r="T9" s="119">
        <v>4374.5</v>
      </c>
    </row>
    <row r="10" spans="4:20">
      <c r="D10" s="769" t="s">
        <v>1556</v>
      </c>
      <c r="E10" s="771"/>
      <c r="F10" s="771"/>
      <c r="G10" s="771"/>
      <c r="H10" s="771"/>
      <c r="I10" s="771"/>
      <c r="J10" s="771"/>
      <c r="K10" s="771"/>
      <c r="L10" s="771"/>
      <c r="M10" s="771"/>
      <c r="N10" s="771"/>
      <c r="O10" s="771"/>
      <c r="P10" s="771"/>
      <c r="S10" s="6" t="s">
        <v>1206</v>
      </c>
      <c r="T10" s="120">
        <f>T5-T6+T7+T8+T9</f>
        <v>19599.099999999999</v>
      </c>
    </row>
    <row r="11" spans="4:20" s="7" customFormat="1" ht="14">
      <c r="D11" s="7" t="s">
        <v>837</v>
      </c>
      <c r="E11" s="773">
        <f>E12*E14</f>
        <v>1704.3625</v>
      </c>
      <c r="F11" s="773">
        <f t="shared" ref="F11:P11" si="0">F12*F14</f>
        <v>1831.3217999999999</v>
      </c>
      <c r="G11" s="773">
        <f t="shared" si="0"/>
        <v>2647.0592000000001</v>
      </c>
      <c r="H11" s="773">
        <f t="shared" si="0"/>
        <v>2478.9880000000003</v>
      </c>
      <c r="I11" s="773">
        <f t="shared" si="0"/>
        <v>3112.4850000000001</v>
      </c>
      <c r="J11" s="773">
        <f t="shared" si="0"/>
        <v>3807.6767999999997</v>
      </c>
      <c r="K11" s="773">
        <f t="shared" si="0"/>
        <v>4464.2303999999995</v>
      </c>
      <c r="L11" s="773">
        <f t="shared" si="0"/>
        <v>6448.5018</v>
      </c>
      <c r="M11" s="773">
        <f t="shared" si="0"/>
        <v>10067.904</v>
      </c>
      <c r="N11" s="773">
        <f t="shared" si="0"/>
        <v>8845.2458999999999</v>
      </c>
      <c r="O11" s="773">
        <f>O12*O14</f>
        <v>13065.092000000001</v>
      </c>
      <c r="P11" s="773">
        <f t="shared" si="0"/>
        <v>16325.943799999999</v>
      </c>
    </row>
    <row r="12" spans="4:20" s="7" customFormat="1" ht="14">
      <c r="D12" s="7" t="s">
        <v>1545</v>
      </c>
      <c r="E12" s="773">
        <v>115.55</v>
      </c>
      <c r="F12" s="773">
        <v>119.46</v>
      </c>
      <c r="G12" s="773">
        <v>120.76</v>
      </c>
      <c r="H12" s="773">
        <v>121.4</v>
      </c>
      <c r="I12" s="773">
        <v>122.25</v>
      </c>
      <c r="J12" s="773">
        <v>122.67</v>
      </c>
      <c r="K12" s="773">
        <v>122.88</v>
      </c>
      <c r="L12" s="773">
        <v>123.11</v>
      </c>
      <c r="M12" s="773">
        <v>123.2</v>
      </c>
      <c r="N12" s="773">
        <v>123.21</v>
      </c>
      <c r="O12" s="773">
        <v>135.53</v>
      </c>
      <c r="P12" s="773">
        <v>135.53</v>
      </c>
    </row>
    <row r="13" spans="4:20" s="7" customFormat="1" ht="14">
      <c r="D13" s="7" t="s">
        <v>1546</v>
      </c>
      <c r="E13" s="773" t="s">
        <v>707</v>
      </c>
      <c r="F13" s="773" t="s">
        <v>707</v>
      </c>
      <c r="G13" s="773" t="s">
        <v>707</v>
      </c>
      <c r="H13" s="773" t="s">
        <v>707</v>
      </c>
      <c r="I13" s="773">
        <v>28.24</v>
      </c>
      <c r="J13" s="773">
        <v>56.42</v>
      </c>
      <c r="K13" s="773">
        <v>56.68</v>
      </c>
      <c r="L13" s="773">
        <v>19.98</v>
      </c>
      <c r="M13" s="773">
        <v>59.22</v>
      </c>
      <c r="N13" s="773">
        <v>66.17</v>
      </c>
      <c r="O13" s="773">
        <v>105.95</v>
      </c>
      <c r="P13" s="773">
        <v>101.66</v>
      </c>
    </row>
    <row r="14" spans="4:20" s="7" customFormat="1" ht="14">
      <c r="D14" s="7" t="s">
        <v>1548</v>
      </c>
      <c r="E14" s="773">
        <v>14.75</v>
      </c>
      <c r="F14" s="773">
        <v>15.33</v>
      </c>
      <c r="G14" s="773">
        <v>21.92</v>
      </c>
      <c r="H14" s="773">
        <v>20.420000000000002</v>
      </c>
      <c r="I14" s="773">
        <v>25.46</v>
      </c>
      <c r="J14" s="773">
        <v>31.04</v>
      </c>
      <c r="K14" s="773">
        <v>36.33</v>
      </c>
      <c r="L14" s="773">
        <v>52.38</v>
      </c>
      <c r="M14" s="773">
        <v>81.72</v>
      </c>
      <c r="N14" s="773">
        <v>71.790000000000006</v>
      </c>
      <c r="O14" s="773">
        <v>96.4</v>
      </c>
      <c r="P14" s="773">
        <v>120.46</v>
      </c>
    </row>
    <row r="16" spans="4:20">
      <c r="D16" s="769" t="s">
        <v>1221</v>
      </c>
    </row>
    <row r="17" spans="4:16">
      <c r="D17" s="774" t="s">
        <v>1391</v>
      </c>
      <c r="E17" s="770"/>
      <c r="F17" s="770"/>
      <c r="G17" s="770"/>
      <c r="H17" s="770"/>
      <c r="I17" s="770"/>
      <c r="J17" s="770"/>
      <c r="K17" s="770"/>
      <c r="L17" s="770">
        <v>1.1200000000000001</v>
      </c>
      <c r="M17" s="770">
        <v>1.84</v>
      </c>
      <c r="N17" s="770">
        <v>1.48</v>
      </c>
      <c r="O17" s="770">
        <v>2.35</v>
      </c>
      <c r="P17" s="770">
        <v>3.18</v>
      </c>
    </row>
    <row r="18" spans="4:16">
      <c r="D18" s="774" t="s">
        <v>1365</v>
      </c>
      <c r="E18" s="770"/>
      <c r="F18" s="770"/>
      <c r="G18" s="770"/>
      <c r="H18" s="770"/>
      <c r="I18" s="770"/>
      <c r="J18" s="770"/>
      <c r="K18" s="770"/>
      <c r="L18" s="770" t="s">
        <v>707</v>
      </c>
      <c r="M18" s="770">
        <v>11.22</v>
      </c>
      <c r="N18" s="770">
        <v>8</v>
      </c>
      <c r="O18" s="770">
        <v>12.92</v>
      </c>
      <c r="P18" s="770">
        <v>17.45</v>
      </c>
    </row>
    <row r="19" spans="4:16">
      <c r="D19" s="774" t="s">
        <v>1390</v>
      </c>
      <c r="E19" s="770"/>
      <c r="F19" s="770"/>
      <c r="G19" s="770"/>
      <c r="H19" s="770"/>
      <c r="I19" s="770"/>
      <c r="J19" s="770"/>
      <c r="K19" s="770"/>
      <c r="L19" s="770">
        <v>7.55</v>
      </c>
      <c r="M19" s="770">
        <v>12.93</v>
      </c>
      <c r="N19" s="770">
        <v>9.11</v>
      </c>
      <c r="O19" s="770">
        <v>15.35</v>
      </c>
      <c r="P19" s="770">
        <v>20.73</v>
      </c>
    </row>
    <row r="20" spans="4:16">
      <c r="D20" s="774" t="s">
        <v>1551</v>
      </c>
      <c r="E20" s="770"/>
      <c r="F20" s="770"/>
      <c r="G20" s="770"/>
      <c r="H20" s="770"/>
      <c r="I20" s="770"/>
      <c r="J20" s="770"/>
      <c r="K20" s="770"/>
      <c r="L20" s="770">
        <v>21.95</v>
      </c>
      <c r="M20" s="770">
        <v>103.2</v>
      </c>
      <c r="N20" s="770">
        <v>10.63</v>
      </c>
      <c r="O20" s="770">
        <v>16.43</v>
      </c>
      <c r="P20" s="770">
        <v>22.21</v>
      </c>
    </row>
    <row r="21" spans="4:16">
      <c r="D21" s="774"/>
      <c r="E21" s="770"/>
      <c r="F21" s="770"/>
      <c r="G21" s="770"/>
      <c r="H21" s="770"/>
      <c r="I21" s="770"/>
      <c r="J21" s="770"/>
      <c r="K21" s="770"/>
      <c r="L21" s="770">
        <v>31.03</v>
      </c>
      <c r="M21" s="770" t="s">
        <v>707</v>
      </c>
      <c r="N21" s="770">
        <v>13.86</v>
      </c>
      <c r="O21" s="770">
        <v>20.079999999999998</v>
      </c>
      <c r="P21" s="770">
        <v>27.15</v>
      </c>
    </row>
    <row r="23" spans="4:16" s="769" customFormat="1" ht="14">
      <c r="D23" s="769" t="s">
        <v>1557</v>
      </c>
    </row>
    <row r="24" spans="4:16" s="7" customFormat="1" ht="14">
      <c r="D24" s="7" t="s">
        <v>478</v>
      </c>
    </row>
    <row r="25" spans="4:16" s="7" customFormat="1" ht="14">
      <c r="D25" s="7" t="s">
        <v>480</v>
      </c>
    </row>
    <row r="26" spans="4:16" s="7" customFormat="1" ht="14">
      <c r="D26" s="7" t="s">
        <v>1552</v>
      </c>
    </row>
    <row r="27" spans="4:16" s="7" customFormat="1" ht="14">
      <c r="D27" s="7" t="s">
        <v>1385</v>
      </c>
    </row>
    <row r="28" spans="4:16" s="7" customFormat="1" ht="14"/>
    <row r="29" spans="4:16" s="7" customFormat="1" ht="14">
      <c r="D29" s="769" t="s">
        <v>1558</v>
      </c>
    </row>
    <row r="30" spans="4:16" s="7" customFormat="1" ht="14">
      <c r="D30" s="7" t="s">
        <v>1553</v>
      </c>
    </row>
    <row r="31" spans="4:16" s="7" customFormat="1" ht="14">
      <c r="D31" s="7" t="s">
        <v>976</v>
      </c>
    </row>
    <row r="32" spans="4:16" s="7" customFormat="1" ht="14">
      <c r="D32" s="7" t="s">
        <v>978</v>
      </c>
    </row>
    <row r="33" spans="4:4" s="7" customFormat="1" ht="14">
      <c r="D33" s="7" t="s">
        <v>1554</v>
      </c>
    </row>
  </sheetData>
  <mergeCells count="1">
    <mergeCell ref="S4:T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D2:G20"/>
  <sheetViews>
    <sheetView showGridLines="0" zoomScale="75" zoomScaleNormal="75" zoomScalePageLayoutView="75" workbookViewId="0">
      <selection activeCell="D36" sqref="D36:E36"/>
    </sheetView>
  </sheetViews>
  <sheetFormatPr baseColWidth="10" defaultRowHeight="15" x14ac:dyDescent="0"/>
  <cols>
    <col min="5" max="5" width="2.33203125" customWidth="1"/>
    <col min="10" max="10" width="5" customWidth="1"/>
  </cols>
  <sheetData>
    <row r="2" spans="4:7" ht="21">
      <c r="D2" s="1791" t="s">
        <v>1775</v>
      </c>
      <c r="E2" s="1791"/>
      <c r="F2" s="1791"/>
      <c r="G2" s="1791"/>
    </row>
    <row r="20" spans="4:4">
      <c r="D20" t="s">
        <v>1773</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M261"/>
  <sheetViews>
    <sheetView showGridLines="0" zoomScale="75" zoomScaleNormal="75" zoomScalePageLayoutView="75" workbookViewId="0">
      <selection activeCell="D36" sqref="D36:E36"/>
    </sheetView>
  </sheetViews>
  <sheetFormatPr baseColWidth="10" defaultRowHeight="15" x14ac:dyDescent="0"/>
  <cols>
    <col min="1" max="1" width="9.5" bestFit="1" customWidth="1"/>
    <col min="2" max="2" width="11.6640625" bestFit="1" customWidth="1"/>
    <col min="9" max="9" width="5.1640625" customWidth="1"/>
  </cols>
  <sheetData>
    <row r="1" spans="1:13">
      <c r="A1" t="s">
        <v>1500</v>
      </c>
      <c r="B1" t="s">
        <v>1857</v>
      </c>
    </row>
    <row r="2" spans="1:13">
      <c r="A2" t="s">
        <v>1501</v>
      </c>
      <c r="B2" s="743">
        <v>42145</v>
      </c>
    </row>
    <row r="3" spans="1:13" ht="20">
      <c r="A3" t="s">
        <v>1502</v>
      </c>
      <c r="B3" s="743">
        <v>42513</v>
      </c>
      <c r="E3" s="1197" t="s">
        <v>1776</v>
      </c>
      <c r="M3" s="1197" t="s">
        <v>1777</v>
      </c>
    </row>
    <row r="4" spans="1:13">
      <c r="A4" t="s">
        <v>1503</v>
      </c>
      <c r="B4" t="s">
        <v>1220</v>
      </c>
    </row>
    <row r="5" spans="1:13">
      <c r="A5" t="s">
        <v>835</v>
      </c>
      <c r="B5" t="s">
        <v>1504</v>
      </c>
    </row>
    <row r="7" spans="1:13">
      <c r="A7" t="s">
        <v>1176</v>
      </c>
      <c r="B7" t="s">
        <v>1505</v>
      </c>
      <c r="C7" t="s">
        <v>1858</v>
      </c>
    </row>
    <row r="8" spans="1:13">
      <c r="A8" s="189" t="e">
        <f ca="1">_xll.BDH(B1,B7:C7,B2,B3,"Dir=V","Dts=S","Sort=D","Quote=C","QtTyp=P","Days=T",CONCATENATE("Per=c",B4),"DtFmt=D","UseDPDF=Y",CONCATENATE("FX=",B5),"cols=3;rows=254")</f>
        <v>#NAME?</v>
      </c>
      <c r="B8">
        <v>1024.4000000000001</v>
      </c>
      <c r="C8" t="s">
        <v>1382</v>
      </c>
    </row>
    <row r="9" spans="1:13">
      <c r="A9" s="189">
        <v>42510</v>
      </c>
      <c r="B9">
        <v>1023.3</v>
      </c>
      <c r="C9">
        <v>7859</v>
      </c>
    </row>
    <row r="10" spans="1:13">
      <c r="A10" s="189">
        <v>42509</v>
      </c>
      <c r="B10">
        <v>1013.3</v>
      </c>
      <c r="C10">
        <v>14919</v>
      </c>
    </row>
    <row r="11" spans="1:13">
      <c r="A11" s="189">
        <v>42508</v>
      </c>
      <c r="B11">
        <v>1042.5</v>
      </c>
      <c r="C11">
        <v>11478</v>
      </c>
    </row>
    <row r="12" spans="1:13">
      <c r="A12" s="189">
        <v>42507</v>
      </c>
      <c r="B12">
        <v>1054.5</v>
      </c>
      <c r="C12">
        <v>9364</v>
      </c>
    </row>
    <row r="13" spans="1:13">
      <c r="A13" s="189">
        <v>42506</v>
      </c>
      <c r="B13">
        <v>1053.5</v>
      </c>
      <c r="C13">
        <v>8383</v>
      </c>
    </row>
    <row r="14" spans="1:13">
      <c r="A14" s="189">
        <v>42503</v>
      </c>
      <c r="B14">
        <v>1052.0999999999999</v>
      </c>
      <c r="C14">
        <v>10107</v>
      </c>
    </row>
    <row r="15" spans="1:13">
      <c r="A15" s="189">
        <v>42502</v>
      </c>
      <c r="B15">
        <v>1054</v>
      </c>
      <c r="C15">
        <v>9576</v>
      </c>
    </row>
    <row r="16" spans="1:13">
      <c r="A16" s="189">
        <v>42501</v>
      </c>
      <c r="B16">
        <v>1066.0999999999999</v>
      </c>
      <c r="C16">
        <v>12258</v>
      </c>
    </row>
    <row r="17" spans="1:3">
      <c r="A17" s="189">
        <v>42500</v>
      </c>
      <c r="B17">
        <v>1049.3</v>
      </c>
      <c r="C17">
        <v>9687</v>
      </c>
    </row>
    <row r="18" spans="1:3">
      <c r="A18" s="189">
        <v>42499</v>
      </c>
      <c r="B18">
        <v>1046.8</v>
      </c>
      <c r="C18">
        <v>14988</v>
      </c>
    </row>
    <row r="19" spans="1:3">
      <c r="A19" s="189">
        <v>42496</v>
      </c>
      <c r="B19">
        <v>1085.0999999999999</v>
      </c>
      <c r="C19">
        <v>10770</v>
      </c>
    </row>
    <row r="20" spans="1:3">
      <c r="A20" s="189">
        <v>42495</v>
      </c>
      <c r="B20">
        <v>1063.8</v>
      </c>
      <c r="C20">
        <v>8360</v>
      </c>
    </row>
    <row r="21" spans="1:3">
      <c r="A21" s="189">
        <v>42494</v>
      </c>
      <c r="B21">
        <v>1055.5999999999999</v>
      </c>
      <c r="C21">
        <v>10312</v>
      </c>
    </row>
    <row r="22" spans="1:3">
      <c r="A22" s="189">
        <v>42493</v>
      </c>
      <c r="B22">
        <v>1071.5999999999999</v>
      </c>
      <c r="C22">
        <v>12682</v>
      </c>
    </row>
    <row r="23" spans="1:3">
      <c r="A23" s="189">
        <v>42492</v>
      </c>
      <c r="B23">
        <v>1086.4000000000001</v>
      </c>
      <c r="C23">
        <v>9055</v>
      </c>
    </row>
    <row r="24" spans="1:3">
      <c r="A24" s="189">
        <v>42489</v>
      </c>
      <c r="B24">
        <v>1078.4000000000001</v>
      </c>
      <c r="C24">
        <v>12376</v>
      </c>
    </row>
    <row r="25" spans="1:3">
      <c r="A25" s="189">
        <v>42488</v>
      </c>
      <c r="B25">
        <v>1050.7</v>
      </c>
      <c r="C25">
        <v>13506</v>
      </c>
    </row>
    <row r="26" spans="1:3">
      <c r="A26" s="189">
        <v>42487</v>
      </c>
      <c r="B26">
        <v>1025.4000000000001</v>
      </c>
      <c r="C26">
        <v>2</v>
      </c>
    </row>
    <row r="27" spans="1:3">
      <c r="A27" s="189">
        <v>42486</v>
      </c>
      <c r="B27">
        <v>1020.2</v>
      </c>
      <c r="C27">
        <v>25</v>
      </c>
    </row>
    <row r="28" spans="1:3">
      <c r="A28" s="189">
        <v>42485</v>
      </c>
      <c r="B28">
        <v>1018</v>
      </c>
      <c r="C28">
        <v>4</v>
      </c>
    </row>
    <row r="29" spans="1:3">
      <c r="A29" s="189">
        <v>42482</v>
      </c>
      <c r="B29">
        <v>1011.3</v>
      </c>
      <c r="C29">
        <v>8</v>
      </c>
    </row>
    <row r="30" spans="1:3">
      <c r="A30" s="189">
        <v>42481</v>
      </c>
      <c r="B30">
        <v>1031.9000000000001</v>
      </c>
      <c r="C30">
        <v>3</v>
      </c>
    </row>
    <row r="31" spans="1:3">
      <c r="A31" s="189">
        <v>42480</v>
      </c>
      <c r="B31">
        <v>1028</v>
      </c>
      <c r="C31">
        <v>46</v>
      </c>
    </row>
    <row r="32" spans="1:3">
      <c r="A32" s="189">
        <v>42479</v>
      </c>
      <c r="B32">
        <v>1015.3</v>
      </c>
      <c r="C32">
        <v>24</v>
      </c>
    </row>
    <row r="33" spans="1:3">
      <c r="A33" s="189">
        <v>42478</v>
      </c>
      <c r="B33">
        <v>977.7</v>
      </c>
      <c r="C33">
        <v>23</v>
      </c>
    </row>
    <row r="34" spans="1:3">
      <c r="A34" s="189">
        <v>42475</v>
      </c>
      <c r="B34">
        <v>989.8</v>
      </c>
      <c r="C34">
        <v>27</v>
      </c>
    </row>
    <row r="35" spans="1:3">
      <c r="A35" s="189">
        <v>42474</v>
      </c>
      <c r="B35">
        <v>993.4</v>
      </c>
      <c r="C35">
        <v>5</v>
      </c>
    </row>
    <row r="36" spans="1:3">
      <c r="A36" s="189">
        <v>42473</v>
      </c>
      <c r="B36">
        <v>1003.5</v>
      </c>
      <c r="C36">
        <v>20</v>
      </c>
    </row>
    <row r="37" spans="1:3">
      <c r="A37" s="189">
        <v>42472</v>
      </c>
      <c r="B37">
        <v>999.8</v>
      </c>
      <c r="C37">
        <v>50</v>
      </c>
    </row>
    <row r="38" spans="1:3">
      <c r="A38" s="189">
        <v>42471</v>
      </c>
      <c r="B38">
        <v>990.7</v>
      </c>
      <c r="C38">
        <v>10</v>
      </c>
    </row>
    <row r="39" spans="1:3">
      <c r="A39" s="189">
        <v>42468</v>
      </c>
      <c r="B39">
        <v>968.8</v>
      </c>
      <c r="C39">
        <v>1</v>
      </c>
    </row>
    <row r="40" spans="1:3">
      <c r="A40" s="189">
        <v>42467</v>
      </c>
      <c r="B40">
        <v>955.1</v>
      </c>
      <c r="C40">
        <v>110</v>
      </c>
    </row>
    <row r="41" spans="1:3">
      <c r="A41" s="189">
        <v>42466</v>
      </c>
      <c r="B41">
        <v>944.2</v>
      </c>
      <c r="C41">
        <v>85</v>
      </c>
    </row>
    <row r="42" spans="1:3">
      <c r="A42" s="189">
        <v>42465</v>
      </c>
      <c r="B42">
        <v>951.3</v>
      </c>
      <c r="C42">
        <v>32</v>
      </c>
    </row>
    <row r="43" spans="1:3">
      <c r="A43" s="189">
        <v>42464</v>
      </c>
      <c r="B43">
        <v>943.8</v>
      </c>
      <c r="C43">
        <v>165</v>
      </c>
    </row>
    <row r="44" spans="1:3">
      <c r="A44" s="189">
        <v>42461</v>
      </c>
      <c r="B44">
        <v>954.9</v>
      </c>
      <c r="C44">
        <v>111</v>
      </c>
    </row>
    <row r="45" spans="1:3">
      <c r="A45" s="189">
        <v>42460</v>
      </c>
      <c r="B45">
        <v>977.9</v>
      </c>
      <c r="C45">
        <v>347</v>
      </c>
    </row>
    <row r="46" spans="1:3">
      <c r="A46" s="189">
        <v>42459</v>
      </c>
      <c r="B46">
        <v>965.6</v>
      </c>
      <c r="C46">
        <v>3660</v>
      </c>
    </row>
    <row r="47" spans="1:3">
      <c r="A47" s="189">
        <v>42458</v>
      </c>
      <c r="B47">
        <v>966.5</v>
      </c>
      <c r="C47">
        <v>11287</v>
      </c>
    </row>
    <row r="48" spans="1:3">
      <c r="A48" s="189">
        <v>42457</v>
      </c>
      <c r="B48">
        <v>946</v>
      </c>
      <c r="C48">
        <v>9233</v>
      </c>
    </row>
    <row r="49" spans="1:3">
      <c r="A49" s="189">
        <v>42453</v>
      </c>
      <c r="B49">
        <v>953.7</v>
      </c>
      <c r="C49">
        <v>15133</v>
      </c>
    </row>
    <row r="50" spans="1:3">
      <c r="A50" s="189">
        <v>42452</v>
      </c>
      <c r="B50">
        <v>962.1</v>
      </c>
      <c r="C50">
        <v>18365</v>
      </c>
    </row>
    <row r="51" spans="1:3">
      <c r="A51" s="189">
        <v>42451</v>
      </c>
      <c r="B51">
        <v>998.1</v>
      </c>
      <c r="C51">
        <v>18005</v>
      </c>
    </row>
    <row r="52" spans="1:3">
      <c r="A52" s="189">
        <v>42450</v>
      </c>
      <c r="B52">
        <v>983.1</v>
      </c>
      <c r="C52">
        <v>10195</v>
      </c>
    </row>
    <row r="53" spans="1:3">
      <c r="A53" s="189">
        <v>42447</v>
      </c>
      <c r="B53">
        <v>971.8</v>
      </c>
      <c r="C53">
        <v>10972</v>
      </c>
    </row>
    <row r="54" spans="1:3">
      <c r="A54" s="189">
        <v>42446</v>
      </c>
      <c r="B54">
        <v>990.4</v>
      </c>
      <c r="C54">
        <v>12417</v>
      </c>
    </row>
    <row r="55" spans="1:3">
      <c r="A55" s="189">
        <v>42445</v>
      </c>
      <c r="B55">
        <v>960</v>
      </c>
      <c r="C55">
        <v>14126</v>
      </c>
    </row>
    <row r="56" spans="1:3">
      <c r="A56" s="189">
        <v>42444</v>
      </c>
      <c r="B56">
        <v>961.1</v>
      </c>
      <c r="C56">
        <v>11666</v>
      </c>
    </row>
    <row r="57" spans="1:3">
      <c r="A57" s="189">
        <v>42443</v>
      </c>
      <c r="B57">
        <v>966.7</v>
      </c>
      <c r="C57">
        <v>14167</v>
      </c>
    </row>
    <row r="58" spans="1:3">
      <c r="A58" s="189">
        <v>42440</v>
      </c>
      <c r="B58">
        <v>971</v>
      </c>
      <c r="C58">
        <v>12536</v>
      </c>
    </row>
    <row r="59" spans="1:3">
      <c r="A59" s="189">
        <v>42439</v>
      </c>
      <c r="B59">
        <v>979</v>
      </c>
      <c r="C59">
        <v>15575</v>
      </c>
    </row>
    <row r="60" spans="1:3">
      <c r="A60" s="189">
        <v>42438</v>
      </c>
      <c r="B60">
        <v>984.1</v>
      </c>
      <c r="C60">
        <v>13046</v>
      </c>
    </row>
    <row r="61" spans="1:3">
      <c r="A61" s="189">
        <v>42437</v>
      </c>
      <c r="B61">
        <v>990.7</v>
      </c>
      <c r="C61">
        <v>17068</v>
      </c>
    </row>
    <row r="62" spans="1:3">
      <c r="A62" s="189">
        <v>42436</v>
      </c>
      <c r="B62">
        <v>1003.3</v>
      </c>
      <c r="C62">
        <v>22834</v>
      </c>
    </row>
    <row r="63" spans="1:3">
      <c r="A63" s="189">
        <v>42433</v>
      </c>
      <c r="B63">
        <v>987.6</v>
      </c>
      <c r="C63">
        <v>25691</v>
      </c>
    </row>
    <row r="64" spans="1:3">
      <c r="A64" s="189">
        <v>42432</v>
      </c>
      <c r="B64">
        <v>944</v>
      </c>
      <c r="C64">
        <v>13339</v>
      </c>
    </row>
    <row r="65" spans="1:3">
      <c r="A65" s="189">
        <v>42431</v>
      </c>
      <c r="B65">
        <v>937.5</v>
      </c>
      <c r="C65">
        <v>11575</v>
      </c>
    </row>
    <row r="66" spans="1:3">
      <c r="A66" s="189">
        <v>42430</v>
      </c>
      <c r="B66">
        <v>938</v>
      </c>
      <c r="C66">
        <v>12604</v>
      </c>
    </row>
    <row r="67" spans="1:3">
      <c r="A67" s="189">
        <v>42429</v>
      </c>
      <c r="B67">
        <v>935.6</v>
      </c>
      <c r="C67">
        <v>10835</v>
      </c>
    </row>
    <row r="68" spans="1:3">
      <c r="A68" s="189">
        <v>42426</v>
      </c>
      <c r="B68">
        <v>916.4</v>
      </c>
      <c r="C68">
        <v>14706</v>
      </c>
    </row>
    <row r="69" spans="1:3">
      <c r="A69" s="189">
        <v>42425</v>
      </c>
      <c r="B69">
        <v>928.3</v>
      </c>
      <c r="C69">
        <v>14965</v>
      </c>
    </row>
    <row r="70" spans="1:3">
      <c r="A70" s="189">
        <v>42424</v>
      </c>
      <c r="B70">
        <v>945</v>
      </c>
      <c r="C70">
        <v>13403</v>
      </c>
    </row>
    <row r="71" spans="1:3">
      <c r="A71" s="189">
        <v>42423</v>
      </c>
      <c r="B71">
        <v>944.8</v>
      </c>
      <c r="C71">
        <v>9529</v>
      </c>
    </row>
    <row r="72" spans="1:3">
      <c r="A72" s="189">
        <v>42422</v>
      </c>
      <c r="B72">
        <v>929.1</v>
      </c>
      <c r="C72">
        <v>9984</v>
      </c>
    </row>
    <row r="73" spans="1:3">
      <c r="A73" s="189">
        <v>42419</v>
      </c>
      <c r="B73">
        <v>946.9</v>
      </c>
      <c r="C73">
        <v>8552</v>
      </c>
    </row>
    <row r="74" spans="1:3">
      <c r="A74" s="189">
        <v>42418</v>
      </c>
      <c r="B74">
        <v>946.9</v>
      </c>
      <c r="C74">
        <v>9007</v>
      </c>
    </row>
    <row r="75" spans="1:3">
      <c r="A75" s="189">
        <v>42417</v>
      </c>
      <c r="B75">
        <v>951</v>
      </c>
      <c r="C75">
        <v>10794</v>
      </c>
    </row>
    <row r="76" spans="1:3">
      <c r="A76" s="189">
        <v>42416</v>
      </c>
      <c r="B76">
        <v>938.6</v>
      </c>
      <c r="C76">
        <v>17536</v>
      </c>
    </row>
    <row r="77" spans="1:3">
      <c r="A77" s="189">
        <v>42412</v>
      </c>
      <c r="B77">
        <v>959.4</v>
      </c>
      <c r="C77">
        <v>11132</v>
      </c>
    </row>
    <row r="78" spans="1:3">
      <c r="A78" s="189">
        <v>42411</v>
      </c>
      <c r="B78">
        <v>964.5</v>
      </c>
      <c r="C78">
        <v>18051</v>
      </c>
    </row>
    <row r="79" spans="1:3">
      <c r="A79" s="189">
        <v>42410</v>
      </c>
      <c r="B79">
        <v>935.5</v>
      </c>
      <c r="C79">
        <v>11689</v>
      </c>
    </row>
    <row r="80" spans="1:3">
      <c r="A80" s="189">
        <v>42409</v>
      </c>
      <c r="B80">
        <v>940.7</v>
      </c>
      <c r="C80">
        <v>13922</v>
      </c>
    </row>
    <row r="81" spans="1:3">
      <c r="A81" s="189">
        <v>42408</v>
      </c>
      <c r="B81">
        <v>930</v>
      </c>
      <c r="C81">
        <v>16795</v>
      </c>
    </row>
    <row r="82" spans="1:3">
      <c r="A82" s="189">
        <v>42405</v>
      </c>
      <c r="B82">
        <v>905</v>
      </c>
      <c r="C82">
        <v>15209</v>
      </c>
    </row>
    <row r="83" spans="1:3">
      <c r="A83" s="189">
        <v>42404</v>
      </c>
      <c r="B83">
        <v>907.6</v>
      </c>
      <c r="C83">
        <v>15355</v>
      </c>
    </row>
    <row r="84" spans="1:3">
      <c r="A84" s="189">
        <v>42403</v>
      </c>
      <c r="B84">
        <v>881.4</v>
      </c>
      <c r="C84">
        <v>14164</v>
      </c>
    </row>
    <row r="85" spans="1:3">
      <c r="A85" s="189">
        <v>42402</v>
      </c>
      <c r="B85">
        <v>857</v>
      </c>
      <c r="C85">
        <v>10183</v>
      </c>
    </row>
    <row r="86" spans="1:3">
      <c r="A86" s="189">
        <v>42401</v>
      </c>
      <c r="B86">
        <v>871.4</v>
      </c>
      <c r="C86">
        <v>10917</v>
      </c>
    </row>
    <row r="87" spans="1:3">
      <c r="A87" s="189">
        <v>42398</v>
      </c>
      <c r="B87">
        <v>875.6</v>
      </c>
      <c r="C87">
        <v>11051</v>
      </c>
    </row>
    <row r="88" spans="1:3">
      <c r="A88" s="189">
        <v>42397</v>
      </c>
      <c r="B88">
        <v>869.2</v>
      </c>
      <c r="C88">
        <v>14020</v>
      </c>
    </row>
    <row r="89" spans="1:3">
      <c r="A89" s="189">
        <v>42396</v>
      </c>
      <c r="B89">
        <v>883.4</v>
      </c>
      <c r="C89">
        <v>1</v>
      </c>
    </row>
    <row r="90" spans="1:3">
      <c r="A90" s="189">
        <v>42395</v>
      </c>
      <c r="B90">
        <v>878.2</v>
      </c>
      <c r="C90">
        <v>7</v>
      </c>
    </row>
    <row r="91" spans="1:3">
      <c r="A91" s="189">
        <v>42394</v>
      </c>
      <c r="B91">
        <v>862.7</v>
      </c>
      <c r="C91">
        <v>5</v>
      </c>
    </row>
    <row r="92" spans="1:3">
      <c r="A92" s="189">
        <v>42391</v>
      </c>
      <c r="B92">
        <v>832.7</v>
      </c>
      <c r="C92">
        <v>93</v>
      </c>
    </row>
    <row r="93" spans="1:3">
      <c r="A93" s="189">
        <v>42390</v>
      </c>
      <c r="B93">
        <v>821.1</v>
      </c>
      <c r="C93">
        <v>10</v>
      </c>
    </row>
    <row r="94" spans="1:3">
      <c r="A94" s="189">
        <v>42389</v>
      </c>
      <c r="B94">
        <v>820.9</v>
      </c>
      <c r="C94">
        <v>62</v>
      </c>
    </row>
    <row r="95" spans="1:3">
      <c r="A95" s="189">
        <v>42388</v>
      </c>
      <c r="B95">
        <v>831.7</v>
      </c>
      <c r="C95">
        <v>13</v>
      </c>
    </row>
    <row r="96" spans="1:3">
      <c r="A96" s="189">
        <v>42384</v>
      </c>
      <c r="B96">
        <v>828.7</v>
      </c>
      <c r="C96">
        <v>33</v>
      </c>
    </row>
    <row r="97" spans="1:3">
      <c r="A97" s="189">
        <v>42383</v>
      </c>
      <c r="B97">
        <v>837</v>
      </c>
      <c r="C97">
        <v>15</v>
      </c>
    </row>
    <row r="98" spans="1:3">
      <c r="A98" s="189">
        <v>42382</v>
      </c>
      <c r="B98">
        <v>853.2</v>
      </c>
      <c r="C98">
        <v>38</v>
      </c>
    </row>
    <row r="99" spans="1:3">
      <c r="A99" s="189">
        <v>42381</v>
      </c>
      <c r="B99">
        <v>840.5</v>
      </c>
      <c r="C99">
        <v>83</v>
      </c>
    </row>
    <row r="100" spans="1:3">
      <c r="A100" s="189">
        <v>42380</v>
      </c>
      <c r="B100">
        <v>848</v>
      </c>
      <c r="C100">
        <v>39</v>
      </c>
    </row>
    <row r="101" spans="1:3">
      <c r="A101" s="189">
        <v>42377</v>
      </c>
      <c r="B101">
        <v>880.1</v>
      </c>
      <c r="C101">
        <v>186</v>
      </c>
    </row>
    <row r="102" spans="1:3">
      <c r="A102" s="189">
        <v>42376</v>
      </c>
      <c r="B102">
        <v>879.4</v>
      </c>
      <c r="C102">
        <v>117</v>
      </c>
    </row>
    <row r="103" spans="1:3">
      <c r="A103" s="189">
        <v>42375</v>
      </c>
      <c r="B103">
        <v>876.7</v>
      </c>
      <c r="C103">
        <v>67</v>
      </c>
    </row>
    <row r="104" spans="1:3">
      <c r="A104" s="189">
        <v>42374</v>
      </c>
      <c r="B104">
        <v>891.6</v>
      </c>
      <c r="C104">
        <v>97</v>
      </c>
    </row>
    <row r="105" spans="1:3">
      <c r="A105" s="189">
        <v>42373</v>
      </c>
      <c r="B105">
        <v>886.2</v>
      </c>
      <c r="C105">
        <v>148</v>
      </c>
    </row>
    <row r="106" spans="1:3">
      <c r="A106" s="189">
        <v>42369</v>
      </c>
      <c r="B106">
        <v>894.7</v>
      </c>
      <c r="C106">
        <v>187</v>
      </c>
    </row>
    <row r="107" spans="1:3">
      <c r="A107" s="189">
        <v>42368</v>
      </c>
      <c r="B107">
        <v>874.1</v>
      </c>
      <c r="C107">
        <v>3066</v>
      </c>
    </row>
    <row r="108" spans="1:3">
      <c r="A108" s="189">
        <v>42367</v>
      </c>
      <c r="B108">
        <v>894.2</v>
      </c>
      <c r="C108">
        <v>8115</v>
      </c>
    </row>
    <row r="109" spans="1:3">
      <c r="A109" s="189">
        <v>42366</v>
      </c>
      <c r="B109">
        <v>883.8</v>
      </c>
      <c r="C109">
        <v>10203</v>
      </c>
    </row>
    <row r="110" spans="1:3">
      <c r="A110" s="189">
        <v>42362</v>
      </c>
      <c r="B110">
        <v>887.2</v>
      </c>
      <c r="C110">
        <v>6256</v>
      </c>
    </row>
    <row r="111" spans="1:3">
      <c r="A111" s="189">
        <v>42361</v>
      </c>
      <c r="B111">
        <v>871.1</v>
      </c>
      <c r="C111">
        <v>12777</v>
      </c>
    </row>
    <row r="112" spans="1:3">
      <c r="A112" s="189">
        <v>42360</v>
      </c>
      <c r="B112">
        <v>876</v>
      </c>
      <c r="C112">
        <v>14251</v>
      </c>
    </row>
    <row r="113" spans="1:3">
      <c r="A113" s="189">
        <v>42359</v>
      </c>
      <c r="B113">
        <v>884.3</v>
      </c>
      <c r="C113">
        <v>22854</v>
      </c>
    </row>
    <row r="114" spans="1:3">
      <c r="A114" s="189">
        <v>42356</v>
      </c>
      <c r="B114">
        <v>863.8</v>
      </c>
      <c r="C114">
        <v>16500</v>
      </c>
    </row>
    <row r="115" spans="1:3">
      <c r="A115" s="189">
        <v>42355</v>
      </c>
      <c r="B115">
        <v>847.7</v>
      </c>
      <c r="C115">
        <v>21007</v>
      </c>
    </row>
    <row r="116" spans="1:3">
      <c r="A116" s="189">
        <v>42354</v>
      </c>
      <c r="B116">
        <v>879</v>
      </c>
      <c r="C116">
        <v>16440</v>
      </c>
    </row>
    <row r="117" spans="1:3">
      <c r="A117" s="189">
        <v>42353</v>
      </c>
      <c r="B117">
        <v>858.8</v>
      </c>
      <c r="C117">
        <v>12206</v>
      </c>
    </row>
    <row r="118" spans="1:3">
      <c r="A118" s="189">
        <v>42352</v>
      </c>
      <c r="B118">
        <v>853.2</v>
      </c>
      <c r="C118">
        <v>13536</v>
      </c>
    </row>
    <row r="119" spans="1:3">
      <c r="A119" s="189">
        <v>42349</v>
      </c>
      <c r="B119">
        <v>846.7</v>
      </c>
      <c r="C119">
        <v>12804</v>
      </c>
    </row>
    <row r="120" spans="1:3">
      <c r="A120" s="189">
        <v>42348</v>
      </c>
      <c r="B120">
        <v>858.9</v>
      </c>
      <c r="C120">
        <v>12046</v>
      </c>
    </row>
    <row r="121" spans="1:3">
      <c r="A121" s="189">
        <v>42347</v>
      </c>
      <c r="B121">
        <v>868.8</v>
      </c>
      <c r="C121">
        <v>13328</v>
      </c>
    </row>
    <row r="122" spans="1:3">
      <c r="A122" s="189">
        <v>42346</v>
      </c>
      <c r="B122">
        <v>849.5</v>
      </c>
      <c r="C122">
        <v>14488</v>
      </c>
    </row>
    <row r="123" spans="1:3">
      <c r="A123" s="189">
        <v>42345</v>
      </c>
      <c r="B123">
        <v>866.2</v>
      </c>
      <c r="C123">
        <v>15839</v>
      </c>
    </row>
    <row r="124" spans="1:3">
      <c r="A124" s="189">
        <v>42342</v>
      </c>
      <c r="B124">
        <v>883.6</v>
      </c>
      <c r="C124">
        <v>23618</v>
      </c>
    </row>
    <row r="125" spans="1:3">
      <c r="A125" s="189">
        <v>42341</v>
      </c>
      <c r="B125">
        <v>850.5</v>
      </c>
      <c r="C125">
        <v>13720</v>
      </c>
    </row>
    <row r="126" spans="1:3">
      <c r="A126" s="189">
        <v>42340</v>
      </c>
      <c r="B126">
        <v>835.4</v>
      </c>
      <c r="C126">
        <v>11612</v>
      </c>
    </row>
    <row r="127" spans="1:3">
      <c r="A127" s="189">
        <v>42339</v>
      </c>
      <c r="B127">
        <v>838.4</v>
      </c>
      <c r="C127">
        <v>12413</v>
      </c>
    </row>
    <row r="128" spans="1:3">
      <c r="A128" s="189">
        <v>42338</v>
      </c>
      <c r="B128">
        <v>835.9</v>
      </c>
      <c r="C128">
        <v>11685</v>
      </c>
    </row>
    <row r="129" spans="1:3">
      <c r="A129" s="189">
        <v>42335</v>
      </c>
      <c r="B129">
        <v>838.8</v>
      </c>
      <c r="C129">
        <v>12511</v>
      </c>
    </row>
    <row r="130" spans="1:3">
      <c r="A130" s="189">
        <v>42333</v>
      </c>
      <c r="B130">
        <v>846.9</v>
      </c>
      <c r="C130">
        <v>9758</v>
      </c>
    </row>
    <row r="131" spans="1:3">
      <c r="A131" s="189">
        <v>42332</v>
      </c>
      <c r="B131">
        <v>844.7</v>
      </c>
      <c r="C131">
        <v>10237</v>
      </c>
    </row>
    <row r="132" spans="1:3">
      <c r="A132" s="189">
        <v>42331</v>
      </c>
      <c r="B132">
        <v>850.4</v>
      </c>
      <c r="C132">
        <v>8424</v>
      </c>
    </row>
    <row r="133" spans="1:3">
      <c r="A133" s="189">
        <v>42328</v>
      </c>
      <c r="B133">
        <v>858.9</v>
      </c>
      <c r="C133">
        <v>9329</v>
      </c>
    </row>
    <row r="134" spans="1:3">
      <c r="A134" s="189">
        <v>42327</v>
      </c>
      <c r="B134">
        <v>861.1</v>
      </c>
      <c r="C134">
        <v>12156</v>
      </c>
    </row>
    <row r="135" spans="1:3">
      <c r="A135" s="189">
        <v>42326</v>
      </c>
      <c r="B135">
        <v>851</v>
      </c>
      <c r="C135">
        <v>13938</v>
      </c>
    </row>
    <row r="136" spans="1:3">
      <c r="A136" s="189">
        <v>42325</v>
      </c>
      <c r="B136">
        <v>858</v>
      </c>
      <c r="C136">
        <v>14666</v>
      </c>
    </row>
    <row r="137" spans="1:3">
      <c r="A137" s="189">
        <v>42324</v>
      </c>
      <c r="B137">
        <v>868.5</v>
      </c>
      <c r="C137">
        <v>12421</v>
      </c>
    </row>
    <row r="138" spans="1:3">
      <c r="A138" s="189">
        <v>42321</v>
      </c>
      <c r="B138">
        <v>866.7</v>
      </c>
      <c r="C138">
        <v>16822</v>
      </c>
    </row>
    <row r="139" spans="1:3">
      <c r="A139" s="189">
        <v>42320</v>
      </c>
      <c r="B139">
        <v>879.9</v>
      </c>
      <c r="C139">
        <v>18175</v>
      </c>
    </row>
    <row r="140" spans="1:3">
      <c r="A140" s="189">
        <v>42319</v>
      </c>
      <c r="B140">
        <v>886.1</v>
      </c>
      <c r="C140">
        <v>17070</v>
      </c>
    </row>
    <row r="141" spans="1:3">
      <c r="A141" s="189">
        <v>42318</v>
      </c>
      <c r="B141">
        <v>902.5</v>
      </c>
      <c r="C141">
        <v>13974</v>
      </c>
    </row>
    <row r="142" spans="1:3">
      <c r="A142" s="189">
        <v>42317</v>
      </c>
      <c r="B142">
        <v>917.4</v>
      </c>
      <c r="C142">
        <v>14004</v>
      </c>
    </row>
    <row r="143" spans="1:3">
      <c r="A143" s="189">
        <v>42314</v>
      </c>
      <c r="B143">
        <v>943</v>
      </c>
      <c r="C143">
        <v>11819</v>
      </c>
    </row>
    <row r="144" spans="1:3">
      <c r="A144" s="189">
        <v>42313</v>
      </c>
      <c r="B144">
        <v>956.1</v>
      </c>
      <c r="C144">
        <v>8646</v>
      </c>
    </row>
    <row r="145" spans="1:3">
      <c r="A145" s="189">
        <v>42312</v>
      </c>
      <c r="B145">
        <v>957.8</v>
      </c>
      <c r="C145">
        <v>12271</v>
      </c>
    </row>
    <row r="146" spans="1:3">
      <c r="A146" s="189">
        <v>42311</v>
      </c>
      <c r="B146">
        <v>965.2</v>
      </c>
      <c r="C146">
        <v>8472</v>
      </c>
    </row>
    <row r="147" spans="1:3">
      <c r="A147" s="189">
        <v>42310</v>
      </c>
      <c r="B147">
        <v>981.4</v>
      </c>
      <c r="C147">
        <v>9554</v>
      </c>
    </row>
    <row r="148" spans="1:3">
      <c r="A148" s="189">
        <v>42307</v>
      </c>
      <c r="B148">
        <v>992.1</v>
      </c>
      <c r="C148">
        <v>7818</v>
      </c>
    </row>
    <row r="149" spans="1:3">
      <c r="A149" s="189">
        <v>42306</v>
      </c>
      <c r="B149">
        <v>996.3</v>
      </c>
      <c r="C149">
        <v>9238</v>
      </c>
    </row>
    <row r="150" spans="1:3">
      <c r="A150" s="189">
        <v>42305</v>
      </c>
      <c r="B150">
        <v>1015.8</v>
      </c>
      <c r="C150">
        <v>5</v>
      </c>
    </row>
    <row r="151" spans="1:3">
      <c r="A151" s="189">
        <v>42304</v>
      </c>
      <c r="B151">
        <v>993.2</v>
      </c>
      <c r="C151">
        <v>12</v>
      </c>
    </row>
    <row r="152" spans="1:3">
      <c r="A152" s="189">
        <v>42303</v>
      </c>
      <c r="B152">
        <v>1000.6</v>
      </c>
      <c r="C152" t="s">
        <v>1382</v>
      </c>
    </row>
    <row r="153" spans="1:3">
      <c r="A153" s="189">
        <v>42300</v>
      </c>
      <c r="B153">
        <v>1004.8</v>
      </c>
      <c r="C153">
        <v>1</v>
      </c>
    </row>
    <row r="154" spans="1:3">
      <c r="A154" s="189">
        <v>42299</v>
      </c>
      <c r="B154">
        <v>1017</v>
      </c>
      <c r="C154">
        <v>14</v>
      </c>
    </row>
    <row r="155" spans="1:3">
      <c r="A155" s="189">
        <v>42298</v>
      </c>
      <c r="B155">
        <v>1010.8</v>
      </c>
      <c r="C155">
        <v>10</v>
      </c>
    </row>
    <row r="156" spans="1:3">
      <c r="A156" s="189">
        <v>42297</v>
      </c>
      <c r="B156">
        <v>1023.7</v>
      </c>
      <c r="C156">
        <v>4</v>
      </c>
    </row>
    <row r="157" spans="1:3">
      <c r="A157" s="189">
        <v>42296</v>
      </c>
      <c r="B157">
        <v>1018.2</v>
      </c>
      <c r="C157" t="s">
        <v>1382</v>
      </c>
    </row>
    <row r="158" spans="1:3">
      <c r="A158" s="189">
        <v>42293</v>
      </c>
      <c r="B158">
        <v>1026.0999999999999</v>
      </c>
      <c r="C158">
        <v>133</v>
      </c>
    </row>
    <row r="159" spans="1:3">
      <c r="A159" s="189">
        <v>42292</v>
      </c>
      <c r="B159">
        <v>1010.4</v>
      </c>
      <c r="C159">
        <v>42</v>
      </c>
    </row>
    <row r="160" spans="1:3">
      <c r="A160" s="189">
        <v>42291</v>
      </c>
      <c r="B160">
        <v>999</v>
      </c>
      <c r="C160">
        <v>61</v>
      </c>
    </row>
    <row r="161" spans="1:3">
      <c r="A161" s="189">
        <v>42290</v>
      </c>
      <c r="B161">
        <v>996.3</v>
      </c>
      <c r="C161">
        <v>4</v>
      </c>
    </row>
    <row r="162" spans="1:3">
      <c r="A162" s="189">
        <v>42289</v>
      </c>
      <c r="B162">
        <v>999.4</v>
      </c>
      <c r="C162">
        <v>47</v>
      </c>
    </row>
    <row r="163" spans="1:3">
      <c r="A163" s="189">
        <v>42286</v>
      </c>
      <c r="B163">
        <v>984.3</v>
      </c>
      <c r="C163">
        <v>20</v>
      </c>
    </row>
    <row r="164" spans="1:3">
      <c r="A164" s="189">
        <v>42285</v>
      </c>
      <c r="B164">
        <v>958.1</v>
      </c>
      <c r="C164">
        <v>43</v>
      </c>
    </row>
    <row r="165" spans="1:3">
      <c r="A165" s="189">
        <v>42284</v>
      </c>
      <c r="B165">
        <v>949.3</v>
      </c>
      <c r="C165">
        <v>62</v>
      </c>
    </row>
    <row r="166" spans="1:3">
      <c r="A166" s="189">
        <v>42283</v>
      </c>
      <c r="B166">
        <v>937.8</v>
      </c>
      <c r="C166">
        <v>42</v>
      </c>
    </row>
    <row r="167" spans="1:3">
      <c r="A167" s="189">
        <v>42282</v>
      </c>
      <c r="B167">
        <v>915.9</v>
      </c>
      <c r="C167">
        <v>253</v>
      </c>
    </row>
    <row r="168" spans="1:3">
      <c r="A168" s="189">
        <v>42279</v>
      </c>
      <c r="B168">
        <v>912.1</v>
      </c>
      <c r="C168">
        <v>128</v>
      </c>
    </row>
    <row r="169" spans="1:3">
      <c r="A169" s="189">
        <v>42278</v>
      </c>
      <c r="B169">
        <v>908</v>
      </c>
      <c r="C169">
        <v>65</v>
      </c>
    </row>
    <row r="170" spans="1:3">
      <c r="A170" s="189">
        <v>42277</v>
      </c>
      <c r="B170">
        <v>912</v>
      </c>
      <c r="C170">
        <v>914</v>
      </c>
    </row>
    <row r="171" spans="1:3">
      <c r="A171" s="189">
        <v>42276</v>
      </c>
      <c r="B171">
        <v>921.9</v>
      </c>
      <c r="C171">
        <v>5690</v>
      </c>
    </row>
    <row r="172" spans="1:3">
      <c r="A172" s="189">
        <v>42275</v>
      </c>
      <c r="B172">
        <v>927.3</v>
      </c>
      <c r="C172">
        <v>12586</v>
      </c>
    </row>
    <row r="173" spans="1:3">
      <c r="A173" s="189">
        <v>42272</v>
      </c>
      <c r="B173">
        <v>955.9</v>
      </c>
      <c r="C173">
        <v>21718</v>
      </c>
    </row>
    <row r="174" spans="1:3">
      <c r="A174" s="189">
        <v>42271</v>
      </c>
      <c r="B174">
        <v>960.6</v>
      </c>
      <c r="C174">
        <v>32230</v>
      </c>
    </row>
    <row r="175" spans="1:3">
      <c r="A175" s="189">
        <v>42270</v>
      </c>
      <c r="B175">
        <v>937.2</v>
      </c>
      <c r="C175">
        <v>21258</v>
      </c>
    </row>
    <row r="176" spans="1:3">
      <c r="A176" s="189">
        <v>42269</v>
      </c>
      <c r="B176">
        <v>942.3</v>
      </c>
      <c r="C176">
        <v>22743</v>
      </c>
    </row>
    <row r="177" spans="1:3">
      <c r="A177" s="189">
        <v>42268</v>
      </c>
      <c r="B177">
        <v>978.5</v>
      </c>
      <c r="C177">
        <v>11607</v>
      </c>
    </row>
    <row r="178" spans="1:3">
      <c r="A178" s="189">
        <v>42265</v>
      </c>
      <c r="B178">
        <v>989.2</v>
      </c>
      <c r="C178">
        <v>11483</v>
      </c>
    </row>
    <row r="179" spans="1:3">
      <c r="A179" s="189">
        <v>42264</v>
      </c>
      <c r="B179">
        <v>973.2</v>
      </c>
      <c r="C179">
        <v>11905</v>
      </c>
    </row>
    <row r="180" spans="1:3">
      <c r="A180" s="189">
        <v>42263</v>
      </c>
      <c r="B180">
        <v>980.5</v>
      </c>
      <c r="C180">
        <v>11459</v>
      </c>
    </row>
    <row r="181" spans="1:3">
      <c r="A181" s="189">
        <v>42262</v>
      </c>
      <c r="B181">
        <v>963</v>
      </c>
      <c r="C181">
        <v>12256</v>
      </c>
    </row>
    <row r="182" spans="1:3">
      <c r="A182" s="189">
        <v>42261</v>
      </c>
      <c r="B182">
        <v>960.2</v>
      </c>
      <c r="C182">
        <v>10875</v>
      </c>
    </row>
    <row r="183" spans="1:3">
      <c r="A183" s="189">
        <v>42258</v>
      </c>
      <c r="B183">
        <v>969.7</v>
      </c>
      <c r="C183">
        <v>14630</v>
      </c>
    </row>
    <row r="184" spans="1:3">
      <c r="A184" s="189">
        <v>42257</v>
      </c>
      <c r="B184">
        <v>986</v>
      </c>
      <c r="C184">
        <v>12485</v>
      </c>
    </row>
    <row r="185" spans="1:3">
      <c r="A185" s="189">
        <v>42256</v>
      </c>
      <c r="B185">
        <v>986</v>
      </c>
      <c r="C185">
        <v>12937</v>
      </c>
    </row>
    <row r="186" spans="1:3">
      <c r="A186" s="189">
        <v>42255</v>
      </c>
      <c r="B186">
        <v>1007.7</v>
      </c>
      <c r="C186">
        <v>15643</v>
      </c>
    </row>
    <row r="187" spans="1:3">
      <c r="A187" s="189">
        <v>42251</v>
      </c>
      <c r="B187">
        <v>997.2</v>
      </c>
      <c r="C187">
        <v>9928</v>
      </c>
    </row>
    <row r="188" spans="1:3">
      <c r="A188" s="189">
        <v>42250</v>
      </c>
      <c r="B188">
        <v>1014.9</v>
      </c>
      <c r="C188">
        <v>10397</v>
      </c>
    </row>
    <row r="189" spans="1:3">
      <c r="A189" s="189">
        <v>42249</v>
      </c>
      <c r="B189">
        <v>1018.4</v>
      </c>
      <c r="C189">
        <v>9261</v>
      </c>
    </row>
    <row r="190" spans="1:3">
      <c r="A190" s="189">
        <v>42248</v>
      </c>
      <c r="B190">
        <v>1013.2</v>
      </c>
      <c r="C190">
        <v>11581</v>
      </c>
    </row>
    <row r="191" spans="1:3">
      <c r="A191" s="189">
        <v>42247</v>
      </c>
      <c r="B191">
        <v>1015.3</v>
      </c>
      <c r="C191">
        <v>9548</v>
      </c>
    </row>
    <row r="192" spans="1:3">
      <c r="A192" s="189">
        <v>42244</v>
      </c>
      <c r="B192">
        <v>1026.5</v>
      </c>
      <c r="C192">
        <v>13468</v>
      </c>
    </row>
    <row r="193" spans="1:3">
      <c r="A193" s="189">
        <v>42243</v>
      </c>
      <c r="B193">
        <v>1010.8</v>
      </c>
      <c r="C193">
        <v>12519</v>
      </c>
    </row>
    <row r="194" spans="1:3">
      <c r="A194" s="189">
        <v>42242</v>
      </c>
      <c r="B194">
        <v>985</v>
      </c>
      <c r="C194">
        <v>14523</v>
      </c>
    </row>
    <row r="195" spans="1:3">
      <c r="A195" s="189">
        <v>42241</v>
      </c>
      <c r="B195">
        <v>981.5</v>
      </c>
      <c r="C195">
        <v>18380</v>
      </c>
    </row>
    <row r="196" spans="1:3">
      <c r="A196" s="189">
        <v>42240</v>
      </c>
      <c r="B196">
        <v>996.3</v>
      </c>
      <c r="C196">
        <v>23708</v>
      </c>
    </row>
    <row r="197" spans="1:3">
      <c r="A197" s="189">
        <v>42237</v>
      </c>
      <c r="B197">
        <v>1031.9000000000001</v>
      </c>
      <c r="C197">
        <v>11544</v>
      </c>
    </row>
    <row r="198" spans="1:3">
      <c r="A198" s="189">
        <v>42236</v>
      </c>
      <c r="B198">
        <v>1039.7</v>
      </c>
      <c r="C198">
        <v>13487</v>
      </c>
    </row>
    <row r="199" spans="1:3">
      <c r="A199" s="189">
        <v>42235</v>
      </c>
      <c r="B199">
        <v>1017.9</v>
      </c>
      <c r="C199">
        <v>12843</v>
      </c>
    </row>
    <row r="200" spans="1:3">
      <c r="A200" s="189">
        <v>42234</v>
      </c>
      <c r="B200">
        <v>998.9</v>
      </c>
      <c r="C200">
        <v>9991</v>
      </c>
    </row>
    <row r="201" spans="1:3">
      <c r="A201" s="189">
        <v>42233</v>
      </c>
      <c r="B201">
        <v>1005.5</v>
      </c>
      <c r="C201">
        <v>7023</v>
      </c>
    </row>
    <row r="202" spans="1:3">
      <c r="A202" s="189">
        <v>42230</v>
      </c>
      <c r="B202">
        <v>998.8</v>
      </c>
      <c r="C202">
        <v>10110</v>
      </c>
    </row>
    <row r="203" spans="1:3">
      <c r="A203" s="189">
        <v>42229</v>
      </c>
      <c r="B203">
        <v>999.8</v>
      </c>
      <c r="C203">
        <v>7268</v>
      </c>
    </row>
    <row r="204" spans="1:3">
      <c r="A204" s="189">
        <v>42228</v>
      </c>
      <c r="B204">
        <v>1004.7</v>
      </c>
      <c r="C204">
        <v>13501</v>
      </c>
    </row>
    <row r="205" spans="1:3">
      <c r="A205" s="189">
        <v>42227</v>
      </c>
      <c r="B205">
        <v>997.1</v>
      </c>
      <c r="C205">
        <v>15796</v>
      </c>
    </row>
    <row r="206" spans="1:3">
      <c r="A206" s="189">
        <v>42226</v>
      </c>
      <c r="B206">
        <v>994.6</v>
      </c>
      <c r="C206">
        <v>12140</v>
      </c>
    </row>
    <row r="207" spans="1:3">
      <c r="A207" s="189">
        <v>42223</v>
      </c>
      <c r="B207">
        <v>967</v>
      </c>
      <c r="C207">
        <v>9275</v>
      </c>
    </row>
    <row r="208" spans="1:3">
      <c r="A208" s="189">
        <v>42222</v>
      </c>
      <c r="B208">
        <v>960.8</v>
      </c>
      <c r="C208">
        <v>10267</v>
      </c>
    </row>
    <row r="209" spans="1:3">
      <c r="A209" s="189">
        <v>42221</v>
      </c>
      <c r="B209">
        <v>955.7</v>
      </c>
      <c r="C209">
        <v>8084</v>
      </c>
    </row>
    <row r="210" spans="1:3">
      <c r="A210" s="189">
        <v>42220</v>
      </c>
      <c r="B210">
        <v>963.3</v>
      </c>
      <c r="C210">
        <v>12329</v>
      </c>
    </row>
    <row r="211" spans="1:3">
      <c r="A211" s="189">
        <v>42219</v>
      </c>
      <c r="B211">
        <v>971.9</v>
      </c>
      <c r="C211">
        <v>13024</v>
      </c>
    </row>
    <row r="212" spans="1:3">
      <c r="A212" s="189">
        <v>42216</v>
      </c>
      <c r="B212">
        <v>989.8</v>
      </c>
      <c r="C212">
        <v>12462</v>
      </c>
    </row>
    <row r="213" spans="1:3">
      <c r="A213" s="189">
        <v>42215</v>
      </c>
      <c r="B213">
        <v>994.7</v>
      </c>
      <c r="C213">
        <v>9790</v>
      </c>
    </row>
    <row r="214" spans="1:3">
      <c r="A214" s="189">
        <v>42214</v>
      </c>
      <c r="B214">
        <v>989.7</v>
      </c>
      <c r="C214">
        <v>9</v>
      </c>
    </row>
    <row r="215" spans="1:3">
      <c r="A215" s="189">
        <v>42213</v>
      </c>
      <c r="B215">
        <v>993.1</v>
      </c>
      <c r="C215">
        <v>14</v>
      </c>
    </row>
    <row r="216" spans="1:3">
      <c r="A216" s="189">
        <v>42212</v>
      </c>
      <c r="B216">
        <v>995.8</v>
      </c>
      <c r="C216">
        <v>19</v>
      </c>
    </row>
    <row r="217" spans="1:3">
      <c r="A217" s="189">
        <v>42209</v>
      </c>
      <c r="B217">
        <v>987.7</v>
      </c>
      <c r="C217">
        <v>1</v>
      </c>
    </row>
    <row r="218" spans="1:3">
      <c r="A218" s="189">
        <v>42208</v>
      </c>
      <c r="B218">
        <v>988.1</v>
      </c>
      <c r="C218">
        <v>8</v>
      </c>
    </row>
    <row r="219" spans="1:3">
      <c r="A219" s="189">
        <v>42207</v>
      </c>
      <c r="B219">
        <v>986.9</v>
      </c>
      <c r="C219">
        <v>19</v>
      </c>
    </row>
    <row r="220" spans="1:3">
      <c r="A220" s="189">
        <v>42206</v>
      </c>
      <c r="B220">
        <v>991.3</v>
      </c>
      <c r="C220">
        <v>9</v>
      </c>
    </row>
    <row r="221" spans="1:3">
      <c r="A221" s="189">
        <v>42205</v>
      </c>
      <c r="B221">
        <v>995.5</v>
      </c>
      <c r="C221">
        <v>70</v>
      </c>
    </row>
    <row r="222" spans="1:3">
      <c r="A222" s="189">
        <v>42202</v>
      </c>
      <c r="B222">
        <v>1006.3</v>
      </c>
      <c r="C222">
        <v>16</v>
      </c>
    </row>
    <row r="223" spans="1:3">
      <c r="A223" s="189">
        <v>42201</v>
      </c>
      <c r="B223">
        <v>1017.4</v>
      </c>
      <c r="C223">
        <v>19</v>
      </c>
    </row>
    <row r="224" spans="1:3">
      <c r="A224" s="189">
        <v>42200</v>
      </c>
      <c r="B224">
        <v>1026.9000000000001</v>
      </c>
      <c r="C224">
        <v>1</v>
      </c>
    </row>
    <row r="225" spans="1:3">
      <c r="A225" s="189">
        <v>42199</v>
      </c>
      <c r="B225">
        <v>1033.2</v>
      </c>
      <c r="C225">
        <v>30</v>
      </c>
    </row>
    <row r="226" spans="1:3">
      <c r="A226" s="189">
        <v>42198</v>
      </c>
      <c r="B226">
        <v>1041.3</v>
      </c>
      <c r="C226">
        <v>38</v>
      </c>
    </row>
    <row r="227" spans="1:3">
      <c r="A227" s="189">
        <v>42195</v>
      </c>
      <c r="B227">
        <v>1037.5999999999999</v>
      </c>
      <c r="C227">
        <v>21</v>
      </c>
    </row>
    <row r="228" spans="1:3">
      <c r="A228" s="189">
        <v>42194</v>
      </c>
      <c r="B228">
        <v>1027.7</v>
      </c>
      <c r="C228">
        <v>15</v>
      </c>
    </row>
    <row r="229" spans="1:3">
      <c r="A229" s="189">
        <v>42193</v>
      </c>
      <c r="B229">
        <v>1041.4000000000001</v>
      </c>
      <c r="C229">
        <v>42</v>
      </c>
    </row>
    <row r="230" spans="1:3">
      <c r="A230" s="189">
        <v>42192</v>
      </c>
      <c r="B230">
        <v>1046.4000000000001</v>
      </c>
      <c r="C230">
        <v>77</v>
      </c>
    </row>
    <row r="231" spans="1:3">
      <c r="A231" s="189">
        <v>42191</v>
      </c>
      <c r="B231">
        <v>1071.2</v>
      </c>
      <c r="C231">
        <v>102</v>
      </c>
    </row>
    <row r="232" spans="1:3">
      <c r="A232" s="189">
        <v>42187</v>
      </c>
      <c r="B232">
        <v>1088.9000000000001</v>
      </c>
      <c r="C232">
        <v>35</v>
      </c>
    </row>
    <row r="233" spans="1:3">
      <c r="A233" s="189">
        <v>42186</v>
      </c>
      <c r="B233">
        <v>1092.2</v>
      </c>
      <c r="C233">
        <v>93</v>
      </c>
    </row>
    <row r="234" spans="1:3">
      <c r="A234" s="189">
        <v>42185</v>
      </c>
      <c r="B234">
        <v>1083.9000000000001</v>
      </c>
      <c r="C234">
        <v>128</v>
      </c>
    </row>
    <row r="235" spans="1:3">
      <c r="A235" s="189">
        <v>42184</v>
      </c>
      <c r="B235">
        <v>1086.7</v>
      </c>
      <c r="C235">
        <v>5442</v>
      </c>
    </row>
    <row r="236" spans="1:3">
      <c r="A236" s="189">
        <v>42181</v>
      </c>
      <c r="B236">
        <v>1086</v>
      </c>
      <c r="C236">
        <v>10954</v>
      </c>
    </row>
    <row r="237" spans="1:3">
      <c r="A237" s="189">
        <v>42180</v>
      </c>
      <c r="B237">
        <v>1089.7</v>
      </c>
      <c r="C237">
        <v>19557</v>
      </c>
    </row>
    <row r="238" spans="1:3">
      <c r="A238" s="189">
        <v>42179</v>
      </c>
      <c r="B238">
        <v>1079.4000000000001</v>
      </c>
      <c r="C238">
        <v>21156</v>
      </c>
    </row>
    <row r="239" spans="1:3">
      <c r="A239" s="189">
        <v>42178</v>
      </c>
      <c r="B239">
        <v>1072.8</v>
      </c>
      <c r="C239">
        <v>18842</v>
      </c>
    </row>
    <row r="240" spans="1:3">
      <c r="A240" s="189">
        <v>42177</v>
      </c>
      <c r="B240">
        <v>1065.9000000000001</v>
      </c>
      <c r="C240">
        <v>20695</v>
      </c>
    </row>
    <row r="241" spans="1:3">
      <c r="A241" s="189">
        <v>42174</v>
      </c>
      <c r="B241">
        <v>1092.0999999999999</v>
      </c>
      <c r="C241">
        <v>12046</v>
      </c>
    </row>
    <row r="242" spans="1:3">
      <c r="A242" s="189">
        <v>42173</v>
      </c>
      <c r="B242">
        <v>1088.0999999999999</v>
      </c>
      <c r="C242">
        <v>16449</v>
      </c>
    </row>
    <row r="243" spans="1:3">
      <c r="A243" s="189">
        <v>42172</v>
      </c>
      <c r="B243">
        <v>1078</v>
      </c>
      <c r="C243">
        <v>16751</v>
      </c>
    </row>
    <row r="244" spans="1:3">
      <c r="A244" s="189">
        <v>42171</v>
      </c>
      <c r="B244">
        <v>1085.0999999999999</v>
      </c>
      <c r="C244">
        <v>13060</v>
      </c>
    </row>
    <row r="245" spans="1:3">
      <c r="A245" s="189">
        <v>42170</v>
      </c>
      <c r="B245">
        <v>1093.9000000000001</v>
      </c>
      <c r="C245">
        <v>19130</v>
      </c>
    </row>
    <row r="246" spans="1:3">
      <c r="A246" s="189">
        <v>42167</v>
      </c>
      <c r="B246">
        <v>1102.0999999999999</v>
      </c>
      <c r="C246">
        <v>12405</v>
      </c>
    </row>
    <row r="247" spans="1:3">
      <c r="A247" s="189">
        <v>42166</v>
      </c>
      <c r="B247">
        <v>1110.5</v>
      </c>
      <c r="C247">
        <v>10941</v>
      </c>
    </row>
    <row r="248" spans="1:3">
      <c r="A248" s="189">
        <v>42165</v>
      </c>
      <c r="B248">
        <v>1120.5</v>
      </c>
      <c r="C248">
        <v>9964</v>
      </c>
    </row>
    <row r="249" spans="1:3">
      <c r="A249" s="189">
        <v>42164</v>
      </c>
      <c r="B249">
        <v>1113.8</v>
      </c>
      <c r="C249">
        <v>10354</v>
      </c>
    </row>
    <row r="250" spans="1:3">
      <c r="A250" s="189">
        <v>42163</v>
      </c>
      <c r="B250">
        <v>1106.5</v>
      </c>
      <c r="C250">
        <v>11263</v>
      </c>
    </row>
    <row r="251" spans="1:3">
      <c r="A251" s="189">
        <v>42160</v>
      </c>
      <c r="B251">
        <v>1097.3</v>
      </c>
      <c r="C251">
        <v>10878</v>
      </c>
    </row>
    <row r="252" spans="1:3">
      <c r="A252" s="189">
        <v>42159</v>
      </c>
      <c r="B252">
        <v>1104.5</v>
      </c>
      <c r="C252">
        <v>9203</v>
      </c>
    </row>
    <row r="253" spans="1:3">
      <c r="A253" s="189">
        <v>42158</v>
      </c>
      <c r="B253">
        <v>1109.4000000000001</v>
      </c>
      <c r="C253">
        <v>10337</v>
      </c>
    </row>
    <row r="254" spans="1:3">
      <c r="A254" s="189">
        <v>42157</v>
      </c>
      <c r="B254">
        <v>1118.0999999999999</v>
      </c>
      <c r="C254">
        <v>15641</v>
      </c>
    </row>
    <row r="255" spans="1:3">
      <c r="A255" s="189">
        <v>42156</v>
      </c>
      <c r="B255">
        <v>1109.5</v>
      </c>
      <c r="C255">
        <v>14223</v>
      </c>
    </row>
    <row r="256" spans="1:3">
      <c r="A256" s="189">
        <v>42153</v>
      </c>
      <c r="B256">
        <v>1116.8</v>
      </c>
      <c r="C256">
        <v>9539</v>
      </c>
    </row>
    <row r="257" spans="1:3">
      <c r="A257" s="189">
        <v>42152</v>
      </c>
      <c r="B257">
        <v>1121.5999999999999</v>
      </c>
      <c r="C257">
        <v>12251</v>
      </c>
    </row>
    <row r="258" spans="1:3">
      <c r="A258" s="189">
        <v>42151</v>
      </c>
      <c r="B258">
        <v>1124.3</v>
      </c>
      <c r="C258">
        <v>12022</v>
      </c>
    </row>
    <row r="259" spans="1:3">
      <c r="A259" s="189">
        <v>42150</v>
      </c>
      <c r="B259">
        <v>1129.4000000000001</v>
      </c>
      <c r="C259">
        <v>14616</v>
      </c>
    </row>
    <row r="260" spans="1:3">
      <c r="A260" s="189">
        <v>42146</v>
      </c>
      <c r="B260">
        <v>1153.9000000000001</v>
      </c>
      <c r="C260">
        <v>7559</v>
      </c>
    </row>
    <row r="261" spans="1:3">
      <c r="A261" s="189">
        <v>42145</v>
      </c>
      <c r="B261">
        <v>1157.5999999999999</v>
      </c>
      <c r="C261">
        <v>6877</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4:S42"/>
  <sheetViews>
    <sheetView showGridLines="0" zoomScale="75" zoomScaleNormal="75" zoomScalePageLayoutView="75" workbookViewId="0">
      <selection activeCell="J28" sqref="J28"/>
    </sheetView>
  </sheetViews>
  <sheetFormatPr baseColWidth="10" defaultRowHeight="15" x14ac:dyDescent="0"/>
  <cols>
    <col min="1" max="1" width="19.5" bestFit="1" customWidth="1"/>
    <col min="4" max="4" width="29" bestFit="1" customWidth="1"/>
    <col min="5" max="5" width="11.6640625" bestFit="1" customWidth="1"/>
  </cols>
  <sheetData>
    <row r="4" spans="4:19" ht="16" thickBot="1">
      <c r="E4" s="453">
        <v>1</v>
      </c>
      <c r="F4" s="453">
        <v>2</v>
      </c>
      <c r="G4" s="453">
        <v>3</v>
      </c>
      <c r="H4" s="453">
        <v>4</v>
      </c>
      <c r="I4" s="453">
        <v>5</v>
      </c>
      <c r="J4" s="453">
        <v>6</v>
      </c>
      <c r="K4" s="453">
        <v>7</v>
      </c>
      <c r="L4" s="453">
        <v>8</v>
      </c>
      <c r="M4" s="453">
        <v>9</v>
      </c>
      <c r="N4" s="453">
        <v>10</v>
      </c>
      <c r="O4" s="453">
        <v>11</v>
      </c>
      <c r="P4" s="453">
        <v>12</v>
      </c>
      <c r="Q4" s="453">
        <v>13</v>
      </c>
      <c r="R4" s="453">
        <v>14</v>
      </c>
      <c r="S4" s="453">
        <v>15</v>
      </c>
    </row>
    <row r="5" spans="4:19" ht="16" thickBot="1">
      <c r="D5" s="408" t="s">
        <v>1903</v>
      </c>
      <c r="E5" s="404" t="s">
        <v>24</v>
      </c>
      <c r="F5" s="404" t="s">
        <v>25</v>
      </c>
      <c r="G5" s="404" t="s">
        <v>26</v>
      </c>
      <c r="H5" s="404" t="s">
        <v>27</v>
      </c>
      <c r="I5" s="404" t="s">
        <v>712</v>
      </c>
      <c r="J5" s="404" t="s">
        <v>713</v>
      </c>
      <c r="K5" s="404" t="s">
        <v>714</v>
      </c>
      <c r="L5" s="404" t="s">
        <v>715</v>
      </c>
      <c r="M5" s="404" t="s">
        <v>716</v>
      </c>
      <c r="N5" s="404" t="s">
        <v>717</v>
      </c>
      <c r="O5" s="404" t="s">
        <v>718</v>
      </c>
      <c r="P5" s="404" t="s">
        <v>719</v>
      </c>
      <c r="Q5" s="404" t="s">
        <v>720</v>
      </c>
      <c r="R5" s="404" t="s">
        <v>721</v>
      </c>
      <c r="S5" s="404" t="s">
        <v>722</v>
      </c>
    </row>
    <row r="6" spans="4:19">
      <c r="D6" s="6" t="s">
        <v>1190</v>
      </c>
      <c r="E6" s="960">
        <f>'3d. Daybrook'!L29</f>
        <v>41770.799999999996</v>
      </c>
      <c r="F6" s="960">
        <f>'3d. Daybrook'!M29</f>
        <v>42931.192823999991</v>
      </c>
      <c r="G6" s="960">
        <f>'3d. Daybrook'!N29</f>
        <v>44661.319894807188</v>
      </c>
      <c r="H6" s="960">
        <f>'3d. Daybrook'!O29</f>
        <v>46237.864487093881</v>
      </c>
      <c r="I6" s="960">
        <f>'3d. Daybrook'!P29</f>
        <v>47634.24799460412</v>
      </c>
      <c r="J6" s="960">
        <f>'3d. Daybrook'!Q29</f>
        <v>48830.867619268669</v>
      </c>
      <c r="K6" s="960">
        <f>'3d. Daybrook'!R29</f>
        <v>50057.497296512309</v>
      </c>
      <c r="L6" s="960">
        <f>'3d. Daybrook'!S29</f>
        <v>51314.890278654748</v>
      </c>
      <c r="M6" s="960">
        <f>'3d. Daybrook'!T29</f>
        <v>52603.818724648991</v>
      </c>
      <c r="N6" s="960">
        <f>'3d. Daybrook'!U29</f>
        <v>53925.074174637681</v>
      </c>
      <c r="O6" s="960">
        <f>'3d. Daybrook'!V29</f>
        <v>55279.468036421073</v>
      </c>
      <c r="P6" s="960">
        <f>'3d. Daybrook'!W29</f>
        <v>56667.832084135247</v>
      </c>
      <c r="Q6" s="960">
        <f>'3d. Daybrook'!X29</f>
        <v>58091.018969447039</v>
      </c>
      <c r="R6" s="960">
        <f>'3d. Daybrook'!Y29</f>
        <v>59549.902745580155</v>
      </c>
      <c r="S6" s="960">
        <f>'3d. Daybrook'!Z29</f>
        <v>61045.379404494226</v>
      </c>
    </row>
    <row r="7" spans="4:19">
      <c r="D7" s="7" t="s">
        <v>1191</v>
      </c>
      <c r="E7" s="451">
        <f>$B$35</f>
        <v>0.4</v>
      </c>
      <c r="F7" s="451">
        <f>E7</f>
        <v>0.4</v>
      </c>
      <c r="G7" s="451">
        <f t="shared" ref="G7:S7" si="0">F7</f>
        <v>0.4</v>
      </c>
      <c r="H7" s="451">
        <f t="shared" si="0"/>
        <v>0.4</v>
      </c>
      <c r="I7" s="451">
        <f t="shared" si="0"/>
        <v>0.4</v>
      </c>
      <c r="J7" s="451">
        <f t="shared" si="0"/>
        <v>0.4</v>
      </c>
      <c r="K7" s="451">
        <f t="shared" si="0"/>
        <v>0.4</v>
      </c>
      <c r="L7" s="451">
        <f t="shared" si="0"/>
        <v>0.4</v>
      </c>
      <c r="M7" s="451">
        <f t="shared" si="0"/>
        <v>0.4</v>
      </c>
      <c r="N7" s="451">
        <f t="shared" si="0"/>
        <v>0.4</v>
      </c>
      <c r="O7" s="451">
        <f t="shared" si="0"/>
        <v>0.4</v>
      </c>
      <c r="P7" s="451">
        <f t="shared" si="0"/>
        <v>0.4</v>
      </c>
      <c r="Q7" s="451">
        <f t="shared" si="0"/>
        <v>0.4</v>
      </c>
      <c r="R7" s="451">
        <f t="shared" si="0"/>
        <v>0.4</v>
      </c>
      <c r="S7" s="451">
        <f t="shared" si="0"/>
        <v>0.4</v>
      </c>
    </row>
    <row r="8" spans="4:19">
      <c r="D8" s="7" t="s">
        <v>1192</v>
      </c>
      <c r="E8" s="960">
        <f>-E7*E6</f>
        <v>-16708.32</v>
      </c>
      <c r="F8" s="960">
        <f>-F7*F6</f>
        <v>-17172.477129599996</v>
      </c>
      <c r="G8" s="960">
        <f t="shared" ref="G8:S8" si="1">-G7*G6</f>
        <v>-17864.527957922877</v>
      </c>
      <c r="H8" s="960">
        <f t="shared" si="1"/>
        <v>-18495.145794837554</v>
      </c>
      <c r="I8" s="960">
        <f t="shared" si="1"/>
        <v>-19053.699197841648</v>
      </c>
      <c r="J8" s="960">
        <f t="shared" si="1"/>
        <v>-19532.34704770747</v>
      </c>
      <c r="K8" s="960">
        <f t="shared" si="1"/>
        <v>-20022.998918604924</v>
      </c>
      <c r="L8" s="960">
        <f t="shared" si="1"/>
        <v>-20525.956111461899</v>
      </c>
      <c r="M8" s="960">
        <f t="shared" si="1"/>
        <v>-21041.527489859596</v>
      </c>
      <c r="N8" s="960">
        <f t="shared" si="1"/>
        <v>-21570.029669855074</v>
      </c>
      <c r="O8" s="960">
        <f t="shared" si="1"/>
        <v>-22111.78721456843</v>
      </c>
      <c r="P8" s="960">
        <f t="shared" si="1"/>
        <v>-22667.132833654101</v>
      </c>
      <c r="Q8" s="960">
        <f t="shared" si="1"/>
        <v>-23236.407587778816</v>
      </c>
      <c r="R8" s="960">
        <f t="shared" si="1"/>
        <v>-23819.961098232063</v>
      </c>
      <c r="S8" s="960">
        <f t="shared" si="1"/>
        <v>-24418.151761797693</v>
      </c>
    </row>
    <row r="9" spans="4:19" ht="16" thickBot="1">
      <c r="D9" s="456" t="s">
        <v>1193</v>
      </c>
      <c r="E9" s="960">
        <f>'3d. Daybrook'!L77</f>
        <v>5569.4400000000005</v>
      </c>
      <c r="F9" s="960">
        <f>'3d. Daybrook'!M77</f>
        <v>5821.1786879999991</v>
      </c>
      <c r="G9" s="960">
        <f>'3d. Daybrook'!N77</f>
        <v>6055.7721891263991</v>
      </c>
      <c r="H9" s="960">
        <f>'3d. Daybrook'!O77</f>
        <v>6269.540947402561</v>
      </c>
      <c r="I9" s="960">
        <f>'3d. Daybrook'!P77</f>
        <v>6458.8810840141177</v>
      </c>
      <c r="J9" s="960">
        <f>'3d. Daybrook'!Q77</f>
        <v>6620.9989992228711</v>
      </c>
      <c r="K9" s="960">
        <f>'3d. Daybrook'!R77</f>
        <v>6787.1860741033643</v>
      </c>
      <c r="L9" s="960">
        <f>'3d. Daybrook'!S77</f>
        <v>6957.5444445633566</v>
      </c>
      <c r="M9" s="960">
        <f>'3d. Daybrook'!T77</f>
        <v>7132.1788101218981</v>
      </c>
      <c r="N9" s="960">
        <f>'3d. Daybrook'!U77</f>
        <v>7311.1964982559566</v>
      </c>
      <c r="O9" s="960">
        <f>'3d. Daybrook'!V77</f>
        <v>7494.7075303621805</v>
      </c>
      <c r="P9" s="960">
        <f>'3d. Daybrook'!W77</f>
        <v>7682.8246893742717</v>
      </c>
      <c r="Q9" s="960">
        <f>'3d. Daybrook'!X77</f>
        <v>7875.6635890775651</v>
      </c>
      <c r="R9" s="960">
        <f>'3d. Daybrook'!Y77</f>
        <v>8073.3427451634116</v>
      </c>
      <c r="S9" s="960">
        <f>'3d. Daybrook'!Z77</f>
        <v>8275.9836480670147</v>
      </c>
    </row>
    <row r="10" spans="4:19" ht="16" thickBot="1">
      <c r="D10" s="450" t="s">
        <v>481</v>
      </c>
      <c r="E10" s="814">
        <f>SUM(E6,E8,E9)</f>
        <v>30631.919999999998</v>
      </c>
      <c r="F10" s="814">
        <f t="shared" ref="F10:S10" si="2">SUM(F6,F8,F9)</f>
        <v>31579.894382399994</v>
      </c>
      <c r="G10" s="814">
        <f t="shared" si="2"/>
        <v>32852.564126010708</v>
      </c>
      <c r="H10" s="814">
        <f t="shared" si="2"/>
        <v>34012.259639658885</v>
      </c>
      <c r="I10" s="814">
        <f t="shared" si="2"/>
        <v>35039.429880776588</v>
      </c>
      <c r="J10" s="814">
        <f t="shared" si="2"/>
        <v>35919.519570784068</v>
      </c>
      <c r="K10" s="814">
        <f t="shared" si="2"/>
        <v>36821.684452010748</v>
      </c>
      <c r="L10" s="814">
        <f t="shared" si="2"/>
        <v>37746.478611756203</v>
      </c>
      <c r="M10" s="814">
        <f t="shared" si="2"/>
        <v>38694.470044911293</v>
      </c>
      <c r="N10" s="814">
        <f t="shared" si="2"/>
        <v>39666.241003038565</v>
      </c>
      <c r="O10" s="814">
        <f t="shared" si="2"/>
        <v>40662.388352214824</v>
      </c>
      <c r="P10" s="814">
        <f t="shared" si="2"/>
        <v>41683.523939855419</v>
      </c>
      <c r="Q10" s="814">
        <f t="shared" si="2"/>
        <v>42730.274970745784</v>
      </c>
      <c r="R10" s="814">
        <f t="shared" si="2"/>
        <v>43803.284392511508</v>
      </c>
      <c r="S10" s="814">
        <f t="shared" si="2"/>
        <v>44903.211290763546</v>
      </c>
    </row>
    <row r="11" spans="4:19">
      <c r="D11" s="7" t="s">
        <v>1194</v>
      </c>
      <c r="E11" s="960">
        <f>-'3d. Daybrook'!L79</f>
        <v>4177.08</v>
      </c>
      <c r="F11" s="960">
        <f>-'3d. Daybrook'!M79</f>
        <v>4365.8840159999991</v>
      </c>
      <c r="G11" s="960">
        <f>-'3d. Daybrook'!N79</f>
        <v>4541.8291418447989</v>
      </c>
      <c r="H11" s="960">
        <f>-'3d. Daybrook'!O79</f>
        <v>4702.1557105519205</v>
      </c>
      <c r="I11" s="960">
        <f>-'3d. Daybrook'!P79</f>
        <v>4844.1608130105878</v>
      </c>
      <c r="J11" s="960">
        <f>-'3d. Daybrook'!Q79</f>
        <v>4965.7492494171529</v>
      </c>
      <c r="K11" s="960">
        <f>-'3d. Daybrook'!R79</f>
        <v>5090.3895555775225</v>
      </c>
      <c r="L11" s="960">
        <f>-'3d. Daybrook'!S79</f>
        <v>5218.158333422517</v>
      </c>
      <c r="M11" s="960">
        <f>-'3d. Daybrook'!T79</f>
        <v>5349.1341075914233</v>
      </c>
      <c r="N11" s="960">
        <f>-'3d. Daybrook'!U79</f>
        <v>5483.397373691967</v>
      </c>
      <c r="O11" s="960">
        <f>-'3d. Daybrook'!V79</f>
        <v>5621.0306477716349</v>
      </c>
      <c r="P11" s="960">
        <f>-'3d. Daybrook'!W79</f>
        <v>5762.1185170307035</v>
      </c>
      <c r="Q11" s="960">
        <f>-'3d. Daybrook'!X79</f>
        <v>5906.7476918081738</v>
      </c>
      <c r="R11" s="960">
        <f>-'3d. Daybrook'!Y79</f>
        <v>6055.0070588725584</v>
      </c>
      <c r="S11" s="960">
        <f>-'3d. Daybrook'!Z79</f>
        <v>6206.9877360502605</v>
      </c>
    </row>
    <row r="12" spans="4:19" ht="16" thickBot="1">
      <c r="D12" s="7" t="s">
        <v>1195</v>
      </c>
      <c r="E12" s="960">
        <f>'3d. Daybrook'!L142</f>
        <v>1379.3642528175442</v>
      </c>
      <c r="F12" s="960">
        <f>'3d. Daybrook'!M142</f>
        <v>1309.2925487744033</v>
      </c>
      <c r="G12" s="960">
        <f>'3d. Daybrook'!N142</f>
        <v>1220.1204568750909</v>
      </c>
      <c r="H12" s="960">
        <f>'3d. Daybrook'!O142</f>
        <v>1111.8109997130668</v>
      </c>
      <c r="I12" s="960">
        <f>'3d. Daybrook'!P142</f>
        <v>984.75777409883449</v>
      </c>
      <c r="J12" s="960">
        <f>'3d. Daybrook'!Q142</f>
        <v>0</v>
      </c>
      <c r="K12" s="960">
        <f>'3d. Daybrook'!R142</f>
        <v>0</v>
      </c>
      <c r="L12" s="960">
        <f>'3d. Daybrook'!S142</f>
        <v>0</v>
      </c>
      <c r="M12" s="960">
        <f>'3d. Daybrook'!T142</f>
        <v>0</v>
      </c>
      <c r="N12" s="960">
        <f>'3d. Daybrook'!U142</f>
        <v>0</v>
      </c>
      <c r="O12" s="960">
        <f>'3d. Daybrook'!V142</f>
        <v>0</v>
      </c>
      <c r="P12" s="960">
        <f>'3d. Daybrook'!W142</f>
        <v>0</v>
      </c>
      <c r="Q12" s="960">
        <f>'3d. Daybrook'!X142</f>
        <v>0</v>
      </c>
      <c r="R12" s="960">
        <f>'3d. Daybrook'!Y142</f>
        <v>0</v>
      </c>
      <c r="S12" s="960">
        <f>'3d. Daybrook'!Z142</f>
        <v>0</v>
      </c>
    </row>
    <row r="13" spans="4:19" ht="16" thickBot="1">
      <c r="D13" s="103" t="s">
        <v>1010</v>
      </c>
      <c r="E13" s="961">
        <f>SUM(E10:E12)</f>
        <v>36188.364252817541</v>
      </c>
      <c r="F13" s="961">
        <f t="shared" ref="F13:S13" si="3">SUM(F10:F12)</f>
        <v>37255.07094717439</v>
      </c>
      <c r="G13" s="961">
        <f t="shared" si="3"/>
        <v>38614.513724730597</v>
      </c>
      <c r="H13" s="961">
        <f t="shared" si="3"/>
        <v>39826.226349923876</v>
      </c>
      <c r="I13" s="961">
        <f t="shared" si="3"/>
        <v>40868.348467886011</v>
      </c>
      <c r="J13" s="961">
        <f t="shared" si="3"/>
        <v>40885.268820201221</v>
      </c>
      <c r="K13" s="961">
        <f t="shared" si="3"/>
        <v>41912.074007588271</v>
      </c>
      <c r="L13" s="961">
        <f t="shared" si="3"/>
        <v>42964.636945178718</v>
      </c>
      <c r="M13" s="961">
        <f t="shared" si="3"/>
        <v>44043.604152502718</v>
      </c>
      <c r="N13" s="961">
        <f t="shared" si="3"/>
        <v>45149.638376730531</v>
      </c>
      <c r="O13" s="961">
        <f t="shared" si="3"/>
        <v>46283.418999986461</v>
      </c>
      <c r="P13" s="961">
        <f t="shared" si="3"/>
        <v>47445.642456886126</v>
      </c>
      <c r="Q13" s="961">
        <f t="shared" si="3"/>
        <v>48637.022662553958</v>
      </c>
      <c r="R13" s="961">
        <f t="shared" si="3"/>
        <v>49858.291451384066</v>
      </c>
      <c r="S13" s="961">
        <f t="shared" si="3"/>
        <v>51110.199026813803</v>
      </c>
    </row>
    <row r="14" spans="4:19">
      <c r="D14" s="161" t="s">
        <v>1196</v>
      </c>
    </row>
    <row r="16" spans="4:19">
      <c r="D16" s="7" t="s">
        <v>1015</v>
      </c>
      <c r="E16" s="451">
        <f>B42</f>
        <v>7.5200145498537402E-2</v>
      </c>
      <c r="F16" s="451">
        <f>E16</f>
        <v>7.5200145498537402E-2</v>
      </c>
      <c r="G16" s="451">
        <f t="shared" ref="G16:S16" si="4">F16</f>
        <v>7.5200145498537402E-2</v>
      </c>
      <c r="H16" s="451">
        <f t="shared" si="4"/>
        <v>7.5200145498537402E-2</v>
      </c>
      <c r="I16" s="451">
        <f t="shared" si="4"/>
        <v>7.5200145498537402E-2</v>
      </c>
      <c r="J16" s="451">
        <f t="shared" si="4"/>
        <v>7.5200145498537402E-2</v>
      </c>
      <c r="K16" s="451">
        <f t="shared" si="4"/>
        <v>7.5200145498537402E-2</v>
      </c>
      <c r="L16" s="451">
        <f t="shared" si="4"/>
        <v>7.5200145498537402E-2</v>
      </c>
      <c r="M16" s="451">
        <f t="shared" si="4"/>
        <v>7.5200145498537402E-2</v>
      </c>
      <c r="N16" s="451">
        <f t="shared" si="4"/>
        <v>7.5200145498537402E-2</v>
      </c>
      <c r="O16" s="451">
        <f t="shared" si="4"/>
        <v>7.5200145498537402E-2</v>
      </c>
      <c r="P16" s="451">
        <f t="shared" si="4"/>
        <v>7.5200145498537402E-2</v>
      </c>
      <c r="Q16" s="451">
        <f t="shared" si="4"/>
        <v>7.5200145498537402E-2</v>
      </c>
      <c r="R16" s="451">
        <f t="shared" si="4"/>
        <v>7.5200145498537402E-2</v>
      </c>
      <c r="S16" s="451">
        <f t="shared" si="4"/>
        <v>7.5200145498537402E-2</v>
      </c>
    </row>
    <row r="17" spans="1:19" ht="16" thickBot="1">
      <c r="D17" s="7" t="s">
        <v>1016</v>
      </c>
      <c r="E17" s="7">
        <f>1/((1+E16)^E4)</f>
        <v>0.93005939795174664</v>
      </c>
      <c r="F17" s="119">
        <f>1/((1+F16)^F4)</f>
        <v>0.86501048371836531</v>
      </c>
      <c r="G17" s="119">
        <f t="shared" ref="G17:S17" si="5">1/((1+G16)^G4)</f>
        <v>0.80451112970905192</v>
      </c>
      <c r="H17" s="119">
        <f t="shared" si="5"/>
        <v>0.74824313694268041</v>
      </c>
      <c r="I17" s="119">
        <f t="shared" si="5"/>
        <v>0.69591056146643548</v>
      </c>
      <c r="J17" s="119">
        <f t="shared" si="5"/>
        <v>0.64723815782573502</v>
      </c>
      <c r="K17" s="119">
        <f t="shared" si="5"/>
        <v>0.60196993139880062</v>
      </c>
      <c r="L17" s="119">
        <f t="shared" si="5"/>
        <v>0.55986779198182268</v>
      </c>
      <c r="M17" s="119">
        <f t="shared" si="5"/>
        <v>0.52071030154318776</v>
      </c>
      <c r="N17" s="119">
        <f t="shared" si="5"/>
        <v>0.48429150956052963</v>
      </c>
      <c r="O17" s="119">
        <f t="shared" si="5"/>
        <v>0.4504198698150087</v>
      </c>
      <c r="P17" s="119">
        <f t="shared" si="5"/>
        <v>0.41891723294565103</v>
      </c>
      <c r="Q17" s="119">
        <f t="shared" si="5"/>
        <v>0.38961790946504377</v>
      </c>
      <c r="R17" s="119">
        <f t="shared" si="5"/>
        <v>0.36236779830827676</v>
      </c>
      <c r="S17" s="119">
        <f t="shared" si="5"/>
        <v>0.33702357633169583</v>
      </c>
    </row>
    <row r="18" spans="1:19" ht="16" thickBot="1">
      <c r="D18" s="103" t="s">
        <v>1203</v>
      </c>
      <c r="E18" s="961">
        <f>E17*E13</f>
        <v>33657.32826983399</v>
      </c>
      <c r="F18" s="965">
        <f t="shared" ref="F18:S18" si="6">F17*F13</f>
        <v>32226.026940977339</v>
      </c>
      <c r="G18" s="965">
        <f t="shared" si="6"/>
        <v>31065.806059848703</v>
      </c>
      <c r="H18" s="965">
        <f t="shared" si="6"/>
        <v>29799.700536656277</v>
      </c>
      <c r="I18" s="965">
        <f t="shared" si="6"/>
        <v>28440.715328492493</v>
      </c>
      <c r="J18" s="965">
        <f t="shared" si="6"/>
        <v>26462.506073397002</v>
      </c>
      <c r="K18" s="965">
        <f t="shared" si="6"/>
        <v>25229.808315129365</v>
      </c>
      <c r="L18" s="965">
        <f t="shared" si="6"/>
        <v>24054.516419797852</v>
      </c>
      <c r="M18" s="965">
        <f t="shared" si="6"/>
        <v>22933.958399298488</v>
      </c>
      <c r="N18" s="965">
        <f t="shared" si="6"/>
        <v>21865.586525578849</v>
      </c>
      <c r="O18" s="965">
        <f t="shared" si="6"/>
        <v>20846.971560567403</v>
      </c>
      <c r="P18" s="965">
        <f t="shared" si="6"/>
        <v>19875.797253367436</v>
      </c>
      <c r="Q18" s="965">
        <f t="shared" si="6"/>
        <v>18949.855092388229</v>
      </c>
      <c r="R18" s="965">
        <f t="shared" si="6"/>
        <v>18067.03930065042</v>
      </c>
      <c r="S18" s="965">
        <f t="shared" si="6"/>
        <v>17225.342063041549</v>
      </c>
    </row>
    <row r="19" spans="1:19" ht="16" thickBot="1">
      <c r="D19" s="7" t="s">
        <v>1204</v>
      </c>
      <c r="E19" s="454">
        <v>0.02</v>
      </c>
      <c r="F19" s="160"/>
      <c r="G19" s="160"/>
      <c r="H19" s="160"/>
      <c r="I19" s="160"/>
      <c r="J19" s="160"/>
      <c r="K19" s="160"/>
      <c r="L19" s="160"/>
      <c r="M19" s="160"/>
      <c r="N19" s="160"/>
      <c r="O19" s="160"/>
      <c r="P19" s="160"/>
      <c r="Q19" s="160"/>
      <c r="R19" s="160"/>
      <c r="S19" s="160"/>
    </row>
    <row r="20" spans="1:19" ht="16" thickBot="1">
      <c r="D20" s="103" t="s">
        <v>1017</v>
      </c>
      <c r="E20" s="176">
        <f>O20*O17</f>
        <v>385214.76347090729</v>
      </c>
      <c r="F20" s="20"/>
      <c r="G20" s="20"/>
      <c r="H20" s="20"/>
      <c r="I20" s="20"/>
      <c r="J20" s="20"/>
      <c r="K20" s="20"/>
      <c r="L20" s="20"/>
      <c r="M20" s="20"/>
      <c r="N20" s="20"/>
      <c r="O20" s="963">
        <f>O13*(1+E19)/(E16-E19)</f>
        <v>855234.83595232666</v>
      </c>
      <c r="P20" s="20"/>
      <c r="Q20" s="20"/>
      <c r="R20" s="20"/>
      <c r="S20" s="20"/>
    </row>
    <row r="21" spans="1:19" ht="16" thickBot="1">
      <c r="D21" s="20"/>
      <c r="F21" s="39"/>
      <c r="G21" s="39"/>
      <c r="H21" s="39"/>
      <c r="I21" s="39"/>
      <c r="J21" s="39"/>
      <c r="K21" s="39"/>
      <c r="L21" s="39"/>
      <c r="M21" s="39"/>
      <c r="N21" s="39"/>
      <c r="O21" s="39"/>
      <c r="P21" s="39"/>
      <c r="Q21" s="39"/>
      <c r="R21" s="39"/>
      <c r="S21" s="39"/>
    </row>
    <row r="22" spans="1:19" ht="16" thickBot="1">
      <c r="D22" s="1907" t="s">
        <v>1205</v>
      </c>
      <c r="E22" s="1908"/>
      <c r="F22" s="39"/>
      <c r="G22" s="39"/>
      <c r="H22" s="39"/>
      <c r="I22" s="39"/>
      <c r="J22" s="39"/>
      <c r="K22" s="39"/>
      <c r="L22" s="39"/>
      <c r="M22" s="39"/>
      <c r="N22" s="39"/>
      <c r="O22" s="39"/>
      <c r="P22" s="39"/>
      <c r="Q22" s="39"/>
      <c r="R22" s="39"/>
      <c r="S22" s="39"/>
    </row>
    <row r="23" spans="1:19">
      <c r="D23" s="747" t="s">
        <v>1211</v>
      </c>
      <c r="E23" s="1859">
        <f>E20+SUM(E18:O18)</f>
        <v>681797.68790048501</v>
      </c>
      <c r="F23" s="39"/>
      <c r="G23" s="39"/>
      <c r="H23" s="39"/>
      <c r="I23" s="39"/>
      <c r="J23" s="39"/>
      <c r="K23" s="39"/>
      <c r="L23" s="39"/>
      <c r="M23" s="39"/>
      <c r="N23" s="39"/>
      <c r="O23" s="39"/>
      <c r="P23" s="39"/>
      <c r="Q23" s="39"/>
      <c r="R23" s="39"/>
      <c r="S23" s="39"/>
    </row>
    <row r="24" spans="1:19" ht="16" thickBot="1">
      <c r="D24" s="746"/>
      <c r="E24" s="964"/>
      <c r="F24" s="619"/>
      <c r="G24" s="39"/>
      <c r="H24" s="39"/>
      <c r="I24" s="39"/>
      <c r="J24" s="39"/>
      <c r="K24" s="39"/>
      <c r="L24" s="39"/>
      <c r="M24" s="39"/>
      <c r="N24" s="39"/>
      <c r="O24" s="39"/>
      <c r="P24" s="39"/>
      <c r="Q24" s="39"/>
      <c r="R24" s="39"/>
      <c r="S24" s="39"/>
    </row>
    <row r="25" spans="1:19">
      <c r="D25" s="20"/>
      <c r="E25" s="1211"/>
      <c r="F25" s="619"/>
      <c r="G25" s="39"/>
      <c r="H25" s="39"/>
      <c r="I25" s="39"/>
      <c r="J25" s="39"/>
      <c r="K25" s="39"/>
      <c r="L25" s="39"/>
      <c r="M25" s="39"/>
      <c r="N25" s="39"/>
      <c r="O25" s="39"/>
      <c r="P25" s="39"/>
      <c r="Q25" s="39"/>
      <c r="R25" s="39"/>
      <c r="S25" s="39"/>
    </row>
    <row r="29" spans="1:19">
      <c r="A29" t="s">
        <v>1886</v>
      </c>
      <c r="B29" s="29">
        <v>0.06</v>
      </c>
    </row>
    <row r="30" spans="1:19">
      <c r="A30" t="s">
        <v>1510</v>
      </c>
      <c r="B30" s="28">
        <v>1.7000000000000001E-2</v>
      </c>
    </row>
    <row r="32" spans="1:19">
      <c r="A32" t="s">
        <v>1697</v>
      </c>
      <c r="B32" s="1196">
        <f>'1b. Valuation Comparables Data'!O3</f>
        <v>0.97170857988165682</v>
      </c>
    </row>
    <row r="33" spans="1:2">
      <c r="A33" t="s">
        <v>1887</v>
      </c>
      <c r="B33" s="132">
        <f>B32*(1+B36)</f>
        <v>1.3379271104781794</v>
      </c>
    </row>
    <row r="35" spans="1:2">
      <c r="A35" t="s">
        <v>1888</v>
      </c>
      <c r="B35" s="29">
        <v>0.4</v>
      </c>
    </row>
    <row r="36" spans="1:2">
      <c r="A36" t="s">
        <v>1889</v>
      </c>
      <c r="B36" s="132">
        <f>('3d. Daybrook'!K107+'3d. Daybrook'!K118)/SUM('3d. Daybrook'!K100:K103)</f>
        <v>0.37688103015527952</v>
      </c>
    </row>
    <row r="37" spans="1:2">
      <c r="A37" t="s">
        <v>1201</v>
      </c>
      <c r="B37" s="132">
        <f>B36/(1+B36)</f>
        <v>0.27372083854824864</v>
      </c>
    </row>
    <row r="38" spans="1:2">
      <c r="A38" t="s">
        <v>1014</v>
      </c>
      <c r="B38" s="28">
        <f>'1a. Whole and SOTP Valuation'!E180</f>
        <v>2.7710014000000002E-2</v>
      </c>
    </row>
    <row r="40" spans="1:2">
      <c r="A40" t="s">
        <v>1013</v>
      </c>
      <c r="B40" s="12">
        <f>B30+B33*B29</f>
        <v>9.7275626628690756E-2</v>
      </c>
    </row>
    <row r="42" spans="1:2">
      <c r="A42" t="s">
        <v>1015</v>
      </c>
      <c r="B42" s="12">
        <f>((1-B37)*B40)+(B37*(1-B35)*B38)</f>
        <v>7.5200145498537402E-2</v>
      </c>
    </row>
  </sheetData>
  <mergeCells count="1">
    <mergeCell ref="D22:E22"/>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499984740745262"/>
  </sheetPr>
  <dimension ref="A1"/>
  <sheetViews>
    <sheetView workbookViewId="0">
      <selection activeCell="F30" sqref="F30"/>
    </sheetView>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1:T231"/>
  <sheetViews>
    <sheetView showGridLines="0" tabSelected="1" topLeftCell="D104" zoomScale="75" zoomScaleNormal="75" zoomScalePageLayoutView="75" workbookViewId="0">
      <selection activeCell="L18" sqref="L18"/>
    </sheetView>
  </sheetViews>
  <sheetFormatPr baseColWidth="10" defaultRowHeight="15" x14ac:dyDescent="0"/>
  <cols>
    <col min="1" max="3" width="0" style="39" hidden="1" customWidth="1"/>
    <col min="4" max="4" width="32.83203125" customWidth="1"/>
    <col min="5" max="5" width="16.6640625" bestFit="1" customWidth="1"/>
    <col min="6" max="8" width="14.1640625" customWidth="1"/>
    <col min="9" max="9" width="17" bestFit="1" customWidth="1"/>
    <col min="10" max="15" width="14.1640625" customWidth="1"/>
    <col min="16" max="19" width="12.1640625" customWidth="1"/>
    <col min="20" max="16384" width="10.83203125" style="39"/>
  </cols>
  <sheetData>
    <row r="1" spans="4:19" ht="20">
      <c r="D1" s="1197" t="s">
        <v>1911</v>
      </c>
    </row>
    <row r="2" spans="4:19" ht="16" thickBot="1"/>
    <row r="3" spans="4:19" ht="20" hidden="1">
      <c r="D3" s="1904" t="s">
        <v>1760</v>
      </c>
      <c r="E3" s="1904"/>
      <c r="F3" s="1904"/>
      <c r="G3" s="1904"/>
      <c r="H3" s="1904"/>
      <c r="I3" s="1904"/>
      <c r="J3" s="1904"/>
      <c r="K3" s="1904"/>
      <c r="L3" s="1904"/>
      <c r="M3" s="1904"/>
      <c r="N3" s="1904"/>
      <c r="O3" s="1904"/>
      <c r="P3" s="1904"/>
      <c r="Q3" s="1904"/>
      <c r="R3" s="1904"/>
      <c r="S3" s="1904"/>
    </row>
    <row r="4" spans="4:19" ht="16" hidden="1" thickBot="1">
      <c r="E4" s="453">
        <v>0</v>
      </c>
      <c r="F4" s="453">
        <v>1</v>
      </c>
      <c r="G4" s="453">
        <v>2</v>
      </c>
      <c r="H4" s="453">
        <v>3</v>
      </c>
      <c r="I4" s="453">
        <v>4</v>
      </c>
      <c r="J4" s="453">
        <v>5</v>
      </c>
      <c r="K4" s="453">
        <v>6</v>
      </c>
      <c r="L4" s="453">
        <v>7</v>
      </c>
      <c r="M4" s="453">
        <v>8</v>
      </c>
      <c r="N4" s="453">
        <v>9</v>
      </c>
      <c r="O4" s="453">
        <v>10</v>
      </c>
      <c r="P4" s="453">
        <v>11</v>
      </c>
      <c r="Q4" s="453">
        <v>12</v>
      </c>
      <c r="R4" s="453">
        <v>13</v>
      </c>
      <c r="S4" s="453">
        <v>14</v>
      </c>
    </row>
    <row r="5" spans="4:19" ht="16" thickBot="1">
      <c r="D5" s="172" t="s">
        <v>1209</v>
      </c>
      <c r="E5" s="404" t="s">
        <v>24</v>
      </c>
      <c r="F5" s="404" t="s">
        <v>25</v>
      </c>
      <c r="G5" s="404" t="s">
        <v>26</v>
      </c>
      <c r="H5" s="404" t="s">
        <v>27</v>
      </c>
      <c r="I5" s="1846" t="s">
        <v>712</v>
      </c>
      <c r="J5" s="404" t="s">
        <v>713</v>
      </c>
      <c r="K5" s="404" t="s">
        <v>714</v>
      </c>
      <c r="L5" s="404" t="s">
        <v>715</v>
      </c>
      <c r="M5" s="404" t="s">
        <v>716</v>
      </c>
      <c r="N5" s="404" t="s">
        <v>717</v>
      </c>
      <c r="O5" s="404" t="s">
        <v>718</v>
      </c>
      <c r="P5" s="404" t="s">
        <v>719</v>
      </c>
      <c r="Q5" s="404" t="s">
        <v>720</v>
      </c>
      <c r="R5" s="404" t="s">
        <v>721</v>
      </c>
      <c r="S5" s="404" t="s">
        <v>722</v>
      </c>
    </row>
    <row r="6" spans="4:19" s="124" customFormat="1">
      <c r="D6" s="726" t="s">
        <v>1190</v>
      </c>
      <c r="E6" s="1211">
        <f>'2a. Income Statement'!P38</f>
        <v>1653844.1042273296</v>
      </c>
      <c r="F6" s="1211">
        <f>'2a. Income Statement'!Q38</f>
        <v>1801282.4492003783</v>
      </c>
      <c r="G6" s="1211">
        <f>'2a. Income Statement'!R38</f>
        <v>1913086.6095035733</v>
      </c>
      <c r="H6" s="1211">
        <f>'2a. Income Statement'!S38</f>
        <v>2087578.6114970965</v>
      </c>
      <c r="I6" s="1849">
        <f>'2a. Income Statement'!T38</f>
        <v>2266809.3788446356</v>
      </c>
      <c r="J6" s="6">
        <f>'2a. Income Statement'!U38</f>
        <v>2444128.0031330413</v>
      </c>
      <c r="K6" s="6">
        <f>'2a. Income Statement'!V38</f>
        <v>2644470.8557153419</v>
      </c>
      <c r="L6" s="6">
        <f>'2a. Income Statement'!W38</f>
        <v>2867459.7122532884</v>
      </c>
      <c r="M6" s="6">
        <f>'2a. Income Statement'!X38</f>
        <v>3120053.279338019</v>
      </c>
      <c r="N6" s="6">
        <f>'2a. Income Statement'!Y38</f>
        <v>3386480.7192832539</v>
      </c>
      <c r="O6" s="6">
        <f>'2a. Income Statement'!Z38</f>
        <v>3675537.8072529077</v>
      </c>
      <c r="P6" s="6">
        <f>'2a. Income Statement'!AA38</f>
        <v>3991337.2496793629</v>
      </c>
      <c r="Q6" s="6">
        <f>'2a. Income Statement'!AB38</f>
        <v>4337121.5812901035</v>
      </c>
      <c r="R6" s="6">
        <f>'2a. Income Statement'!AC38</f>
        <v>4715900.0850399034</v>
      </c>
      <c r="S6" s="6">
        <f>'2a. Income Statement'!AD38</f>
        <v>5130989.4269775841</v>
      </c>
    </row>
    <row r="7" spans="4:19" s="160" customFormat="1">
      <c r="D7" s="1228" t="s">
        <v>1191</v>
      </c>
      <c r="E7" s="1472">
        <f>'2a. Income Statement'!P47</f>
        <v>0.35</v>
      </c>
      <c r="F7" s="1472">
        <f>'2a. Income Statement'!Q47</f>
        <v>0.35</v>
      </c>
      <c r="G7" s="1472">
        <f>'2a. Income Statement'!R47</f>
        <v>0.35</v>
      </c>
      <c r="H7" s="1472">
        <f>'2a. Income Statement'!S47</f>
        <v>0.35</v>
      </c>
      <c r="I7" s="1473">
        <f>'2a. Income Statement'!T47</f>
        <v>0.35</v>
      </c>
      <c r="J7" s="451">
        <f>'2a. Income Statement'!U47</f>
        <v>0.35</v>
      </c>
      <c r="K7" s="451">
        <f>'2a. Income Statement'!V47</f>
        <v>0.35</v>
      </c>
      <c r="L7" s="451">
        <f>'2a. Income Statement'!W47</f>
        <v>0.35</v>
      </c>
      <c r="M7" s="451">
        <f>'2a. Income Statement'!X47</f>
        <v>0.35</v>
      </c>
      <c r="N7" s="451">
        <f>'2a. Income Statement'!Y47</f>
        <v>0.35</v>
      </c>
      <c r="O7" s="451">
        <f>'2a. Income Statement'!Z47</f>
        <v>0.35</v>
      </c>
      <c r="P7" s="451">
        <f>'2a. Income Statement'!AA47</f>
        <v>0.35</v>
      </c>
      <c r="Q7" s="451">
        <f>'2a. Income Statement'!AB47</f>
        <v>0.35</v>
      </c>
      <c r="R7" s="451">
        <f>'2a. Income Statement'!AC47</f>
        <v>0.35</v>
      </c>
      <c r="S7" s="451">
        <f>'2a. Income Statement'!AD47</f>
        <v>0.35</v>
      </c>
    </row>
    <row r="8" spans="4:19" s="160" customFormat="1">
      <c r="D8" s="1228" t="s">
        <v>1192</v>
      </c>
      <c r="E8" s="1415">
        <f>-E7*E6</f>
        <v>-578845.43647956534</v>
      </c>
      <c r="F8" s="1415">
        <f t="shared" ref="F8:S8" si="0">-F7*F6</f>
        <v>-630448.85722013237</v>
      </c>
      <c r="G8" s="1415">
        <f t="shared" si="0"/>
        <v>-669580.31332625065</v>
      </c>
      <c r="H8" s="1415">
        <f t="shared" si="0"/>
        <v>-730652.51402398373</v>
      </c>
      <c r="I8" s="1829">
        <f t="shared" si="0"/>
        <v>-793383.28259562235</v>
      </c>
      <c r="J8" s="7">
        <f t="shared" si="0"/>
        <v>-855444.80109656439</v>
      </c>
      <c r="K8" s="7">
        <f t="shared" si="0"/>
        <v>-925564.79950036958</v>
      </c>
      <c r="L8" s="7">
        <f t="shared" si="0"/>
        <v>-1003610.8992886508</v>
      </c>
      <c r="M8" s="7">
        <f t="shared" si="0"/>
        <v>-1092018.6477683065</v>
      </c>
      <c r="N8" s="7">
        <f t="shared" si="0"/>
        <v>-1185268.2517491388</v>
      </c>
      <c r="O8" s="7">
        <f t="shared" si="0"/>
        <v>-1286438.2325385176</v>
      </c>
      <c r="P8" s="7">
        <f t="shared" si="0"/>
        <v>-1396968.0373877769</v>
      </c>
      <c r="Q8" s="7">
        <f t="shared" si="0"/>
        <v>-1517992.5534515362</v>
      </c>
      <c r="R8" s="7">
        <f t="shared" si="0"/>
        <v>-1650565.0297639661</v>
      </c>
      <c r="S8" s="7">
        <f t="shared" si="0"/>
        <v>-1795846.2994421544</v>
      </c>
    </row>
    <row r="9" spans="4:19" s="160" customFormat="1" ht="16" thickBot="1">
      <c r="D9" s="1228" t="s">
        <v>1193</v>
      </c>
      <c r="E9" s="1415">
        <f>'2a. Income Statement'!P59</f>
        <v>210747.21220000001</v>
      </c>
      <c r="F9" s="1415">
        <f>'2a. Income Statement'!Q59</f>
        <v>229316.58572123601</v>
      </c>
      <c r="G9" s="1415">
        <f>'2a. Income Statement'!R59</f>
        <v>250199.38785362514</v>
      </c>
      <c r="H9" s="1415">
        <f>'2a. Income Statement'!S59</f>
        <v>269059.31973781931</v>
      </c>
      <c r="I9" s="1829">
        <f>'2a. Income Statement'!T59</f>
        <v>290121.10085511114</v>
      </c>
      <c r="J9" s="7">
        <f>'2a. Income Statement'!U59</f>
        <v>313616.23069897812</v>
      </c>
      <c r="K9" s="7">
        <f>'2a. Income Statement'!V59</f>
        <v>339830.71069093869</v>
      </c>
      <c r="L9" s="7">
        <f>'2a. Income Statement'!W59</f>
        <v>369097.82459419261</v>
      </c>
      <c r="M9" s="7">
        <f>'2a. Income Statement'!X59</f>
        <v>401815.56726887479</v>
      </c>
      <c r="N9" s="7">
        <f>'2a. Income Statement'!Y59</f>
        <v>438356.01339719916</v>
      </c>
      <c r="O9" s="7">
        <f>'2a. Income Statement'!Z59</f>
        <v>479167.97675697732</v>
      </c>
      <c r="P9" s="7">
        <f>'2a. Income Statement'!AA59</f>
        <v>524760.44022184995</v>
      </c>
      <c r="Q9" s="7">
        <f>'2a. Income Statement'!AB59</f>
        <v>575705.70127679827</v>
      </c>
      <c r="R9" s="7">
        <f>'2a. Income Statement'!AC59</f>
        <v>632645.85257207113</v>
      </c>
      <c r="S9" s="7">
        <f>'2a. Income Statement'!AD59</f>
        <v>696301.39471087023</v>
      </c>
    </row>
    <row r="10" spans="4:19" s="124" customFormat="1" ht="16" thickBot="1">
      <c r="D10" s="172" t="s">
        <v>481</v>
      </c>
      <c r="E10" s="961">
        <f>SUM(E6,E8,E9)</f>
        <v>1285745.8799477643</v>
      </c>
      <c r="F10" s="961">
        <f t="shared" ref="F10:S10" si="1">SUM(F6,F8,F9)</f>
        <v>1400150.1777014819</v>
      </c>
      <c r="G10" s="961">
        <f t="shared" si="1"/>
        <v>1493705.6840309477</v>
      </c>
      <c r="H10" s="961">
        <f t="shared" si="1"/>
        <v>1625985.4172109321</v>
      </c>
      <c r="I10" s="962">
        <f t="shared" si="1"/>
        <v>1763547.1971041244</v>
      </c>
      <c r="J10" s="450">
        <f t="shared" si="1"/>
        <v>1902299.432735455</v>
      </c>
      <c r="K10" s="450">
        <f t="shared" si="1"/>
        <v>2058736.766905911</v>
      </c>
      <c r="L10" s="450">
        <f t="shared" si="1"/>
        <v>2232946.63755883</v>
      </c>
      <c r="M10" s="450">
        <f t="shared" si="1"/>
        <v>2429850.1988385874</v>
      </c>
      <c r="N10" s="450">
        <f t="shared" si="1"/>
        <v>2639568.4809313142</v>
      </c>
      <c r="O10" s="450">
        <f t="shared" si="1"/>
        <v>2868267.5514713675</v>
      </c>
      <c r="P10" s="450">
        <f t="shared" si="1"/>
        <v>3119129.652513436</v>
      </c>
      <c r="Q10" s="450">
        <f t="shared" si="1"/>
        <v>3394834.7291153655</v>
      </c>
      <c r="R10" s="450">
        <f t="shared" si="1"/>
        <v>3697980.9078480089</v>
      </c>
      <c r="S10" s="450">
        <f t="shared" si="1"/>
        <v>4031444.5222463002</v>
      </c>
    </row>
    <row r="11" spans="4:19" s="160" customFormat="1">
      <c r="D11" s="1228" t="s">
        <v>1194</v>
      </c>
      <c r="E11" s="1415">
        <f>'2c. Cash Flow Statement'!P30</f>
        <v>-185367.46000000002</v>
      </c>
      <c r="F11" s="1415">
        <f>'2c. Cash Flow Statement'!Q30</f>
        <v>-207803.93608752286</v>
      </c>
      <c r="G11" s="1415">
        <f>'2c. Cash Flow Statement'!R30</f>
        <v>-232547.6432728238</v>
      </c>
      <c r="H11" s="1415">
        <f>'2c. Cash Flow Statement'!S30</f>
        <v>-260136.99150612624</v>
      </c>
      <c r="I11" s="1829">
        <f>'2c. Cash Flow Statement'!T30</f>
        <v>-290507.32575574948</v>
      </c>
      <c r="J11" s="8">
        <f>'2c. Cash Flow Statement'!U30</f>
        <v>-324070.75646713068</v>
      </c>
      <c r="K11" s="8">
        <f>'2c. Cash Flow Statement'!V30</f>
        <v>-361579.03437186975</v>
      </c>
      <c r="L11" s="8">
        <f>'2c. Cash Flow Statement'!W30</f>
        <v>-403684.32970005448</v>
      </c>
      <c r="M11" s="8">
        <f>'2c. Cash Flow Statement'!X30</f>
        <v>-451279.20930596039</v>
      </c>
      <c r="N11" s="8">
        <f>'2c. Cash Flow Statement'!Y30</f>
        <v>-504006.15349412919</v>
      </c>
      <c r="O11" s="8">
        <f>'2c. Cash Flow Statement'!Z30</f>
        <v>-562923.63254866481</v>
      </c>
      <c r="P11" s="8">
        <f>'2c. Cash Flow Statement'!AA30</f>
        <v>-628861.56503272592</v>
      </c>
      <c r="Q11" s="8">
        <f>'2c. Cash Flow Statement'!AB30</f>
        <v>-702693.25593031989</v>
      </c>
      <c r="R11" s="8">
        <f>'2c. Cash Flow Statement'!AC30</f>
        <v>-785381.39717617771</v>
      </c>
      <c r="S11" s="8">
        <f>'2c. Cash Flow Statement'!AD30</f>
        <v>-878007.47777653928</v>
      </c>
    </row>
    <row r="12" spans="4:19" s="160" customFormat="1" ht="16" thickBot="1">
      <c r="D12" s="1228" t="s">
        <v>1195</v>
      </c>
      <c r="E12" s="1415">
        <f>'2c. Cash Flow Statement'!P20</f>
        <v>-431139.89140236098</v>
      </c>
      <c r="F12" s="1415">
        <f>'2c. Cash Flow Statement'!Q20</f>
        <v>-148515.37985081039</v>
      </c>
      <c r="G12" s="1415">
        <f>'2c. Cash Flow Statement'!R20</f>
        <v>-152063.75318398932</v>
      </c>
      <c r="H12" s="1415">
        <f>'2c. Cash Flow Statement'!S20</f>
        <v>-162865.00110065844</v>
      </c>
      <c r="I12" s="1829">
        <f>'2c. Cash Flow Statement'!T20</f>
        <v>-165173.91542724334</v>
      </c>
      <c r="J12" s="7">
        <f>'2c. Cash Flow Statement'!U20</f>
        <v>-170332.06565395603</v>
      </c>
      <c r="K12" s="7">
        <f>'2c. Cash Flow Statement'!V20</f>
        <v>-184867.56009333069</v>
      </c>
      <c r="L12" s="7">
        <f>'2c. Cash Flow Statement'!W20</f>
        <v>-204616.13965913048</v>
      </c>
      <c r="M12" s="7">
        <f>'2c. Cash Flow Statement'!X20</f>
        <v>-232983.09863156546</v>
      </c>
      <c r="N12" s="7">
        <f>'2c. Cash Flow Statement'!Y20</f>
        <v>-242870.91778205987</v>
      </c>
      <c r="O12" s="7">
        <f>'2c. Cash Flow Statement'!Z20</f>
        <v>-263007.65251883678</v>
      </c>
      <c r="P12" s="7">
        <f>'2c. Cash Flow Statement'!AA20</f>
        <v>-286729.49719674513</v>
      </c>
      <c r="Q12" s="7">
        <f>'2c. Cash Flow Statement'!AB20</f>
        <v>-313162.01778371911</v>
      </c>
      <c r="R12" s="7">
        <f>'2c. Cash Flow Statement'!AC20</f>
        <v>-342221.32440469135</v>
      </c>
      <c r="S12" s="7">
        <f>'2c. Cash Flow Statement'!AD20</f>
        <v>-374175.39062065724</v>
      </c>
    </row>
    <row r="13" spans="4:19" s="20" customFormat="1" ht="16" thickBot="1">
      <c r="D13" s="172" t="s">
        <v>1010</v>
      </c>
      <c r="E13" s="961">
        <f>SUM(E10:E12)</f>
        <v>669238.52854540339</v>
      </c>
      <c r="F13" s="961">
        <f t="shared" ref="F13:S13" si="2">SUM(F10:F12)</f>
        <v>1043830.8617631486</v>
      </c>
      <c r="G13" s="961">
        <f t="shared" si="2"/>
        <v>1109094.2875741345</v>
      </c>
      <c r="H13" s="961">
        <f t="shared" si="2"/>
        <v>1202983.4246041474</v>
      </c>
      <c r="I13" s="962">
        <f t="shared" si="2"/>
        <v>1307865.9559211317</v>
      </c>
      <c r="J13" s="103">
        <f t="shared" si="2"/>
        <v>1407896.6106143682</v>
      </c>
      <c r="K13" s="103">
        <f t="shared" si="2"/>
        <v>1512290.1724407105</v>
      </c>
      <c r="L13" s="103">
        <f t="shared" si="2"/>
        <v>1624646.1681996449</v>
      </c>
      <c r="M13" s="103">
        <f t="shared" si="2"/>
        <v>1745587.8909010615</v>
      </c>
      <c r="N13" s="103">
        <f t="shared" si="2"/>
        <v>1892691.4096551249</v>
      </c>
      <c r="O13" s="103">
        <f t="shared" si="2"/>
        <v>2042336.266403866</v>
      </c>
      <c r="P13" s="103">
        <f t="shared" si="2"/>
        <v>2203538.5902839648</v>
      </c>
      <c r="Q13" s="103">
        <f t="shared" si="2"/>
        <v>2378979.4554013265</v>
      </c>
      <c r="R13" s="103">
        <f t="shared" si="2"/>
        <v>2570378.1862671399</v>
      </c>
      <c r="S13" s="103">
        <f t="shared" si="2"/>
        <v>2779261.6538491035</v>
      </c>
    </row>
    <row r="14" spans="4:19" s="164" customFormat="1" ht="14">
      <c r="D14" s="1008" t="s">
        <v>1196</v>
      </c>
      <c r="E14" s="1008">
        <f>E13/'2a. Income Statement'!P6</f>
        <v>7.9162817585412479E-2</v>
      </c>
      <c r="F14" s="1008">
        <f>F13/'2a. Income Statement'!Q6</f>
        <v>0.11295492732637065</v>
      </c>
      <c r="G14" s="1008">
        <f>G13/'2a. Income Statement'!R6</f>
        <v>0.11038936556851518</v>
      </c>
      <c r="H14" s="1008">
        <f>H13/'2a. Income Statement'!S6</f>
        <v>0.11026079459842517</v>
      </c>
      <c r="I14" s="1008">
        <f>I13/'2a. Income Statement'!T6</f>
        <v>0.11096946503561331</v>
      </c>
      <c r="J14" s="1008">
        <f>J13/'2a. Income Statement'!U6</f>
        <v>0.1109573347223335</v>
      </c>
      <c r="K14" s="1008">
        <f>K13/'2a. Income Statement'!V6</f>
        <v>0.11064065759829721</v>
      </c>
      <c r="L14" s="1008">
        <f>L13/'2a. Income Statement'!W6</f>
        <v>0.11012300663495998</v>
      </c>
      <c r="M14" s="1008">
        <f>M13/'2a. Income Statement'!X6</f>
        <v>0.10918184684483759</v>
      </c>
      <c r="N14" s="1008">
        <f>N13/'2a. Income Statement'!Y6</f>
        <v>0.10956128127881548</v>
      </c>
      <c r="O14" s="1008">
        <f>O13/'2a. Income Statement'!Z6</f>
        <v>0.10939598911808808</v>
      </c>
      <c r="P14" s="1008">
        <f>P13/'2a. Income Statement'!AA6</f>
        <v>0.10914571990109492</v>
      </c>
      <c r="Q14" s="1008">
        <f>Q13/'2a. Income Statement'!AB6</f>
        <v>0.10888368507036097</v>
      </c>
      <c r="R14" s="1008">
        <f>R13/'2a. Income Statement'!AC6</f>
        <v>0.10862577019405875</v>
      </c>
      <c r="S14" s="1008">
        <f>S13/'2a. Income Statement'!AD6</f>
        <v>0.10837044922214049</v>
      </c>
    </row>
    <row r="15" spans="4:19" s="278" customFormat="1" ht="14">
      <c r="D15" s="1008" t="s">
        <v>1759</v>
      </c>
      <c r="E15" s="1008"/>
      <c r="F15" s="1008">
        <f>F13/E13-1</f>
        <v>0.55972918061356292</v>
      </c>
      <c r="G15" s="1008">
        <f t="shared" ref="G15:S15" si="3">G13/F13-1</f>
        <v>6.25229893095407E-2</v>
      </c>
      <c r="H15" s="1008">
        <f t="shared" si="3"/>
        <v>8.4653882074689824E-2</v>
      </c>
      <c r="I15" s="1008">
        <f t="shared" si="3"/>
        <v>8.7185350331403511E-2</v>
      </c>
      <c r="J15" s="1008">
        <f t="shared" si="3"/>
        <v>7.6483873779545686E-2</v>
      </c>
      <c r="K15" s="1008">
        <f t="shared" si="3"/>
        <v>7.4148599435002405E-2</v>
      </c>
      <c r="L15" s="1008">
        <f t="shared" si="3"/>
        <v>7.4295262778572013E-2</v>
      </c>
      <c r="M15" s="1008">
        <f t="shared" si="3"/>
        <v>7.4441884681535564E-2</v>
      </c>
      <c r="N15" s="1008">
        <f t="shared" si="3"/>
        <v>8.4271619619296079E-2</v>
      </c>
      <c r="O15" s="1008">
        <f t="shared" si="3"/>
        <v>7.9064582839739606E-2</v>
      </c>
      <c r="P15" s="1008">
        <f t="shared" si="3"/>
        <v>7.8930353699267597E-2</v>
      </c>
      <c r="Q15" s="1008">
        <f t="shared" si="3"/>
        <v>7.9617786541579472E-2</v>
      </c>
      <c r="R15" s="1008">
        <f t="shared" si="3"/>
        <v>8.0454133570281305E-2</v>
      </c>
      <c r="S15" s="1008">
        <f t="shared" si="3"/>
        <v>8.1265655263483616E-2</v>
      </c>
    </row>
    <row r="16" spans="4:19" s="278" customFormat="1" ht="11">
      <c r="D16" s="13"/>
      <c r="E16" s="1626"/>
      <c r="F16" s="105"/>
      <c r="G16" s="105"/>
      <c r="H16" s="105"/>
      <c r="I16" s="105"/>
      <c r="J16" s="105"/>
      <c r="K16" s="105"/>
      <c r="L16" s="105"/>
      <c r="M16" s="105"/>
      <c r="N16" s="105"/>
      <c r="O16" s="105"/>
      <c r="P16" s="105"/>
      <c r="Q16" s="105"/>
      <c r="R16" s="105"/>
      <c r="S16" s="105"/>
    </row>
    <row r="17" spans="1:19" s="278" customFormat="1" ht="11">
      <c r="D17" s="13"/>
      <c r="E17" s="1626"/>
      <c r="F17" s="105"/>
      <c r="G17" s="105"/>
      <c r="H17" s="105"/>
      <c r="I17" s="105"/>
      <c r="J17" s="105"/>
      <c r="K17" s="105"/>
      <c r="L17" s="105"/>
      <c r="M17" s="105"/>
      <c r="N17" s="105"/>
      <c r="O17" s="105"/>
      <c r="P17" s="105"/>
      <c r="Q17" s="105"/>
      <c r="R17" s="105"/>
      <c r="S17" s="105"/>
    </row>
    <row r="18" spans="1:19" s="278" customFormat="1" ht="11">
      <c r="D18" s="13"/>
      <c r="E18" s="1626"/>
      <c r="F18" s="105"/>
      <c r="G18" s="105"/>
      <c r="H18" s="105"/>
      <c r="I18" s="105"/>
      <c r="J18" s="105"/>
      <c r="K18" s="105"/>
      <c r="L18" s="105"/>
      <c r="M18" s="105"/>
      <c r="N18" s="105"/>
      <c r="O18" s="105"/>
      <c r="P18" s="105"/>
      <c r="Q18" s="105"/>
      <c r="R18" s="105"/>
      <c r="S18" s="105"/>
    </row>
    <row r="19" spans="1:19" s="278" customFormat="1" ht="11">
      <c r="D19" s="13"/>
      <c r="E19" s="1626"/>
      <c r="F19" s="105"/>
      <c r="G19" s="105"/>
      <c r="H19" s="105"/>
      <c r="I19" s="105"/>
      <c r="J19" s="105"/>
      <c r="K19" s="105"/>
      <c r="L19" s="105"/>
      <c r="M19" s="105"/>
      <c r="N19" s="105"/>
      <c r="O19" s="105"/>
      <c r="P19" s="105"/>
      <c r="Q19" s="105"/>
      <c r="R19" s="105"/>
      <c r="S19" s="105"/>
    </row>
    <row r="20" spans="1:19" s="278" customFormat="1" ht="11">
      <c r="D20" s="13"/>
      <c r="E20" s="1626"/>
      <c r="F20" s="105"/>
      <c r="G20" s="105"/>
      <c r="H20" s="105"/>
      <c r="I20" s="105"/>
      <c r="J20" s="105"/>
      <c r="K20" s="105"/>
      <c r="L20" s="105"/>
      <c r="M20" s="105"/>
      <c r="N20" s="105"/>
      <c r="O20" s="105"/>
      <c r="P20" s="105"/>
      <c r="Q20" s="105"/>
      <c r="R20" s="105"/>
      <c r="S20" s="105"/>
    </row>
    <row r="21" spans="1:19" s="278" customFormat="1" ht="11">
      <c r="D21" s="13"/>
      <c r="E21" s="1626"/>
      <c r="F21" s="105"/>
      <c r="G21" s="105"/>
      <c r="H21" s="105"/>
      <c r="I21" s="105"/>
      <c r="J21" s="105"/>
      <c r="K21" s="105"/>
      <c r="L21" s="105"/>
      <c r="M21" s="105"/>
      <c r="N21" s="105"/>
      <c r="O21" s="105"/>
      <c r="P21" s="105"/>
      <c r="Q21" s="105"/>
      <c r="R21" s="105"/>
      <c r="S21" s="105"/>
    </row>
    <row r="22" spans="1:19" s="278" customFormat="1" ht="11">
      <c r="D22" s="13"/>
      <c r="E22" s="1626"/>
      <c r="F22" s="105"/>
      <c r="G22" s="105"/>
      <c r="H22" s="105"/>
      <c r="I22" s="105"/>
      <c r="J22" s="105"/>
      <c r="K22" s="105"/>
      <c r="L22" s="105"/>
      <c r="M22" s="105"/>
      <c r="N22" s="105"/>
      <c r="O22" s="105"/>
      <c r="P22" s="105"/>
      <c r="Q22" s="105"/>
      <c r="R22" s="105"/>
      <c r="S22" s="105"/>
    </row>
    <row r="23" spans="1:19" ht="20">
      <c r="D23" s="1905" t="s">
        <v>1571</v>
      </c>
      <c r="E23" s="1905"/>
      <c r="F23" s="1905"/>
      <c r="G23" s="1905"/>
      <c r="H23" s="1905"/>
      <c r="I23" s="1905"/>
      <c r="J23" s="1905"/>
      <c r="K23" s="1905"/>
      <c r="L23" s="1905"/>
      <c r="M23" s="1905"/>
      <c r="N23" s="1905"/>
      <c r="O23" s="1905"/>
      <c r="P23" s="1905"/>
      <c r="Q23" s="1905"/>
      <c r="R23" s="1905"/>
      <c r="S23" s="1905"/>
    </row>
    <row r="24" spans="1:19" ht="16" thickBot="1">
      <c r="E24" s="453">
        <v>0</v>
      </c>
      <c r="F24" s="453">
        <v>1</v>
      </c>
      <c r="G24" s="453">
        <v>2</v>
      </c>
      <c r="H24" s="453">
        <v>3</v>
      </c>
      <c r="I24" s="453">
        <v>4</v>
      </c>
      <c r="J24" s="453">
        <v>5</v>
      </c>
      <c r="K24" s="453">
        <v>6</v>
      </c>
      <c r="L24" s="453">
        <v>7</v>
      </c>
      <c r="M24" s="453">
        <v>8</v>
      </c>
      <c r="N24" s="453">
        <v>9</v>
      </c>
      <c r="O24" s="453">
        <v>10</v>
      </c>
      <c r="P24" s="453">
        <v>11</v>
      </c>
      <c r="Q24" s="453">
        <v>12</v>
      </c>
      <c r="R24" s="453">
        <v>13</v>
      </c>
      <c r="S24" s="453">
        <v>14</v>
      </c>
    </row>
    <row r="25" spans="1:19" ht="16" thickBot="1">
      <c r="D25" s="172" t="s">
        <v>1912</v>
      </c>
      <c r="E25" s="404" t="s">
        <v>24</v>
      </c>
      <c r="F25" s="404" t="s">
        <v>25</v>
      </c>
      <c r="G25" s="404" t="s">
        <v>26</v>
      </c>
      <c r="H25" s="404" t="s">
        <v>27</v>
      </c>
      <c r="I25" s="1846" t="s">
        <v>712</v>
      </c>
      <c r="J25" s="404" t="s">
        <v>713</v>
      </c>
      <c r="K25" s="404" t="s">
        <v>714</v>
      </c>
      <c r="L25" s="404" t="s">
        <v>715</v>
      </c>
      <c r="M25" s="404" t="s">
        <v>716</v>
      </c>
      <c r="N25" s="404" t="s">
        <v>717</v>
      </c>
      <c r="O25" s="404" t="s">
        <v>718</v>
      </c>
      <c r="P25" s="404" t="s">
        <v>719</v>
      </c>
      <c r="Q25" s="404" t="s">
        <v>720</v>
      </c>
      <c r="R25" s="404" t="s">
        <v>721</v>
      </c>
      <c r="S25" s="404" t="s">
        <v>722</v>
      </c>
    </row>
    <row r="26" spans="1:19" s="160" customFormat="1">
      <c r="D26" s="726" t="s">
        <v>1190</v>
      </c>
      <c r="E26" s="1415">
        <f>'All Together'!P29</f>
        <v>669548.38229873881</v>
      </c>
      <c r="F26" s="1415">
        <f>'All Together'!Q29</f>
        <v>736653.62825501838</v>
      </c>
      <c r="G26" s="1415">
        <f>'All Together'!R29</f>
        <v>754545.05385980697</v>
      </c>
      <c r="H26" s="1415">
        <f>'All Together'!S29</f>
        <v>815386.22337148292</v>
      </c>
      <c r="I26" s="1829">
        <f>'All Together'!T29</f>
        <v>873589.9605153976</v>
      </c>
      <c r="J26" s="960">
        <f>'All Together'!U29</f>
        <v>931014.84029714961</v>
      </c>
      <c r="K26" s="960">
        <f>'All Together'!V29</f>
        <v>992661.3386069542</v>
      </c>
      <c r="L26" s="960">
        <f>'All Together'!W29</f>
        <v>1059089.3352061089</v>
      </c>
      <c r="M26" s="960">
        <f>'All Together'!X29</f>
        <v>1130287.0871480564</v>
      </c>
      <c r="N26" s="960">
        <f>'All Together'!Y29</f>
        <v>1206647.5714399016</v>
      </c>
      <c r="O26" s="960">
        <f>'All Together'!Z29</f>
        <v>1288395.5427027019</v>
      </c>
      <c r="P26" s="960">
        <f>'All Together'!AA29</f>
        <v>1376197.2229573918</v>
      </c>
      <c r="Q26" s="960">
        <f>'All Together'!AB29</f>
        <v>1470555.51848929</v>
      </c>
      <c r="R26" s="960">
        <f>'All Together'!AC29</f>
        <v>1572020.4069983449</v>
      </c>
      <c r="S26" s="960">
        <f>'All Together'!AD29</f>
        <v>1681193.8007338229</v>
      </c>
    </row>
    <row r="27" spans="1:19" s="160" customFormat="1">
      <c r="D27" s="1228" t="s">
        <v>1191</v>
      </c>
      <c r="E27" s="1893">
        <f>G206</f>
        <v>0.28000000000000003</v>
      </c>
      <c r="F27" s="1893">
        <f>E27</f>
        <v>0.28000000000000003</v>
      </c>
      <c r="G27" s="1893">
        <f t="shared" ref="G27:S27" si="4">F27</f>
        <v>0.28000000000000003</v>
      </c>
      <c r="H27" s="1893">
        <f t="shared" si="4"/>
        <v>0.28000000000000003</v>
      </c>
      <c r="I27" s="1844">
        <f t="shared" si="4"/>
        <v>0.28000000000000003</v>
      </c>
      <c r="J27" s="451">
        <f t="shared" si="4"/>
        <v>0.28000000000000003</v>
      </c>
      <c r="K27" s="451">
        <f t="shared" si="4"/>
        <v>0.28000000000000003</v>
      </c>
      <c r="L27" s="451">
        <f t="shared" si="4"/>
        <v>0.28000000000000003</v>
      </c>
      <c r="M27" s="451">
        <f t="shared" si="4"/>
        <v>0.28000000000000003</v>
      </c>
      <c r="N27" s="451">
        <f t="shared" si="4"/>
        <v>0.28000000000000003</v>
      </c>
      <c r="O27" s="451">
        <f t="shared" si="4"/>
        <v>0.28000000000000003</v>
      </c>
      <c r="P27" s="451">
        <f t="shared" si="4"/>
        <v>0.28000000000000003</v>
      </c>
      <c r="Q27" s="451">
        <f t="shared" si="4"/>
        <v>0.28000000000000003</v>
      </c>
      <c r="R27" s="451">
        <f t="shared" si="4"/>
        <v>0.28000000000000003</v>
      </c>
      <c r="S27" s="451">
        <f t="shared" si="4"/>
        <v>0.28000000000000003</v>
      </c>
    </row>
    <row r="28" spans="1:19" s="160" customFormat="1">
      <c r="D28" s="1228" t="s">
        <v>1192</v>
      </c>
      <c r="E28" s="1415">
        <f>-E27*E26</f>
        <v>-187473.54704364689</v>
      </c>
      <c r="F28" s="1415">
        <f t="shared" ref="F28:S28" si="5">-F27*F26</f>
        <v>-206263.01591140518</v>
      </c>
      <c r="G28" s="1415">
        <f t="shared" si="5"/>
        <v>-211272.61508074598</v>
      </c>
      <c r="H28" s="1415">
        <f t="shared" si="5"/>
        <v>-228308.14254401525</v>
      </c>
      <c r="I28" s="1829">
        <f t="shared" si="5"/>
        <v>-244605.18894431135</v>
      </c>
      <c r="J28" s="960">
        <f t="shared" si="5"/>
        <v>-260684.15528320192</v>
      </c>
      <c r="K28" s="960">
        <f t="shared" si="5"/>
        <v>-277945.1748099472</v>
      </c>
      <c r="L28" s="960">
        <f t="shared" si="5"/>
        <v>-296545.01385771052</v>
      </c>
      <c r="M28" s="960">
        <f t="shared" si="5"/>
        <v>-316480.38440145581</v>
      </c>
      <c r="N28" s="960">
        <f t="shared" si="5"/>
        <v>-337861.3200031725</v>
      </c>
      <c r="O28" s="960">
        <f t="shared" si="5"/>
        <v>-360750.75195675658</v>
      </c>
      <c r="P28" s="960">
        <f t="shared" si="5"/>
        <v>-385335.22242806974</v>
      </c>
      <c r="Q28" s="960">
        <f t="shared" si="5"/>
        <v>-411755.54517700127</v>
      </c>
      <c r="R28" s="960">
        <f t="shared" si="5"/>
        <v>-440165.71395953663</v>
      </c>
      <c r="S28" s="960">
        <f t="shared" si="5"/>
        <v>-470734.26420547045</v>
      </c>
    </row>
    <row r="29" spans="1:19" s="160" customFormat="1" ht="16" thickBot="1">
      <c r="D29" s="1228" t="s">
        <v>1193</v>
      </c>
      <c r="E29" s="1415">
        <f>'All Together'!P89</f>
        <v>63224.163659999998</v>
      </c>
      <c r="F29" s="1415">
        <f>'All Together'!Q89</f>
        <v>68794.975716370798</v>
      </c>
      <c r="G29" s="1415">
        <f>'All Together'!R89</f>
        <v>75059.81635608754</v>
      </c>
      <c r="H29" s="1415">
        <f>'All Together'!S89</f>
        <v>80717.795921345794</v>
      </c>
      <c r="I29" s="1829">
        <f>'All Together'!T89</f>
        <v>87036.330256533343</v>
      </c>
      <c r="J29" s="960">
        <f>'All Together'!U89</f>
        <v>94084.869209693439</v>
      </c>
      <c r="K29" s="960">
        <f>'All Together'!V89</f>
        <v>101949.2132072816</v>
      </c>
      <c r="L29" s="960">
        <f>'All Together'!W89</f>
        <v>110729.34737825778</v>
      </c>
      <c r="M29" s="960">
        <f>'All Together'!X89</f>
        <v>120544.67018066243</v>
      </c>
      <c r="N29" s="960">
        <f>'All Together'!Y89</f>
        <v>131506.80401915975</v>
      </c>
      <c r="O29" s="960">
        <f>'All Together'!Z89</f>
        <v>143750.3930270932</v>
      </c>
      <c r="P29" s="960">
        <f>'All Together'!AA89</f>
        <v>157428.13206655497</v>
      </c>
      <c r="Q29" s="960">
        <f>'All Together'!AB89</f>
        <v>172711.71038303946</v>
      </c>
      <c r="R29" s="960">
        <f>'All Together'!AC89</f>
        <v>189793.75577162133</v>
      </c>
      <c r="S29" s="960">
        <f>'All Together'!AD89</f>
        <v>208890.41841326107</v>
      </c>
    </row>
    <row r="30" spans="1:19" s="124" customFormat="1" ht="16" thickBot="1">
      <c r="A30" s="450"/>
      <c r="B30" s="450"/>
      <c r="C30" s="450"/>
      <c r="D30" s="172" t="s">
        <v>481</v>
      </c>
      <c r="E30" s="961">
        <f>SUM(E26,E28,E29)</f>
        <v>545298.99891509186</v>
      </c>
      <c r="F30" s="961">
        <f t="shared" ref="F30:S30" si="6">SUM(F26,F28,F29)</f>
        <v>599185.58805998391</v>
      </c>
      <c r="G30" s="961">
        <f t="shared" si="6"/>
        <v>618332.25513514853</v>
      </c>
      <c r="H30" s="961">
        <f t="shared" si="6"/>
        <v>667795.87674881343</v>
      </c>
      <c r="I30" s="962">
        <f t="shared" si="6"/>
        <v>716021.1018276196</v>
      </c>
      <c r="J30" s="814">
        <f t="shared" si="6"/>
        <v>764415.55422364105</v>
      </c>
      <c r="K30" s="814">
        <f t="shared" si="6"/>
        <v>816665.3770042886</v>
      </c>
      <c r="L30" s="814">
        <f t="shared" si="6"/>
        <v>873273.66872665612</v>
      </c>
      <c r="M30" s="814">
        <f t="shared" si="6"/>
        <v>934351.37292726303</v>
      </c>
      <c r="N30" s="814">
        <f t="shared" si="6"/>
        <v>1000293.0554558889</v>
      </c>
      <c r="O30" s="814">
        <f t="shared" si="6"/>
        <v>1071395.1837730384</v>
      </c>
      <c r="P30" s="814">
        <f t="shared" si="6"/>
        <v>1148290.1325958772</v>
      </c>
      <c r="Q30" s="814">
        <f t="shared" si="6"/>
        <v>1231511.6836953282</v>
      </c>
      <c r="R30" s="814">
        <f t="shared" si="6"/>
        <v>1321648.4488104295</v>
      </c>
      <c r="S30" s="814">
        <f t="shared" si="6"/>
        <v>1419349.9549416136</v>
      </c>
    </row>
    <row r="31" spans="1:19" s="160" customFormat="1">
      <c r="D31" s="1228" t="s">
        <v>1194</v>
      </c>
      <c r="E31" s="1415">
        <f>-'All Together'!P65</f>
        <v>-83415.357000000004</v>
      </c>
      <c r="F31" s="1415">
        <f>-'All Together'!Q65</f>
        <v>-93511.771239385271</v>
      </c>
      <c r="G31" s="1415">
        <f>-'All Together'!R65</f>
        <v>-104646.43947277071</v>
      </c>
      <c r="H31" s="1415">
        <f>-'All Together'!S65</f>
        <v>-117061.6461777568</v>
      </c>
      <c r="I31" s="1829">
        <f>-'All Together'!T65</f>
        <v>-130728.29659008724</v>
      </c>
      <c r="J31" s="960">
        <f>-'All Together'!U65</f>
        <v>-145831.8404102088</v>
      </c>
      <c r="K31" s="960">
        <f>-'All Together'!V65</f>
        <v>-162710.56546734137</v>
      </c>
      <c r="L31" s="960">
        <f>-'All Together'!W65</f>
        <v>-181657.94836502449</v>
      </c>
      <c r="M31" s="960">
        <f>-'All Together'!X65</f>
        <v>-203075.64418768216</v>
      </c>
      <c r="N31" s="960">
        <f>-'All Together'!Y65</f>
        <v>-226802.76907235812</v>
      </c>
      <c r="O31" s="960">
        <f>-'All Together'!Z65</f>
        <v>-253315.63464689918</v>
      </c>
      <c r="P31" s="960">
        <f>-'All Together'!AA65</f>
        <v>-282987.70426472661</v>
      </c>
      <c r="Q31" s="960">
        <f>-'All Together'!AB65</f>
        <v>-316211.96516864398</v>
      </c>
      <c r="R31" s="960">
        <f>-'All Together'!AC65</f>
        <v>-353421.62872927997</v>
      </c>
      <c r="S31" s="960">
        <f>-'All Together'!AD65</f>
        <v>-395103.36499944265</v>
      </c>
    </row>
    <row r="32" spans="1:19" s="160" customFormat="1" ht="16" thickBot="1">
      <c r="D32" s="1228" t="s">
        <v>1195</v>
      </c>
      <c r="E32" s="1415">
        <f>E12*'All Together'!P7</f>
        <v>-231187.00440009081</v>
      </c>
      <c r="F32" s="1415">
        <f>F12*'All Together'!Q7</f>
        <v>-80105.530493336104</v>
      </c>
      <c r="G32" s="1415">
        <f>G12*'All Together'!R7</f>
        <v>-82262.538950989459</v>
      </c>
      <c r="H32" s="1415">
        <f>H12*'All Together'!S7</f>
        <v>-87786.286824933806</v>
      </c>
      <c r="I32" s="1829">
        <f>I12*'All Together'!T7</f>
        <v>-88433.516545358492</v>
      </c>
      <c r="J32" s="960">
        <f>J12*'All Together'!U7</f>
        <v>-90408.353944733317</v>
      </c>
      <c r="K32" s="960">
        <f>K12*'All Together'!V7</f>
        <v>-97274.650628903502</v>
      </c>
      <c r="L32" s="960">
        <f>L12*'All Together'!W7</f>
        <v>-106611.76355974033</v>
      </c>
      <c r="M32" s="960">
        <f>M12*'All Together'!X7</f>
        <v>-119760.93127817431</v>
      </c>
      <c r="N32" s="960">
        <f>N12*'All Together'!Y7</f>
        <v>-123575.70010040098</v>
      </c>
      <c r="O32" s="960">
        <f>O12*'All Together'!Z7</f>
        <v>-132467.58377129876</v>
      </c>
      <c r="P32" s="960">
        <f>P12*'All Together'!AA7</f>
        <v>-142924.55085878467</v>
      </c>
      <c r="Q32" s="960">
        <f>Q12*'All Together'!AB7</f>
        <v>-154444.54345669417</v>
      </c>
      <c r="R32" s="960">
        <f>R12*'All Together'!AC7</f>
        <v>-166942.15099901689</v>
      </c>
      <c r="S32" s="960">
        <f>S12*'All Together'!AD7</f>
        <v>-180504.26103818294</v>
      </c>
    </row>
    <row r="33" spans="1:19" s="20" customFormat="1" ht="16" thickBot="1">
      <c r="A33" s="103"/>
      <c r="B33" s="103"/>
      <c r="C33" s="103"/>
      <c r="D33" s="172" t="s">
        <v>1010</v>
      </c>
      <c r="E33" s="961">
        <f>SUM(E30:E32)</f>
        <v>230696.63751500103</v>
      </c>
      <c r="F33" s="961">
        <f t="shared" ref="F33:S33" si="7">SUM(F30:F32)</f>
        <v>425568.28632726258</v>
      </c>
      <c r="G33" s="961">
        <f t="shared" si="7"/>
        <v>431423.27671138837</v>
      </c>
      <c r="H33" s="961">
        <f t="shared" si="7"/>
        <v>462947.94374612276</v>
      </c>
      <c r="I33" s="962">
        <f t="shared" si="7"/>
        <v>496859.2886921739</v>
      </c>
      <c r="J33" s="961">
        <f t="shared" si="7"/>
        <v>528175.35986869899</v>
      </c>
      <c r="K33" s="961">
        <f t="shared" si="7"/>
        <v>556680.16090804373</v>
      </c>
      <c r="L33" s="961">
        <f t="shared" si="7"/>
        <v>585003.95680189133</v>
      </c>
      <c r="M33" s="961">
        <f t="shared" si="7"/>
        <v>611514.79746140656</v>
      </c>
      <c r="N33" s="961">
        <f t="shared" si="7"/>
        <v>649914.58628312976</v>
      </c>
      <c r="O33" s="961">
        <f t="shared" si="7"/>
        <v>685611.9653548405</v>
      </c>
      <c r="P33" s="961">
        <f t="shared" si="7"/>
        <v>722377.87747236586</v>
      </c>
      <c r="Q33" s="961">
        <f t="shared" si="7"/>
        <v>760855.1750699901</v>
      </c>
      <c r="R33" s="961">
        <f t="shared" si="7"/>
        <v>801284.66908213263</v>
      </c>
      <c r="S33" s="961">
        <f t="shared" si="7"/>
        <v>843742.328903988</v>
      </c>
    </row>
    <row r="34" spans="1:19">
      <c r="D34" s="161" t="s">
        <v>1196</v>
      </c>
    </row>
    <row r="36" spans="1:19" s="160" customFormat="1" ht="14">
      <c r="D36" s="7" t="s">
        <v>1015</v>
      </c>
      <c r="E36" s="451">
        <f>O206</f>
        <v>0.12359885274233731</v>
      </c>
      <c r="F36" s="451">
        <f>E36</f>
        <v>0.12359885274233731</v>
      </c>
      <c r="G36" s="451">
        <f t="shared" ref="G36:S36" si="8">F36</f>
        <v>0.12359885274233731</v>
      </c>
      <c r="H36" s="451">
        <f t="shared" si="8"/>
        <v>0.12359885274233731</v>
      </c>
      <c r="I36" s="451">
        <f t="shared" si="8"/>
        <v>0.12359885274233731</v>
      </c>
      <c r="J36" s="451">
        <f t="shared" si="8"/>
        <v>0.12359885274233731</v>
      </c>
      <c r="K36" s="451">
        <f t="shared" si="8"/>
        <v>0.12359885274233731</v>
      </c>
      <c r="L36" s="451">
        <f t="shared" si="8"/>
        <v>0.12359885274233731</v>
      </c>
      <c r="M36" s="451">
        <f t="shared" si="8"/>
        <v>0.12359885274233731</v>
      </c>
      <c r="N36" s="451">
        <f t="shared" si="8"/>
        <v>0.12359885274233731</v>
      </c>
      <c r="O36" s="451">
        <f t="shared" si="8"/>
        <v>0.12359885274233731</v>
      </c>
      <c r="P36" s="451">
        <f t="shared" si="8"/>
        <v>0.12359885274233731</v>
      </c>
      <c r="Q36" s="451">
        <f t="shared" si="8"/>
        <v>0.12359885274233731</v>
      </c>
      <c r="R36" s="451">
        <f t="shared" si="8"/>
        <v>0.12359885274233731</v>
      </c>
      <c r="S36" s="451">
        <f t="shared" si="8"/>
        <v>0.12359885274233731</v>
      </c>
    </row>
    <row r="37" spans="1:19" s="160" customFormat="1" thickBot="1">
      <c r="D37" s="7" t="s">
        <v>1016</v>
      </c>
      <c r="E37" s="119">
        <f>1/((1+E36)^E24)</f>
        <v>1</v>
      </c>
      <c r="F37" s="119">
        <f t="shared" ref="F37:S37" si="9">1/((1+F36)^F24)</f>
        <v>0.88999734875069259</v>
      </c>
      <c r="G37" s="119">
        <f t="shared" si="9"/>
        <v>0.79209528078326186</v>
      </c>
      <c r="H37" s="119">
        <f t="shared" si="9"/>
        <v>0.70496269985503845</v>
      </c>
      <c r="I37" s="119">
        <f t="shared" si="9"/>
        <v>0.6274149338391144</v>
      </c>
      <c r="J37" s="119">
        <f t="shared" si="9"/>
        <v>0.55839762768340306</v>
      </c>
      <c r="K37" s="119">
        <f t="shared" si="9"/>
        <v>0.49697240818690502</v>
      </c>
      <c r="L37" s="119">
        <f t="shared" si="9"/>
        <v>0.44230412568859245</v>
      </c>
      <c r="M37" s="119">
        <f t="shared" si="9"/>
        <v>0.39364949920434028</v>
      </c>
      <c r="N37" s="119">
        <f t="shared" si="9"/>
        <v>0.35034701062890072</v>
      </c>
      <c r="O37" s="119">
        <f t="shared" si="9"/>
        <v>0.31180791060245228</v>
      </c>
      <c r="P37" s="119">
        <f t="shared" si="9"/>
        <v>0.27750821375567553</v>
      </c>
      <c r="Q37" s="119">
        <f t="shared" si="9"/>
        <v>0.24698157449909167</v>
      </c>
      <c r="R37" s="119">
        <f t="shared" si="9"/>
        <v>0.21981294649446326</v>
      </c>
      <c r="S37" s="119">
        <f t="shared" si="9"/>
        <v>0.19563293960115014</v>
      </c>
    </row>
    <row r="38" spans="1:19" s="20" customFormat="1" ht="16" thickBot="1">
      <c r="A38" s="103"/>
      <c r="B38" s="103"/>
      <c r="C38" s="103"/>
      <c r="D38" s="103" t="s">
        <v>1203</v>
      </c>
      <c r="E38" s="961">
        <f>E37*E33</f>
        <v>230696.63751500103</v>
      </c>
      <c r="F38" s="961">
        <f t="shared" ref="F38:S38" si="10">F37*F33</f>
        <v>378754.6465436393</v>
      </c>
      <c r="G38" s="961">
        <f t="shared" si="10"/>
        <v>341728.34150314203</v>
      </c>
      <c r="H38" s="961">
        <f t="shared" si="10"/>
        <v>326361.03231560515</v>
      </c>
      <c r="I38" s="961">
        <f t="shared" si="10"/>
        <v>311736.93774214975</v>
      </c>
      <c r="J38" s="961">
        <f t="shared" si="10"/>
        <v>294931.86795150919</v>
      </c>
      <c r="K38" s="961">
        <f t="shared" si="10"/>
        <v>276654.68015634426</v>
      </c>
      <c r="L38" s="961">
        <f t="shared" si="10"/>
        <v>258749.66363762764</v>
      </c>
      <c r="M38" s="961">
        <f t="shared" si="10"/>
        <v>240722.49377672627</v>
      </c>
      <c r="N38" s="961">
        <f t="shared" si="10"/>
        <v>227695.63246841327</v>
      </c>
      <c r="O38" s="961">
        <f t="shared" si="10"/>
        <v>213779.23440133373</v>
      </c>
      <c r="P38" s="961">
        <f t="shared" si="10"/>
        <v>200465.79443397248</v>
      </c>
      <c r="Q38" s="961">
        <f t="shared" si="10"/>
        <v>187917.2091045682</v>
      </c>
      <c r="R38" s="961">
        <f t="shared" si="10"/>
        <v>176132.74409178452</v>
      </c>
      <c r="S38" s="961">
        <f t="shared" si="10"/>
        <v>165063.79206940765</v>
      </c>
    </row>
    <row r="39" spans="1:19" s="160" customFormat="1" thickBot="1">
      <c r="D39" s="7" t="s">
        <v>1204</v>
      </c>
      <c r="E39" s="454">
        <f>E218</f>
        <v>4.4166666666666667E-2</v>
      </c>
      <c r="F39" s="7"/>
      <c r="G39" s="7"/>
      <c r="H39" s="7"/>
      <c r="I39" s="7"/>
      <c r="J39" s="7"/>
      <c r="K39" s="7"/>
      <c r="L39" s="7"/>
      <c r="M39" s="7"/>
      <c r="N39" s="7"/>
      <c r="O39" s="7"/>
      <c r="P39" s="7"/>
      <c r="Q39" s="7"/>
      <c r="R39" s="7"/>
      <c r="S39" s="7"/>
    </row>
    <row r="40" spans="1:19" s="20" customFormat="1" ht="16" thickBot="1">
      <c r="A40" s="103"/>
      <c r="B40" s="103"/>
      <c r="C40" s="103"/>
      <c r="D40" s="103" t="s">
        <v>1017</v>
      </c>
      <c r="E40" s="961">
        <f>O40*O37</f>
        <v>2810210.3393546562</v>
      </c>
      <c r="O40" s="963">
        <f>O33*(1+E39)/(E36-E39)</f>
        <v>9012633.2392432727</v>
      </c>
    </row>
    <row r="41" spans="1:19" ht="16" thickBot="1">
      <c r="D41" s="20"/>
    </row>
    <row r="42" spans="1:19" ht="16" thickBot="1">
      <c r="D42" s="1909" t="s">
        <v>1205</v>
      </c>
      <c r="E42" s="1910"/>
    </row>
    <row r="43" spans="1:19" ht="16" thickBot="1">
      <c r="D43" s="172" t="s">
        <v>1206</v>
      </c>
      <c r="E43" s="962">
        <f>E40+SUM(F38:O38)</f>
        <v>5681324.8698511459</v>
      </c>
    </row>
    <row r="44" spans="1:19">
      <c r="D44" s="20"/>
    </row>
    <row r="47" spans="1:19" ht="20">
      <c r="D47" s="1905" t="s">
        <v>1570</v>
      </c>
      <c r="E47" s="1905"/>
      <c r="F47" s="1905"/>
      <c r="G47" s="1905"/>
      <c r="H47" s="1905"/>
      <c r="I47" s="1905"/>
      <c r="J47" s="1905"/>
      <c r="K47" s="1905"/>
      <c r="L47" s="1905"/>
      <c r="M47" s="1905"/>
      <c r="N47" s="1905"/>
      <c r="O47" s="1905"/>
      <c r="P47" s="1905"/>
      <c r="Q47" s="1905"/>
      <c r="R47" s="1905"/>
      <c r="S47" s="1905"/>
    </row>
    <row r="48" spans="1:19" ht="16" thickBot="1">
      <c r="E48" s="453">
        <v>0</v>
      </c>
      <c r="F48" s="453">
        <v>1</v>
      </c>
      <c r="G48" s="453">
        <v>2</v>
      </c>
      <c r="H48" s="453">
        <v>3</v>
      </c>
      <c r="I48" s="453">
        <v>4</v>
      </c>
      <c r="J48" s="453">
        <v>5</v>
      </c>
      <c r="K48" s="453">
        <v>6</v>
      </c>
      <c r="L48" s="453">
        <v>7</v>
      </c>
      <c r="M48" s="453">
        <v>8</v>
      </c>
      <c r="N48" s="453">
        <v>9</v>
      </c>
      <c r="O48" s="453">
        <v>10</v>
      </c>
      <c r="P48" s="453">
        <v>11</v>
      </c>
      <c r="Q48" s="453">
        <v>12</v>
      </c>
      <c r="R48" s="453">
        <v>13</v>
      </c>
      <c r="S48" s="453">
        <v>14</v>
      </c>
    </row>
    <row r="49" spans="1:19" ht="16" thickBot="1">
      <c r="D49" s="172" t="s">
        <v>1913</v>
      </c>
      <c r="E49" s="404" t="s">
        <v>24</v>
      </c>
      <c r="F49" s="404" t="s">
        <v>25</v>
      </c>
      <c r="G49" s="404" t="s">
        <v>26</v>
      </c>
      <c r="H49" s="404" t="s">
        <v>27</v>
      </c>
      <c r="I49" s="1846" t="s">
        <v>712</v>
      </c>
      <c r="J49" s="404" t="s">
        <v>713</v>
      </c>
      <c r="K49" s="404" t="s">
        <v>714</v>
      </c>
      <c r="L49" s="404" t="s">
        <v>715</v>
      </c>
      <c r="M49" s="404" t="s">
        <v>716</v>
      </c>
      <c r="N49" s="404" t="s">
        <v>717</v>
      </c>
      <c r="O49" s="404" t="s">
        <v>718</v>
      </c>
      <c r="P49" s="404" t="s">
        <v>719</v>
      </c>
      <c r="Q49" s="404" t="s">
        <v>720</v>
      </c>
      <c r="R49" s="404" t="s">
        <v>721</v>
      </c>
      <c r="S49" s="404" t="s">
        <v>722</v>
      </c>
    </row>
    <row r="50" spans="1:19" s="160" customFormat="1">
      <c r="D50" s="726" t="s">
        <v>1190</v>
      </c>
      <c r="E50" s="1415">
        <f>'All Together'!P34</f>
        <v>241451.44742854711</v>
      </c>
      <c r="F50" s="1415">
        <f>'All Together'!Q34</f>
        <v>249812.01082089977</v>
      </c>
      <c r="G50" s="1415">
        <f>'All Together'!R34</f>
        <v>260157.87285216263</v>
      </c>
      <c r="H50" s="1415">
        <f>'All Together'!S34</f>
        <v>272593.2802737609</v>
      </c>
      <c r="I50" s="1829">
        <f>'All Together'!T34</f>
        <v>286656.57354172331</v>
      </c>
      <c r="J50" s="960">
        <f>'All Together'!U34</f>
        <v>298133.32190179499</v>
      </c>
      <c r="K50" s="960">
        <f>'All Together'!V34</f>
        <v>319127.89236330905</v>
      </c>
      <c r="L50" s="960">
        <f>'All Together'!W34</f>
        <v>343070.19493174035</v>
      </c>
      <c r="M50" s="960">
        <f>'All Together'!X34</f>
        <v>377991.77577569423</v>
      </c>
      <c r="N50" s="960">
        <f>'All Together'!Y34</f>
        <v>407288.37062185653</v>
      </c>
      <c r="O50" s="960">
        <f>'All Together'!Z34</f>
        <v>439463.1796376725</v>
      </c>
      <c r="P50" s="960">
        <f>'All Together'!AA34</f>
        <v>475273.92636660411</v>
      </c>
      <c r="Q50" s="960">
        <f>'All Together'!AB34</f>
        <v>515156.47065113811</v>
      </c>
      <c r="R50" s="960">
        <f>'All Together'!AC34</f>
        <v>559595.44952058815</v>
      </c>
      <c r="S50" s="960">
        <f>'All Together'!AD34</f>
        <v>609127.9222907346</v>
      </c>
    </row>
    <row r="51" spans="1:19" s="160" customFormat="1">
      <c r="D51" s="1228" t="s">
        <v>1191</v>
      </c>
      <c r="E51" s="1472">
        <f>G207</f>
        <v>0.28000000000000003</v>
      </c>
      <c r="F51" s="1472">
        <f>E51</f>
        <v>0.28000000000000003</v>
      </c>
      <c r="G51" s="1472">
        <f t="shared" ref="G51:S51" si="11">F51</f>
        <v>0.28000000000000003</v>
      </c>
      <c r="H51" s="1472">
        <f t="shared" si="11"/>
        <v>0.28000000000000003</v>
      </c>
      <c r="I51" s="1473">
        <f t="shared" si="11"/>
        <v>0.28000000000000003</v>
      </c>
      <c r="J51" s="451">
        <f t="shared" si="11"/>
        <v>0.28000000000000003</v>
      </c>
      <c r="K51" s="451">
        <f t="shared" si="11"/>
        <v>0.28000000000000003</v>
      </c>
      <c r="L51" s="451">
        <f t="shared" si="11"/>
        <v>0.28000000000000003</v>
      </c>
      <c r="M51" s="451">
        <f t="shared" si="11"/>
        <v>0.28000000000000003</v>
      </c>
      <c r="N51" s="451">
        <f t="shared" si="11"/>
        <v>0.28000000000000003</v>
      </c>
      <c r="O51" s="451">
        <f t="shared" si="11"/>
        <v>0.28000000000000003</v>
      </c>
      <c r="P51" s="451">
        <f t="shared" si="11"/>
        <v>0.28000000000000003</v>
      </c>
      <c r="Q51" s="451">
        <f t="shared" si="11"/>
        <v>0.28000000000000003</v>
      </c>
      <c r="R51" s="451">
        <f t="shared" si="11"/>
        <v>0.28000000000000003</v>
      </c>
      <c r="S51" s="451">
        <f t="shared" si="11"/>
        <v>0.28000000000000003</v>
      </c>
    </row>
    <row r="52" spans="1:19" s="160" customFormat="1">
      <c r="D52" s="1228" t="s">
        <v>1192</v>
      </c>
      <c r="E52" s="1415">
        <f>-E51*E50</f>
        <v>-67606.405279993196</v>
      </c>
      <c r="F52" s="1415">
        <f t="shared" ref="F52" si="12">-F51*F50</f>
        <v>-69947.363029851942</v>
      </c>
      <c r="G52" s="1415">
        <f t="shared" ref="G52" si="13">-G51*G50</f>
        <v>-72844.204398605551</v>
      </c>
      <c r="H52" s="1415">
        <f t="shared" ref="H52" si="14">-H51*H50</f>
        <v>-76326.118476653064</v>
      </c>
      <c r="I52" s="1829">
        <f t="shared" ref="I52" si="15">-I51*I50</f>
        <v>-80263.840591682529</v>
      </c>
      <c r="J52" s="960">
        <f t="shared" ref="J52" si="16">-J51*J50</f>
        <v>-83477.330132502611</v>
      </c>
      <c r="K52" s="960">
        <f t="shared" ref="K52" si="17">-K51*K50</f>
        <v>-89355.809861726535</v>
      </c>
      <c r="L52" s="960">
        <f t="shared" ref="L52" si="18">-L51*L50</f>
        <v>-96059.654580887305</v>
      </c>
      <c r="M52" s="960">
        <f t="shared" ref="M52" si="19">-M51*M50</f>
        <v>-105837.69721719439</v>
      </c>
      <c r="N52" s="960">
        <f t="shared" ref="N52" si="20">-N51*N50</f>
        <v>-114040.74377411984</v>
      </c>
      <c r="O52" s="960">
        <f t="shared" ref="O52" si="21">-O51*O50</f>
        <v>-123049.69029854832</v>
      </c>
      <c r="P52" s="960">
        <f t="shared" ref="P52" si="22">-P51*P50</f>
        <v>-133076.69938264915</v>
      </c>
      <c r="Q52" s="960">
        <f t="shared" ref="Q52" si="23">-Q51*Q50</f>
        <v>-144243.81178231869</v>
      </c>
      <c r="R52" s="960">
        <f t="shared" ref="R52" si="24">-R51*R50</f>
        <v>-156686.72586576469</v>
      </c>
      <c r="S52" s="960">
        <f t="shared" ref="S52" si="25">-S51*S50</f>
        <v>-170555.81824140571</v>
      </c>
    </row>
    <row r="53" spans="1:19" s="457" customFormat="1" ht="16" thickBot="1">
      <c r="D53" s="1894" t="s">
        <v>1193</v>
      </c>
      <c r="E53" s="1415">
        <f>'All Together'!P93</f>
        <v>67439.107904000004</v>
      </c>
      <c r="F53" s="1415">
        <f>'All Together'!Q93</f>
        <v>73381.307430795525</v>
      </c>
      <c r="G53" s="1415">
        <f>'All Together'!R93</f>
        <v>80063.804113160048</v>
      </c>
      <c r="H53" s="1415">
        <f>'All Together'!S93</f>
        <v>86098.982316102178</v>
      </c>
      <c r="I53" s="1829">
        <f>'All Together'!T93</f>
        <v>92838.752273635575</v>
      </c>
      <c r="J53" s="960">
        <f>'All Together'!U93</f>
        <v>100357.19382367301</v>
      </c>
      <c r="K53" s="960">
        <f>'All Together'!V93</f>
        <v>108745.82742110039</v>
      </c>
      <c r="L53" s="960">
        <f>'All Together'!W93</f>
        <v>118111.30387014164</v>
      </c>
      <c r="M53" s="960">
        <f>'All Together'!X93</f>
        <v>128580.98152603993</v>
      </c>
      <c r="N53" s="960">
        <f>'All Together'!Y93</f>
        <v>140273.92428710373</v>
      </c>
      <c r="O53" s="960">
        <f>'All Together'!Z93</f>
        <v>153333.75256223275</v>
      </c>
      <c r="P53" s="960">
        <f>'All Together'!AA93</f>
        <v>167923.34087099199</v>
      </c>
      <c r="Q53" s="960">
        <f>'All Together'!AB93</f>
        <v>184225.82440857546</v>
      </c>
      <c r="R53" s="960">
        <f>'All Together'!AC93</f>
        <v>202446.67282306278</v>
      </c>
      <c r="S53" s="960">
        <f>'All Together'!AD93</f>
        <v>222816.44630747847</v>
      </c>
    </row>
    <row r="54" spans="1:19" s="124" customFormat="1" ht="16" thickBot="1">
      <c r="A54" s="450"/>
      <c r="B54" s="450"/>
      <c r="C54" s="450"/>
      <c r="D54" s="172" t="s">
        <v>481</v>
      </c>
      <c r="E54" s="961">
        <f>SUM(E50,E52,E53)</f>
        <v>241284.15005255392</v>
      </c>
      <c r="F54" s="961">
        <f t="shared" ref="F54" si="26">SUM(F50,F52,F53)</f>
        <v>253245.95522184332</v>
      </c>
      <c r="G54" s="961">
        <f t="shared" ref="G54" si="27">SUM(G50,G52,G53)</f>
        <v>267377.47256671713</v>
      </c>
      <c r="H54" s="961">
        <f t="shared" ref="H54" si="28">SUM(H50,H52,H53)</f>
        <v>282366.14411321003</v>
      </c>
      <c r="I54" s="962">
        <f t="shared" ref="I54" si="29">SUM(I50,I52,I53)</f>
        <v>299231.48522367637</v>
      </c>
      <c r="J54" s="814">
        <f t="shared" ref="J54" si="30">SUM(J50,J52,J53)</f>
        <v>315013.1855929654</v>
      </c>
      <c r="K54" s="814">
        <f t="shared" ref="K54" si="31">SUM(K50,K52,K53)</f>
        <v>338517.90992268291</v>
      </c>
      <c r="L54" s="814">
        <f t="shared" ref="L54" si="32">SUM(L50,L52,L53)</f>
        <v>365121.84422099468</v>
      </c>
      <c r="M54" s="814">
        <f t="shared" ref="M54" si="33">SUM(M50,M52,M53)</f>
        <v>400735.06008453976</v>
      </c>
      <c r="N54" s="814">
        <f t="shared" ref="N54" si="34">SUM(N50,N52,N53)</f>
        <v>433521.55113484047</v>
      </c>
      <c r="O54" s="814">
        <f t="shared" ref="O54" si="35">SUM(O50,O52,O53)</f>
        <v>469747.24190135696</v>
      </c>
      <c r="P54" s="814">
        <f t="shared" ref="P54" si="36">SUM(P50,P52,P53)</f>
        <v>510120.56785494694</v>
      </c>
      <c r="Q54" s="814">
        <f t="shared" ref="Q54" si="37">SUM(Q50,Q52,Q53)</f>
        <v>555138.4832773949</v>
      </c>
      <c r="R54" s="814">
        <f t="shared" ref="R54" si="38">SUM(R50,R52,R53)</f>
        <v>605355.39647788624</v>
      </c>
      <c r="S54" s="814">
        <f t="shared" ref="S54" si="39">SUM(S50,S52,S53)</f>
        <v>661388.55035680742</v>
      </c>
    </row>
    <row r="55" spans="1:19" s="160" customFormat="1">
      <c r="D55" s="1228" t="s">
        <v>1194</v>
      </c>
      <c r="E55" s="1415">
        <f>-'All Together'!P69</f>
        <v>-33366.142799999994</v>
      </c>
      <c r="F55" s="1415">
        <f>-'All Together'!Q69</f>
        <v>-37404.708495754108</v>
      </c>
      <c r="G55" s="1415">
        <f>-'All Together'!R69</f>
        <v>-41858.575789108283</v>
      </c>
      <c r="H55" s="1415">
        <f>-'All Together'!S69</f>
        <v>-46824.658471102717</v>
      </c>
      <c r="I55" s="1829">
        <f>-'All Together'!T69</f>
        <v>-52291.318636034892</v>
      </c>
      <c r="J55" s="960">
        <f>-'All Together'!U69</f>
        <v>-58332.736164083508</v>
      </c>
      <c r="K55" s="960">
        <f>-'All Together'!V69</f>
        <v>-65084.226186936547</v>
      </c>
      <c r="L55" s="960">
        <f>-'All Together'!W69</f>
        <v>-72663.179346009798</v>
      </c>
      <c r="M55" s="960">
        <f>-'All Together'!X69</f>
        <v>-81230.257675072862</v>
      </c>
      <c r="N55" s="960">
        <f>-'All Together'!Y69</f>
        <v>-90721.107628943239</v>
      </c>
      <c r="O55" s="960">
        <f>-'All Together'!Z69</f>
        <v>-101326.25385875966</v>
      </c>
      <c r="P55" s="960">
        <f>-'All Together'!AA69</f>
        <v>-113195.08170589064</v>
      </c>
      <c r="Q55" s="960">
        <f>-'All Together'!AB69</f>
        <v>-126484.78606745758</v>
      </c>
      <c r="R55" s="960">
        <f>-'All Together'!AC69</f>
        <v>-141368.65149171199</v>
      </c>
      <c r="S55" s="960">
        <f>-'All Together'!AD69</f>
        <v>-158041.34599977706</v>
      </c>
    </row>
    <row r="56" spans="1:19" s="160" customFormat="1" ht="16" thickBot="1">
      <c r="D56" s="1228" t="s">
        <v>1195</v>
      </c>
      <c r="E56" s="1415">
        <f>E12*'All Together'!P11</f>
        <v>-70674.541343831675</v>
      </c>
      <c r="F56" s="1415">
        <f>F12*'All Together'!Q11</f>
        <v>-23019.795977669408</v>
      </c>
      <c r="G56" s="1415">
        <f>G12*'All Together'!R11</f>
        <v>-22552.835444641591</v>
      </c>
      <c r="H56" s="1415">
        <f>H12*'All Together'!S11</f>
        <v>-23281.115296040243</v>
      </c>
      <c r="I56" s="1829">
        <f>I12*'All Together'!T11</f>
        <v>-22959.682319281575</v>
      </c>
      <c r="J56" s="960">
        <f>J12*'All Together'!U11</f>
        <v>-23406.257688481892</v>
      </c>
      <c r="K56" s="960">
        <f>K12*'All Together'!V11</f>
        <v>-25179.158577253438</v>
      </c>
      <c r="L56" s="960">
        <f>L12*'All Together'!W11</f>
        <v>-27685.804719530031</v>
      </c>
      <c r="M56" s="960">
        <f>M12*'All Together'!X11</f>
        <v>-32013.888975645874</v>
      </c>
      <c r="N56" s="960">
        <f>N12*'All Together'!Y11</f>
        <v>-33194.966256138963</v>
      </c>
      <c r="O56" s="960">
        <f>O12*'All Together'!Z11</f>
        <v>-35802.24475598945</v>
      </c>
      <c r="P56" s="960">
        <f>P12*'All Together'!AA11</f>
        <v>-38940.470911558186</v>
      </c>
      <c r="Q56" s="960">
        <f>Q12*'All Together'!AB11</f>
        <v>-42497.425792825095</v>
      </c>
      <c r="R56" s="960">
        <f>R12*'All Together'!AC11</f>
        <v>-46474.655203890405</v>
      </c>
      <c r="S56" s="960">
        <f>S12*'All Together'!AD11</f>
        <v>-50923.356246655996</v>
      </c>
    </row>
    <row r="57" spans="1:19" s="20" customFormat="1" ht="16" thickBot="1">
      <c r="A57" s="103"/>
      <c r="B57" s="103"/>
      <c r="C57" s="103"/>
      <c r="D57" s="172" t="s">
        <v>1010</v>
      </c>
      <c r="E57" s="961">
        <f>SUM(E54:E56)</f>
        <v>137243.46590872225</v>
      </c>
      <c r="F57" s="961">
        <f t="shared" ref="F57" si="40">SUM(F54:F56)</f>
        <v>192821.4507484198</v>
      </c>
      <c r="G57" s="961">
        <f t="shared" ref="G57" si="41">SUM(G54:G56)</f>
        <v>202966.06133296725</v>
      </c>
      <c r="H57" s="961">
        <f t="shared" ref="H57" si="42">SUM(H54:H56)</f>
        <v>212260.37034606707</v>
      </c>
      <c r="I57" s="962">
        <f t="shared" ref="I57" si="43">SUM(I54:I56)</f>
        <v>223980.4842683599</v>
      </c>
      <c r="J57" s="961">
        <f t="shared" ref="J57" si="44">SUM(J54:J56)</f>
        <v>233274.19174040001</v>
      </c>
      <c r="K57" s="961">
        <f t="shared" ref="K57" si="45">SUM(K54:K56)</f>
        <v>248254.52515849294</v>
      </c>
      <c r="L57" s="961">
        <f t="shared" ref="L57" si="46">SUM(L54:L56)</f>
        <v>264772.86015545484</v>
      </c>
      <c r="M57" s="961">
        <f t="shared" ref="M57" si="47">SUM(M54:M56)</f>
        <v>287490.913433821</v>
      </c>
      <c r="N57" s="961">
        <f t="shared" ref="N57" si="48">SUM(N54:N56)</f>
        <v>309605.47724975826</v>
      </c>
      <c r="O57" s="961">
        <f t="shared" ref="O57" si="49">SUM(O54:O56)</f>
        <v>332618.74328660785</v>
      </c>
      <c r="P57" s="961">
        <f t="shared" ref="P57" si="50">SUM(P54:P56)</f>
        <v>357985.0152374981</v>
      </c>
      <c r="Q57" s="961">
        <f t="shared" ref="Q57" si="51">SUM(Q54:Q56)</f>
        <v>386156.27141711221</v>
      </c>
      <c r="R57" s="961">
        <f t="shared" ref="R57" si="52">SUM(R54:R56)</f>
        <v>417512.08978228387</v>
      </c>
      <c r="S57" s="961">
        <f t="shared" ref="S57" si="53">SUM(S54:S56)</f>
        <v>452423.84811037435</v>
      </c>
    </row>
    <row r="58" spans="1:19">
      <c r="D58" s="161" t="s">
        <v>1196</v>
      </c>
    </row>
    <row r="60" spans="1:19" s="160" customFormat="1" ht="14">
      <c r="D60" s="7" t="s">
        <v>1015</v>
      </c>
      <c r="E60" s="451">
        <f>O207</f>
        <v>0.12359885274233731</v>
      </c>
      <c r="F60" s="451">
        <f>E60</f>
        <v>0.12359885274233731</v>
      </c>
      <c r="G60" s="451">
        <f t="shared" ref="G60:S60" si="54">F60</f>
        <v>0.12359885274233731</v>
      </c>
      <c r="H60" s="451">
        <f t="shared" si="54"/>
        <v>0.12359885274233731</v>
      </c>
      <c r="I60" s="451">
        <f t="shared" si="54"/>
        <v>0.12359885274233731</v>
      </c>
      <c r="J60" s="451">
        <f t="shared" si="54"/>
        <v>0.12359885274233731</v>
      </c>
      <c r="K60" s="451">
        <f t="shared" si="54"/>
        <v>0.12359885274233731</v>
      </c>
      <c r="L60" s="451">
        <f t="shared" si="54"/>
        <v>0.12359885274233731</v>
      </c>
      <c r="M60" s="451">
        <f t="shared" si="54"/>
        <v>0.12359885274233731</v>
      </c>
      <c r="N60" s="451">
        <f t="shared" si="54"/>
        <v>0.12359885274233731</v>
      </c>
      <c r="O60" s="451">
        <f t="shared" si="54"/>
        <v>0.12359885274233731</v>
      </c>
      <c r="P60" s="451">
        <f t="shared" si="54"/>
        <v>0.12359885274233731</v>
      </c>
      <c r="Q60" s="451">
        <f t="shared" si="54"/>
        <v>0.12359885274233731</v>
      </c>
      <c r="R60" s="451">
        <f t="shared" si="54"/>
        <v>0.12359885274233731</v>
      </c>
      <c r="S60" s="451">
        <f t="shared" si="54"/>
        <v>0.12359885274233731</v>
      </c>
    </row>
    <row r="61" spans="1:19" s="160" customFormat="1" thickBot="1">
      <c r="D61" s="7" t="s">
        <v>1016</v>
      </c>
      <c r="E61" s="119">
        <f>1/((1+E60)^E48)</f>
        <v>1</v>
      </c>
      <c r="F61" s="119">
        <f>1/((1+F60)^F48)</f>
        <v>0.88999734875069259</v>
      </c>
      <c r="G61" s="119">
        <f t="shared" ref="G61" si="55">1/((1+G60)^G48)</f>
        <v>0.79209528078326186</v>
      </c>
      <c r="H61" s="119">
        <f t="shared" ref="H61" si="56">1/((1+H60)^H48)</f>
        <v>0.70496269985503845</v>
      </c>
      <c r="I61" s="119">
        <f t="shared" ref="I61" si="57">1/((1+I60)^I48)</f>
        <v>0.6274149338391144</v>
      </c>
      <c r="J61" s="119">
        <f t="shared" ref="J61" si="58">1/((1+J60)^J48)</f>
        <v>0.55839762768340306</v>
      </c>
      <c r="K61" s="119">
        <f t="shared" ref="K61" si="59">1/((1+K60)^K48)</f>
        <v>0.49697240818690502</v>
      </c>
      <c r="L61" s="119">
        <f t="shared" ref="L61" si="60">1/((1+L60)^L48)</f>
        <v>0.44230412568859245</v>
      </c>
      <c r="M61" s="119">
        <f t="shared" ref="M61" si="61">1/((1+M60)^M48)</f>
        <v>0.39364949920434028</v>
      </c>
      <c r="N61" s="119">
        <f t="shared" ref="N61" si="62">1/((1+N60)^N48)</f>
        <v>0.35034701062890072</v>
      </c>
      <c r="O61" s="119">
        <f t="shared" ref="O61" si="63">1/((1+O60)^O48)</f>
        <v>0.31180791060245228</v>
      </c>
      <c r="P61" s="119">
        <f t="shared" ref="P61" si="64">1/((1+P60)^P48)</f>
        <v>0.27750821375567553</v>
      </c>
      <c r="Q61" s="119">
        <f t="shared" ref="Q61" si="65">1/((1+Q60)^Q48)</f>
        <v>0.24698157449909167</v>
      </c>
      <c r="R61" s="119">
        <f t="shared" ref="R61" si="66">1/((1+R60)^R48)</f>
        <v>0.21981294649446326</v>
      </c>
      <c r="S61" s="119">
        <f t="shared" ref="S61" si="67">1/((1+S60)^S48)</f>
        <v>0.19563293960115014</v>
      </c>
    </row>
    <row r="62" spans="1:19" s="20" customFormat="1" ht="16" thickBot="1">
      <c r="A62" s="103"/>
      <c r="B62" s="103"/>
      <c r="C62" s="103"/>
      <c r="D62" s="103" t="s">
        <v>1203</v>
      </c>
      <c r="E62" s="961">
        <f>E61*E57</f>
        <v>137243.46590872225</v>
      </c>
      <c r="F62" s="961">
        <f t="shared" ref="F62" si="68">F61*F57</f>
        <v>171610.57994835588</v>
      </c>
      <c r="G62" s="961">
        <f t="shared" ref="G62" si="69">G61*G57</f>
        <v>160768.45934100944</v>
      </c>
      <c r="H62" s="961">
        <f t="shared" ref="H62" si="70">H61*H57</f>
        <v>149635.64375139377</v>
      </c>
      <c r="I62" s="961">
        <f t="shared" ref="I62" si="71">I61*I57</f>
        <v>140528.70071848584</v>
      </c>
      <c r="J62" s="961">
        <f t="shared" ref="J62" si="72">J61*J57</f>
        <v>130259.75526760267</v>
      </c>
      <c r="K62" s="961">
        <f t="shared" ref="K62" si="73">K61*K57</f>
        <v>123375.64921131283</v>
      </c>
      <c r="L62" s="961">
        <f t="shared" ref="L62" si="74">L61*L57</f>
        <v>117110.12841712641</v>
      </c>
      <c r="M62" s="961">
        <f t="shared" ref="M62" si="75">M61*M57</f>
        <v>113170.65409902198</v>
      </c>
      <c r="N62" s="961">
        <f t="shared" ref="N62" si="76">N61*N57</f>
        <v>108469.35342878694</v>
      </c>
      <c r="O62" s="961">
        <f t="shared" ref="O62" si="77">O61*O57</f>
        <v>103713.15537141064</v>
      </c>
      <c r="P62" s="961">
        <f t="shared" ref="P62" si="78">P61*P57</f>
        <v>99343.782129856379</v>
      </c>
      <c r="Q62" s="961">
        <f t="shared" ref="Q62" si="79">Q61*Q57</f>
        <v>95373.483917296966</v>
      </c>
      <c r="R62" s="961">
        <f t="shared" ref="R62" si="80">R61*R57</f>
        <v>91774.562652104709</v>
      </c>
      <c r="S62" s="961">
        <f t="shared" ref="S62" si="81">S61*S57</f>
        <v>88509.007351496795</v>
      </c>
    </row>
    <row r="63" spans="1:19" s="160" customFormat="1" thickBot="1">
      <c r="D63" s="7" t="s">
        <v>1204</v>
      </c>
      <c r="E63" s="454">
        <f>E218</f>
        <v>4.4166666666666667E-2</v>
      </c>
      <c r="F63" s="7"/>
      <c r="G63" s="7"/>
      <c r="H63" s="7"/>
      <c r="I63" s="7"/>
      <c r="J63" s="7"/>
      <c r="K63" s="7"/>
      <c r="L63" s="7"/>
      <c r="M63" s="7"/>
      <c r="N63" s="7"/>
      <c r="O63" s="7"/>
      <c r="P63" s="7"/>
      <c r="Q63" s="7"/>
      <c r="R63" s="7"/>
      <c r="S63" s="7"/>
    </row>
    <row r="64" spans="1:19" s="20" customFormat="1" ht="16" thickBot="1">
      <c r="A64" s="103"/>
      <c r="B64" s="103"/>
      <c r="C64" s="103"/>
      <c r="D64" s="103" t="s">
        <v>1017</v>
      </c>
      <c r="E64" s="961">
        <f>O64*O61</f>
        <v>1363349.3560215302</v>
      </c>
      <c r="O64" s="963">
        <f>O57*(1+E63)/(E60-E63)</f>
        <v>4372401.4358306918</v>
      </c>
    </row>
    <row r="65" spans="1:19" ht="16" thickBot="1">
      <c r="D65" s="20"/>
    </row>
    <row r="66" spans="1:19" ht="16" thickBot="1">
      <c r="D66" s="1909" t="s">
        <v>1205</v>
      </c>
      <c r="E66" s="1910"/>
    </row>
    <row r="67" spans="1:19" ht="16" thickBot="1">
      <c r="D67" s="172" t="s">
        <v>1206</v>
      </c>
      <c r="E67" s="962">
        <f>E64+SUM(F62:O62)</f>
        <v>2681991.4355760366</v>
      </c>
    </row>
    <row r="68" spans="1:19">
      <c r="D68" s="20"/>
      <c r="E68" s="727"/>
    </row>
    <row r="69" spans="1:19">
      <c r="D69" s="20"/>
      <c r="E69" s="727"/>
    </row>
    <row r="71" spans="1:19" ht="20">
      <c r="D71" s="1905" t="s">
        <v>1761</v>
      </c>
      <c r="E71" s="1905"/>
      <c r="F71" s="1905"/>
      <c r="G71" s="1905"/>
      <c r="H71" s="1905"/>
      <c r="I71" s="1905"/>
      <c r="J71" s="1905"/>
      <c r="K71" s="1905"/>
      <c r="L71" s="1905"/>
      <c r="M71" s="1905"/>
      <c r="N71" s="1905"/>
      <c r="O71" s="1905"/>
      <c r="P71" s="1905"/>
      <c r="Q71" s="1905"/>
      <c r="R71" s="1905"/>
      <c r="S71" s="1905"/>
    </row>
    <row r="72" spans="1:19" ht="16" thickBot="1">
      <c r="E72" s="453">
        <v>0</v>
      </c>
      <c r="F72" s="453">
        <v>1</v>
      </c>
      <c r="G72" s="453">
        <v>2</v>
      </c>
      <c r="H72" s="453">
        <v>3</v>
      </c>
      <c r="I72" s="453">
        <v>4</v>
      </c>
      <c r="J72" s="453">
        <v>5</v>
      </c>
      <c r="K72" s="453">
        <v>6</v>
      </c>
      <c r="L72" s="453">
        <v>7</v>
      </c>
      <c r="M72" s="453">
        <v>8</v>
      </c>
      <c r="N72" s="453">
        <v>9</v>
      </c>
      <c r="O72" s="453">
        <v>10</v>
      </c>
      <c r="P72" s="453">
        <v>11</v>
      </c>
      <c r="Q72" s="453">
        <v>12</v>
      </c>
      <c r="R72" s="453">
        <v>13</v>
      </c>
      <c r="S72" s="453">
        <v>14</v>
      </c>
    </row>
    <row r="73" spans="1:19" ht="16" thickBot="1">
      <c r="D73" s="172" t="s">
        <v>1914</v>
      </c>
      <c r="E73" s="404" t="s">
        <v>24</v>
      </c>
      <c r="F73" s="404" t="s">
        <v>25</v>
      </c>
      <c r="G73" s="404" t="s">
        <v>26</v>
      </c>
      <c r="H73" s="404" t="s">
        <v>27</v>
      </c>
      <c r="I73" s="1846" t="s">
        <v>712</v>
      </c>
      <c r="J73" s="404" t="s">
        <v>713</v>
      </c>
      <c r="K73" s="404" t="s">
        <v>714</v>
      </c>
      <c r="L73" s="404" t="s">
        <v>715</v>
      </c>
      <c r="M73" s="404" t="s">
        <v>716</v>
      </c>
      <c r="N73" s="404" t="s">
        <v>717</v>
      </c>
      <c r="O73" s="404" t="s">
        <v>718</v>
      </c>
      <c r="P73" s="404" t="s">
        <v>719</v>
      </c>
      <c r="Q73" s="404" t="s">
        <v>720</v>
      </c>
      <c r="R73" s="404" t="s">
        <v>721</v>
      </c>
      <c r="S73" s="404" t="s">
        <v>722</v>
      </c>
    </row>
    <row r="74" spans="1:19" s="160" customFormat="1">
      <c r="D74" s="726" t="s">
        <v>1190</v>
      </c>
      <c r="E74" s="1415">
        <f>'All Together'!P39</f>
        <v>128359.14000000001</v>
      </c>
      <c r="F74" s="1415">
        <f>'All Together'!Q39</f>
        <v>139494.29539499999</v>
      </c>
      <c r="G74" s="1415">
        <f>'All Together'!R39</f>
        <v>149426.28922712404</v>
      </c>
      <c r="H74" s="1415">
        <f>'All Together'!S39</f>
        <v>159288.42431611422</v>
      </c>
      <c r="I74" s="1829">
        <f>'All Together'!T39</f>
        <v>168973.16051453396</v>
      </c>
      <c r="J74" s="960">
        <f>'All Together'!U39</f>
        <v>179246.72867381762</v>
      </c>
      <c r="K74" s="960">
        <f>'All Together'!V39</f>
        <v>190144.92977718572</v>
      </c>
      <c r="L74" s="960">
        <f>'All Together'!W39</f>
        <v>201705.74150763862</v>
      </c>
      <c r="M74" s="960">
        <f>'All Together'!X39</f>
        <v>213969.45059130303</v>
      </c>
      <c r="N74" s="960">
        <f>'All Together'!Y39</f>
        <v>226978.79318725425</v>
      </c>
      <c r="O74" s="960">
        <f>'All Together'!Z39</f>
        <v>240779.10381303931</v>
      </c>
      <c r="P74" s="960">
        <f>'All Together'!AA39</f>
        <v>255418.47332487209</v>
      </c>
      <c r="Q74" s="960">
        <f>'All Together'!AB39</f>
        <v>270947.91650302429</v>
      </c>
      <c r="R74" s="960">
        <f>'All Together'!AC39</f>
        <v>287421.54982640815</v>
      </c>
      <c r="S74" s="960">
        <f>'All Together'!AD39</f>
        <v>304896.78005585377</v>
      </c>
    </row>
    <row r="75" spans="1:19" s="160" customFormat="1">
      <c r="D75" s="1228" t="s">
        <v>1191</v>
      </c>
      <c r="E75" s="1472">
        <f>G208</f>
        <v>0.28000000000000003</v>
      </c>
      <c r="F75" s="1472">
        <f>E75</f>
        <v>0.28000000000000003</v>
      </c>
      <c r="G75" s="1472">
        <f t="shared" ref="G75:S75" si="82">F75</f>
        <v>0.28000000000000003</v>
      </c>
      <c r="H75" s="1472">
        <f t="shared" si="82"/>
        <v>0.28000000000000003</v>
      </c>
      <c r="I75" s="1473">
        <f t="shared" si="82"/>
        <v>0.28000000000000003</v>
      </c>
      <c r="J75" s="451">
        <f t="shared" si="82"/>
        <v>0.28000000000000003</v>
      </c>
      <c r="K75" s="451">
        <f t="shared" si="82"/>
        <v>0.28000000000000003</v>
      </c>
      <c r="L75" s="451">
        <f t="shared" si="82"/>
        <v>0.28000000000000003</v>
      </c>
      <c r="M75" s="451">
        <f t="shared" si="82"/>
        <v>0.28000000000000003</v>
      </c>
      <c r="N75" s="451">
        <f t="shared" si="82"/>
        <v>0.28000000000000003</v>
      </c>
      <c r="O75" s="451">
        <f t="shared" si="82"/>
        <v>0.28000000000000003</v>
      </c>
      <c r="P75" s="451">
        <f t="shared" si="82"/>
        <v>0.28000000000000003</v>
      </c>
      <c r="Q75" s="451">
        <f t="shared" si="82"/>
        <v>0.28000000000000003</v>
      </c>
      <c r="R75" s="451">
        <f t="shared" si="82"/>
        <v>0.28000000000000003</v>
      </c>
      <c r="S75" s="451">
        <f t="shared" si="82"/>
        <v>0.28000000000000003</v>
      </c>
    </row>
    <row r="76" spans="1:19" s="160" customFormat="1">
      <c r="D76" s="1228" t="s">
        <v>1192</v>
      </c>
      <c r="E76" s="1415">
        <f>-E75*E74</f>
        <v>-35940.559200000011</v>
      </c>
      <c r="F76" s="1415">
        <f>-F75*F74</f>
        <v>-39058.402710599999</v>
      </c>
      <c r="G76" s="1415">
        <f t="shared" ref="G76" si="83">-G75*G74</f>
        <v>-41839.360983594735</v>
      </c>
      <c r="H76" s="1415">
        <f t="shared" ref="H76" si="84">-H75*H74</f>
        <v>-44600.758808511986</v>
      </c>
      <c r="I76" s="1829">
        <f t="shared" ref="I76" si="85">-I75*I74</f>
        <v>-47312.484944069511</v>
      </c>
      <c r="J76" s="960">
        <f t="shared" ref="J76" si="86">-J75*J74</f>
        <v>-50189.084028668934</v>
      </c>
      <c r="K76" s="960">
        <f t="shared" ref="K76" si="87">-K75*K74</f>
        <v>-53240.580337612009</v>
      </c>
      <c r="L76" s="960">
        <f t="shared" ref="L76" si="88">-L75*L74</f>
        <v>-56477.607622138821</v>
      </c>
      <c r="M76" s="960">
        <f t="shared" ref="M76" si="89">-M75*M74</f>
        <v>-59911.446165564856</v>
      </c>
      <c r="N76" s="960">
        <f t="shared" ref="N76" si="90">-N75*N74</f>
        <v>-63554.062092431195</v>
      </c>
      <c r="O76" s="960">
        <f t="shared" ref="O76" si="91">-O75*O74</f>
        <v>-67418.149067651015</v>
      </c>
      <c r="P76" s="960">
        <f t="shared" ref="P76" si="92">-P75*P74</f>
        <v>-71517.172530964192</v>
      </c>
      <c r="Q76" s="960">
        <f t="shared" ref="Q76" si="93">-Q75*Q74</f>
        <v>-75865.416620846809</v>
      </c>
      <c r="R76" s="960">
        <f t="shared" ref="R76" si="94">-R75*R74</f>
        <v>-80478.033951394289</v>
      </c>
      <c r="S76" s="960">
        <f t="shared" ref="S76" si="95">-S75*S74</f>
        <v>-85371.098415639062</v>
      </c>
    </row>
    <row r="77" spans="1:19" s="457" customFormat="1" ht="16" thickBot="1">
      <c r="D77" s="1894" t="s">
        <v>1193</v>
      </c>
      <c r="E77" s="1415">
        <f>'All Together'!P97</f>
        <v>29504.609708000004</v>
      </c>
      <c r="F77" s="1415">
        <f>'All Together'!Q97</f>
        <v>32104.322000973047</v>
      </c>
      <c r="G77" s="1415">
        <f>'All Together'!R97</f>
        <v>35027.914299507524</v>
      </c>
      <c r="H77" s="1415">
        <f>'All Together'!S97</f>
        <v>37668.304763294705</v>
      </c>
      <c r="I77" s="1829">
        <f>'All Together'!T97</f>
        <v>40616.954119715563</v>
      </c>
      <c r="J77" s="960">
        <f>'All Together'!U97</f>
        <v>43906.272297856944</v>
      </c>
      <c r="K77" s="960">
        <f>'All Together'!V97</f>
        <v>47576.299496731423</v>
      </c>
      <c r="L77" s="960">
        <f>'All Together'!W97</f>
        <v>51673.695443186974</v>
      </c>
      <c r="M77" s="960">
        <f>'All Together'!X97</f>
        <v>56254.179417642474</v>
      </c>
      <c r="N77" s="960">
        <f>'All Together'!Y97</f>
        <v>61369.84187560789</v>
      </c>
      <c r="O77" s="960">
        <f>'All Together'!Z97</f>
        <v>67083.516745976827</v>
      </c>
      <c r="P77" s="960">
        <f>'All Together'!AA97</f>
        <v>73466.461631059006</v>
      </c>
      <c r="Q77" s="960">
        <f>'All Together'!AB97</f>
        <v>80598.798178751764</v>
      </c>
      <c r="R77" s="960">
        <f>'All Together'!AC97</f>
        <v>88570.41936008996</v>
      </c>
      <c r="S77" s="960">
        <f>'All Together'!AD97</f>
        <v>97482.195259521846</v>
      </c>
    </row>
    <row r="78" spans="1:19" s="124" customFormat="1" ht="16" thickBot="1">
      <c r="A78" s="450"/>
      <c r="B78" s="450"/>
      <c r="C78" s="450"/>
      <c r="D78" s="172" t="s">
        <v>481</v>
      </c>
      <c r="E78" s="961">
        <f>SUM(E74,E76,E77)</f>
        <v>121923.190508</v>
      </c>
      <c r="F78" s="961">
        <f t="shared" ref="F78" si="96">SUM(F74,F76,F77)</f>
        <v>132540.21468537304</v>
      </c>
      <c r="G78" s="961">
        <f t="shared" ref="G78" si="97">SUM(G74,G76,G77)</f>
        <v>142614.84254303685</v>
      </c>
      <c r="H78" s="961">
        <f t="shared" ref="H78" si="98">SUM(H74,H76,H77)</f>
        <v>152355.97027089694</v>
      </c>
      <c r="I78" s="962">
        <f t="shared" ref="I78" si="99">SUM(I74,I76,I77)</f>
        <v>162277.62969018001</v>
      </c>
      <c r="J78" s="814">
        <f t="shared" ref="J78" si="100">SUM(J74,J76,J77)</f>
        <v>172963.91694300564</v>
      </c>
      <c r="K78" s="814">
        <f t="shared" ref="K78" si="101">SUM(K74,K76,K77)</f>
        <v>184480.64893630514</v>
      </c>
      <c r="L78" s="814">
        <f t="shared" ref="L78" si="102">SUM(L74,L76,L77)</f>
        <v>196901.82932868676</v>
      </c>
      <c r="M78" s="814">
        <f t="shared" ref="M78" si="103">SUM(M74,M76,M77)</f>
        <v>210312.18384338066</v>
      </c>
      <c r="N78" s="814">
        <f t="shared" ref="N78" si="104">SUM(N74,N76,N77)</f>
        <v>224794.57297043095</v>
      </c>
      <c r="O78" s="814">
        <f t="shared" ref="O78" si="105">SUM(O74,O76,O77)</f>
        <v>240444.47149136511</v>
      </c>
      <c r="P78" s="814">
        <f t="shared" ref="P78" si="106">SUM(P74,P76,P77)</f>
        <v>257367.7624249669</v>
      </c>
      <c r="Q78" s="814">
        <f t="shared" ref="Q78" si="107">SUM(Q74,Q76,Q77)</f>
        <v>275681.29806092923</v>
      </c>
      <c r="R78" s="814">
        <f t="shared" ref="R78" si="108">SUM(R74,R76,R77)</f>
        <v>295513.93523510383</v>
      </c>
      <c r="S78" s="814">
        <f t="shared" ref="S78" si="109">SUM(S74,S76,S77)</f>
        <v>317007.87689973653</v>
      </c>
    </row>
    <row r="79" spans="1:19" s="160" customFormat="1">
      <c r="D79" s="1228" t="s">
        <v>1194</v>
      </c>
      <c r="E79" s="1415">
        <f>-'All Together'!P73</f>
        <v>-37073.491999999998</v>
      </c>
      <c r="F79" s="1415">
        <f>-'All Together'!Q73</f>
        <v>-41560.78721750457</v>
      </c>
      <c r="G79" s="1415">
        <f>-'All Together'!R73</f>
        <v>-46509.528654564761</v>
      </c>
      <c r="H79" s="1415">
        <f>-'All Together'!S73</f>
        <v>-52027.398301225243</v>
      </c>
      <c r="I79" s="1829">
        <f>-'All Together'!T73</f>
        <v>-58101.465151149889</v>
      </c>
      <c r="J79" s="960">
        <f>-'All Together'!U73</f>
        <v>-64814.151293426126</v>
      </c>
      <c r="K79" s="960">
        <f>-'All Together'!V73</f>
        <v>-72315.806874373942</v>
      </c>
      <c r="L79" s="960">
        <f>-'All Together'!W73</f>
        <v>-80736.865940010888</v>
      </c>
      <c r="M79" s="960">
        <f>-'All Together'!X73</f>
        <v>-90255.841861192079</v>
      </c>
      <c r="N79" s="960">
        <f>-'All Together'!Y73</f>
        <v>-100801.23069882584</v>
      </c>
      <c r="O79" s="960">
        <f>-'All Together'!Z73</f>
        <v>-112584.72650973297</v>
      </c>
      <c r="P79" s="960">
        <f>-'All Together'!AA73</f>
        <v>-125772.31300654517</v>
      </c>
      <c r="Q79" s="960">
        <f>-'All Together'!AB73</f>
        <v>-140538.65118606397</v>
      </c>
      <c r="R79" s="960">
        <f>-'All Together'!AC73</f>
        <v>-157076.27943523554</v>
      </c>
      <c r="S79" s="960">
        <f>-'All Together'!AD73</f>
        <v>-175601.49555530783</v>
      </c>
    </row>
    <row r="80" spans="1:19" s="160" customFormat="1" ht="16" thickBot="1">
      <c r="D80" s="1228" t="s">
        <v>1195</v>
      </c>
      <c r="E80" s="1415">
        <f>E12*'All Together'!P15</f>
        <v>-25537.827686973393</v>
      </c>
      <c r="F80" s="1415">
        <f>F12*'All Together'!Q15</f>
        <v>-8745.8407127204337</v>
      </c>
      <c r="G80" s="1415">
        <f>G12*'All Together'!R15</f>
        <v>-8822.8749487617897</v>
      </c>
      <c r="H80" s="1415">
        <f>H12*'All Together'!S15</f>
        <v>-9276.2425375795792</v>
      </c>
      <c r="I80" s="1829">
        <f>I12*'All Together'!T15</f>
        <v>-9238.4281664117843</v>
      </c>
      <c r="J80" s="960">
        <f>J12*'All Together'!U15</f>
        <v>-9387.102114833875</v>
      </c>
      <c r="K80" s="960">
        <f>K12*'All Together'!V15</f>
        <v>-10032.836046048609</v>
      </c>
      <c r="L80" s="960">
        <f>L12*'All Together'!W15</f>
        <v>-10913.801609566677</v>
      </c>
      <c r="M80" s="960">
        <f>M12*'All Together'!X15</f>
        <v>-12164.19972297497</v>
      </c>
      <c r="N80" s="960">
        <f>N12*'All Together'!Y15</f>
        <v>-12449.064756830569</v>
      </c>
      <c r="O80" s="960">
        <f>O12*'All Together'!Z15</f>
        <v>-13233.050401794848</v>
      </c>
      <c r="P80" s="960">
        <f>P12*'All Together'!AA15</f>
        <v>-14151.724485309844</v>
      </c>
      <c r="Q80" s="960">
        <f>Q12*'All Together'!AB15</f>
        <v>-15150.454295299642</v>
      </c>
      <c r="R80" s="960">
        <f>R12*'All Together'!AC15</f>
        <v>-16216.639948672377</v>
      </c>
      <c r="S80" s="960">
        <f>S12*'All Together'!AD15</f>
        <v>-17354.341320566196</v>
      </c>
    </row>
    <row r="81" spans="1:19" s="20" customFormat="1" ht="16" thickBot="1">
      <c r="A81" s="103"/>
      <c r="B81" s="103"/>
      <c r="C81" s="103"/>
      <c r="D81" s="172" t="s">
        <v>1010</v>
      </c>
      <c r="E81" s="961">
        <f>SUM(E78:E80)</f>
        <v>59311.870821026605</v>
      </c>
      <c r="F81" s="961">
        <f t="shared" ref="F81" si="110">SUM(F78:F80)</f>
        <v>82233.586755148019</v>
      </c>
      <c r="G81" s="961">
        <f t="shared" ref="G81" si="111">SUM(G78:G80)</f>
        <v>87282.438939710308</v>
      </c>
      <c r="H81" s="961">
        <f t="shared" ref="H81" si="112">SUM(H78:H80)</f>
        <v>91052.329432092112</v>
      </c>
      <c r="I81" s="962">
        <f t="shared" ref="I81" si="113">SUM(I78:I80)</f>
        <v>94937.736372618325</v>
      </c>
      <c r="J81" s="961">
        <f t="shared" ref="J81" si="114">SUM(J78:J80)</f>
        <v>98762.663534745632</v>
      </c>
      <c r="K81" s="961">
        <f t="shared" ref="K81" si="115">SUM(K78:K80)</f>
        <v>102132.00601588258</v>
      </c>
      <c r="L81" s="961">
        <f t="shared" ref="L81" si="116">SUM(L78:L80)</f>
        <v>105251.16177910918</v>
      </c>
      <c r="M81" s="961">
        <f t="shared" ref="M81" si="117">SUM(M78:M80)</f>
        <v>107892.14225921361</v>
      </c>
      <c r="N81" s="961">
        <f t="shared" ref="N81" si="118">SUM(N78:N80)</f>
        <v>111544.27751477454</v>
      </c>
      <c r="O81" s="961">
        <f t="shared" ref="O81" si="119">SUM(O78:O80)</f>
        <v>114626.69457983729</v>
      </c>
      <c r="P81" s="961">
        <f t="shared" ref="P81" si="120">SUM(P78:P80)</f>
        <v>117443.72493311188</v>
      </c>
      <c r="Q81" s="961">
        <f t="shared" ref="Q81" si="121">SUM(Q78:Q80)</f>
        <v>119992.19257956561</v>
      </c>
      <c r="R81" s="961">
        <f t="shared" ref="R81" si="122">SUM(R78:R80)</f>
        <v>122221.0158511959</v>
      </c>
      <c r="S81" s="961">
        <f t="shared" ref="S81" si="123">SUM(S78:S80)</f>
        <v>124052.0400238625</v>
      </c>
    </row>
    <row r="82" spans="1:19">
      <c r="D82" s="161" t="s">
        <v>1196</v>
      </c>
    </row>
    <row r="84" spans="1:19" s="160" customFormat="1" ht="14">
      <c r="D84" s="7" t="s">
        <v>1015</v>
      </c>
      <c r="E84" s="451">
        <f>O208</f>
        <v>0.12359885274233731</v>
      </c>
      <c r="F84" s="451">
        <f>E84</f>
        <v>0.12359885274233731</v>
      </c>
      <c r="G84" s="451">
        <f t="shared" ref="G84:S84" si="124">F84</f>
        <v>0.12359885274233731</v>
      </c>
      <c r="H84" s="451">
        <f t="shared" si="124"/>
        <v>0.12359885274233731</v>
      </c>
      <c r="I84" s="451">
        <f t="shared" si="124"/>
        <v>0.12359885274233731</v>
      </c>
      <c r="J84" s="451">
        <f t="shared" si="124"/>
        <v>0.12359885274233731</v>
      </c>
      <c r="K84" s="451">
        <f t="shared" si="124"/>
        <v>0.12359885274233731</v>
      </c>
      <c r="L84" s="451">
        <f t="shared" si="124"/>
        <v>0.12359885274233731</v>
      </c>
      <c r="M84" s="451">
        <f t="shared" si="124"/>
        <v>0.12359885274233731</v>
      </c>
      <c r="N84" s="451">
        <f t="shared" si="124"/>
        <v>0.12359885274233731</v>
      </c>
      <c r="O84" s="451">
        <f t="shared" si="124"/>
        <v>0.12359885274233731</v>
      </c>
      <c r="P84" s="451">
        <f t="shared" si="124"/>
        <v>0.12359885274233731</v>
      </c>
      <c r="Q84" s="451">
        <f t="shared" si="124"/>
        <v>0.12359885274233731</v>
      </c>
      <c r="R84" s="451">
        <f t="shared" si="124"/>
        <v>0.12359885274233731</v>
      </c>
      <c r="S84" s="451">
        <f t="shared" si="124"/>
        <v>0.12359885274233731</v>
      </c>
    </row>
    <row r="85" spans="1:19" s="160" customFormat="1" thickBot="1">
      <c r="D85" s="7" t="s">
        <v>1016</v>
      </c>
      <c r="E85" s="7">
        <f>1/((1+E84)^E72)</f>
        <v>1</v>
      </c>
      <c r="F85" s="119">
        <f>1/((1+F84)^F72)</f>
        <v>0.88999734875069259</v>
      </c>
      <c r="G85" s="119">
        <f t="shared" ref="G85" si="125">1/((1+G84)^G72)</f>
        <v>0.79209528078326186</v>
      </c>
      <c r="H85" s="119">
        <f t="shared" ref="H85" si="126">1/((1+H84)^H72)</f>
        <v>0.70496269985503845</v>
      </c>
      <c r="I85" s="119">
        <f t="shared" ref="I85" si="127">1/((1+I84)^I72)</f>
        <v>0.6274149338391144</v>
      </c>
      <c r="J85" s="119">
        <f t="shared" ref="J85" si="128">1/((1+J84)^J72)</f>
        <v>0.55839762768340306</v>
      </c>
      <c r="K85" s="119">
        <f t="shared" ref="K85" si="129">1/((1+K84)^K72)</f>
        <v>0.49697240818690502</v>
      </c>
      <c r="L85" s="119">
        <f t="shared" ref="L85" si="130">1/((1+L84)^L72)</f>
        <v>0.44230412568859245</v>
      </c>
      <c r="M85" s="119">
        <f t="shared" ref="M85" si="131">1/((1+M84)^M72)</f>
        <v>0.39364949920434028</v>
      </c>
      <c r="N85" s="119">
        <f t="shared" ref="N85" si="132">1/((1+N84)^N72)</f>
        <v>0.35034701062890072</v>
      </c>
      <c r="O85" s="119">
        <f t="shared" ref="O85" si="133">1/((1+O84)^O72)</f>
        <v>0.31180791060245228</v>
      </c>
      <c r="P85" s="119">
        <f t="shared" ref="P85" si="134">1/((1+P84)^P72)</f>
        <v>0.27750821375567553</v>
      </c>
      <c r="Q85" s="119">
        <f t="shared" ref="Q85" si="135">1/((1+Q84)^Q72)</f>
        <v>0.24698157449909167</v>
      </c>
      <c r="R85" s="119">
        <f t="shared" ref="R85" si="136">1/((1+R84)^R72)</f>
        <v>0.21981294649446326</v>
      </c>
      <c r="S85" s="119">
        <f t="shared" ref="S85" si="137">1/((1+S84)^S72)</f>
        <v>0.19563293960115014</v>
      </c>
    </row>
    <row r="86" spans="1:19" s="20" customFormat="1" ht="16" thickBot="1">
      <c r="A86" s="103"/>
      <c r="B86" s="103"/>
      <c r="C86" s="103"/>
      <c r="D86" s="103" t="s">
        <v>1203</v>
      </c>
      <c r="E86" s="961">
        <f>E85*E81</f>
        <v>59311.870821026605</v>
      </c>
      <c r="F86" s="961">
        <f t="shared" ref="F86" si="138">F85*F81</f>
        <v>73187.674190341801</v>
      </c>
      <c r="G86" s="961">
        <f t="shared" ref="G86" si="139">G85*G81</f>
        <v>69136.007979397749</v>
      </c>
      <c r="H86" s="961">
        <f t="shared" ref="H86" si="140">H85*H81</f>
        <v>64188.495984538036</v>
      </c>
      <c r="I86" s="961">
        <f t="shared" ref="I86" si="141">I85*I81</f>
        <v>59565.35358506161</v>
      </c>
      <c r="J86" s="961">
        <f t="shared" ref="J86" si="142">J85*J81</f>
        <v>55148.837021496103</v>
      </c>
      <c r="K86" s="961">
        <f t="shared" ref="K86" si="143">K85*K81</f>
        <v>50756.788982672639</v>
      </c>
      <c r="L86" s="961">
        <f t="shared" ref="L86" si="144">L85*L81</f>
        <v>46553.023088417489</v>
      </c>
      <c r="M86" s="961">
        <f t="shared" ref="M86" si="145">M85*M81</f>
        <v>42471.687768422875</v>
      </c>
      <c r="N86" s="961">
        <f t="shared" ref="N86" si="146">N85*N81</f>
        <v>39079.204180061766</v>
      </c>
      <c r="O86" s="961">
        <f t="shared" ref="O86" si="147">O85*O81</f>
        <v>35741.51013620451</v>
      </c>
      <c r="P86" s="961">
        <f t="shared" ref="P86" si="148">P85*P81</f>
        <v>32591.59832300077</v>
      </c>
      <c r="Q86" s="961">
        <f t="shared" ref="Q86" si="149">Q85*Q81</f>
        <v>29635.86065089934</v>
      </c>
      <c r="R86" s="961">
        <f t="shared" ref="R86" si="150">R85*R81</f>
        <v>26865.761617797871</v>
      </c>
      <c r="S86" s="961">
        <f t="shared" ref="S86" si="151">S85*S81</f>
        <v>24268.665253387753</v>
      </c>
    </row>
    <row r="87" spans="1:19" s="160" customFormat="1" thickBot="1">
      <c r="D87" s="7" t="s">
        <v>1204</v>
      </c>
      <c r="E87" s="454">
        <f>E218</f>
        <v>4.4166666666666667E-2</v>
      </c>
      <c r="F87" s="7"/>
      <c r="G87" s="7"/>
      <c r="H87" s="7"/>
      <c r="I87" s="7"/>
      <c r="J87" s="7"/>
      <c r="K87" s="7"/>
      <c r="L87" s="7"/>
      <c r="M87" s="7"/>
      <c r="N87" s="7"/>
      <c r="O87" s="7"/>
      <c r="P87" s="7"/>
      <c r="Q87" s="7"/>
      <c r="R87" s="7"/>
      <c r="S87" s="7"/>
    </row>
    <row r="88" spans="1:19" s="20" customFormat="1" ht="16" thickBot="1">
      <c r="A88" s="103"/>
      <c r="B88" s="103"/>
      <c r="C88" s="103"/>
      <c r="D88" s="103" t="s">
        <v>1017</v>
      </c>
      <c r="E88" s="961">
        <f>O88*O85</f>
        <v>469835.91091148806</v>
      </c>
      <c r="O88" s="963">
        <f>O81*(1+E87)/(E84-E87)</f>
        <v>1506812.030534138</v>
      </c>
    </row>
    <row r="89" spans="1:19" ht="16" thickBot="1">
      <c r="D89" s="20"/>
    </row>
    <row r="90" spans="1:19" ht="16" thickBot="1">
      <c r="D90" s="1909" t="s">
        <v>1205</v>
      </c>
      <c r="E90" s="1910"/>
    </row>
    <row r="91" spans="1:19" ht="16" thickBot="1">
      <c r="D91" s="746" t="s">
        <v>1206</v>
      </c>
      <c r="E91" s="964">
        <f>E88+SUM(F86:O86)</f>
        <v>1005664.4938281027</v>
      </c>
    </row>
    <row r="92" spans="1:19">
      <c r="D92" s="20"/>
    </row>
    <row r="95" spans="1:19" ht="20">
      <c r="D95" s="1906" t="s">
        <v>1762</v>
      </c>
      <c r="E95" s="1906"/>
      <c r="F95" s="1906"/>
      <c r="G95" s="1906"/>
      <c r="H95" s="1906"/>
      <c r="I95" s="1906"/>
      <c r="J95" s="1906"/>
      <c r="K95" s="1906"/>
      <c r="L95" s="1906"/>
      <c r="M95" s="1906"/>
      <c r="N95" s="1906"/>
      <c r="O95" s="1906"/>
      <c r="P95" s="1906"/>
      <c r="Q95" s="1906"/>
      <c r="R95" s="1906"/>
      <c r="S95" s="1906"/>
    </row>
    <row r="96" spans="1:19" ht="16" thickBot="1">
      <c r="E96" s="453">
        <v>0</v>
      </c>
      <c r="F96" s="453">
        <v>1</v>
      </c>
      <c r="G96" s="453">
        <v>2</v>
      </c>
      <c r="H96" s="453">
        <v>3</v>
      </c>
      <c r="I96" s="453">
        <v>4</v>
      </c>
      <c r="J96" s="453">
        <v>5</v>
      </c>
      <c r="K96" s="453">
        <v>6</v>
      </c>
      <c r="L96" s="453">
        <v>7</v>
      </c>
      <c r="M96" s="453">
        <v>8</v>
      </c>
      <c r="N96" s="453">
        <v>9</v>
      </c>
      <c r="O96" s="453">
        <v>10</v>
      </c>
      <c r="P96" s="453">
        <v>11</v>
      </c>
      <c r="Q96" s="453">
        <v>12</v>
      </c>
      <c r="R96" s="453">
        <v>13</v>
      </c>
      <c r="S96" s="453">
        <v>14</v>
      </c>
    </row>
    <row r="97" spans="1:19" ht="16" thickBot="1">
      <c r="D97" s="172" t="s">
        <v>1210</v>
      </c>
      <c r="E97" s="404" t="s">
        <v>24</v>
      </c>
      <c r="F97" s="404" t="s">
        <v>25</v>
      </c>
      <c r="G97" s="404" t="s">
        <v>26</v>
      </c>
      <c r="H97" s="404" t="s">
        <v>27</v>
      </c>
      <c r="I97" s="1846" t="s">
        <v>712</v>
      </c>
      <c r="J97" s="404" t="s">
        <v>713</v>
      </c>
      <c r="K97" s="404" t="s">
        <v>714</v>
      </c>
      <c r="L97" s="404" t="s">
        <v>715</v>
      </c>
      <c r="M97" s="404" t="s">
        <v>716</v>
      </c>
      <c r="N97" s="404" t="s">
        <v>717</v>
      </c>
      <c r="O97" s="404" t="s">
        <v>718</v>
      </c>
      <c r="P97" s="404" t="s">
        <v>719</v>
      </c>
      <c r="Q97" s="404" t="s">
        <v>720</v>
      </c>
      <c r="R97" s="404" t="s">
        <v>721</v>
      </c>
      <c r="S97" s="404" t="s">
        <v>722</v>
      </c>
    </row>
    <row r="98" spans="1:19" s="160" customFormat="1">
      <c r="D98" s="726" t="s">
        <v>1190</v>
      </c>
      <c r="E98" s="1415">
        <f>'All Together'!P44/'3f. Exchange Rate USDZAR'!H5</f>
        <v>39979.514281069867</v>
      </c>
      <c r="F98" s="1415">
        <f>'All Together'!Q44/'3f. Exchange Rate USDZAR'!I5</f>
        <v>40755.734141789973</v>
      </c>
      <c r="G98" s="1415">
        <f>'All Together'!R44/'3f. Exchange Rate USDZAR'!J5</f>
        <v>41806.162074489519</v>
      </c>
      <c r="H98" s="1415">
        <f>'All Together'!S44/'3f. Exchange Rate USDZAR'!K5</f>
        <v>43214.743303457879</v>
      </c>
      <c r="I98" s="1829">
        <f>'All Together'!T44/'3f. Exchange Rate USDZAR'!L5</f>
        <v>44743.005691862607</v>
      </c>
      <c r="J98" s="960">
        <f>'All Together'!U44/'3f. Exchange Rate USDZAR'!M5</f>
        <v>46094.041489108989</v>
      </c>
      <c r="K98" s="960">
        <f>'All Together'!V44/'3f. Exchange Rate USDZAR'!N5</f>
        <v>47066.393201560997</v>
      </c>
      <c r="L98" s="960">
        <f>'All Together'!W44/'3f. Exchange Rate USDZAR'!O5</f>
        <v>48247.210408850733</v>
      </c>
      <c r="M98" s="960">
        <f>'All Together'!X44/'3f. Exchange Rate USDZAR'!P5</f>
        <v>49462.313015674648</v>
      </c>
      <c r="N98" s="960">
        <f>'All Together'!Y44/'3f. Exchange Rate USDZAR'!Q5</f>
        <v>50732.512195445306</v>
      </c>
      <c r="O98" s="960">
        <f>'All Together'!Z44/'3f. Exchange Rate USDZAR'!R5</f>
        <v>52071.384414261556</v>
      </c>
      <c r="P98" s="960">
        <f>'All Together'!AA44/'3f. Exchange Rate USDZAR'!S5</f>
        <v>53379.186550191538</v>
      </c>
      <c r="Q98" s="960">
        <f>'All Together'!AB44/'3f. Exchange Rate USDZAR'!T5</f>
        <v>54719.790738670206</v>
      </c>
      <c r="R98" s="960">
        <f>'All Together'!AC44/'3f. Exchange Rate USDZAR'!U5</f>
        <v>56094.020311216533</v>
      </c>
      <c r="S98" s="960">
        <f>'All Together'!AD44/'3f. Exchange Rate USDZAR'!V5</f>
        <v>57502.719264970656</v>
      </c>
    </row>
    <row r="99" spans="1:19" s="160" customFormat="1">
      <c r="D99" s="1228" t="s">
        <v>1191</v>
      </c>
      <c r="E99" s="1472">
        <f>G209</f>
        <v>0.4</v>
      </c>
      <c r="F99" s="1472">
        <f>E99</f>
        <v>0.4</v>
      </c>
      <c r="G99" s="1472">
        <f t="shared" ref="G99:S99" si="152">F99</f>
        <v>0.4</v>
      </c>
      <c r="H99" s="1472">
        <f t="shared" si="152"/>
        <v>0.4</v>
      </c>
      <c r="I99" s="1473">
        <f t="shared" si="152"/>
        <v>0.4</v>
      </c>
      <c r="J99" s="451">
        <f t="shared" si="152"/>
        <v>0.4</v>
      </c>
      <c r="K99" s="451">
        <f t="shared" si="152"/>
        <v>0.4</v>
      </c>
      <c r="L99" s="451">
        <f t="shared" si="152"/>
        <v>0.4</v>
      </c>
      <c r="M99" s="451">
        <f t="shared" si="152"/>
        <v>0.4</v>
      </c>
      <c r="N99" s="451">
        <f t="shared" si="152"/>
        <v>0.4</v>
      </c>
      <c r="O99" s="451">
        <f t="shared" si="152"/>
        <v>0.4</v>
      </c>
      <c r="P99" s="451">
        <f t="shared" si="152"/>
        <v>0.4</v>
      </c>
      <c r="Q99" s="451">
        <f t="shared" si="152"/>
        <v>0.4</v>
      </c>
      <c r="R99" s="451">
        <f t="shared" si="152"/>
        <v>0.4</v>
      </c>
      <c r="S99" s="451">
        <f t="shared" si="152"/>
        <v>0.4</v>
      </c>
    </row>
    <row r="100" spans="1:19" s="160" customFormat="1">
      <c r="D100" s="1228" t="s">
        <v>1192</v>
      </c>
      <c r="E100" s="1415">
        <f>-E99*E98</f>
        <v>-15991.805712427948</v>
      </c>
      <c r="F100" s="1415">
        <f>-F99*F98</f>
        <v>-16302.29365671599</v>
      </c>
      <c r="G100" s="1415">
        <f t="shared" ref="G100" si="153">-G99*G98</f>
        <v>-16722.464829795808</v>
      </c>
      <c r="H100" s="1415">
        <f t="shared" ref="H100" si="154">-H99*H98</f>
        <v>-17285.897321383152</v>
      </c>
      <c r="I100" s="1829">
        <f t="shared" ref="I100" si="155">-I99*I98</f>
        <v>-17897.202276745043</v>
      </c>
      <c r="J100" s="960">
        <f t="shared" ref="J100" si="156">-J99*J98</f>
        <v>-18437.616595643598</v>
      </c>
      <c r="K100" s="960">
        <f t="shared" ref="K100" si="157">-K99*K98</f>
        <v>-18826.557280624398</v>
      </c>
      <c r="L100" s="960">
        <f t="shared" ref="L100" si="158">-L99*L98</f>
        <v>-19298.884163540293</v>
      </c>
      <c r="M100" s="960">
        <f t="shared" ref="M100" si="159">-M99*M98</f>
        <v>-19784.925206269862</v>
      </c>
      <c r="N100" s="960">
        <f t="shared" ref="N100" si="160">-N99*N98</f>
        <v>-20293.004878178122</v>
      </c>
      <c r="O100" s="960">
        <f t="shared" ref="O100" si="161">-O99*O98</f>
        <v>-20828.553765704622</v>
      </c>
      <c r="P100" s="960">
        <f t="shared" ref="P100" si="162">-P99*P98</f>
        <v>-21351.674620076617</v>
      </c>
      <c r="Q100" s="960">
        <f t="shared" ref="Q100" si="163">-Q99*Q98</f>
        <v>-21887.916295468083</v>
      </c>
      <c r="R100" s="960">
        <f t="shared" ref="R100" si="164">-R99*R98</f>
        <v>-22437.608124486615</v>
      </c>
      <c r="S100" s="960">
        <f t="shared" ref="S100" si="165">-S99*S98</f>
        <v>-23001.087705988262</v>
      </c>
    </row>
    <row r="101" spans="1:19" s="457" customFormat="1" ht="16" thickBot="1">
      <c r="D101" s="1894" t="s">
        <v>1193</v>
      </c>
      <c r="E101" s="1415">
        <f>'All Together'!P101/'3f. Exchange Rate USDZAR'!H5</f>
        <v>3290.7827539362397</v>
      </c>
      <c r="F101" s="1415">
        <f>'All Together'!Q101/'3f. Exchange Rate USDZAR'!I5</f>
        <v>3321.4230882979264</v>
      </c>
      <c r="G101" s="1415">
        <f>'All Together'!R101/'3f. Exchange Rate USDZAR'!J5</f>
        <v>3351.8198763533373</v>
      </c>
      <c r="H101" s="1415">
        <f>'All Together'!S101/'3f. Exchange Rate USDZAR'!K5</f>
        <v>3320.865864596381</v>
      </c>
      <c r="I101" s="1829">
        <f>'All Together'!T101/'3f. Exchange Rate USDZAR'!L5</f>
        <v>3322.7899883190971</v>
      </c>
      <c r="J101" s="960">
        <f>'All Together'!U101/'3f. Exchange Rate USDZAR'!M5</f>
        <v>3349.7060688809411</v>
      </c>
      <c r="K101" s="960">
        <f>'All Together'!V101/'3f. Exchange Rate USDZAR'!N5</f>
        <v>3359.8092921040284</v>
      </c>
      <c r="L101" s="960">
        <f>'All Together'!W101/'3f. Exchange Rate USDZAR'!O5</f>
        <v>3382.3397442766791</v>
      </c>
      <c r="M101" s="960">
        <f>'All Together'!X101/'3f. Exchange Rate USDZAR'!P5</f>
        <v>3412.4464311581723</v>
      </c>
      <c r="N101" s="960">
        <f>'All Together'!Y101/'3f. Exchange Rate USDZAR'!Q5</f>
        <v>3453.3216220360346</v>
      </c>
      <c r="O101" s="960">
        <f>'All Together'!Z101/'3f. Exchange Rate USDZAR'!R5</f>
        <v>3508.2463215886073</v>
      </c>
      <c r="P101" s="960">
        <f>'All Together'!AA101/'3f. Exchange Rate USDZAR'!S5</f>
        <v>3567.469006531468</v>
      </c>
      <c r="Q101" s="960">
        <f>'All Together'!AB101/'3f. Exchange Rate USDZAR'!T5</f>
        <v>3634.0967049403557</v>
      </c>
      <c r="R101" s="960">
        <f>'All Together'!AC101/'3f. Exchange Rate USDZAR'!U5</f>
        <v>3708.1171251374217</v>
      </c>
      <c r="S101" s="960">
        <f>'All Together'!AD101/'3f. Exchange Rate USDZAR'!V5</f>
        <v>3789.5432821508584</v>
      </c>
    </row>
    <row r="102" spans="1:19" s="124" customFormat="1" ht="16" thickBot="1">
      <c r="A102" s="450"/>
      <c r="B102" s="450"/>
      <c r="C102" s="450"/>
      <c r="D102" s="172" t="s">
        <v>481</v>
      </c>
      <c r="E102" s="961">
        <f>SUM(E98,E100,E101)</f>
        <v>27278.49132257816</v>
      </c>
      <c r="F102" s="961">
        <f t="shared" ref="F102" si="166">SUM(F98,F100,F101)</f>
        <v>27774.863573371906</v>
      </c>
      <c r="G102" s="961">
        <f t="shared" ref="G102" si="167">SUM(G98,G100,G101)</f>
        <v>28435.517121047047</v>
      </c>
      <c r="H102" s="961">
        <f t="shared" ref="H102" si="168">SUM(H98,H100,H101)</f>
        <v>29249.711846671107</v>
      </c>
      <c r="I102" s="962">
        <f t="shared" ref="I102" si="169">SUM(I98,I100,I101)</f>
        <v>30168.593403436662</v>
      </c>
      <c r="J102" s="814">
        <f t="shared" ref="J102" si="170">SUM(J98,J100,J101)</f>
        <v>31006.130962346331</v>
      </c>
      <c r="K102" s="814">
        <f t="shared" ref="K102" si="171">SUM(K98,K100,K101)</f>
        <v>31599.645213040629</v>
      </c>
      <c r="L102" s="814">
        <f t="shared" ref="L102" si="172">SUM(L98,L100,L101)</f>
        <v>32330.66598958712</v>
      </c>
      <c r="M102" s="814">
        <f t="shared" ref="M102" si="173">SUM(M98,M100,M101)</f>
        <v>33089.834240562959</v>
      </c>
      <c r="N102" s="814">
        <f t="shared" ref="N102" si="174">SUM(N98,N100,N101)</f>
        <v>33892.828939303217</v>
      </c>
      <c r="O102" s="814">
        <f t="shared" ref="O102" si="175">SUM(O98,O100,O101)</f>
        <v>34751.076970145543</v>
      </c>
      <c r="P102" s="814">
        <f t="shared" ref="P102" si="176">SUM(P98,P100,P101)</f>
        <v>35594.980936646389</v>
      </c>
      <c r="Q102" s="814">
        <f t="shared" ref="Q102" si="177">SUM(Q98,Q100,Q101)</f>
        <v>36465.971148142475</v>
      </c>
      <c r="R102" s="814">
        <f t="shared" ref="R102" si="178">SUM(R98,R100,R101)</f>
        <v>37364.529311867343</v>
      </c>
      <c r="S102" s="814">
        <f t="shared" ref="S102" si="179">SUM(S98,S100,S101)</f>
        <v>38291.174841133252</v>
      </c>
    </row>
    <row r="103" spans="1:19" s="160" customFormat="1">
      <c r="D103" s="1228" t="s">
        <v>1194</v>
      </c>
      <c r="E103" s="1415">
        <f>-'All Together'!P77/'3f. Exchange Rate USDZAR'!H5</f>
        <v>-2050.2581782693574</v>
      </c>
      <c r="F103" s="1415">
        <f>-'All Together'!Q77/'3f. Exchange Rate USDZAR'!I5</f>
        <v>-2131.9655482727158</v>
      </c>
      <c r="G103" s="1415">
        <f>-'All Together'!R77/'3f. Exchange Rate USDZAR'!J5</f>
        <v>-2206.7038435043296</v>
      </c>
      <c r="H103" s="1415">
        <f>-'All Together'!S77/'3f. Exchange Rate USDZAR'!K5</f>
        <v>-2274.2755750085616</v>
      </c>
      <c r="I103" s="1829">
        <f>-'All Together'!T77/'3f. Exchange Rate USDZAR'!L5</f>
        <v>-2356.7762051289633</v>
      </c>
      <c r="J103" s="960">
        <f>-'All Together'!U77/'3f. Exchange Rate USDZAR'!M5</f>
        <v>-2451.8036759863035</v>
      </c>
      <c r="K103" s="960">
        <f>-'All Together'!V77/'3f. Exchange Rate USDZAR'!N5</f>
        <v>-2532.1703745918799</v>
      </c>
      <c r="L103" s="960">
        <f>-'All Together'!W77/'3f. Exchange Rate USDZAR'!O5</f>
        <v>-2620.3259277972238</v>
      </c>
      <c r="M103" s="960">
        <f>-'All Together'!X77/'3f. Exchange Rate USDZAR'!P5</f>
        <v>-2714.7015421802303</v>
      </c>
      <c r="N103" s="960">
        <f>-'All Together'!Y77/'3f. Exchange Rate USDZAR'!Q5</f>
        <v>-2812.4420185131135</v>
      </c>
      <c r="O103" s="960">
        <f>-'All Together'!Z77/'3f. Exchange Rate USDZAR'!R5</f>
        <v>-2919.3721029064391</v>
      </c>
      <c r="P103" s="960">
        <f>-'All Together'!AA77/'3f. Exchange Rate USDZAR'!S5</f>
        <v>-3028.2508853769773</v>
      </c>
      <c r="Q103" s="960">
        <f>-'All Together'!AB77/'3f. Exchange Rate USDZAR'!T5</f>
        <v>-3141.9510498914551</v>
      </c>
      <c r="R103" s="960">
        <f>-'All Together'!AC77/'3f. Exchange Rate USDZAR'!U5</f>
        <v>-3260.7016854614531</v>
      </c>
      <c r="S103" s="960">
        <f>-'All Together'!AD77/'3f. Exchange Rate USDZAR'!V5</f>
        <v>-3384.7414588306196</v>
      </c>
    </row>
    <row r="104" spans="1:19" s="160" customFormat="1" ht="16" thickBot="1">
      <c r="D104" s="1228" t="s">
        <v>1195</v>
      </c>
      <c r="E104" s="1895">
        <f>E12*'All Together'!P19/'3f. Exchange Rate USDZAR'!H5</f>
        <v>-6749.545736594996</v>
      </c>
      <c r="F104" s="1415">
        <f>F12*'All Together'!Q19/'3f. Exchange Rate USDZAR'!I5</f>
        <v>-2211.4793401982179</v>
      </c>
      <c r="G104" s="1415">
        <f>G12*'All Together'!R19/'3f. Exchange Rate USDZAR'!J5</f>
        <v>-2144.878807680519</v>
      </c>
      <c r="H104" s="1415">
        <f>H12*'All Together'!S19/'3f. Exchange Rate USDZAR'!K5</f>
        <v>-2186.7501384471489</v>
      </c>
      <c r="I104" s="1829">
        <f>I12*'All Together'!T19/'3f. Exchange Rate USDZAR'!L5</f>
        <v>-2125.6162441513466</v>
      </c>
      <c r="J104" s="960">
        <f>J12*'All Together'!U19/'3f. Exchange Rate USDZAR'!M5</f>
        <v>-2097.478945523228</v>
      </c>
      <c r="K104" s="960">
        <f>K12*'All Together'!V19/'3f. Exchange Rate USDZAR'!N5</f>
        <v>-2157.8131757415094</v>
      </c>
      <c r="L104" s="960">
        <f>L12*'All Together'!W19/'3f. Exchange Rate USDZAR'!O5</f>
        <v>-2268.2233589268212</v>
      </c>
      <c r="M104" s="960">
        <f>M12*'All Together'!X19/'3f. Exchange Rate USDZAR'!P5</f>
        <v>-2443.1733423485603</v>
      </c>
      <c r="N104" s="960">
        <f>N12*'All Together'!Y19/'3f. Exchange Rate USDZAR'!Q5</f>
        <v>-2417.5672630457693</v>
      </c>
      <c r="O104" s="960">
        <f>O12*'All Together'!Z19/'3f. Exchange Rate USDZAR'!R5</f>
        <v>-2486.4177422133521</v>
      </c>
      <c r="P104" s="960">
        <f>P12*'All Together'!AA19/'3f. Exchange Rate USDZAR'!S5</f>
        <v>-2569.5449348178031</v>
      </c>
      <c r="Q104" s="960">
        <f>Q12*'All Together'!AB19/'3f. Exchange Rate USDZAR'!T5</f>
        <v>-2658.3075821744837</v>
      </c>
      <c r="R104" s="960">
        <f>R12*'All Together'!AC19/'3f. Exchange Rate USDZAR'!U5</f>
        <v>-2749.6231220563359</v>
      </c>
      <c r="S104" s="960">
        <f>S12*'All Together'!AD19/'3f. Exchange Rate USDZAR'!V5</f>
        <v>-2843.4994860508195</v>
      </c>
    </row>
    <row r="105" spans="1:19" s="20" customFormat="1" ht="16" thickBot="1">
      <c r="A105" s="103"/>
      <c r="B105" s="103"/>
      <c r="C105" s="103"/>
      <c r="D105" s="172" t="s">
        <v>1010</v>
      </c>
      <c r="E105" s="961">
        <f>SUM(E102:E104)</f>
        <v>18478.687407713809</v>
      </c>
      <c r="F105" s="961">
        <f t="shared" ref="F105" si="180">SUM(F102:F104)</f>
        <v>23431.418684900971</v>
      </c>
      <c r="G105" s="961">
        <f t="shared" ref="G105" si="181">SUM(G102:G104)</f>
        <v>24083.934469862201</v>
      </c>
      <c r="H105" s="961">
        <f t="shared" ref="H105" si="182">SUM(H102:H104)</f>
        <v>24788.6861332154</v>
      </c>
      <c r="I105" s="962">
        <f t="shared" ref="I105" si="183">SUM(I102:I104)</f>
        <v>25686.200954156349</v>
      </c>
      <c r="J105" s="961">
        <f t="shared" ref="J105" si="184">SUM(J102:J104)</f>
        <v>26456.848340836801</v>
      </c>
      <c r="K105" s="961">
        <f t="shared" ref="K105" si="185">SUM(K102:K104)</f>
        <v>26909.66166270724</v>
      </c>
      <c r="L105" s="961">
        <f t="shared" ref="L105" si="186">SUM(L102:L104)</f>
        <v>27442.116702863073</v>
      </c>
      <c r="M105" s="961">
        <f t="shared" ref="M105" si="187">SUM(M102:M104)</f>
        <v>27931.959356034167</v>
      </c>
      <c r="N105" s="961">
        <f t="shared" ref="N105" si="188">SUM(N102:N104)</f>
        <v>28662.819657744334</v>
      </c>
      <c r="O105" s="961">
        <f t="shared" ref="O105" si="189">SUM(O102:O104)</f>
        <v>29345.287125025752</v>
      </c>
      <c r="P105" s="961">
        <f t="shared" ref="P105" si="190">SUM(P102:P104)</f>
        <v>29997.185116451608</v>
      </c>
      <c r="Q105" s="961">
        <f t="shared" ref="Q105" si="191">SUM(Q102:Q104)</f>
        <v>30665.712516076539</v>
      </c>
      <c r="R105" s="961">
        <f t="shared" ref="R105" si="192">SUM(R102:R104)</f>
        <v>31354.204504349553</v>
      </c>
      <c r="S105" s="961">
        <f t="shared" ref="S105" si="193">SUM(S102:S104)</f>
        <v>32062.933896251812</v>
      </c>
    </row>
    <row r="106" spans="1:19">
      <c r="D106" s="161" t="s">
        <v>1196</v>
      </c>
    </row>
    <row r="108" spans="1:19" s="160" customFormat="1" ht="14">
      <c r="D108" s="7" t="s">
        <v>1015</v>
      </c>
      <c r="E108" s="451">
        <f>O209</f>
        <v>7.2221100816372258E-2</v>
      </c>
      <c r="F108" s="451">
        <f>E108</f>
        <v>7.2221100816372258E-2</v>
      </c>
      <c r="G108" s="451">
        <f t="shared" ref="G108:S108" si="194">F108</f>
        <v>7.2221100816372258E-2</v>
      </c>
      <c r="H108" s="451">
        <f t="shared" si="194"/>
        <v>7.2221100816372258E-2</v>
      </c>
      <c r="I108" s="451">
        <f t="shared" si="194"/>
        <v>7.2221100816372258E-2</v>
      </c>
      <c r="J108" s="451">
        <f t="shared" si="194"/>
        <v>7.2221100816372258E-2</v>
      </c>
      <c r="K108" s="451">
        <f t="shared" si="194"/>
        <v>7.2221100816372258E-2</v>
      </c>
      <c r="L108" s="451">
        <f t="shared" si="194"/>
        <v>7.2221100816372258E-2</v>
      </c>
      <c r="M108" s="451">
        <f t="shared" si="194"/>
        <v>7.2221100816372258E-2</v>
      </c>
      <c r="N108" s="451">
        <f t="shared" si="194"/>
        <v>7.2221100816372258E-2</v>
      </c>
      <c r="O108" s="451">
        <f t="shared" si="194"/>
        <v>7.2221100816372258E-2</v>
      </c>
      <c r="P108" s="451">
        <f t="shared" si="194"/>
        <v>7.2221100816372258E-2</v>
      </c>
      <c r="Q108" s="451">
        <f t="shared" si="194"/>
        <v>7.2221100816372258E-2</v>
      </c>
      <c r="R108" s="451">
        <f t="shared" si="194"/>
        <v>7.2221100816372258E-2</v>
      </c>
      <c r="S108" s="451">
        <f t="shared" si="194"/>
        <v>7.2221100816372258E-2</v>
      </c>
    </row>
    <row r="109" spans="1:19" s="160" customFormat="1" thickBot="1">
      <c r="D109" s="7" t="s">
        <v>1016</v>
      </c>
      <c r="E109" s="7">
        <f>1/((1+E108)^E96)</f>
        <v>1</v>
      </c>
      <c r="F109" s="119">
        <f>1/((1+F108)^F96)</f>
        <v>0.93264346247114127</v>
      </c>
      <c r="G109" s="119">
        <f t="shared" ref="G109" si="195">1/((1+G108)^G96)</f>
        <v>0.86982382809015912</v>
      </c>
      <c r="H109" s="119">
        <f t="shared" ref="H109" si="196">1/((1+H108)^H96)</f>
        <v>0.81123550676990874</v>
      </c>
      <c r="I109" s="119">
        <f t="shared" ref="I109" si="197">1/((1+I108)^I96)</f>
        <v>0.75659349191341863</v>
      </c>
      <c r="J109" s="119">
        <f t="shared" ref="J109" si="198">1/((1+J108)^J96)</f>
        <v>0.70563197398126221</v>
      </c>
      <c r="K109" s="119">
        <f t="shared" ref="K109" si="199">1/((1+K108)^K96)</f>
        <v>0.65810304744423065</v>
      </c>
      <c r="L109" s="119">
        <f t="shared" ref="L109" si="200">1/((1+L108)^L96)</f>
        <v>0.61377550483119714</v>
      </c>
      <c r="M109" s="119">
        <f t="shared" ref="M109" si="201">1/((1+M108)^M96)</f>
        <v>0.57243371200574034</v>
      </c>
      <c r="N109" s="119">
        <f t="shared" ref="N109" si="202">1/((1+N108)^N96)</f>
        <v>0.53387655920024168</v>
      </c>
      <c r="O109" s="119">
        <f t="shared" ref="O109" si="203">1/((1+O108)^O96)</f>
        <v>0.49791648270469269</v>
      </c>
      <c r="P109" s="119">
        <f t="shared" ref="P109" si="204">1/((1+P108)^P96)</f>
        <v>0.46437855245115672</v>
      </c>
      <c r="Q109" s="119">
        <f t="shared" ref="Q109" si="205">1/((1+Q108)^Q96)</f>
        <v>0.4330996210553833</v>
      </c>
      <c r="R109" s="119">
        <f t="shared" ref="R109" si="206">1/((1+R108)^R96)</f>
        <v>0.40392753017603189</v>
      </c>
      <c r="S109" s="119">
        <f t="shared" ref="S109" si="207">1/((1+S108)^S96)</f>
        <v>0.37672037033079075</v>
      </c>
    </row>
    <row r="110" spans="1:19" s="20" customFormat="1" ht="16" thickBot="1">
      <c r="A110" s="103"/>
      <c r="B110" s="103"/>
      <c r="C110" s="103"/>
      <c r="D110" s="103" t="s">
        <v>1203</v>
      </c>
      <c r="E110" s="961">
        <f>E109*E105</f>
        <v>18478.687407713809</v>
      </c>
      <c r="F110" s="965">
        <f t="shared" ref="F110" si="208">F109*F105</f>
        <v>21853.159452897038</v>
      </c>
      <c r="G110" s="965">
        <f t="shared" ref="G110" si="209">G109*G105</f>
        <v>20948.780076048075</v>
      </c>
      <c r="H110" s="965">
        <f t="shared" ref="H110" si="210">H109*H105</f>
        <v>20109.462357439206</v>
      </c>
      <c r="I110" s="965">
        <f t="shared" ref="I110" si="211">I109*I105</f>
        <v>19434.012473894938</v>
      </c>
      <c r="J110" s="965">
        <f t="shared" ref="J110" si="212">J109*J105</f>
        <v>18668.798120067553</v>
      </c>
      <c r="K110" s="965">
        <f t="shared" ref="K110" si="213">K109*K105</f>
        <v>17709.330345920818</v>
      </c>
      <c r="L110" s="965">
        <f t="shared" ref="L110" si="214">L109*L105</f>
        <v>16843.299032936411</v>
      </c>
      <c r="M110" s="965">
        <f t="shared" ref="M110" si="215">M109*M105</f>
        <v>15989.195177768106</v>
      </c>
      <c r="N110" s="965">
        <f t="shared" ref="N110" si="216">N109*N105</f>
        <v>15302.407535853594</v>
      </c>
      <c r="O110" s="965">
        <f t="shared" ref="O110" si="217">O109*O105</f>
        <v>14611.502149252126</v>
      </c>
      <c r="P110" s="965">
        <f t="shared" ref="P110" si="218">P109*P105</f>
        <v>13930.04940198718</v>
      </c>
      <c r="Q110" s="965">
        <f t="shared" ref="Q110" si="219">Q109*Q105</f>
        <v>13281.308470106074</v>
      </c>
      <c r="R110" s="965">
        <f t="shared" ref="R110" si="220">R109*R105</f>
        <v>12664.826386076129</v>
      </c>
      <c r="S110" s="965">
        <f t="shared" ref="S110" si="221">S109*S105</f>
        <v>12078.760331287647</v>
      </c>
    </row>
    <row r="111" spans="1:19" s="160" customFormat="1" thickBot="1">
      <c r="D111" s="7" t="s">
        <v>1204</v>
      </c>
      <c r="E111" s="454">
        <f>E219</f>
        <v>4.2666666666666672E-2</v>
      </c>
    </row>
    <row r="112" spans="1:19" s="20" customFormat="1" ht="16" thickBot="1">
      <c r="A112" s="103"/>
      <c r="B112" s="103"/>
      <c r="C112" s="103"/>
      <c r="D112" s="103" t="s">
        <v>1017</v>
      </c>
      <c r="E112" s="176">
        <f>O112*O109</f>
        <v>515486.98796878557</v>
      </c>
      <c r="O112" s="963">
        <f>O105*(1+E111)/(E108-E111)</f>
        <v>1035288.0570826849</v>
      </c>
    </row>
    <row r="113" spans="1:19" ht="16" thickBot="1">
      <c r="D113" s="20"/>
      <c r="F113" s="39"/>
      <c r="G113" s="39"/>
      <c r="H113" s="39"/>
      <c r="I113" s="39"/>
      <c r="J113" s="39"/>
      <c r="K113" s="39"/>
      <c r="L113" s="39"/>
      <c r="M113" s="39"/>
      <c r="N113" s="39"/>
      <c r="O113" s="39"/>
      <c r="P113" s="39"/>
      <c r="Q113" s="39"/>
      <c r="R113" s="39"/>
      <c r="S113" s="39"/>
    </row>
    <row r="114" spans="1:19" ht="16" thickBot="1">
      <c r="D114" s="1907" t="s">
        <v>1205</v>
      </c>
      <c r="E114" s="1908"/>
      <c r="F114" s="39"/>
      <c r="G114" s="39"/>
      <c r="H114" s="39"/>
      <c r="I114" s="39"/>
      <c r="J114" s="39"/>
      <c r="K114" s="39"/>
      <c r="L114" s="39"/>
      <c r="M114" s="39"/>
      <c r="N114" s="39"/>
      <c r="O114" s="39"/>
      <c r="P114" s="39"/>
      <c r="Q114" s="39"/>
      <c r="R114" s="39"/>
      <c r="S114" s="39"/>
    </row>
    <row r="115" spans="1:19">
      <c r="D115" s="747" t="s">
        <v>1211</v>
      </c>
      <c r="E115" s="966">
        <f>E112+SUM(F110:O110)</f>
        <v>696956.93469086348</v>
      </c>
      <c r="F115" s="39"/>
      <c r="G115" s="39"/>
      <c r="H115" s="39"/>
      <c r="I115" s="39"/>
      <c r="J115" s="39"/>
      <c r="K115" s="39"/>
      <c r="L115" s="39"/>
      <c r="M115" s="39"/>
      <c r="N115" s="39"/>
      <c r="O115" s="39"/>
      <c r="P115" s="39"/>
      <c r="Q115" s="39"/>
      <c r="R115" s="39"/>
      <c r="S115" s="39"/>
    </row>
    <row r="116" spans="1:19" ht="16" thickBot="1">
      <c r="D116" s="746" t="s">
        <v>1212</v>
      </c>
      <c r="E116" s="964">
        <f>E115*'3f. Exchange Rate USDZAR'!I5</f>
        <v>11548576.407827608</v>
      </c>
      <c r="F116" s="619"/>
      <c r="G116" s="39"/>
      <c r="H116" s="39"/>
      <c r="I116" s="39"/>
      <c r="J116" s="39"/>
      <c r="K116" s="39"/>
      <c r="L116" s="39"/>
      <c r="M116" s="39"/>
      <c r="N116" s="39"/>
      <c r="O116" s="39"/>
      <c r="P116" s="39"/>
      <c r="Q116" s="39"/>
      <c r="R116" s="39"/>
      <c r="S116" s="39"/>
    </row>
    <row r="117" spans="1:19">
      <c r="D117" s="20"/>
      <c r="E117" s="1211"/>
      <c r="F117" s="619"/>
      <c r="G117" s="39"/>
      <c r="H117" s="39"/>
      <c r="I117" s="39"/>
      <c r="J117" s="39"/>
      <c r="K117" s="39"/>
      <c r="L117" s="39"/>
      <c r="M117" s="39"/>
      <c r="N117" s="39"/>
      <c r="O117" s="39"/>
      <c r="P117" s="39"/>
      <c r="Q117" s="39"/>
      <c r="R117" s="39"/>
      <c r="S117" s="39"/>
    </row>
    <row r="118" spans="1:19">
      <c r="D118" s="20"/>
    </row>
    <row r="119" spans="1:19" ht="20">
      <c r="D119" s="1197" t="s">
        <v>1880</v>
      </c>
    </row>
    <row r="121" spans="1:19" ht="21" thickBot="1">
      <c r="D121" s="1911" t="s">
        <v>1763</v>
      </c>
      <c r="E121" s="1911"/>
      <c r="F121" s="1911"/>
      <c r="G121" s="1911"/>
      <c r="H121" s="1911"/>
      <c r="I121" s="1911"/>
      <c r="J121" s="1911"/>
      <c r="K121" s="1645"/>
      <c r="L121" s="1645"/>
      <c r="M121" s="1645"/>
      <c r="N121" s="1645"/>
      <c r="O121" s="1645"/>
      <c r="P121" s="1645"/>
      <c r="Q121" s="1645"/>
      <c r="R121" s="1645"/>
      <c r="S121" s="1645"/>
    </row>
    <row r="122" spans="1:19" s="620" customFormat="1">
      <c r="A122" s="365"/>
      <c r="B122" s="365"/>
      <c r="C122" s="365"/>
      <c r="D122" s="1327" t="s">
        <v>1213</v>
      </c>
      <c r="E122" s="684" t="s">
        <v>1012</v>
      </c>
      <c r="F122" s="684" t="s">
        <v>1214</v>
      </c>
      <c r="G122" s="684" t="s">
        <v>1215</v>
      </c>
      <c r="H122" s="684" t="s">
        <v>1015</v>
      </c>
      <c r="I122" s="684" t="s">
        <v>1216</v>
      </c>
      <c r="J122" s="1328" t="s">
        <v>1217</v>
      </c>
      <c r="K122" s="1386"/>
      <c r="L122" s="3"/>
      <c r="M122" s="3"/>
      <c r="N122" s="3"/>
      <c r="O122" s="3"/>
      <c r="P122" s="3"/>
      <c r="Q122" s="3"/>
      <c r="R122" s="3"/>
      <c r="S122" s="3"/>
    </row>
    <row r="123" spans="1:19" s="160" customFormat="1" ht="14">
      <c r="D123" s="175" t="s">
        <v>506</v>
      </c>
      <c r="E123" s="742">
        <f>J206</f>
        <v>9.1850000000000001E-2</v>
      </c>
      <c r="F123" s="464">
        <f>E206</f>
        <v>0.52649933158196716</v>
      </c>
      <c r="G123" s="707">
        <f>E39</f>
        <v>4.4166666666666667E-2</v>
      </c>
      <c r="H123" s="742">
        <f>O206</f>
        <v>0.12359885274233731</v>
      </c>
      <c r="I123" s="811">
        <f>E43</f>
        <v>5681324.8698511459</v>
      </c>
      <c r="J123" s="708">
        <f>I123/$I$127</f>
        <v>0.27160556147193865</v>
      </c>
      <c r="K123" s="169"/>
      <c r="L123" s="163"/>
      <c r="M123" s="163"/>
      <c r="N123" s="163"/>
      <c r="O123" s="163"/>
      <c r="P123" s="163"/>
      <c r="Q123" s="163"/>
      <c r="R123" s="163"/>
      <c r="S123" s="163"/>
    </row>
    <row r="124" spans="1:19" s="160" customFormat="1" ht="14">
      <c r="D124" s="175" t="s">
        <v>1218</v>
      </c>
      <c r="E124" s="742">
        <f>J207</f>
        <v>9.1850000000000001E-2</v>
      </c>
      <c r="F124" s="464">
        <f>E207</f>
        <v>0.52649933158196716</v>
      </c>
      <c r="G124" s="707">
        <f>E63</f>
        <v>4.4166666666666667E-2</v>
      </c>
      <c r="H124" s="742">
        <f>O207</f>
        <v>0.12359885274233731</v>
      </c>
      <c r="I124" s="811">
        <f>E67</f>
        <v>2681991.4355760366</v>
      </c>
      <c r="J124" s="708">
        <f t="shared" ref="J124:J127" si="222">I124/$I$127</f>
        <v>0.12821723918450131</v>
      </c>
      <c r="K124" s="169"/>
      <c r="L124" s="7"/>
      <c r="M124" s="7"/>
      <c r="N124" s="7"/>
      <c r="O124" s="7"/>
      <c r="P124" s="7"/>
      <c r="Q124" s="7"/>
      <c r="R124" s="7"/>
      <c r="S124" s="7"/>
    </row>
    <row r="125" spans="1:19" s="160" customFormat="1" ht="14">
      <c r="D125" s="175" t="s">
        <v>508</v>
      </c>
      <c r="E125" s="742">
        <f>J208</f>
        <v>9.1850000000000001E-2</v>
      </c>
      <c r="F125" s="464">
        <f>E208</f>
        <v>0.52649933158196716</v>
      </c>
      <c r="G125" s="707">
        <f>E87</f>
        <v>4.4166666666666667E-2</v>
      </c>
      <c r="H125" s="742">
        <f>O208</f>
        <v>0.12359885274233731</v>
      </c>
      <c r="I125" s="811">
        <f>E91</f>
        <v>1005664.4938281027</v>
      </c>
      <c r="J125" s="708">
        <f t="shared" si="222"/>
        <v>4.8077530462666773E-2</v>
      </c>
      <c r="K125" s="169"/>
      <c r="L125" s="7"/>
      <c r="M125" s="7"/>
      <c r="N125" s="7"/>
      <c r="O125" s="7"/>
      <c r="P125" s="7"/>
      <c r="Q125" s="7"/>
      <c r="R125" s="7"/>
      <c r="S125" s="7"/>
    </row>
    <row r="126" spans="1:19" s="160" customFormat="1" thickBot="1">
      <c r="D126" s="175" t="s">
        <v>692</v>
      </c>
      <c r="E126" s="742">
        <f>J209</f>
        <v>1.7000000000000001E-2</v>
      </c>
      <c r="F126" s="464">
        <f>E209</f>
        <v>0.97170857988165682</v>
      </c>
      <c r="G126" s="707">
        <f>E111</f>
        <v>4.2666666666666672E-2</v>
      </c>
      <c r="H126" s="742">
        <f>O209</f>
        <v>7.2221100816372258E-2</v>
      </c>
      <c r="I126" s="811">
        <f>E116</f>
        <v>11548576.407827608</v>
      </c>
      <c r="J126" s="708">
        <f t="shared" si="222"/>
        <v>0.55209966888089324</v>
      </c>
      <c r="K126" s="169"/>
      <c r="L126" s="7"/>
      <c r="M126" s="7"/>
      <c r="N126" s="7"/>
      <c r="O126" s="7"/>
      <c r="P126" s="7"/>
      <c r="Q126" s="7"/>
      <c r="R126" s="7"/>
      <c r="S126" s="7"/>
    </row>
    <row r="127" spans="1:19" s="20" customFormat="1" ht="16" thickBot="1">
      <c r="D127" s="172" t="s">
        <v>1219</v>
      </c>
      <c r="E127" s="103"/>
      <c r="F127" s="103"/>
      <c r="G127" s="103"/>
      <c r="H127" s="103"/>
      <c r="I127" s="961">
        <f>SUM(I123:I126)</f>
        <v>20917557.207082894</v>
      </c>
      <c r="J127" s="1354">
        <f t="shared" si="222"/>
        <v>1</v>
      </c>
      <c r="K127" s="109"/>
      <c r="L127" s="4"/>
      <c r="M127" s="4"/>
      <c r="N127" s="4"/>
      <c r="O127" s="4"/>
      <c r="P127" s="4"/>
      <c r="Q127" s="4"/>
      <c r="R127" s="4"/>
      <c r="S127" s="4"/>
    </row>
    <row r="128" spans="1:19" s="160" customFormat="1" ht="14">
      <c r="D128" s="175" t="s">
        <v>1358</v>
      </c>
      <c r="I128" s="811">
        <f>'2b. Balance Sheet'!P44</f>
        <v>3389627.2</v>
      </c>
      <c r="J128" s="623"/>
      <c r="K128" s="169"/>
      <c r="L128" s="7"/>
      <c r="M128" s="7"/>
      <c r="N128" s="7"/>
      <c r="O128" s="7"/>
      <c r="P128" s="7"/>
      <c r="Q128" s="7"/>
      <c r="R128" s="7"/>
      <c r="S128" s="7"/>
    </row>
    <row r="129" spans="1:19" s="160" customFormat="1" ht="14">
      <c r="D129" s="175" t="s">
        <v>1359</v>
      </c>
      <c r="I129" s="811">
        <f>'2b. Balance Sheet'!P40</f>
        <v>85820.5859151287</v>
      </c>
      <c r="J129" s="623"/>
      <c r="K129" s="169"/>
      <c r="L129" s="7"/>
      <c r="M129" s="7"/>
      <c r="N129" s="7"/>
      <c r="O129" s="7"/>
      <c r="P129" s="7"/>
      <c r="Q129" s="7"/>
      <c r="R129" s="7"/>
      <c r="S129" s="7"/>
    </row>
    <row r="130" spans="1:19" s="160" customFormat="1" ht="14">
      <c r="D130" s="175" t="s">
        <v>1360</v>
      </c>
      <c r="I130" s="811">
        <f>'2b. Balance Sheet'!P13+'2b. Balance Sheet'!P14</f>
        <v>470778</v>
      </c>
      <c r="J130" s="623"/>
      <c r="K130" s="169"/>
      <c r="L130" s="7"/>
      <c r="M130" s="7"/>
      <c r="N130" s="7"/>
      <c r="O130" s="7"/>
      <c r="P130" s="7"/>
      <c r="Q130" s="7"/>
      <c r="R130" s="7"/>
      <c r="S130" s="7"/>
    </row>
    <row r="131" spans="1:19" s="160" customFormat="1" ht="14">
      <c r="D131" s="175" t="s">
        <v>1361</v>
      </c>
      <c r="I131" s="811">
        <f>'2b. Balance Sheet'!P23</f>
        <v>32287.460651942762</v>
      </c>
      <c r="J131" s="623"/>
      <c r="K131" s="169"/>
      <c r="L131" s="7"/>
      <c r="M131" s="7"/>
      <c r="N131" s="7"/>
      <c r="O131" s="7"/>
      <c r="P131" s="7"/>
      <c r="Q131" s="7"/>
      <c r="R131" s="7"/>
      <c r="S131" s="7"/>
    </row>
    <row r="132" spans="1:19" s="160" customFormat="1" ht="14">
      <c r="D132" s="175" t="s">
        <v>1883</v>
      </c>
      <c r="I132" s="811">
        <f>'2b. Balance Sheet'!P25</f>
        <v>39478</v>
      </c>
      <c r="J132" s="623"/>
      <c r="K132" s="169"/>
      <c r="L132" s="7"/>
      <c r="M132" s="7"/>
      <c r="N132" s="7"/>
      <c r="O132" s="7"/>
      <c r="P132" s="7"/>
      <c r="Q132" s="7"/>
      <c r="R132" s="7"/>
      <c r="S132" s="7"/>
    </row>
    <row r="133" spans="1:19" s="160" customFormat="1" ht="14">
      <c r="D133" s="175" t="s">
        <v>1884</v>
      </c>
      <c r="I133" s="811">
        <f>'2b. Balance Sheet'!P45</f>
        <v>209963</v>
      </c>
      <c r="J133" s="623"/>
      <c r="K133" s="169"/>
      <c r="L133" s="7"/>
      <c r="M133" s="7"/>
      <c r="N133" s="7"/>
      <c r="O133" s="7"/>
      <c r="P133" s="7"/>
      <c r="Q133" s="7"/>
      <c r="R133" s="7"/>
      <c r="S133" s="7"/>
    </row>
    <row r="134" spans="1:19" s="160" customFormat="1" thickBot="1">
      <c r="D134" s="175" t="s">
        <v>1885</v>
      </c>
      <c r="I134" s="811">
        <f>'2b. Balance Sheet'!P43</f>
        <v>86147</v>
      </c>
      <c r="J134" s="623"/>
      <c r="K134" s="169"/>
      <c r="L134" s="7"/>
      <c r="M134" s="7"/>
      <c r="N134" s="7"/>
      <c r="O134" s="7"/>
      <c r="P134" s="7"/>
      <c r="Q134" s="7"/>
      <c r="R134" s="7"/>
      <c r="S134" s="7"/>
    </row>
    <row r="135" spans="1:19" s="20" customFormat="1" ht="16" thickBot="1">
      <c r="A135" s="103"/>
      <c r="B135" s="103"/>
      <c r="C135" s="103"/>
      <c r="D135" s="172" t="s">
        <v>1207</v>
      </c>
      <c r="E135" s="458"/>
      <c r="F135" s="103"/>
      <c r="G135" s="103"/>
      <c r="H135" s="103"/>
      <c r="I135" s="961">
        <f>I127-I128-I129+I130+I131+I132-I133-I134</f>
        <v>17688542.881819706</v>
      </c>
      <c r="J135" s="1352"/>
      <c r="K135" s="109"/>
    </row>
    <row r="136" spans="1:19" s="160" customFormat="1" thickBot="1">
      <c r="D136" s="622" t="s">
        <v>1208</v>
      </c>
      <c r="E136" s="327"/>
      <c r="F136" s="327"/>
      <c r="G136" s="327"/>
      <c r="H136" s="327"/>
      <c r="I136" s="462">
        <f>E193</f>
        <v>135.53</v>
      </c>
      <c r="J136" s="623"/>
      <c r="K136" s="169"/>
    </row>
    <row r="137" spans="1:19" s="20" customFormat="1" ht="16" thickBot="1">
      <c r="A137" s="103"/>
      <c r="B137" s="103"/>
      <c r="C137" s="103"/>
      <c r="D137" s="172" t="s">
        <v>1538</v>
      </c>
      <c r="E137" s="458"/>
      <c r="F137" s="103"/>
      <c r="G137" s="103"/>
      <c r="H137" s="103"/>
      <c r="I137" s="1349">
        <f>I135/I136/1000</f>
        <v>130.51385583870513</v>
      </c>
      <c r="J137" s="1352"/>
      <c r="K137" s="109"/>
      <c r="L137" s="188"/>
    </row>
    <row r="138" spans="1:19" s="160" customFormat="1" ht="14">
      <c r="D138" s="175" t="s">
        <v>1736</v>
      </c>
      <c r="E138" s="967"/>
      <c r="I138" s="464">
        <f>'KPIs Analysis'!I25</f>
        <v>5.6809655138159156</v>
      </c>
      <c r="J138" s="623"/>
      <c r="K138" s="169"/>
      <c r="L138" s="455"/>
    </row>
    <row r="139" spans="1:19" s="160" customFormat="1" thickBot="1">
      <c r="D139" s="175" t="s">
        <v>1882</v>
      </c>
      <c r="E139" s="967"/>
      <c r="I139" s="1351">
        <f>E192</f>
        <v>114.7</v>
      </c>
      <c r="J139" s="623"/>
      <c r="K139" s="169"/>
      <c r="L139" s="455"/>
    </row>
    <row r="140" spans="1:19" s="20" customFormat="1" ht="16" thickBot="1">
      <c r="D140" s="172" t="s">
        <v>1735</v>
      </c>
      <c r="E140" s="458"/>
      <c r="F140" s="103"/>
      <c r="G140" s="103"/>
      <c r="H140" s="103"/>
      <c r="I140" s="1350">
        <f>(I137+I138)/I139-1</f>
        <v>0.18740036052764641</v>
      </c>
      <c r="J140" s="1353"/>
      <c r="K140" s="109"/>
      <c r="L140" s="188"/>
    </row>
    <row r="141" spans="1:19" s="20" customFormat="1">
      <c r="E141" s="760"/>
      <c r="I141" s="764"/>
      <c r="K141" s="109"/>
      <c r="L141" s="188"/>
    </row>
    <row r="142" spans="1:19" s="20" customFormat="1" ht="16" thickBot="1">
      <c r="E142" s="760"/>
      <c r="I142" s="764"/>
      <c r="K142" s="109"/>
      <c r="L142" s="188"/>
    </row>
    <row r="143" spans="1:19" s="20" customFormat="1" ht="16" thickBot="1">
      <c r="D143" s="699" t="s">
        <v>1213</v>
      </c>
      <c r="E143" s="1358" t="s">
        <v>1536</v>
      </c>
      <c r="F143" s="474" t="s">
        <v>1535</v>
      </c>
      <c r="G143" s="474" t="s">
        <v>1738</v>
      </c>
      <c r="H143" s="474" t="s">
        <v>1537</v>
      </c>
      <c r="I143" s="1621" t="s">
        <v>1539</v>
      </c>
      <c r="K143" s="109"/>
      <c r="L143" s="188"/>
    </row>
    <row r="144" spans="1:19" s="1359" customFormat="1">
      <c r="D144" s="1623" t="s">
        <v>1737</v>
      </c>
      <c r="E144" s="1624">
        <v>0.05</v>
      </c>
      <c r="F144" s="1624">
        <v>0.1</v>
      </c>
      <c r="G144" s="1624">
        <v>0.75</v>
      </c>
      <c r="H144" s="1624">
        <v>0.1</v>
      </c>
      <c r="I144" s="1625">
        <f>SUM(E144:H144)</f>
        <v>1</v>
      </c>
      <c r="K144" s="1360"/>
      <c r="L144" s="1361"/>
    </row>
    <row r="145" spans="4:12" s="50" customFormat="1">
      <c r="D145" s="1228" t="s">
        <v>506</v>
      </c>
      <c r="E145" s="1415">
        <v>4623085.668877122</v>
      </c>
      <c r="F145" s="1415">
        <v>5018524.9195898399</v>
      </c>
      <c r="G145" s="1415">
        <v>5681324.8698511459</v>
      </c>
      <c r="H145" s="1415">
        <v>6161794.872524173</v>
      </c>
      <c r="I145" s="1852">
        <f>(E145*$E$144)+(F145*$F$144)+(G145*$G$144)+(H145*$H$144)</f>
        <v>5610179.9150436167</v>
      </c>
      <c r="K145" s="190"/>
      <c r="L145" s="449"/>
    </row>
    <row r="146" spans="4:12" s="50" customFormat="1">
      <c r="D146" s="1228" t="s">
        <v>1218</v>
      </c>
      <c r="E146" s="1415">
        <v>2283783.0668984372</v>
      </c>
      <c r="F146" s="1415">
        <v>2503720.9852781352</v>
      </c>
      <c r="G146" s="1415">
        <v>2681991.4355760366</v>
      </c>
      <c r="H146" s="1415">
        <v>2680503.3312613666</v>
      </c>
      <c r="I146" s="1852">
        <f t="shared" ref="I146:I158" si="223">(E146*$E$144)+(F146*$F$144)+(G146*$G$144)+(H146*$H$144)</f>
        <v>2644105.1616808996</v>
      </c>
      <c r="K146" s="190"/>
      <c r="L146" s="449"/>
    </row>
    <row r="147" spans="4:12" s="50" customFormat="1">
      <c r="D147" s="1228" t="s">
        <v>508</v>
      </c>
      <c r="E147" s="1415">
        <v>1024472.4995402172</v>
      </c>
      <c r="F147" s="1415">
        <v>1016236.3961278136</v>
      </c>
      <c r="G147" s="1415">
        <v>1005664.4938281027</v>
      </c>
      <c r="H147" s="1415">
        <v>997345.29730273352</v>
      </c>
      <c r="I147" s="1852">
        <f t="shared" si="223"/>
        <v>1006830.1646911425</v>
      </c>
      <c r="K147" s="190"/>
      <c r="L147" s="449"/>
    </row>
    <row r="148" spans="4:12" s="50" customFormat="1" ht="16" thickBot="1">
      <c r="D148" s="1228" t="s">
        <v>692</v>
      </c>
      <c r="E148" s="1415">
        <v>8705963.042006297</v>
      </c>
      <c r="F148" s="1415">
        <v>10408619.468926607</v>
      </c>
      <c r="G148" s="1415">
        <v>11548576.407827608</v>
      </c>
      <c r="H148" s="1415">
        <v>12692852.0850078</v>
      </c>
      <c r="I148" s="1852">
        <f t="shared" si="223"/>
        <v>11406877.613364462</v>
      </c>
      <c r="K148" s="190"/>
      <c r="L148" s="449"/>
    </row>
    <row r="149" spans="4:12" s="20" customFormat="1" ht="16" thickBot="1">
      <c r="D149" s="172" t="s">
        <v>1219</v>
      </c>
      <c r="E149" s="961">
        <v>16637304.277322073</v>
      </c>
      <c r="F149" s="961">
        <v>18947101.769922398</v>
      </c>
      <c r="G149" s="961">
        <v>20917557.207082894</v>
      </c>
      <c r="H149" s="961">
        <v>22532495.586096071</v>
      </c>
      <c r="I149" s="1853">
        <f t="shared" si="223"/>
        <v>20667992.854780123</v>
      </c>
      <c r="K149" s="109"/>
      <c r="L149" s="188"/>
    </row>
    <row r="150" spans="4:12" s="50" customFormat="1">
      <c r="D150" s="1228" t="s">
        <v>1358</v>
      </c>
      <c r="E150" s="1497">
        <v>3389627.2</v>
      </c>
      <c r="F150" s="1497">
        <v>3389627.2</v>
      </c>
      <c r="G150" s="1497">
        <v>3389627.2</v>
      </c>
      <c r="H150" s="1498">
        <v>3389627.2</v>
      </c>
      <c r="I150" s="1852">
        <f t="shared" si="223"/>
        <v>3389627.2000000007</v>
      </c>
      <c r="K150" s="190"/>
      <c r="L150" s="449"/>
    </row>
    <row r="151" spans="4:12" s="50" customFormat="1">
      <c r="D151" s="1228" t="s">
        <v>1359</v>
      </c>
      <c r="E151" s="1415">
        <v>85554.368132806383</v>
      </c>
      <c r="F151" s="1415">
        <v>85677.116211893968</v>
      </c>
      <c r="G151" s="1415">
        <v>85820.5859151287</v>
      </c>
      <c r="H151" s="1829">
        <v>85862.029163424391</v>
      </c>
      <c r="I151" s="1852">
        <f t="shared" si="223"/>
        <v>85797.072380518686</v>
      </c>
      <c r="K151" s="190"/>
      <c r="L151" s="449"/>
    </row>
    <row r="152" spans="4:12" s="50" customFormat="1">
      <c r="D152" s="1228" t="s">
        <v>1360</v>
      </c>
      <c r="E152" s="1415">
        <v>470778</v>
      </c>
      <c r="F152" s="1415">
        <v>470778</v>
      </c>
      <c r="G152" s="1415">
        <v>470778</v>
      </c>
      <c r="H152" s="1829">
        <v>470778</v>
      </c>
      <c r="I152" s="1852">
        <f t="shared" si="223"/>
        <v>470778</v>
      </c>
      <c r="K152" s="190"/>
      <c r="L152" s="449"/>
    </row>
    <row r="153" spans="4:12" s="50" customFormat="1">
      <c r="D153" s="1228" t="s">
        <v>1361</v>
      </c>
      <c r="E153" s="1415">
        <v>104064.82843189524</v>
      </c>
      <c r="F153" s="1415">
        <v>71209.349098437233</v>
      </c>
      <c r="G153" s="1415">
        <v>32287.460651942762</v>
      </c>
      <c r="H153" s="1829">
        <v>20154.642425867496</v>
      </c>
      <c r="I153" s="1852">
        <f t="shared" si="223"/>
        <v>38555.236062982309</v>
      </c>
      <c r="K153" s="190"/>
      <c r="L153" s="449"/>
    </row>
    <row r="154" spans="4:12" s="50" customFormat="1">
      <c r="D154" s="1228" t="s">
        <v>1883</v>
      </c>
      <c r="E154" s="1415">
        <v>39478</v>
      </c>
      <c r="F154" s="1415">
        <v>39478</v>
      </c>
      <c r="G154" s="1415">
        <v>39478</v>
      </c>
      <c r="H154" s="1829">
        <v>39478</v>
      </c>
      <c r="I154" s="1852">
        <f>(E154*$E$144)+(F154*$F$144)+(G154*$G$144)+(H154*$H$144)</f>
        <v>39478</v>
      </c>
      <c r="K154" s="190"/>
      <c r="L154" s="449"/>
    </row>
    <row r="155" spans="4:12" s="50" customFormat="1">
      <c r="D155" s="1228" t="s">
        <v>1884</v>
      </c>
      <c r="E155" s="1415">
        <v>209963</v>
      </c>
      <c r="F155" s="1415">
        <v>209963</v>
      </c>
      <c r="G155" s="1415">
        <v>209963</v>
      </c>
      <c r="H155" s="1829">
        <v>209963</v>
      </c>
      <c r="I155" s="1852">
        <f t="shared" si="223"/>
        <v>209963</v>
      </c>
      <c r="K155" s="190"/>
      <c r="L155" s="449"/>
    </row>
    <row r="156" spans="4:12" s="50" customFormat="1" ht="16" thickBot="1">
      <c r="D156" s="1228" t="s">
        <v>1885</v>
      </c>
      <c r="E156" s="1415">
        <v>86147</v>
      </c>
      <c r="F156" s="1415">
        <v>86147</v>
      </c>
      <c r="G156" s="1415">
        <v>86147</v>
      </c>
      <c r="H156" s="1829">
        <v>86147</v>
      </c>
      <c r="I156" s="1852">
        <f t="shared" si="223"/>
        <v>86147</v>
      </c>
      <c r="K156" s="190"/>
      <c r="L156" s="449"/>
    </row>
    <row r="157" spans="4:12" s="160" customFormat="1" ht="16" thickBot="1">
      <c r="D157" s="172" t="s">
        <v>1207</v>
      </c>
      <c r="E157" s="961">
        <v>13480333.537621161</v>
      </c>
      <c r="F157" s="961">
        <v>15757152.80280894</v>
      </c>
      <c r="G157" s="961">
        <v>17688542.881819706</v>
      </c>
      <c r="H157" s="961">
        <v>19291306.999358516</v>
      </c>
      <c r="I157" s="1853">
        <f t="shared" si="223"/>
        <v>17445269.81846258</v>
      </c>
      <c r="K157" s="169"/>
      <c r="L157" s="455"/>
    </row>
    <row r="158" spans="4:12" s="50" customFormat="1" ht="16" thickBot="1">
      <c r="D158" s="1228" t="s">
        <v>1208</v>
      </c>
      <c r="E158" s="1620">
        <v>135.53</v>
      </c>
      <c r="F158" s="1620">
        <v>135.53</v>
      </c>
      <c r="G158" s="1620">
        <v>135.53</v>
      </c>
      <c r="H158" s="1620">
        <v>135.53</v>
      </c>
      <c r="I158" s="1854">
        <f t="shared" si="223"/>
        <v>135.53</v>
      </c>
      <c r="L158" s="449"/>
    </row>
    <row r="159" spans="4:12" s="188" customFormat="1" ht="16" thickBot="1">
      <c r="D159" s="172" t="s">
        <v>1538</v>
      </c>
      <c r="E159" s="1851">
        <v>99.463834852956253</v>
      </c>
      <c r="F159" s="1851">
        <v>116.26320964221162</v>
      </c>
      <c r="G159" s="1851">
        <v>130.51385583870513</v>
      </c>
      <c r="H159" s="1851">
        <v>142.33975503105228</v>
      </c>
      <c r="I159" s="1855">
        <f>(E159*$E$144)+(F159*$F$144)+(G159*$G$144)+(H159*$H$144)</f>
        <v>128.71888008900305</v>
      </c>
    </row>
    <row r="160" spans="4:12" s="449" customFormat="1">
      <c r="D160" s="1228" t="s">
        <v>1736</v>
      </c>
      <c r="E160" s="1856">
        <v>5.4033936696542053</v>
      </c>
      <c r="F160" s="1856">
        <v>5.5313768959523424</v>
      </c>
      <c r="G160" s="1856">
        <v>5.6809655138159156</v>
      </c>
      <c r="H160" s="1856">
        <v>5.7241762969467933</v>
      </c>
      <c r="I160" s="1857">
        <f>(E160*$E$144)+(F160*$F$144)+(G160*$G$144)+(H160*$H$144)</f>
        <v>5.6564491381345601</v>
      </c>
    </row>
    <row r="161" spans="1:20" s="449" customFormat="1" ht="16" thickBot="1">
      <c r="D161" s="1228" t="s">
        <v>1882</v>
      </c>
      <c r="E161" s="1856">
        <v>114.7</v>
      </c>
      <c r="F161" s="1856">
        <v>114.7</v>
      </c>
      <c r="G161" s="1856">
        <v>114.7</v>
      </c>
      <c r="H161" s="1856">
        <v>114.7</v>
      </c>
      <c r="I161" s="1858">
        <f>(E161*$E$144)+(F161*$F$144)+(G161*$G$144)+(H161*$H$144)</f>
        <v>114.7</v>
      </c>
    </row>
    <row r="162" spans="1:20" s="188" customFormat="1" ht="16" thickBot="1">
      <c r="D162" s="172" t="s">
        <v>1735</v>
      </c>
      <c r="E162" s="1362">
        <v>-8.5725993699996006E-2</v>
      </c>
      <c r="F162" s="1362">
        <v>6.1853413584690209E-2</v>
      </c>
      <c r="G162" s="1362">
        <v>0.18740036052764641</v>
      </c>
      <c r="H162" s="1362">
        <v>0.29087995926764654</v>
      </c>
      <c r="I162" s="1622">
        <f>(E162*$E$144)+(F162*$F$144)+(G162*$G$144)+(H162*$H$144)</f>
        <v>0.17153730799596867</v>
      </c>
    </row>
    <row r="163" spans="1:20" s="20" customFormat="1">
      <c r="E163" s="760"/>
      <c r="I163" s="922"/>
      <c r="L163" s="188"/>
    </row>
    <row r="164" spans="1:20" s="20" customFormat="1">
      <c r="E164" s="760"/>
      <c r="I164" s="922"/>
      <c r="L164" s="188"/>
    </row>
    <row r="165" spans="1:20" s="20" customFormat="1">
      <c r="E165" s="760"/>
      <c r="I165" s="761"/>
    </row>
    <row r="166" spans="1:20" s="124" customFormat="1" ht="21" customHeight="1">
      <c r="A166" s="1904" t="s">
        <v>1764</v>
      </c>
      <c r="B166" s="1904"/>
      <c r="C166" s="1904"/>
      <c r="D166" s="1904"/>
      <c r="E166" s="1904"/>
      <c r="F166" s="1904"/>
      <c r="G166" s="1904"/>
      <c r="H166" s="1904"/>
      <c r="I166" s="1904"/>
      <c r="J166" s="1904"/>
      <c r="K166" s="1904"/>
      <c r="L166" s="1904"/>
      <c r="M166" s="1904"/>
      <c r="N166" s="1904"/>
      <c r="O166" s="1645"/>
      <c r="P166" s="1645"/>
      <c r="Q166" s="1645"/>
      <c r="R166" s="1645"/>
      <c r="S166" s="1645"/>
      <c r="T166" s="235"/>
    </row>
    <row r="167" spans="1:20" s="160" customFormat="1" ht="14" customHeight="1">
      <c r="P167" s="7"/>
      <c r="Q167" s="7"/>
      <c r="R167" s="7"/>
      <c r="S167" s="7"/>
    </row>
    <row r="169" spans="1:20" ht="20">
      <c r="D169" s="1197" t="s">
        <v>1870</v>
      </c>
    </row>
    <row r="170" spans="1:20" ht="16" thickBot="1"/>
    <row r="171" spans="1:20" s="160" customFormat="1" ht="16" thickBot="1">
      <c r="D171" s="1909" t="s">
        <v>1851</v>
      </c>
      <c r="E171" s="1910"/>
      <c r="F171" s="7"/>
      <c r="G171" s="7"/>
      <c r="H171" s="7"/>
      <c r="I171" s="7"/>
      <c r="J171" s="7"/>
      <c r="K171" s="7"/>
      <c r="L171" s="7"/>
      <c r="M171" s="7"/>
      <c r="N171" s="7"/>
      <c r="O171" s="7"/>
      <c r="P171" s="7"/>
      <c r="Q171" s="7"/>
      <c r="R171" s="7"/>
      <c r="S171" s="7"/>
    </row>
    <row r="172" spans="1:20" s="160" customFormat="1">
      <c r="D172" s="688" t="s">
        <v>1198</v>
      </c>
      <c r="E172" s="920">
        <f>'2b. Balance Sheet'!P44</f>
        <v>3389627.2</v>
      </c>
      <c r="F172" s="7"/>
      <c r="G172" s="7"/>
      <c r="H172" s="7"/>
      <c r="I172" s="7"/>
      <c r="J172" s="7"/>
      <c r="K172" s="7"/>
      <c r="L172" s="7"/>
      <c r="M172" s="7"/>
      <c r="N172" s="7"/>
      <c r="O172" s="7"/>
      <c r="P172" s="7"/>
      <c r="Q172" s="7"/>
      <c r="R172" s="7"/>
      <c r="S172" s="7"/>
    </row>
    <row r="173" spans="1:20" s="160" customFormat="1">
      <c r="D173" s="874" t="s">
        <v>1199</v>
      </c>
      <c r="E173" s="1547">
        <f>'2e. Notes to the New Fin Stat'!P79</f>
        <v>1207087.2000000002</v>
      </c>
      <c r="F173" s="7"/>
      <c r="G173" s="7"/>
      <c r="H173" s="7"/>
      <c r="I173" s="7"/>
      <c r="J173" s="7"/>
      <c r="K173" s="7"/>
      <c r="L173" s="7"/>
      <c r="M173" s="7"/>
      <c r="N173" s="7"/>
      <c r="O173" s="7"/>
      <c r="P173" s="7"/>
      <c r="Q173" s="7"/>
      <c r="R173" s="7"/>
      <c r="S173" s="7"/>
    </row>
    <row r="174" spans="1:20">
      <c r="D174" s="1228" t="s">
        <v>1847</v>
      </c>
      <c r="E174" s="1829">
        <v>142000</v>
      </c>
    </row>
    <row r="175" spans="1:20">
      <c r="D175" s="874" t="s">
        <v>1848</v>
      </c>
      <c r="E175" s="1547">
        <f>'2e. Notes to the New Fin Stat'!P81</f>
        <v>2182540</v>
      </c>
    </row>
    <row r="176" spans="1:20">
      <c r="D176" s="688" t="s">
        <v>1843</v>
      </c>
      <c r="E176" s="1828">
        <f>E177-E178*E179</f>
        <v>8.3106687999999998E-2</v>
      </c>
    </row>
    <row r="177" spans="4:19">
      <c r="D177" s="874" t="s">
        <v>1867</v>
      </c>
      <c r="E177" s="1844">
        <f>'2e. Notes to the New Fin Stat'!P83</f>
        <v>8.9499999999999996E-2</v>
      </c>
    </row>
    <row r="178" spans="4:19">
      <c r="D178" s="874" t="s">
        <v>1868</v>
      </c>
      <c r="E178" s="1844">
        <f>'1b. Valuation Comparables Data'!Q10</f>
        <v>1.264E-2</v>
      </c>
    </row>
    <row r="179" spans="4:19">
      <c r="D179" s="874" t="s">
        <v>1864</v>
      </c>
      <c r="E179" s="1844">
        <f>'1b. Valuation Comparables Data'!S10</f>
        <v>0.50580000000000003</v>
      </c>
    </row>
    <row r="180" spans="4:19" s="50" customFormat="1">
      <c r="D180" s="688" t="s">
        <v>1844</v>
      </c>
      <c r="E180" s="1828">
        <f>E181-E182*E183</f>
        <v>2.7710014000000002E-2</v>
      </c>
      <c r="F180" s="9"/>
      <c r="G180" s="9"/>
      <c r="H180" s="9"/>
      <c r="I180" s="9"/>
      <c r="J180" s="9"/>
      <c r="K180" s="9"/>
      <c r="L180" s="9"/>
      <c r="M180" s="9"/>
      <c r="N180" s="9"/>
      <c r="O180" s="9"/>
      <c r="P180" s="9"/>
      <c r="Q180" s="9"/>
      <c r="R180" s="9"/>
      <c r="S180" s="9"/>
    </row>
    <row r="181" spans="4:19" s="50" customFormat="1">
      <c r="D181" s="874" t="s">
        <v>1869</v>
      </c>
      <c r="E181" s="1844">
        <f>'2e. Notes to the New Fin Stat'!P84</f>
        <v>2.8300000000000002E-2</v>
      </c>
      <c r="F181" s="9"/>
      <c r="G181" s="9"/>
      <c r="H181" s="9"/>
      <c r="I181" s="9"/>
      <c r="J181" s="9"/>
      <c r="K181" s="9"/>
      <c r="L181" s="9"/>
      <c r="M181" s="9"/>
      <c r="N181" s="9"/>
      <c r="O181" s="9"/>
      <c r="P181" s="9"/>
      <c r="Q181" s="9"/>
      <c r="R181" s="9"/>
      <c r="S181" s="9"/>
    </row>
    <row r="182" spans="4:19" s="50" customFormat="1">
      <c r="D182" s="874" t="s">
        <v>1868</v>
      </c>
      <c r="E182" s="1844">
        <f>'1b. Valuation Comparables Data'!Q3</f>
        <v>1.4599999999999999E-3</v>
      </c>
      <c r="F182" s="9"/>
      <c r="G182" s="9"/>
      <c r="H182" s="9"/>
      <c r="I182" s="9"/>
      <c r="J182" s="9"/>
      <c r="K182" s="9"/>
      <c r="L182" s="9"/>
      <c r="M182" s="9"/>
      <c r="N182" s="9"/>
      <c r="O182" s="9"/>
      <c r="P182" s="9"/>
      <c r="Q182" s="9"/>
      <c r="R182" s="9"/>
      <c r="S182" s="9"/>
    </row>
    <row r="183" spans="4:19" s="50" customFormat="1" ht="16" thickBot="1">
      <c r="D183" s="1610" t="s">
        <v>1864</v>
      </c>
      <c r="E183" s="1845">
        <f>'1b. Valuation Comparables Data'!S3</f>
        <v>0.40410000000000001</v>
      </c>
      <c r="F183" s="9"/>
      <c r="G183" s="9"/>
      <c r="H183" s="9"/>
      <c r="I183" s="9"/>
      <c r="J183" s="9"/>
      <c r="K183" s="9"/>
      <c r="L183" s="9"/>
      <c r="M183" s="9"/>
      <c r="N183" s="9"/>
      <c r="O183" s="9"/>
      <c r="P183" s="9"/>
      <c r="Q183" s="9"/>
      <c r="R183" s="9"/>
      <c r="S183" s="9"/>
    </row>
    <row r="184" spans="4:19" s="50" customFormat="1">
      <c r="F184" s="9"/>
      <c r="G184" s="9"/>
      <c r="H184" s="9"/>
      <c r="I184" s="9"/>
      <c r="J184" s="9"/>
      <c r="K184" s="9"/>
      <c r="L184" s="9"/>
      <c r="M184" s="9"/>
      <c r="N184" s="9"/>
      <c r="O184" s="9"/>
      <c r="P184" s="9"/>
      <c r="Q184" s="9"/>
      <c r="R184" s="9"/>
      <c r="S184" s="9"/>
    </row>
    <row r="185" spans="4:19" s="50" customFormat="1">
      <c r="D185" s="109" t="s">
        <v>1845</v>
      </c>
      <c r="E185" s="1838">
        <v>0.4</v>
      </c>
      <c r="F185" s="9"/>
      <c r="G185" s="9"/>
      <c r="H185" s="9"/>
      <c r="I185" s="9"/>
      <c r="J185" s="9"/>
      <c r="K185" s="9"/>
      <c r="L185" s="9"/>
      <c r="M185" s="9"/>
      <c r="N185" s="9"/>
      <c r="O185" s="9"/>
      <c r="P185" s="9"/>
      <c r="Q185" s="9"/>
      <c r="R185" s="9"/>
      <c r="S185" s="9"/>
    </row>
    <row r="186" spans="4:19">
      <c r="D186" s="109" t="s">
        <v>1846</v>
      </c>
      <c r="E186" s="1838">
        <v>0.28000000000000003</v>
      </c>
    </row>
    <row r="188" spans="4:19" s="50" customFormat="1">
      <c r="F188" s="9"/>
      <c r="G188" s="9"/>
      <c r="H188" s="9"/>
      <c r="I188" s="9"/>
      <c r="J188" s="9"/>
      <c r="K188" s="9"/>
      <c r="L188" s="9"/>
      <c r="M188" s="9"/>
      <c r="N188" s="9"/>
      <c r="O188" s="9"/>
      <c r="P188" s="9"/>
      <c r="Q188" s="9"/>
      <c r="R188" s="9"/>
      <c r="S188" s="9"/>
    </row>
    <row r="189" spans="4:19" s="50" customFormat="1" ht="20">
      <c r="D189" s="1210" t="s">
        <v>1873</v>
      </c>
      <c r="F189" s="9"/>
      <c r="G189" s="9"/>
      <c r="H189" s="9"/>
      <c r="I189" s="9"/>
      <c r="J189" s="9"/>
      <c r="K189" s="9"/>
      <c r="L189" s="9"/>
      <c r="M189" s="9"/>
      <c r="N189" s="9"/>
      <c r="O189" s="9"/>
      <c r="P189" s="9"/>
      <c r="Q189" s="9"/>
      <c r="R189" s="9"/>
      <c r="S189" s="9"/>
    </row>
    <row r="190" spans="4:19" s="50" customFormat="1" ht="16" thickBot="1">
      <c r="D190" s="190"/>
      <c r="F190" s="9"/>
      <c r="G190" s="9"/>
      <c r="H190" s="9"/>
      <c r="I190" s="9"/>
      <c r="J190" s="9"/>
      <c r="K190" s="9"/>
      <c r="L190" s="9"/>
      <c r="M190" s="9"/>
      <c r="N190" s="9"/>
      <c r="O190" s="9"/>
      <c r="P190" s="9"/>
      <c r="Q190" s="9"/>
      <c r="R190" s="9"/>
      <c r="S190" s="9"/>
    </row>
    <row r="191" spans="4:19" ht="16" thickBot="1">
      <c r="D191" s="1909" t="s">
        <v>1871</v>
      </c>
      <c r="E191" s="1910"/>
    </row>
    <row r="192" spans="4:19">
      <c r="D192" s="874" t="s">
        <v>1872</v>
      </c>
      <c r="E192" s="888">
        <v>114.7</v>
      </c>
      <c r="F192" s="18"/>
      <c r="G192" s="18"/>
    </row>
    <row r="193" spans="4:19">
      <c r="D193" s="874" t="s">
        <v>1197</v>
      </c>
      <c r="E193" s="888">
        <v>135.53</v>
      </c>
      <c r="F193" s="18"/>
      <c r="G193" s="18"/>
    </row>
    <row r="194" spans="4:19" s="137" customFormat="1" ht="16" thickBot="1">
      <c r="D194" s="1610" t="s">
        <v>837</v>
      </c>
      <c r="E194" s="1631">
        <f>E192*E193*1000</f>
        <v>15545291.000000002</v>
      </c>
      <c r="F194" s="18"/>
      <c r="G194" s="18"/>
      <c r="H194" s="18"/>
      <c r="I194" s="18"/>
      <c r="J194" s="18"/>
      <c r="K194" s="18"/>
      <c r="L194" s="18"/>
      <c r="M194" s="18"/>
      <c r="N194" s="18"/>
      <c r="O194" s="18"/>
      <c r="P194" s="18"/>
      <c r="Q194" s="18"/>
      <c r="R194" s="18"/>
      <c r="S194" s="18"/>
    </row>
    <row r="195" spans="4:19" s="137" customFormat="1">
      <c r="F195" s="18"/>
      <c r="G195" s="18"/>
      <c r="H195" s="18"/>
      <c r="I195" s="18"/>
      <c r="J195" s="18"/>
      <c r="K195" s="18"/>
      <c r="L195" s="18"/>
      <c r="M195" s="18"/>
      <c r="N195" s="18"/>
      <c r="O195" s="18"/>
      <c r="P195" s="18"/>
      <c r="Q195" s="18"/>
      <c r="R195" s="18"/>
      <c r="S195" s="18"/>
    </row>
    <row r="196" spans="4:19" s="137" customFormat="1" ht="20">
      <c r="D196" s="1218" t="s">
        <v>1874</v>
      </c>
      <c r="E196" s="18"/>
      <c r="F196" s="18"/>
      <c r="G196" s="18"/>
      <c r="H196" s="18"/>
      <c r="I196" s="18"/>
      <c r="J196" s="18"/>
      <c r="K196" s="18"/>
      <c r="L196" s="18"/>
      <c r="M196" s="18"/>
      <c r="N196" s="18"/>
      <c r="O196" s="18"/>
      <c r="P196" s="18"/>
      <c r="Q196" s="18"/>
      <c r="R196" s="18"/>
      <c r="S196" s="18"/>
    </row>
    <row r="197" spans="4:19" s="137" customFormat="1" ht="16" thickBot="1">
      <c r="F197" s="18"/>
      <c r="G197" s="18"/>
      <c r="H197" s="18"/>
      <c r="I197" s="18"/>
      <c r="J197" s="18"/>
      <c r="K197" s="18"/>
      <c r="L197" s="18"/>
      <c r="M197" s="18"/>
      <c r="N197" s="18"/>
      <c r="O197" s="18"/>
      <c r="P197" s="18"/>
      <c r="Q197" s="18"/>
      <c r="R197" s="18"/>
      <c r="S197" s="18"/>
    </row>
    <row r="198" spans="4:19" s="137" customFormat="1" ht="16" thickBot="1">
      <c r="D198" s="1909" t="s">
        <v>1518</v>
      </c>
      <c r="E198" s="1910"/>
      <c r="F198" s="18"/>
      <c r="G198" s="18"/>
      <c r="H198" s="18"/>
      <c r="I198" s="18"/>
      <c r="J198" s="18"/>
      <c r="K198" s="18"/>
      <c r="L198" s="18"/>
      <c r="M198" s="18"/>
      <c r="N198" s="18"/>
      <c r="O198" s="18"/>
      <c r="P198" s="18"/>
      <c r="Q198" s="18"/>
      <c r="R198" s="18"/>
      <c r="S198" s="18"/>
    </row>
    <row r="199" spans="4:19" s="137" customFormat="1">
      <c r="D199" s="874" t="s">
        <v>1200</v>
      </c>
      <c r="E199" s="1611">
        <f>E172/E194</f>
        <v>0.21804848812415281</v>
      </c>
      <c r="F199" s="18"/>
      <c r="G199" s="18"/>
      <c r="H199" s="18"/>
      <c r="I199" s="18"/>
      <c r="J199" s="18"/>
      <c r="K199" s="18"/>
      <c r="L199" s="18"/>
      <c r="M199" s="18"/>
      <c r="N199" s="18"/>
      <c r="O199" s="18"/>
      <c r="P199" s="18"/>
      <c r="Q199" s="18"/>
      <c r="R199" s="18"/>
      <c r="S199" s="18"/>
    </row>
    <row r="200" spans="4:19" s="137" customFormat="1">
      <c r="D200" s="874" t="s">
        <v>1201</v>
      </c>
      <c r="E200" s="1611">
        <f>E172/(E172+E194)</f>
        <v>0.17901462072331528</v>
      </c>
      <c r="F200" s="18"/>
      <c r="G200" s="18"/>
      <c r="H200" s="18"/>
      <c r="I200" s="18"/>
      <c r="J200" s="18"/>
      <c r="K200" s="18"/>
      <c r="L200" s="18"/>
      <c r="M200" s="18"/>
      <c r="N200" s="18"/>
      <c r="O200" s="18"/>
      <c r="P200" s="18"/>
      <c r="Q200" s="18"/>
      <c r="R200" s="18"/>
      <c r="S200" s="18"/>
    </row>
    <row r="201" spans="4:19" s="137" customFormat="1" ht="16" thickBot="1">
      <c r="D201" s="1610" t="s">
        <v>1202</v>
      </c>
      <c r="E201" s="1612">
        <f>E194/(E194+E172)</f>
        <v>0.82098537927668469</v>
      </c>
      <c r="F201" s="18"/>
      <c r="G201" s="18"/>
      <c r="H201" s="18"/>
      <c r="I201" s="18"/>
      <c r="J201" s="18"/>
      <c r="K201" s="18"/>
      <c r="L201" s="18"/>
      <c r="M201" s="18"/>
      <c r="N201" s="18"/>
      <c r="O201" s="18"/>
      <c r="P201" s="18"/>
      <c r="Q201" s="18"/>
      <c r="R201" s="18"/>
      <c r="S201" s="18"/>
    </row>
    <row r="202" spans="4:19" s="137" customFormat="1">
      <c r="F202" s="18"/>
      <c r="G202" s="18"/>
      <c r="H202" s="18"/>
      <c r="I202" s="18"/>
      <c r="J202" s="18"/>
      <c r="K202" s="18"/>
      <c r="L202" s="18"/>
      <c r="M202" s="18"/>
      <c r="N202" s="18"/>
      <c r="O202" s="18"/>
      <c r="P202" s="18"/>
      <c r="Q202" s="18"/>
      <c r="R202" s="18"/>
      <c r="S202" s="18"/>
    </row>
    <row r="203" spans="4:19" ht="20">
      <c r="D203" s="1218" t="s">
        <v>1875</v>
      </c>
      <c r="F203" s="18"/>
      <c r="G203" s="18"/>
    </row>
    <row r="204" spans="4:19" ht="16" thickBot="1">
      <c r="F204" s="18"/>
      <c r="G204" s="18"/>
    </row>
    <row r="205" spans="4:19" ht="31" thickBot="1">
      <c r="D205" s="1792" t="s">
        <v>1512</v>
      </c>
      <c r="E205" s="709" t="s">
        <v>1498</v>
      </c>
      <c r="F205" s="709" t="s">
        <v>1600</v>
      </c>
      <c r="G205" s="714" t="s">
        <v>1008</v>
      </c>
      <c r="H205" s="714" t="s">
        <v>1821</v>
      </c>
      <c r="I205" s="714" t="s">
        <v>1822</v>
      </c>
      <c r="J205" s="714" t="s">
        <v>1510</v>
      </c>
      <c r="K205" s="714" t="s">
        <v>1601</v>
      </c>
      <c r="L205" s="714" t="s">
        <v>1013</v>
      </c>
      <c r="M205" s="714" t="s">
        <v>1014</v>
      </c>
      <c r="N205" s="714" t="s">
        <v>1511</v>
      </c>
      <c r="O205" s="715" t="s">
        <v>1015</v>
      </c>
    </row>
    <row r="206" spans="4:19">
      <c r="D206" s="726" t="s">
        <v>1852</v>
      </c>
      <c r="E206" s="1830">
        <f>'1b. Valuation Comparables Data'!J91</f>
        <v>0.52649933158196716</v>
      </c>
      <c r="F206" s="1831">
        <f>$E$199</f>
        <v>0.21804848812415281</v>
      </c>
      <c r="G206" s="1836">
        <f>E186</f>
        <v>0.28000000000000003</v>
      </c>
      <c r="H206" s="1831">
        <f>E206*(1+F206)</f>
        <v>0.64130171483179221</v>
      </c>
      <c r="I206" s="1831">
        <f>((2/3)*H206)+(1/3)*1</f>
        <v>0.7608678098878614</v>
      </c>
      <c r="J206" s="1832">
        <f>E226</f>
        <v>9.1850000000000001E-2</v>
      </c>
      <c r="K206" s="1613">
        <f>$E$227</f>
        <v>0.06</v>
      </c>
      <c r="L206" s="1613">
        <f>J206+I206*K206</f>
        <v>0.13750206859327169</v>
      </c>
      <c r="M206" s="1613">
        <f>E176</f>
        <v>8.3106687999999998E-2</v>
      </c>
      <c r="N206" s="1831">
        <f>$E$200</f>
        <v>0.17901462072331528</v>
      </c>
      <c r="O206" s="1614">
        <f>((1-N206)*L206)+(M206*(1-G206)*N206)</f>
        <v>0.12359885274233731</v>
      </c>
    </row>
    <row r="207" spans="4:19">
      <c r="D207" s="726" t="s">
        <v>1853</v>
      </c>
      <c r="E207" s="1830">
        <f>E206</f>
        <v>0.52649933158196716</v>
      </c>
      <c r="F207" s="1831">
        <f>$E$199</f>
        <v>0.21804848812415281</v>
      </c>
      <c r="G207" s="1836">
        <f>G206</f>
        <v>0.28000000000000003</v>
      </c>
      <c r="H207" s="1831">
        <f t="shared" ref="H207:H209" si="224">E207*(1+F207)</f>
        <v>0.64130171483179221</v>
      </c>
      <c r="I207" s="1831">
        <f t="shared" ref="I207:I209" si="225">((2/3)*H207)+(1/3)*1</f>
        <v>0.7608678098878614</v>
      </c>
      <c r="J207" s="1832">
        <f>J206</f>
        <v>9.1850000000000001E-2</v>
      </c>
      <c r="K207" s="1613">
        <f>$E$227</f>
        <v>0.06</v>
      </c>
      <c r="L207" s="1613">
        <f t="shared" ref="L207:L209" si="226">J207+I207*K207</f>
        <v>0.13750206859327169</v>
      </c>
      <c r="M207" s="1613">
        <f>M206</f>
        <v>8.3106687999999998E-2</v>
      </c>
      <c r="N207" s="1831">
        <f>$E$200</f>
        <v>0.17901462072331528</v>
      </c>
      <c r="O207" s="1614">
        <f>((1-N207)*L207)+(M207*(1-G207)*N207)</f>
        <v>0.12359885274233731</v>
      </c>
    </row>
    <row r="208" spans="4:19">
      <c r="D208" s="726" t="s">
        <v>1854</v>
      </c>
      <c r="E208" s="1830">
        <f>E207</f>
        <v>0.52649933158196716</v>
      </c>
      <c r="F208" s="1831">
        <f>$E$199</f>
        <v>0.21804848812415281</v>
      </c>
      <c r="G208" s="1836">
        <f>G207</f>
        <v>0.28000000000000003</v>
      </c>
      <c r="H208" s="1831">
        <f t="shared" si="224"/>
        <v>0.64130171483179221</v>
      </c>
      <c r="I208" s="1831">
        <f t="shared" si="225"/>
        <v>0.7608678098878614</v>
      </c>
      <c r="J208" s="1832">
        <f>J207</f>
        <v>9.1850000000000001E-2</v>
      </c>
      <c r="K208" s="1613">
        <f>$E$227</f>
        <v>0.06</v>
      </c>
      <c r="L208" s="1613">
        <f t="shared" si="226"/>
        <v>0.13750206859327169</v>
      </c>
      <c r="M208" s="1613">
        <f>M207</f>
        <v>8.3106687999999998E-2</v>
      </c>
      <c r="N208" s="1831">
        <f>$E$200</f>
        <v>0.17901462072331528</v>
      </c>
      <c r="O208" s="1614">
        <f>((1-N208)*L208)+(M208*(1-G208)*N208)</f>
        <v>0.12359885274233731</v>
      </c>
    </row>
    <row r="209" spans="4:15" ht="16" thickBot="1">
      <c r="D209" s="746" t="s">
        <v>1855</v>
      </c>
      <c r="E209" s="1833">
        <f>'1b. Valuation Comparables Data'!J77</f>
        <v>0.97170857988165682</v>
      </c>
      <c r="F209" s="1834">
        <f>$E$199</f>
        <v>0.21804848812415281</v>
      </c>
      <c r="G209" s="1837">
        <f>E185</f>
        <v>0.4</v>
      </c>
      <c r="H209" s="1834">
        <f t="shared" si="224"/>
        <v>1.1835881666221197</v>
      </c>
      <c r="I209" s="1834">
        <f t="shared" si="225"/>
        <v>1.122392111081413</v>
      </c>
      <c r="J209" s="1835">
        <f>E225</f>
        <v>1.7000000000000001E-2</v>
      </c>
      <c r="K209" s="1615">
        <f>$E$227</f>
        <v>0.06</v>
      </c>
      <c r="L209" s="1615">
        <f t="shared" si="226"/>
        <v>8.4343526664884774E-2</v>
      </c>
      <c r="M209" s="1615">
        <f>E180</f>
        <v>2.7710014000000002E-2</v>
      </c>
      <c r="N209" s="1834">
        <f>$E$200</f>
        <v>0.17901462072331528</v>
      </c>
      <c r="O209" s="1616">
        <f>((1-N209)*L209)+(M209*(1-G209)*N209)</f>
        <v>7.2221100816372258E-2</v>
      </c>
    </row>
    <row r="211" spans="4:15" ht="20">
      <c r="D211" s="1218" t="s">
        <v>1876</v>
      </c>
    </row>
    <row r="212" spans="4:15" ht="16" thickBot="1"/>
    <row r="213" spans="4:15" ht="16" thickBot="1">
      <c r="D213" s="1912" t="s">
        <v>1509</v>
      </c>
      <c r="E213" s="1913"/>
    </row>
    <row r="214" spans="4:15">
      <c r="D214" s="874" t="s">
        <v>1877</v>
      </c>
      <c r="E214" s="1617">
        <v>0.03</v>
      </c>
    </row>
    <row r="215" spans="4:15">
      <c r="D215" s="874" t="s">
        <v>1602</v>
      </c>
      <c r="E215" s="1617">
        <v>0.02</v>
      </c>
    </row>
    <row r="216" spans="4:15">
      <c r="D216" s="874" t="s">
        <v>1507</v>
      </c>
      <c r="E216" s="1617">
        <f>AVERAGE('1c. GDP Growth Analysis'!P7:P8)</f>
        <v>1.4166666666666666E-2</v>
      </c>
    </row>
    <row r="217" spans="4:15">
      <c r="D217" s="874" t="s">
        <v>1508</v>
      </c>
      <c r="E217" s="1617">
        <f>('1c. GDP Growth Analysis'!P6+'1c. GDP Growth Analysis'!O6)/2</f>
        <v>2.2666666666666668E-2</v>
      </c>
    </row>
    <row r="218" spans="4:15">
      <c r="D218" s="688" t="s">
        <v>1878</v>
      </c>
      <c r="E218" s="1618">
        <f>E214+E216</f>
        <v>4.4166666666666667E-2</v>
      </c>
    </row>
    <row r="219" spans="4:15" ht="16" thickBot="1">
      <c r="D219" s="871" t="s">
        <v>1879</v>
      </c>
      <c r="E219" s="1619">
        <f>E215+E217</f>
        <v>4.2666666666666672E-2</v>
      </c>
    </row>
    <row r="221" spans="4:15" ht="20">
      <c r="D221" s="1197" t="s">
        <v>1856</v>
      </c>
    </row>
    <row r="222" spans="4:15" ht="16" thickBot="1"/>
    <row r="223" spans="4:15" ht="16" thickBot="1">
      <c r="D223" s="1909" t="s">
        <v>1765</v>
      </c>
      <c r="E223" s="1910"/>
      <c r="F223" s="1637" t="s">
        <v>1767</v>
      </c>
      <c r="G223" s="1638" t="s">
        <v>1768</v>
      </c>
    </row>
    <row r="224" spans="4:15">
      <c r="D224" s="1228" t="s">
        <v>1730</v>
      </c>
      <c r="E224" s="1629">
        <v>7.6999999999999999E-2</v>
      </c>
      <c r="F224" s="1639">
        <f>E224</f>
        <v>7.6999999999999999E-2</v>
      </c>
      <c r="G224" s="1628">
        <f>F224</f>
        <v>7.6999999999999999E-2</v>
      </c>
    </row>
    <row r="225" spans="4:7">
      <c r="D225" s="1228" t="s">
        <v>1732</v>
      </c>
      <c r="E225" s="1629">
        <v>1.7000000000000001E-2</v>
      </c>
      <c r="F225" s="1640">
        <f t="shared" ref="F225:F230" si="227">E225</f>
        <v>1.7000000000000001E-2</v>
      </c>
      <c r="G225" s="1627">
        <v>1.21E-2</v>
      </c>
    </row>
    <row r="226" spans="4:7">
      <c r="D226" s="1228" t="s">
        <v>1701</v>
      </c>
      <c r="E226" s="1629">
        <v>9.1850000000000001E-2</v>
      </c>
      <c r="F226" s="1640">
        <f t="shared" si="227"/>
        <v>9.1850000000000001E-2</v>
      </c>
      <c r="G226" s="1627">
        <v>8.5800000000000001E-2</v>
      </c>
    </row>
    <row r="227" spans="4:7">
      <c r="D227" s="1228" t="s">
        <v>1731</v>
      </c>
      <c r="E227" s="1630">
        <f>7.7%-E225</f>
        <v>0.06</v>
      </c>
      <c r="F227" s="1641">
        <f t="shared" si="227"/>
        <v>0.06</v>
      </c>
      <c r="G227" s="1642">
        <f>F227</f>
        <v>0.06</v>
      </c>
    </row>
    <row r="228" spans="4:7">
      <c r="D228" s="1228" t="s">
        <v>1702</v>
      </c>
      <c r="E228" s="1607">
        <v>15.4038</v>
      </c>
      <c r="F228" s="1643">
        <f t="shared" si="227"/>
        <v>15.4038</v>
      </c>
      <c r="G228" s="1644">
        <f>F228</f>
        <v>15.4038</v>
      </c>
    </row>
    <row r="229" spans="4:7">
      <c r="D229" s="1228" t="s">
        <v>1704</v>
      </c>
      <c r="E229" s="1608">
        <f>1/E228</f>
        <v>6.4919045949700716E-2</v>
      </c>
      <c r="F229" s="1643">
        <f t="shared" si="227"/>
        <v>6.4919045949700716E-2</v>
      </c>
      <c r="G229" s="1644">
        <f>F229</f>
        <v>6.4919045949700716E-2</v>
      </c>
    </row>
    <row r="230" spans="4:7" ht="16" thickBot="1">
      <c r="D230" s="1388" t="s">
        <v>1703</v>
      </c>
      <c r="E230" s="1609">
        <f>(32.59+32.97)/2</f>
        <v>32.78</v>
      </c>
      <c r="F230" s="1643">
        <f t="shared" si="227"/>
        <v>32.78</v>
      </c>
      <c r="G230" s="1644">
        <f>'3f. Exchange Rate USDZAR'!M5</f>
        <v>22.47</v>
      </c>
    </row>
    <row r="231" spans="4:7" ht="16" thickBot="1">
      <c r="D231" s="1633" t="s">
        <v>1766</v>
      </c>
      <c r="E231" s="1634"/>
      <c r="F231" s="1635">
        <f>(((1*F229)*((1+F225)^10))*(F230))^(1/10)-1</f>
        <v>9.6778834058294461E-2</v>
      </c>
      <c r="G231" s="1636">
        <f>(((1*G229)*((1+G225)^5))*(G230))^(1/5)-1</f>
        <v>9.1486742720149561E-2</v>
      </c>
    </row>
  </sheetData>
  <mergeCells count="16">
    <mergeCell ref="D114:E114"/>
    <mergeCell ref="D42:E42"/>
    <mergeCell ref="D66:E66"/>
    <mergeCell ref="D90:E90"/>
    <mergeCell ref="D223:E223"/>
    <mergeCell ref="D121:J121"/>
    <mergeCell ref="A166:N166"/>
    <mergeCell ref="D213:E213"/>
    <mergeCell ref="D198:E198"/>
    <mergeCell ref="D191:E191"/>
    <mergeCell ref="D171:E171"/>
    <mergeCell ref="D3:S3"/>
    <mergeCell ref="D23:S23"/>
    <mergeCell ref="D47:S47"/>
    <mergeCell ref="D71:S71"/>
    <mergeCell ref="D95:S95"/>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tint="0.39997558519241921"/>
  </sheetPr>
  <dimension ref="A1:T93"/>
  <sheetViews>
    <sheetView showGridLines="0" topLeftCell="B1" zoomScale="75" zoomScaleNormal="75" zoomScalePageLayoutView="75" workbookViewId="0">
      <selection activeCell="B1" sqref="A1:XFD9"/>
    </sheetView>
  </sheetViews>
  <sheetFormatPr baseColWidth="10" defaultRowHeight="15" x14ac:dyDescent="0"/>
  <cols>
    <col min="1" max="3" width="10.83203125" style="9"/>
    <col min="4" max="4" width="32.83203125" style="7" bestFit="1" customWidth="1"/>
    <col min="5" max="5" width="23.6640625" style="7" customWidth="1"/>
    <col min="6" max="6" width="28.83203125" style="7" bestFit="1" customWidth="1"/>
    <col min="7" max="7" width="50.83203125" style="7" bestFit="1" customWidth="1"/>
    <col min="8" max="10" width="16.5" style="7" customWidth="1"/>
    <col min="11" max="11" width="15.1640625" style="7" customWidth="1"/>
    <col min="12" max="12" width="20.6640625" style="7" bestFit="1" customWidth="1"/>
    <col min="13" max="13" width="18" style="480" bestFit="1" customWidth="1"/>
    <col min="14" max="14" width="20" style="575" bestFit="1" customWidth="1"/>
    <col min="15" max="15" width="20" style="7" bestFit="1" customWidth="1"/>
    <col min="16" max="16" width="18.6640625" style="7" bestFit="1" customWidth="1"/>
    <col min="17" max="17" width="15.33203125" style="7" bestFit="1" customWidth="1"/>
    <col min="18" max="18" width="13.33203125" style="7" bestFit="1" customWidth="1"/>
    <col min="19" max="19" width="9.33203125" style="7" bestFit="1" customWidth="1"/>
    <col min="20" max="20" width="16" style="7" bestFit="1" customWidth="1"/>
    <col min="21" max="16384" width="10.83203125" style="7"/>
  </cols>
  <sheetData>
    <row r="1" spans="4:20" customFormat="1" ht="16" thickBot="1">
      <c r="D1" s="7"/>
    </row>
    <row r="2" spans="4:20" s="470" customFormat="1" ht="16" thickBot="1">
      <c r="D2" s="473" t="s">
        <v>1597</v>
      </c>
      <c r="E2" s="474" t="s">
        <v>1362</v>
      </c>
      <c r="F2" s="474" t="s">
        <v>1561</v>
      </c>
      <c r="G2" s="474" t="s">
        <v>834</v>
      </c>
      <c r="H2" s="474" t="s">
        <v>1661</v>
      </c>
      <c r="I2" s="474" t="s">
        <v>1660</v>
      </c>
      <c r="J2" s="474" t="s">
        <v>1663</v>
      </c>
      <c r="K2" s="474" t="s">
        <v>1664</v>
      </c>
      <c r="L2" s="474" t="s">
        <v>1698</v>
      </c>
      <c r="M2" s="474" t="s">
        <v>1699</v>
      </c>
      <c r="N2" s="474" t="s">
        <v>1008</v>
      </c>
      <c r="O2" s="475" t="s">
        <v>1697</v>
      </c>
      <c r="P2" s="1842" t="s">
        <v>1860</v>
      </c>
      <c r="Q2" s="1842" t="s">
        <v>1862</v>
      </c>
      <c r="R2" s="1842" t="s">
        <v>1863</v>
      </c>
      <c r="S2" s="1842" t="s">
        <v>1864</v>
      </c>
      <c r="T2" s="1848"/>
    </row>
    <row r="3" spans="4:20" s="774" customFormat="1" ht="14">
      <c r="D3" s="1274" t="s">
        <v>1560</v>
      </c>
      <c r="E3" s="1275" t="s">
        <v>1499</v>
      </c>
      <c r="F3" s="1275" t="s">
        <v>1598</v>
      </c>
      <c r="G3" s="1275" t="s">
        <v>1599</v>
      </c>
      <c r="H3" s="1224" t="s">
        <v>1662</v>
      </c>
      <c r="I3" s="328">
        <v>1.109</v>
      </c>
      <c r="J3" s="328">
        <v>1.0720000000000001</v>
      </c>
      <c r="K3" s="1280">
        <v>0.23300000000000001</v>
      </c>
      <c r="L3" s="955">
        <v>8.1600000000000006E-2</v>
      </c>
      <c r="M3" s="955">
        <v>7.8399999999999997E-2</v>
      </c>
      <c r="N3" s="663">
        <v>0.4</v>
      </c>
      <c r="O3" s="1253">
        <f>I4/(1+L3)</f>
        <v>0.97170857988165682</v>
      </c>
      <c r="P3" s="577" t="s">
        <v>1861</v>
      </c>
      <c r="Q3" s="1843">
        <v>1.4599999999999999E-3</v>
      </c>
      <c r="R3" s="583">
        <f>59.59%</f>
        <v>0.59589999999999999</v>
      </c>
      <c r="S3" s="583">
        <f>1-R3</f>
        <v>0.40410000000000001</v>
      </c>
    </row>
    <row r="4" spans="4:20" s="1225" customFormat="1" ht="14">
      <c r="D4" s="1918" t="s">
        <v>1669</v>
      </c>
      <c r="E4" s="1919"/>
      <c r="F4" s="1919"/>
      <c r="G4" s="1919"/>
      <c r="H4" s="1226" t="s">
        <v>1665</v>
      </c>
      <c r="I4" s="1234">
        <v>1.0509999999999999</v>
      </c>
      <c r="J4" s="1234">
        <v>1.034</v>
      </c>
      <c r="K4" s="1276">
        <v>0.183</v>
      </c>
      <c r="L4" s="1234"/>
      <c r="M4" s="1234"/>
      <c r="N4" s="1249"/>
      <c r="O4" s="1251"/>
    </row>
    <row r="5" spans="4:20" s="1225" customFormat="1" ht="14">
      <c r="D5" s="1918"/>
      <c r="E5" s="1919"/>
      <c r="F5" s="1919"/>
      <c r="G5" s="1919"/>
      <c r="H5" s="1226" t="s">
        <v>1666</v>
      </c>
      <c r="I5" s="1234">
        <v>0.79</v>
      </c>
      <c r="J5" s="1234">
        <v>0.86</v>
      </c>
      <c r="K5" s="1288">
        <v>0.35799999999999998</v>
      </c>
      <c r="L5" s="1234"/>
      <c r="M5" s="1234"/>
      <c r="N5" s="1249"/>
      <c r="O5" s="1251"/>
    </row>
    <row r="6" spans="4:20" s="1225" customFormat="1" ht="14">
      <c r="D6" s="1918"/>
      <c r="E6" s="1919"/>
      <c r="F6" s="1919"/>
      <c r="G6" s="1919"/>
      <c r="H6" s="1226" t="s">
        <v>1667</v>
      </c>
      <c r="I6" s="1234">
        <v>0.70899999999999996</v>
      </c>
      <c r="J6" s="1234">
        <v>0.80600000000000005</v>
      </c>
      <c r="K6" s="1288">
        <v>0.41399999999999998</v>
      </c>
      <c r="L6" s="1234"/>
      <c r="M6" s="1234"/>
      <c r="N6" s="1249"/>
      <c r="O6" s="1251"/>
    </row>
    <row r="7" spans="4:20" s="1225" customFormat="1" thickBot="1">
      <c r="D7" s="1920"/>
      <c r="E7" s="1921"/>
      <c r="F7" s="1921"/>
      <c r="G7" s="1921"/>
      <c r="H7" s="1248" t="s">
        <v>1668</v>
      </c>
      <c r="I7" s="1250">
        <v>1.081</v>
      </c>
      <c r="J7" s="1250">
        <v>1.054</v>
      </c>
      <c r="K7" s="1289">
        <v>0.372</v>
      </c>
      <c r="L7" s="1250"/>
      <c r="M7" s="1250"/>
      <c r="N7" s="1260"/>
      <c r="O7" s="1252"/>
    </row>
    <row r="8" spans="4:20" customFormat="1" ht="16" thickBot="1">
      <c r="I8" s="453"/>
      <c r="J8" s="453"/>
      <c r="K8" s="453"/>
      <c r="N8" s="1261"/>
    </row>
    <row r="9" spans="4:20" customFormat="1" ht="16" thickBot="1">
      <c r="D9" s="473" t="s">
        <v>1670</v>
      </c>
      <c r="E9" s="474" t="s">
        <v>1362</v>
      </c>
      <c r="F9" s="474" t="s">
        <v>1561</v>
      </c>
      <c r="G9" s="474" t="s">
        <v>834</v>
      </c>
      <c r="H9" s="474" t="s">
        <v>1661</v>
      </c>
      <c r="I9" s="474" t="s">
        <v>1660</v>
      </c>
      <c r="J9" s="474" t="s">
        <v>1663</v>
      </c>
      <c r="K9" s="474" t="s">
        <v>1664</v>
      </c>
      <c r="L9" s="475" t="s">
        <v>1698</v>
      </c>
      <c r="M9" s="474" t="s">
        <v>1699</v>
      </c>
      <c r="N9" s="1262" t="s">
        <v>1008</v>
      </c>
      <c r="O9" s="680" t="s">
        <v>1697</v>
      </c>
      <c r="P9" s="1841" t="s">
        <v>1865</v>
      </c>
      <c r="Q9" s="1842" t="s">
        <v>1862</v>
      </c>
      <c r="R9" s="1842" t="s">
        <v>1863</v>
      </c>
      <c r="S9" s="1842" t="s">
        <v>1864</v>
      </c>
      <c r="T9" s="1848"/>
    </row>
    <row r="10" spans="4:20">
      <c r="D10" s="1269" t="s">
        <v>1671</v>
      </c>
      <c r="E10" s="1273" t="s">
        <v>841</v>
      </c>
      <c r="F10" s="1273" t="s">
        <v>1562</v>
      </c>
      <c r="G10" s="1273" t="s">
        <v>1565</v>
      </c>
      <c r="H10" s="160" t="s">
        <v>1694</v>
      </c>
      <c r="I10" s="328">
        <v>0.77200000000000002</v>
      </c>
      <c r="J10" s="328">
        <v>0.84799999999999998</v>
      </c>
      <c r="K10" s="633">
        <v>5.1999999999999998E-2</v>
      </c>
      <c r="L10" s="481">
        <v>0.53700000000000003</v>
      </c>
      <c r="M10" s="481">
        <v>0.80879999999999996</v>
      </c>
      <c r="N10" s="1249">
        <v>0.27</v>
      </c>
      <c r="O10" s="1278">
        <f>(I12)/(1+L10)</f>
        <v>0.34547820429407944</v>
      </c>
      <c r="P10" s="7" t="s">
        <v>1866</v>
      </c>
      <c r="Q10" s="451">
        <v>1.264E-2</v>
      </c>
      <c r="R10" s="451">
        <v>0.49419999999999997</v>
      </c>
      <c r="S10" s="451">
        <f>1-R10</f>
        <v>0.50580000000000003</v>
      </c>
    </row>
    <row r="11" spans="4:20">
      <c r="D11" s="1918" t="s">
        <v>1674</v>
      </c>
      <c r="E11" s="1919"/>
      <c r="F11" s="1919"/>
      <c r="G11" s="1919"/>
      <c r="H11" s="1226" t="s">
        <v>1665</v>
      </c>
      <c r="I11" s="328">
        <v>0.81200000000000006</v>
      </c>
      <c r="J11" s="328">
        <v>0.875</v>
      </c>
      <c r="K11" s="1282">
        <v>0.11600000000000001</v>
      </c>
      <c r="L11" s="479"/>
      <c r="M11" s="479"/>
      <c r="N11" s="1249"/>
      <c r="O11" s="681"/>
    </row>
    <row r="12" spans="4:20">
      <c r="D12" s="1918"/>
      <c r="E12" s="1919"/>
      <c r="F12" s="1919"/>
      <c r="G12" s="1919"/>
      <c r="H12" s="1226" t="s">
        <v>1666</v>
      </c>
      <c r="I12" s="328">
        <v>0.53100000000000003</v>
      </c>
      <c r="J12" s="328">
        <v>0.68700000000000006</v>
      </c>
      <c r="K12" s="1282">
        <v>0.17599999999999999</v>
      </c>
      <c r="L12" s="479"/>
      <c r="M12" s="479"/>
      <c r="N12" s="1249"/>
      <c r="O12" s="681"/>
    </row>
    <row r="13" spans="4:20">
      <c r="D13" s="1918"/>
      <c r="E13" s="1919"/>
      <c r="F13" s="1919"/>
      <c r="G13" s="1919"/>
      <c r="H13" s="1226" t="s">
        <v>1667</v>
      </c>
      <c r="I13" s="328">
        <v>0.27500000000000002</v>
      </c>
      <c r="J13" s="328">
        <v>0.51700000000000002</v>
      </c>
      <c r="K13" s="1280">
        <v>0.23400000000000001</v>
      </c>
      <c r="L13" s="479"/>
      <c r="M13" s="479"/>
      <c r="N13" s="1249"/>
      <c r="O13" s="681"/>
    </row>
    <row r="14" spans="4:20">
      <c r="D14" s="1922"/>
      <c r="E14" s="1923"/>
      <c r="F14" s="1923"/>
      <c r="G14" s="1923"/>
      <c r="H14" s="1227" t="s">
        <v>1668</v>
      </c>
      <c r="I14" s="1256">
        <v>0.51500000000000001</v>
      </c>
      <c r="J14" s="1256">
        <v>0.67600000000000005</v>
      </c>
      <c r="K14" s="1281">
        <v>0.19600000000000001</v>
      </c>
      <c r="L14" s="1254"/>
      <c r="M14" s="1254"/>
      <c r="N14" s="1263"/>
      <c r="O14" s="1264"/>
    </row>
    <row r="15" spans="4:20">
      <c r="D15" s="1269" t="s">
        <v>1672</v>
      </c>
      <c r="E15" s="1273" t="s">
        <v>842</v>
      </c>
      <c r="F15" s="1273" t="s">
        <v>1566</v>
      </c>
      <c r="G15" s="1273" t="s">
        <v>1567</v>
      </c>
      <c r="H15" s="160" t="s">
        <v>1694</v>
      </c>
      <c r="I15" s="328">
        <v>0.376</v>
      </c>
      <c r="J15" s="328">
        <v>0.58399999999999996</v>
      </c>
      <c r="K15" s="633">
        <v>5.8000000000000003E-2</v>
      </c>
      <c r="L15" s="481">
        <v>2.1524000000000001</v>
      </c>
      <c r="M15" s="481">
        <v>2.7700999999999998</v>
      </c>
      <c r="N15" s="1249">
        <v>0.33</v>
      </c>
      <c r="O15" s="1278">
        <f>(I17)/(1+L15)</f>
        <v>0.28835173201370384</v>
      </c>
    </row>
    <row r="16" spans="4:20">
      <c r="D16" s="1918" t="s">
        <v>1673</v>
      </c>
      <c r="E16" s="1919"/>
      <c r="F16" s="1919"/>
      <c r="G16" s="1919"/>
      <c r="H16" s="1258" t="s">
        <v>1665</v>
      </c>
      <c r="I16" s="328">
        <v>0.57799999999999996</v>
      </c>
      <c r="J16" s="328">
        <v>0.71799999999999997</v>
      </c>
      <c r="K16" s="1279">
        <v>0.14499999999999999</v>
      </c>
      <c r="L16" s="479"/>
      <c r="M16" s="479"/>
      <c r="N16" s="1249"/>
      <c r="O16" s="681"/>
    </row>
    <row r="17" spans="4:15">
      <c r="D17" s="1918"/>
      <c r="E17" s="1919"/>
      <c r="F17" s="1919"/>
      <c r="G17" s="1919"/>
      <c r="H17" s="1258" t="s">
        <v>1666</v>
      </c>
      <c r="I17" s="328">
        <v>0.90900000000000003</v>
      </c>
      <c r="J17" s="328">
        <v>0.94</v>
      </c>
      <c r="K17" s="1280">
        <v>0.314</v>
      </c>
      <c r="L17" s="479"/>
      <c r="M17" s="479"/>
      <c r="N17" s="1249"/>
      <c r="O17" s="681"/>
    </row>
    <row r="18" spans="4:15">
      <c r="D18" s="1918"/>
      <c r="E18" s="1919"/>
      <c r="F18" s="1919"/>
      <c r="G18" s="1919"/>
      <c r="H18" s="1258" t="s">
        <v>1667</v>
      </c>
      <c r="I18" s="328">
        <v>1.1160000000000001</v>
      </c>
      <c r="J18" s="328">
        <v>1.077</v>
      </c>
      <c r="K18" s="1280">
        <v>0.41699999999999998</v>
      </c>
      <c r="L18" s="479"/>
      <c r="M18" s="479"/>
      <c r="N18" s="1249"/>
      <c r="O18" s="681"/>
    </row>
    <row r="19" spans="4:15">
      <c r="D19" s="1922"/>
      <c r="E19" s="1923"/>
      <c r="F19" s="1923"/>
      <c r="G19" s="1923"/>
      <c r="H19" s="1229" t="s">
        <v>1668</v>
      </c>
      <c r="I19" s="1256">
        <v>0.60499999999999998</v>
      </c>
      <c r="J19" s="1256">
        <v>0.73699999999999999</v>
      </c>
      <c r="K19" s="1281">
        <v>0.30299999999999999</v>
      </c>
      <c r="L19" s="1254"/>
      <c r="M19" s="1254"/>
      <c r="N19" s="1263"/>
      <c r="O19" s="1264"/>
    </row>
    <row r="20" spans="4:15">
      <c r="D20" s="1270" t="s">
        <v>1372</v>
      </c>
      <c r="E20" s="1272" t="s">
        <v>841</v>
      </c>
      <c r="F20" s="1272" t="s">
        <v>1562</v>
      </c>
      <c r="G20" s="1272" t="s">
        <v>1565</v>
      </c>
      <c r="H20" s="1230" t="s">
        <v>1694</v>
      </c>
      <c r="I20" s="957">
        <v>0.95299999999999996</v>
      </c>
      <c r="J20" s="957">
        <v>0.96899999999999997</v>
      </c>
      <c r="K20" s="1277">
        <v>5.5E-2</v>
      </c>
      <c r="L20" s="1265">
        <v>0.56530000000000002</v>
      </c>
      <c r="M20" s="1259"/>
      <c r="N20" s="1249">
        <v>0.27</v>
      </c>
      <c r="O20" s="1278">
        <f>I22/(1+L20)</f>
        <v>0.41653357183926404</v>
      </c>
    </row>
    <row r="21" spans="4:15" ht="15" customHeight="1">
      <c r="D21" s="1914" t="s">
        <v>1675</v>
      </c>
      <c r="E21" s="1915"/>
      <c r="F21" s="1915"/>
      <c r="G21" s="1915"/>
      <c r="H21" s="1258" t="s">
        <v>1665</v>
      </c>
      <c r="I21" s="957">
        <v>0.88200000000000001</v>
      </c>
      <c r="J21" s="957">
        <v>0.92200000000000004</v>
      </c>
      <c r="K21" s="1283">
        <v>0.125</v>
      </c>
      <c r="L21" s="1259"/>
      <c r="M21" s="1259"/>
      <c r="N21" s="1249"/>
      <c r="O21" s="681"/>
    </row>
    <row r="22" spans="4:15">
      <c r="D22" s="1914"/>
      <c r="E22" s="1915"/>
      <c r="F22" s="1915"/>
      <c r="G22" s="1915"/>
      <c r="H22" s="1258" t="s">
        <v>1666</v>
      </c>
      <c r="I22" s="957">
        <v>0.65200000000000002</v>
      </c>
      <c r="J22" s="957">
        <v>0.76800000000000002</v>
      </c>
      <c r="K22" s="1283">
        <v>0.17299999999999999</v>
      </c>
      <c r="L22" s="1259"/>
      <c r="M22" s="1259"/>
      <c r="N22" s="1249"/>
      <c r="O22" s="681"/>
    </row>
    <row r="23" spans="4:15">
      <c r="D23" s="1914"/>
      <c r="E23" s="1915"/>
      <c r="F23" s="1915"/>
      <c r="G23" s="1915"/>
      <c r="H23" s="1258" t="s">
        <v>1667</v>
      </c>
      <c r="I23" s="957">
        <v>0.50700000000000001</v>
      </c>
      <c r="J23" s="957">
        <v>0.67100000000000004</v>
      </c>
      <c r="K23" s="1285">
        <v>0.19900000000000001</v>
      </c>
      <c r="L23" s="1259"/>
      <c r="M23" s="1259"/>
      <c r="N23" s="1249"/>
      <c r="O23" s="681"/>
    </row>
    <row r="24" spans="4:15">
      <c r="D24" s="1916"/>
      <c r="E24" s="1917"/>
      <c r="F24" s="1917"/>
      <c r="G24" s="1917"/>
      <c r="H24" s="1229" t="s">
        <v>1668</v>
      </c>
      <c r="I24" s="1257">
        <v>0.55900000000000005</v>
      </c>
      <c r="J24" s="1257">
        <v>0.70599999999999996</v>
      </c>
      <c r="K24" s="1284">
        <v>0.16200000000000001</v>
      </c>
      <c r="L24" s="1255"/>
      <c r="M24" s="1254"/>
      <c r="N24" s="1263"/>
      <c r="O24" s="1264"/>
    </row>
    <row r="25" spans="4:15">
      <c r="D25" s="1270" t="s">
        <v>1676</v>
      </c>
      <c r="E25" s="1272" t="s">
        <v>841</v>
      </c>
      <c r="F25" s="1272" t="s">
        <v>1562</v>
      </c>
      <c r="G25" s="1272" t="s">
        <v>1565</v>
      </c>
      <c r="H25" s="1230" t="s">
        <v>1695</v>
      </c>
      <c r="I25" s="957">
        <v>0.41</v>
      </c>
      <c r="J25" s="957">
        <v>0.60699999999999998</v>
      </c>
      <c r="K25" s="1277">
        <v>8.5000000000000006E-2</v>
      </c>
      <c r="L25" s="1265">
        <v>0.55349999999999999</v>
      </c>
      <c r="M25" s="1259"/>
      <c r="N25" s="1249">
        <v>0.27</v>
      </c>
      <c r="O25" s="1278">
        <f>(I26)/(1+L25)</f>
        <v>0.56775024139040875</v>
      </c>
    </row>
    <row r="26" spans="4:15" ht="15" customHeight="1">
      <c r="D26" s="1914" t="s">
        <v>1677</v>
      </c>
      <c r="E26" s="1915"/>
      <c r="F26" s="1915"/>
      <c r="G26" s="1915"/>
      <c r="H26" s="1258" t="s">
        <v>1665</v>
      </c>
      <c r="I26" s="957">
        <v>0.88200000000000001</v>
      </c>
      <c r="J26" s="957">
        <v>0.92100000000000004</v>
      </c>
      <c r="K26" s="1283">
        <v>0.14399999999999999</v>
      </c>
      <c r="L26" s="1259"/>
      <c r="M26" s="1259"/>
      <c r="N26" s="1249"/>
      <c r="O26" s="681"/>
    </row>
    <row r="27" spans="4:15">
      <c r="D27" s="1914"/>
      <c r="E27" s="1915"/>
      <c r="F27" s="1915"/>
      <c r="G27" s="1915"/>
      <c r="H27" s="1258" t="s">
        <v>1666</v>
      </c>
      <c r="I27" s="957">
        <v>0.63600000000000001</v>
      </c>
      <c r="J27" s="957">
        <v>0.75800000000000001</v>
      </c>
      <c r="K27" s="1285">
        <v>0.224</v>
      </c>
      <c r="L27" s="1259"/>
      <c r="M27" s="1259"/>
      <c r="N27" s="1249"/>
      <c r="O27" s="681"/>
    </row>
    <row r="28" spans="4:15">
      <c r="D28" s="1914"/>
      <c r="E28" s="1915"/>
      <c r="F28" s="1915"/>
      <c r="G28" s="1915"/>
      <c r="H28" s="1258" t="s">
        <v>1667</v>
      </c>
      <c r="I28" s="957">
        <v>0.45500000000000002</v>
      </c>
      <c r="J28" s="957">
        <v>0.63700000000000001</v>
      </c>
      <c r="K28" s="1285">
        <v>0.251</v>
      </c>
      <c r="L28" s="1259"/>
      <c r="M28" s="1259"/>
      <c r="N28" s="1249"/>
      <c r="O28" s="681"/>
    </row>
    <row r="29" spans="4:15">
      <c r="D29" s="1916"/>
      <c r="E29" s="1917"/>
      <c r="F29" s="1917"/>
      <c r="G29" s="1917"/>
      <c r="H29" s="1229" t="s">
        <v>1668</v>
      </c>
      <c r="I29" s="1257">
        <v>0.46</v>
      </c>
      <c r="J29" s="1257">
        <v>0.64</v>
      </c>
      <c r="K29" s="1286">
        <v>0.22700000000000001</v>
      </c>
      <c r="L29" s="1255"/>
      <c r="M29" s="1254"/>
      <c r="N29" s="1263"/>
      <c r="O29" s="1264"/>
    </row>
    <row r="30" spans="4:15">
      <c r="D30" s="1271" t="s">
        <v>1678</v>
      </c>
      <c r="E30" s="1272" t="s">
        <v>841</v>
      </c>
      <c r="F30" s="1272" t="s">
        <v>1568</v>
      </c>
      <c r="G30" s="1272" t="s">
        <v>1565</v>
      </c>
      <c r="H30" s="1230" t="s">
        <v>1694</v>
      </c>
      <c r="I30" s="957">
        <v>0.64800000000000002</v>
      </c>
      <c r="J30" s="957">
        <v>0.76500000000000001</v>
      </c>
      <c r="K30" s="1277">
        <v>5.1999999999999998E-2</v>
      </c>
      <c r="L30" s="1265">
        <v>0.43840000000000001</v>
      </c>
      <c r="M30" s="1259"/>
      <c r="N30" s="1249">
        <v>0.27</v>
      </c>
      <c r="O30" s="1253">
        <f>I32/(1+L30)</f>
        <v>0.51446051167964402</v>
      </c>
    </row>
    <row r="31" spans="4:15">
      <c r="D31" s="1914" t="s">
        <v>1679</v>
      </c>
      <c r="E31" s="1915"/>
      <c r="F31" s="1915"/>
      <c r="G31" s="1915"/>
      <c r="H31" s="1258" t="s">
        <v>1665</v>
      </c>
      <c r="I31" s="957">
        <v>0.71099999999999997</v>
      </c>
      <c r="J31" s="957">
        <v>0.80700000000000005</v>
      </c>
      <c r="K31" s="1283">
        <v>0.11899999999999999</v>
      </c>
      <c r="L31" s="1259"/>
      <c r="M31" s="1259"/>
      <c r="N31" s="1249"/>
      <c r="O31" s="681"/>
    </row>
    <row r="32" spans="4:15">
      <c r="D32" s="1914"/>
      <c r="E32" s="1915"/>
      <c r="F32" s="1915"/>
      <c r="G32" s="1915"/>
      <c r="H32" s="1258" t="s">
        <v>1666</v>
      </c>
      <c r="I32" s="957">
        <v>0.74</v>
      </c>
      <c r="J32" s="957">
        <v>0.82699999999999996</v>
      </c>
      <c r="K32" s="1283">
        <v>0.183</v>
      </c>
      <c r="L32" s="1259"/>
      <c r="M32" s="1259"/>
      <c r="N32" s="1249"/>
      <c r="O32" s="681"/>
    </row>
    <row r="33" spans="1:15">
      <c r="D33" s="1914"/>
      <c r="E33" s="1915"/>
      <c r="F33" s="1915"/>
      <c r="G33" s="1915"/>
      <c r="H33" s="1258" t="s">
        <v>1667</v>
      </c>
      <c r="I33" s="957">
        <v>0.67900000000000005</v>
      </c>
      <c r="J33" s="957">
        <v>0.78600000000000003</v>
      </c>
      <c r="K33" s="1285">
        <v>0.215</v>
      </c>
      <c r="L33" s="1259"/>
      <c r="M33" s="1259"/>
      <c r="N33" s="1249"/>
      <c r="O33" s="681"/>
    </row>
    <row r="34" spans="1:15">
      <c r="D34" s="1916"/>
      <c r="E34" s="1917"/>
      <c r="F34" s="1917"/>
      <c r="G34" s="1917"/>
      <c r="H34" s="1229" t="s">
        <v>1668</v>
      </c>
      <c r="I34" s="1257">
        <v>0.65100000000000002</v>
      </c>
      <c r="J34" s="1257">
        <v>0.76700000000000002</v>
      </c>
      <c r="K34" s="1284">
        <v>0.17</v>
      </c>
      <c r="L34" s="1255"/>
      <c r="M34" s="1254"/>
      <c r="N34" s="1263"/>
      <c r="O34" s="1264"/>
    </row>
    <row r="35" spans="1:15">
      <c r="D35" s="1270" t="s">
        <v>1680</v>
      </c>
      <c r="E35" s="1272" t="s">
        <v>791</v>
      </c>
      <c r="F35" s="1272" t="s">
        <v>1566</v>
      </c>
      <c r="G35" s="1272" t="s">
        <v>1563</v>
      </c>
      <c r="H35" s="1230" t="s">
        <v>1696</v>
      </c>
      <c r="I35" s="957">
        <v>0.52200000000000002</v>
      </c>
      <c r="J35" s="957">
        <v>0.68100000000000005</v>
      </c>
      <c r="K35" s="1283">
        <v>0.154</v>
      </c>
      <c r="L35" s="1265">
        <v>0.3513</v>
      </c>
      <c r="M35" s="1259"/>
      <c r="N35" s="1249">
        <v>0.28000000000000003</v>
      </c>
      <c r="O35" s="1253">
        <f>I36/(1+(1-N35)*L35)</f>
        <v>0.41422706347331389</v>
      </c>
    </row>
    <row r="36" spans="1:15">
      <c r="D36" s="1914" t="s">
        <v>1681</v>
      </c>
      <c r="E36" s="1915"/>
      <c r="F36" s="1915"/>
      <c r="G36" s="1915"/>
      <c r="H36" s="1258" t="s">
        <v>1665</v>
      </c>
      <c r="I36" s="957">
        <v>0.51900000000000002</v>
      </c>
      <c r="J36" s="957">
        <v>0.67900000000000005</v>
      </c>
      <c r="K36" s="1277">
        <v>0.10100000000000001</v>
      </c>
      <c r="L36" s="1259"/>
      <c r="M36" s="1259"/>
      <c r="N36" s="1249"/>
      <c r="O36" s="681"/>
    </row>
    <row r="37" spans="1:15">
      <c r="D37" s="1914"/>
      <c r="E37" s="1915"/>
      <c r="F37" s="1915"/>
      <c r="G37" s="1915"/>
      <c r="H37" s="1258" t="s">
        <v>1666</v>
      </c>
      <c r="I37" s="957">
        <v>0.63800000000000001</v>
      </c>
      <c r="J37" s="957">
        <v>0.75900000000000001</v>
      </c>
      <c r="K37" s="1285">
        <v>0.19900000000000001</v>
      </c>
      <c r="L37" s="1259"/>
      <c r="M37" s="1259"/>
      <c r="N37" s="1249"/>
      <c r="O37" s="681"/>
    </row>
    <row r="38" spans="1:15">
      <c r="D38" s="1914"/>
      <c r="E38" s="1915"/>
      <c r="F38" s="1915"/>
      <c r="G38" s="1915"/>
      <c r="H38" s="1258" t="s">
        <v>1667</v>
      </c>
      <c r="I38" s="957">
        <v>0.91400000000000003</v>
      </c>
      <c r="J38" s="957">
        <v>0.94299999999999995</v>
      </c>
      <c r="K38" s="1285">
        <v>0.27</v>
      </c>
      <c r="L38" s="1259"/>
      <c r="M38" s="1259"/>
      <c r="N38" s="1249"/>
      <c r="O38" s="681"/>
    </row>
    <row r="39" spans="1:15">
      <c r="D39" s="1916"/>
      <c r="E39" s="1917"/>
      <c r="F39" s="1917"/>
      <c r="G39" s="1917"/>
      <c r="H39" s="1229" t="s">
        <v>1668</v>
      </c>
      <c r="I39" s="1257">
        <v>1.0189999999999999</v>
      </c>
      <c r="J39" s="1257">
        <v>1.0129999999999999</v>
      </c>
      <c r="K39" s="1286">
        <v>0.217</v>
      </c>
      <c r="L39" s="1255"/>
      <c r="M39" s="1254"/>
      <c r="N39" s="1263"/>
      <c r="O39" s="1264"/>
    </row>
    <row r="40" spans="1:15">
      <c r="D40" s="1270" t="s">
        <v>1682</v>
      </c>
      <c r="E40" s="1272" t="s">
        <v>791</v>
      </c>
      <c r="F40" s="1272" t="s">
        <v>1562</v>
      </c>
      <c r="G40" s="1272" t="s">
        <v>1563</v>
      </c>
      <c r="H40" s="1230" t="s">
        <v>1694</v>
      </c>
      <c r="I40" s="957">
        <v>0.30399999999999999</v>
      </c>
      <c r="J40" s="957">
        <v>0.53600000000000003</v>
      </c>
      <c r="K40" s="1277">
        <v>3.9E-2</v>
      </c>
      <c r="L40" s="1265">
        <v>0.45829999999999999</v>
      </c>
      <c r="M40" s="1259"/>
      <c r="N40" s="1249">
        <v>0.28000000000000003</v>
      </c>
      <c r="O40" s="1253">
        <f>I40/(1+L40)</f>
        <v>0.20846190770074746</v>
      </c>
    </row>
    <row r="41" spans="1:15">
      <c r="D41" s="1914" t="s">
        <v>1683</v>
      </c>
      <c r="E41" s="1915"/>
      <c r="F41" s="1915"/>
      <c r="G41" s="1915"/>
      <c r="H41" s="1258" t="s">
        <v>1665</v>
      </c>
      <c r="I41" s="957">
        <v>0.27100000000000002</v>
      </c>
      <c r="J41" s="957">
        <v>0.51400000000000001</v>
      </c>
      <c r="K41" s="1283">
        <v>0.107</v>
      </c>
      <c r="L41" s="1259"/>
      <c r="M41" s="1259"/>
      <c r="N41" s="1249"/>
      <c r="O41" s="681"/>
    </row>
    <row r="42" spans="1:15">
      <c r="D42" s="1914"/>
      <c r="E42" s="1915"/>
      <c r="F42" s="1915"/>
      <c r="G42" s="1915"/>
      <c r="H42" s="1258" t="s">
        <v>1666</v>
      </c>
      <c r="I42" s="957">
        <v>0.65900000000000003</v>
      </c>
      <c r="J42" s="957">
        <v>0.77300000000000002</v>
      </c>
      <c r="K42" s="1285">
        <v>0.24199999999999999</v>
      </c>
      <c r="L42" s="1259"/>
      <c r="M42" s="1259"/>
      <c r="N42" s="1249"/>
      <c r="O42" s="681"/>
    </row>
    <row r="43" spans="1:15">
      <c r="D43" s="1914"/>
      <c r="E43" s="1915"/>
      <c r="F43" s="1915"/>
      <c r="G43" s="1915"/>
      <c r="H43" s="1258" t="s">
        <v>1667</v>
      </c>
      <c r="I43" s="957">
        <v>0.90100000000000002</v>
      </c>
      <c r="J43" s="957">
        <v>0.93400000000000005</v>
      </c>
      <c r="K43" s="1285">
        <v>0.311</v>
      </c>
      <c r="L43" s="1259"/>
      <c r="M43" s="1259"/>
      <c r="N43" s="1249"/>
      <c r="O43" s="681"/>
    </row>
    <row r="44" spans="1:15">
      <c r="D44" s="1916"/>
      <c r="E44" s="1917"/>
      <c r="F44" s="1917"/>
      <c r="G44" s="1917"/>
      <c r="H44" s="1229" t="s">
        <v>1668</v>
      </c>
      <c r="I44" s="1257">
        <v>0.46600000000000003</v>
      </c>
      <c r="J44" s="1257">
        <v>0.64400000000000002</v>
      </c>
      <c r="K44" s="1286">
        <v>0.23599999999999999</v>
      </c>
      <c r="L44" s="1255"/>
      <c r="M44" s="1254"/>
      <c r="N44" s="1263"/>
      <c r="O44" s="1264"/>
    </row>
    <row r="45" spans="1:15">
      <c r="A45" s="874"/>
      <c r="D45" s="1270" t="s">
        <v>1684</v>
      </c>
      <c r="E45" s="1272" t="s">
        <v>791</v>
      </c>
      <c r="F45" s="1272" t="s">
        <v>1562</v>
      </c>
      <c r="G45" s="1272" t="s">
        <v>1563</v>
      </c>
      <c r="H45" s="1230" t="s">
        <v>1694</v>
      </c>
      <c r="I45" s="957">
        <v>0.21099999999999999</v>
      </c>
      <c r="J45" s="957">
        <v>0.47399999999999998</v>
      </c>
      <c r="K45" s="1277">
        <v>3.7999999999999999E-2</v>
      </c>
      <c r="L45" s="1265">
        <v>0.1585</v>
      </c>
      <c r="M45" s="1259"/>
      <c r="N45" s="1249">
        <v>0.28000000000000003</v>
      </c>
      <c r="O45" s="1253">
        <f>I45/(1+L45)</f>
        <v>0.18213206732844192</v>
      </c>
    </row>
    <row r="46" spans="1:15">
      <c r="A46" s="874"/>
      <c r="D46" s="1914" t="s">
        <v>1685</v>
      </c>
      <c r="E46" s="1915"/>
      <c r="F46" s="1915"/>
      <c r="G46" s="1915"/>
      <c r="H46" s="1258" t="s">
        <v>1665</v>
      </c>
      <c r="I46" s="957">
        <v>0.23699999999999999</v>
      </c>
      <c r="J46" s="957">
        <v>0.49199999999999999</v>
      </c>
      <c r="K46" s="1283">
        <v>0.108</v>
      </c>
      <c r="L46" s="1259"/>
      <c r="M46" s="1259"/>
      <c r="N46" s="1249"/>
      <c r="O46" s="681"/>
    </row>
    <row r="47" spans="1:15">
      <c r="A47" s="874"/>
      <c r="D47" s="1914"/>
      <c r="E47" s="1915"/>
      <c r="F47" s="1915"/>
      <c r="G47" s="1915"/>
      <c r="H47" s="1258" t="s">
        <v>1666</v>
      </c>
      <c r="I47" s="957">
        <v>0.41099999999999998</v>
      </c>
      <c r="J47" s="957">
        <v>0.60699999999999998</v>
      </c>
      <c r="K47" s="1285">
        <v>0.249</v>
      </c>
      <c r="L47" s="1259"/>
      <c r="M47" s="1259"/>
      <c r="N47" s="1249"/>
      <c r="O47" s="681"/>
    </row>
    <row r="48" spans="1:15">
      <c r="A48" s="874"/>
      <c r="D48" s="1914"/>
      <c r="E48" s="1915"/>
      <c r="F48" s="1915"/>
      <c r="G48" s="1915"/>
      <c r="H48" s="1258" t="s">
        <v>1667</v>
      </c>
      <c r="I48" s="957">
        <v>0.44500000000000001</v>
      </c>
      <c r="J48" s="957">
        <v>0.63</v>
      </c>
      <c r="K48" s="1285">
        <v>0.34100000000000003</v>
      </c>
      <c r="L48" s="1259"/>
      <c r="M48" s="1259"/>
      <c r="N48" s="1249"/>
      <c r="O48" s="681"/>
    </row>
    <row r="49" spans="1:15">
      <c r="A49" s="874"/>
      <c r="D49" s="1916"/>
      <c r="E49" s="1917"/>
      <c r="F49" s="1917"/>
      <c r="G49" s="1917"/>
      <c r="H49" s="1229" t="s">
        <v>1668</v>
      </c>
      <c r="I49" s="1257">
        <v>0.77900000000000003</v>
      </c>
      <c r="J49" s="1257">
        <v>0.85299999999999998</v>
      </c>
      <c r="K49" s="1286">
        <v>0.24099999999999999</v>
      </c>
      <c r="L49" s="1255"/>
      <c r="M49" s="1254"/>
      <c r="N49" s="1263"/>
      <c r="O49" s="1264"/>
    </row>
    <row r="50" spans="1:15">
      <c r="A50" s="1228"/>
      <c r="D50" s="1270" t="s">
        <v>1686</v>
      </c>
      <c r="E50" s="1272" t="s">
        <v>839</v>
      </c>
      <c r="F50" s="1272" t="s">
        <v>1562</v>
      </c>
      <c r="G50" s="1272" t="s">
        <v>1564</v>
      </c>
      <c r="H50" s="1230" t="s">
        <v>1694</v>
      </c>
      <c r="I50" s="957">
        <v>0.34799999999999998</v>
      </c>
      <c r="J50" s="957">
        <v>0.56499999999999995</v>
      </c>
      <c r="K50" s="1277">
        <v>7.9000000000000001E-2</v>
      </c>
      <c r="L50" s="1265">
        <v>0.26090000000000002</v>
      </c>
      <c r="M50" s="1259"/>
      <c r="N50" s="1249">
        <v>0.25</v>
      </c>
      <c r="O50" s="1253">
        <f>I50/(1+L50)</f>
        <v>0.27599333809183918</v>
      </c>
    </row>
    <row r="51" spans="1:15">
      <c r="A51" s="1228"/>
      <c r="D51" s="1914" t="s">
        <v>1687</v>
      </c>
      <c r="E51" s="1915"/>
      <c r="F51" s="1915"/>
      <c r="G51" s="1915"/>
      <c r="H51" s="1258" t="s">
        <v>1665</v>
      </c>
      <c r="I51" s="957">
        <v>0.32700000000000001</v>
      </c>
      <c r="J51" s="957">
        <v>0.55100000000000005</v>
      </c>
      <c r="K51" s="1283">
        <v>0.19</v>
      </c>
      <c r="L51" s="1259"/>
      <c r="M51" s="1259"/>
      <c r="N51" s="1249"/>
      <c r="O51" s="681"/>
    </row>
    <row r="52" spans="1:15">
      <c r="A52" s="1228"/>
      <c r="D52" s="1914"/>
      <c r="E52" s="1915"/>
      <c r="F52" s="1915"/>
      <c r="G52" s="1915"/>
      <c r="H52" s="1258" t="s">
        <v>1666</v>
      </c>
      <c r="I52" s="957">
        <v>0.878</v>
      </c>
      <c r="J52" s="957">
        <v>0.91800000000000004</v>
      </c>
      <c r="K52" s="1285">
        <v>0.46300000000000002</v>
      </c>
      <c r="L52" s="1259"/>
      <c r="M52" s="1259"/>
      <c r="N52" s="1249"/>
      <c r="O52" s="681"/>
    </row>
    <row r="53" spans="1:15">
      <c r="A53" s="1228"/>
      <c r="D53" s="1914"/>
      <c r="E53" s="1915"/>
      <c r="F53" s="1915"/>
      <c r="G53" s="1915"/>
      <c r="H53" s="1258" t="s">
        <v>1667</v>
      </c>
      <c r="I53" s="957">
        <v>2.2250000000000001</v>
      </c>
      <c r="J53" s="957">
        <v>1.8169999999999999</v>
      </c>
      <c r="K53" s="1285">
        <v>1.083</v>
      </c>
      <c r="L53" s="1259"/>
      <c r="M53" s="1259"/>
      <c r="N53" s="1249"/>
      <c r="O53" s="681"/>
    </row>
    <row r="54" spans="1:15">
      <c r="A54" s="1228"/>
      <c r="D54" s="1916"/>
      <c r="E54" s="1917"/>
      <c r="F54" s="1917"/>
      <c r="G54" s="1917"/>
      <c r="H54" s="1229" t="s">
        <v>1668</v>
      </c>
      <c r="I54" s="1257">
        <v>1.0369999999999999</v>
      </c>
      <c r="J54" s="1257">
        <v>1.024</v>
      </c>
      <c r="K54" s="1286">
        <v>0.47899999999999998</v>
      </c>
      <c r="L54" s="1255"/>
      <c r="M54" s="1254"/>
      <c r="N54" s="1263"/>
      <c r="O54" s="1264"/>
    </row>
    <row r="55" spans="1:15">
      <c r="D55" s="1270" t="s">
        <v>1688</v>
      </c>
      <c r="E55" s="1272" t="s">
        <v>839</v>
      </c>
      <c r="F55" s="1272" t="s">
        <v>1562</v>
      </c>
      <c r="G55" s="1272" t="s">
        <v>1564</v>
      </c>
      <c r="H55" s="1230" t="s">
        <v>1662</v>
      </c>
      <c r="I55" s="957">
        <v>0.39500000000000002</v>
      </c>
      <c r="J55" s="957">
        <v>0.59699999999999998</v>
      </c>
      <c r="K55" s="1277">
        <v>0.20899999999999999</v>
      </c>
      <c r="L55" s="1265">
        <v>0.15590000000000001</v>
      </c>
      <c r="M55" s="1259"/>
      <c r="N55" s="1249">
        <v>0.25</v>
      </c>
      <c r="O55" s="1253">
        <f>I55/(1+L55)</f>
        <v>0.34172506272168879</v>
      </c>
    </row>
    <row r="56" spans="1:15">
      <c r="D56" s="1914" t="s">
        <v>1689</v>
      </c>
      <c r="E56" s="1915"/>
      <c r="F56" s="1915"/>
      <c r="G56" s="1915"/>
      <c r="H56" s="1258" t="s">
        <v>1665</v>
      </c>
      <c r="I56" s="957">
        <v>0.69599999999999995</v>
      </c>
      <c r="J56" s="957">
        <v>0.79700000000000004</v>
      </c>
      <c r="K56" s="1285">
        <v>0.246</v>
      </c>
      <c r="L56" s="1259"/>
      <c r="M56" s="1259"/>
      <c r="N56" s="1249"/>
      <c r="O56" s="681"/>
    </row>
    <row r="57" spans="1:15">
      <c r="D57" s="1914"/>
      <c r="E57" s="1915"/>
      <c r="F57" s="1915"/>
      <c r="G57" s="1915"/>
      <c r="H57" s="1258" t="s">
        <v>1666</v>
      </c>
      <c r="I57" s="957">
        <v>1.522</v>
      </c>
      <c r="J57" s="957">
        <v>1.3480000000000001</v>
      </c>
      <c r="K57" s="1285">
        <v>0.60799999999999998</v>
      </c>
      <c r="L57" s="1259"/>
      <c r="M57" s="1259"/>
      <c r="N57" s="1249"/>
      <c r="O57" s="681"/>
    </row>
    <row r="58" spans="1:15">
      <c r="D58" s="1914"/>
      <c r="E58" s="1915"/>
      <c r="F58" s="1915"/>
      <c r="G58" s="1915"/>
      <c r="H58" s="1258" t="s">
        <v>1667</v>
      </c>
      <c r="I58" s="957">
        <v>1.7450000000000001</v>
      </c>
      <c r="J58" s="957">
        <v>1.4970000000000001</v>
      </c>
      <c r="K58" s="1285">
        <v>0.85399999999999998</v>
      </c>
      <c r="L58" s="1259"/>
      <c r="M58" s="1259"/>
      <c r="N58" s="1249"/>
      <c r="O58" s="681"/>
    </row>
    <row r="59" spans="1:15">
      <c r="D59" s="1916"/>
      <c r="E59" s="1917"/>
      <c r="F59" s="1917"/>
      <c r="G59" s="1917"/>
      <c r="H59" s="1229" t="s">
        <v>1668</v>
      </c>
      <c r="I59" s="1257">
        <v>1.022</v>
      </c>
      <c r="J59" s="1257">
        <v>1.0149999999999999</v>
      </c>
      <c r="K59" s="1286">
        <v>0.49399999999999999</v>
      </c>
      <c r="L59" s="1255"/>
      <c r="M59" s="1254"/>
      <c r="N59" s="1263"/>
      <c r="O59" s="1264"/>
    </row>
    <row r="60" spans="1:15">
      <c r="D60" s="1270" t="s">
        <v>1690</v>
      </c>
      <c r="E60" s="1272" t="s">
        <v>841</v>
      </c>
      <c r="F60" s="1272" t="s">
        <v>1562</v>
      </c>
      <c r="G60" s="1272" t="s">
        <v>1565</v>
      </c>
      <c r="H60" s="1230" t="s">
        <v>1694</v>
      </c>
      <c r="I60" s="957">
        <v>0.71699999999999997</v>
      </c>
      <c r="J60" s="957">
        <v>0.81100000000000005</v>
      </c>
      <c r="K60" s="1277">
        <v>7.2999999999999995E-2</v>
      </c>
      <c r="L60" s="1265">
        <v>1.0341</v>
      </c>
      <c r="M60" s="1259"/>
      <c r="N60" s="1249">
        <v>0.27</v>
      </c>
      <c r="O60" s="1253">
        <f>I60/(1+L60)</f>
        <v>0.35249004473723022</v>
      </c>
    </row>
    <row r="61" spans="1:15">
      <c r="D61" s="1914" t="s">
        <v>1692</v>
      </c>
      <c r="E61" s="1915"/>
      <c r="F61" s="1915"/>
      <c r="G61" s="1915"/>
      <c r="H61" s="1258" t="s">
        <v>1665</v>
      </c>
      <c r="I61" s="957">
        <v>0.94799999999999995</v>
      </c>
      <c r="J61" s="957">
        <v>0.96499999999999997</v>
      </c>
      <c r="K61" s="1283">
        <v>0.186</v>
      </c>
      <c r="L61" s="1259"/>
      <c r="M61" s="1259"/>
      <c r="N61" s="1249"/>
      <c r="O61" s="681"/>
    </row>
    <row r="62" spans="1:15">
      <c r="D62" s="1914"/>
      <c r="E62" s="1915"/>
      <c r="F62" s="1915"/>
      <c r="G62" s="1915"/>
      <c r="H62" s="1258" t="s">
        <v>1666</v>
      </c>
      <c r="I62" s="957">
        <v>1.1359999999999999</v>
      </c>
      <c r="J62" s="957">
        <v>1.0900000000000001</v>
      </c>
      <c r="K62" s="1285">
        <v>0.255</v>
      </c>
      <c r="L62" s="1259"/>
      <c r="M62" s="1259"/>
      <c r="N62" s="1249"/>
      <c r="O62" s="681"/>
    </row>
    <row r="63" spans="1:15">
      <c r="D63" s="1914"/>
      <c r="E63" s="1915"/>
      <c r="F63" s="1915"/>
      <c r="G63" s="1915"/>
      <c r="H63" s="1258" t="s">
        <v>1667</v>
      </c>
      <c r="I63" s="957">
        <v>1.17</v>
      </c>
      <c r="J63" s="957">
        <v>1.1140000000000001</v>
      </c>
      <c r="K63" s="1285">
        <v>0.32900000000000001</v>
      </c>
      <c r="L63" s="1259"/>
      <c r="M63" s="1259"/>
      <c r="N63" s="1249"/>
      <c r="O63" s="681"/>
    </row>
    <row r="64" spans="1:15">
      <c r="D64" s="1916"/>
      <c r="E64" s="1917"/>
      <c r="F64" s="1917"/>
      <c r="G64" s="1917"/>
      <c r="H64" s="1229" t="s">
        <v>1668</v>
      </c>
      <c r="I64" s="1257">
        <v>0.71599999999999997</v>
      </c>
      <c r="J64" s="1257">
        <v>0.81100000000000005</v>
      </c>
      <c r="K64" s="1286">
        <v>0.218</v>
      </c>
      <c r="L64" s="1255"/>
      <c r="M64" s="1254"/>
      <c r="N64" s="1263"/>
      <c r="O64" s="1264"/>
    </row>
    <row r="65" spans="4:15">
      <c r="D65" s="1270" t="s">
        <v>1691</v>
      </c>
      <c r="E65" s="1272" t="s">
        <v>841</v>
      </c>
      <c r="F65" s="1272" t="s">
        <v>1562</v>
      </c>
      <c r="G65" s="1272" t="s">
        <v>1565</v>
      </c>
      <c r="H65" s="1230" t="s">
        <v>1694</v>
      </c>
      <c r="I65" s="957">
        <v>0.64900000000000002</v>
      </c>
      <c r="J65" s="957">
        <v>0.76600000000000001</v>
      </c>
      <c r="K65" s="1277">
        <v>6.0999999999999999E-2</v>
      </c>
      <c r="L65" s="1265">
        <v>0.1734</v>
      </c>
      <c r="M65" s="1259"/>
      <c r="N65" s="1249">
        <v>0.27</v>
      </c>
      <c r="O65" s="1253">
        <f>I65/(1+L65)</f>
        <v>0.55309357422873706</v>
      </c>
    </row>
    <row r="66" spans="4:15">
      <c r="D66" s="1914" t="s">
        <v>1693</v>
      </c>
      <c r="E66" s="1915"/>
      <c r="F66" s="1915"/>
      <c r="G66" s="1915"/>
      <c r="H66" s="1258" t="s">
        <v>1665</v>
      </c>
      <c r="I66" s="957">
        <v>0.42499999999999999</v>
      </c>
      <c r="J66" s="957">
        <v>0.61699999999999999</v>
      </c>
      <c r="K66" s="1283">
        <v>0.13</v>
      </c>
      <c r="L66" s="1230"/>
      <c r="M66" s="1259"/>
      <c r="N66" s="1249"/>
      <c r="O66" s="681"/>
    </row>
    <row r="67" spans="4:15">
      <c r="D67" s="1914"/>
      <c r="E67" s="1915"/>
      <c r="F67" s="1915"/>
      <c r="G67" s="1915"/>
      <c r="H67" s="1258" t="s">
        <v>1666</v>
      </c>
      <c r="I67" s="957">
        <v>0.57899999999999996</v>
      </c>
      <c r="J67" s="957">
        <v>0.71899999999999997</v>
      </c>
      <c r="K67" s="1285">
        <v>0.23599999999999999</v>
      </c>
      <c r="L67" s="1230"/>
      <c r="M67" s="1259"/>
      <c r="N67" s="1249"/>
      <c r="O67" s="681"/>
    </row>
    <row r="68" spans="4:15">
      <c r="D68" s="1914"/>
      <c r="E68" s="1915"/>
      <c r="F68" s="1915"/>
      <c r="G68" s="1915"/>
      <c r="H68" s="1258" t="s">
        <v>1667</v>
      </c>
      <c r="I68" s="957">
        <v>0.26600000000000001</v>
      </c>
      <c r="J68" s="957">
        <v>0.51100000000000001</v>
      </c>
      <c r="K68" s="1285">
        <v>0.28999999999999998</v>
      </c>
      <c r="L68" s="1230"/>
      <c r="M68" s="1259"/>
      <c r="N68" s="1249"/>
      <c r="O68" s="681"/>
    </row>
    <row r="69" spans="4:15" ht="16" thickBot="1">
      <c r="D69" s="1924"/>
      <c r="E69" s="1925"/>
      <c r="F69" s="1925"/>
      <c r="G69" s="1925"/>
      <c r="H69" s="1266" t="s">
        <v>1668</v>
      </c>
      <c r="I69" s="959">
        <v>0.442</v>
      </c>
      <c r="J69" s="959">
        <v>0.628</v>
      </c>
      <c r="K69" s="1287">
        <v>0.20799999999999999</v>
      </c>
      <c r="L69" s="1267"/>
      <c r="M69" s="1268"/>
      <c r="N69" s="1260"/>
      <c r="O69" s="682"/>
    </row>
    <row r="70" spans="4:15" ht="19" thickBot="1">
      <c r="D70" s="1290" t="s">
        <v>1711</v>
      </c>
      <c r="E70" s="1291"/>
      <c r="F70" s="1291"/>
      <c r="G70" s="1291"/>
      <c r="H70" s="1291"/>
      <c r="I70" s="1291"/>
      <c r="J70" s="1291"/>
      <c r="K70" s="1291"/>
      <c r="L70" s="1291"/>
      <c r="M70" s="1292"/>
      <c r="N70" s="1293"/>
      <c r="O70" s="1294" t="e">
        <f>AVERAGE(O65,O60,O55,O50,O45,O40,#REF!,O35,O30,O25,O20,O15,O10)</f>
        <v>#REF!</v>
      </c>
    </row>
    <row r="73" spans="4:15" ht="20">
      <c r="D73" s="1197" t="s">
        <v>1859</v>
      </c>
    </row>
    <row r="74" spans="4:15" ht="16" thickBot="1"/>
    <row r="75" spans="4:15" ht="37" thickBot="1">
      <c r="D75" s="1823" t="s">
        <v>1841</v>
      </c>
      <c r="E75" s="1824" t="s">
        <v>1362</v>
      </c>
      <c r="F75" s="1824" t="s">
        <v>1823</v>
      </c>
      <c r="G75" s="1824" t="s">
        <v>1826</v>
      </c>
      <c r="H75" s="1825" t="s">
        <v>1824</v>
      </c>
      <c r="I75" s="1824" t="s">
        <v>1825</v>
      </c>
      <c r="J75" s="1826" t="s">
        <v>1498</v>
      </c>
    </row>
    <row r="76" spans="4:15" ht="18">
      <c r="D76" s="1800" t="s">
        <v>1839</v>
      </c>
      <c r="E76" s="1801"/>
      <c r="F76" s="1801"/>
      <c r="G76" s="1802"/>
      <c r="H76" s="1801"/>
      <c r="I76" s="1801"/>
      <c r="J76" s="1803"/>
    </row>
    <row r="77" spans="4:15" ht="18">
      <c r="D77" s="1804" t="str">
        <f>D3</f>
        <v>Omega Protein</v>
      </c>
      <c r="E77" s="1805" t="str">
        <f>E3</f>
        <v>U.S.</v>
      </c>
      <c r="F77" s="1805" t="str">
        <f>F3</f>
        <v>Animal and Human Nutrition</v>
      </c>
      <c r="G77" s="1805" t="s">
        <v>1842</v>
      </c>
      <c r="H77" s="1806">
        <f>I4</f>
        <v>1.0509999999999999</v>
      </c>
      <c r="I77" s="1807">
        <f>L3</f>
        <v>8.1600000000000006E-2</v>
      </c>
      <c r="J77" s="1808">
        <f>H77/(1+I77)</f>
        <v>0.97170857988165682</v>
      </c>
    </row>
    <row r="78" spans="4:15" ht="18">
      <c r="D78" s="1809" t="s">
        <v>1840</v>
      </c>
      <c r="E78" s="1810"/>
      <c r="F78" s="1810"/>
      <c r="G78" s="1811"/>
      <c r="H78" s="1812"/>
      <c r="I78" s="1812"/>
      <c r="J78" s="1813"/>
    </row>
    <row r="79" spans="4:15" ht="18">
      <c r="D79" s="1814" t="str">
        <f>D10</f>
        <v>Austevoll Seafood ASA</v>
      </c>
      <c r="E79" s="1815" t="str">
        <f>E10</f>
        <v>Norway</v>
      </c>
      <c r="F79" s="1815" t="str">
        <f>F10</f>
        <v>Agricultural Producers</v>
      </c>
      <c r="G79" s="1815" t="s">
        <v>1828</v>
      </c>
      <c r="H79" s="1816">
        <f>I12</f>
        <v>0.53100000000000003</v>
      </c>
      <c r="I79" s="1817">
        <f>L10</f>
        <v>0.53700000000000003</v>
      </c>
      <c r="J79" s="1808">
        <f>H79/(1+I79)</f>
        <v>0.34547820429407944</v>
      </c>
    </row>
    <row r="80" spans="4:15" ht="18">
      <c r="D80" s="1814" t="str">
        <f>D15</f>
        <v>Nippon Suisan Kaisha LTD</v>
      </c>
      <c r="E80" s="1815" t="str">
        <f>E15</f>
        <v>Japan</v>
      </c>
      <c r="F80" s="1815" t="str">
        <f>F15</f>
        <v>Packaged Food</v>
      </c>
      <c r="G80" s="1815" t="s">
        <v>1827</v>
      </c>
      <c r="H80" s="1816">
        <f>I17</f>
        <v>0.90900000000000003</v>
      </c>
      <c r="I80" s="1817">
        <f>L15</f>
        <v>2.1524000000000001</v>
      </c>
      <c r="J80" s="1808">
        <f>H80/(1+I80)</f>
        <v>0.28835173201370384</v>
      </c>
    </row>
    <row r="81" spans="4:10" ht="18">
      <c r="D81" s="1814" t="str">
        <f>D20</f>
        <v>Marine Harvest</v>
      </c>
      <c r="E81" s="1815" t="str">
        <f>E20</f>
        <v>Norway</v>
      </c>
      <c r="F81" s="1815" t="str">
        <f>F20</f>
        <v>Agricultural Producers</v>
      </c>
      <c r="G81" s="1815" t="s">
        <v>1829</v>
      </c>
      <c r="H81" s="1816">
        <f>I22</f>
        <v>0.65200000000000002</v>
      </c>
      <c r="I81" s="1817">
        <f>L20</f>
        <v>0.56530000000000002</v>
      </c>
      <c r="J81" s="1808">
        <f>H81/(1+I81)</f>
        <v>0.41653357183926404</v>
      </c>
    </row>
    <row r="82" spans="4:10" ht="18">
      <c r="D82" s="1814" t="str">
        <f>D25</f>
        <v>Salmar ASA</v>
      </c>
      <c r="E82" s="1815" t="str">
        <f>E25</f>
        <v>Norway</v>
      </c>
      <c r="F82" s="1815" t="str">
        <f>F25</f>
        <v>Agricultural Producers</v>
      </c>
      <c r="G82" s="1815" t="s">
        <v>1830</v>
      </c>
      <c r="H82" s="1816">
        <f>I27</f>
        <v>0.63600000000000001</v>
      </c>
      <c r="I82" s="1817">
        <f>L25</f>
        <v>0.55349999999999999</v>
      </c>
      <c r="J82" s="1808">
        <f>H82/(1+I82)</f>
        <v>0.40939813324750562</v>
      </c>
    </row>
    <row r="83" spans="4:10" ht="18">
      <c r="D83" s="1814" t="str">
        <f>D30</f>
        <v>Leroy Seafood ASA</v>
      </c>
      <c r="E83" s="1815" t="str">
        <f>E30</f>
        <v>Norway</v>
      </c>
      <c r="F83" s="1815" t="str">
        <f>F30</f>
        <v>Food Products Wholesalers</v>
      </c>
      <c r="G83" s="1815" t="s">
        <v>1831</v>
      </c>
      <c r="H83" s="1816">
        <f>I32</f>
        <v>0.74</v>
      </c>
      <c r="I83" s="1817">
        <f>L30</f>
        <v>0.43840000000000001</v>
      </c>
      <c r="J83" s="1808">
        <f t="shared" ref="J83:J90" si="0">H83/(1+I83)</f>
        <v>0.51446051167964402</v>
      </c>
    </row>
    <row r="84" spans="4:10" ht="18">
      <c r="D84" s="1814" t="str">
        <f>D35</f>
        <v>Tiger Brands Ltd</v>
      </c>
      <c r="E84" s="1815" t="str">
        <f>E35</f>
        <v>South Africa</v>
      </c>
      <c r="F84" s="1815" t="str">
        <f>F35</f>
        <v>Packaged Food</v>
      </c>
      <c r="G84" s="1815" t="s">
        <v>1832</v>
      </c>
      <c r="H84" s="1816">
        <f>I37</f>
        <v>0.63800000000000001</v>
      </c>
      <c r="I84" s="1817">
        <f>L35</f>
        <v>0.3513</v>
      </c>
      <c r="J84" s="1808">
        <f t="shared" si="0"/>
        <v>0.47213794124176722</v>
      </c>
    </row>
    <row r="85" spans="4:10" ht="18">
      <c r="D85" s="1814" t="str">
        <f>D40</f>
        <v>Tongaat Hulett Ltd</v>
      </c>
      <c r="E85" s="1815" t="str">
        <f>E40</f>
        <v>South Africa</v>
      </c>
      <c r="F85" s="1815" t="str">
        <f>F40</f>
        <v>Agricultural Producers</v>
      </c>
      <c r="G85" s="1815" t="s">
        <v>1833</v>
      </c>
      <c r="H85" s="1816">
        <f>I42</f>
        <v>0.65900000000000003</v>
      </c>
      <c r="I85" s="1817">
        <f>L40</f>
        <v>0.45829999999999999</v>
      </c>
      <c r="J85" s="1808">
        <f t="shared" si="0"/>
        <v>0.45189604333813349</v>
      </c>
    </row>
    <row r="86" spans="4:10" ht="18">
      <c r="D86" s="1814" t="str">
        <f>D45</f>
        <v>Astral Foods</v>
      </c>
      <c r="E86" s="1815" t="str">
        <f>E45</f>
        <v>South Africa</v>
      </c>
      <c r="F86" s="1815" t="str">
        <f>F45</f>
        <v>Agricultural Producers</v>
      </c>
      <c r="G86" s="1815" t="s">
        <v>1834</v>
      </c>
      <c r="H86" s="1816">
        <f>I47</f>
        <v>0.41099999999999998</v>
      </c>
      <c r="I86" s="1817">
        <f>L45</f>
        <v>0.1585</v>
      </c>
      <c r="J86" s="1808">
        <f t="shared" si="0"/>
        <v>0.35476909797151485</v>
      </c>
    </row>
    <row r="87" spans="4:10" ht="18">
      <c r="D87" s="1814" t="str">
        <f>D50</f>
        <v>Shanghai Kaichuang Marine-A</v>
      </c>
      <c r="E87" s="1815" t="str">
        <f>E50</f>
        <v>China</v>
      </c>
      <c r="F87" s="1815" t="str">
        <f>F50</f>
        <v>Agricultural Producers</v>
      </c>
      <c r="G87" s="1815" t="s">
        <v>1835</v>
      </c>
      <c r="H87" s="1816">
        <f>I52</f>
        <v>0.878</v>
      </c>
      <c r="I87" s="1817">
        <f>L50</f>
        <v>0.26090000000000002</v>
      </c>
      <c r="J87" s="1808">
        <f t="shared" si="0"/>
        <v>0.69632801966849078</v>
      </c>
    </row>
    <row r="88" spans="4:10" ht="18">
      <c r="D88" s="1814" t="str">
        <f>D55</f>
        <v>CNFC Overseas Fishery Co-A</v>
      </c>
      <c r="E88" s="1815" t="str">
        <f>E55</f>
        <v>China</v>
      </c>
      <c r="F88" s="1815" t="str">
        <f>F55</f>
        <v>Agricultural Producers</v>
      </c>
      <c r="G88" s="1815" t="s">
        <v>1836</v>
      </c>
      <c r="H88" s="1816">
        <f>I57</f>
        <v>1.522</v>
      </c>
      <c r="I88" s="1817">
        <f>L55</f>
        <v>0.15590000000000001</v>
      </c>
      <c r="J88" s="1808">
        <f t="shared" si="0"/>
        <v>1.3167228999048362</v>
      </c>
    </row>
    <row r="89" spans="4:10" ht="18">
      <c r="D89" s="1814" t="str">
        <f>D60</f>
        <v>Grieg Seafood ASA</v>
      </c>
      <c r="E89" s="1815" t="str">
        <f>E60</f>
        <v>Norway</v>
      </c>
      <c r="F89" s="1815" t="str">
        <f>F60</f>
        <v>Agricultural Producers</v>
      </c>
      <c r="G89" s="1815" t="s">
        <v>1837</v>
      </c>
      <c r="H89" s="1816">
        <f>I62</f>
        <v>1.1359999999999999</v>
      </c>
      <c r="I89" s="1817">
        <f>L60</f>
        <v>1.0341</v>
      </c>
      <c r="J89" s="1808">
        <f t="shared" si="0"/>
        <v>0.55847795093653207</v>
      </c>
    </row>
    <row r="90" spans="4:10" ht="18">
      <c r="D90" s="1814" t="str">
        <f>D65</f>
        <v>Bakkafrost P/F</v>
      </c>
      <c r="E90" s="1815" t="str">
        <f>E65</f>
        <v>Norway</v>
      </c>
      <c r="F90" s="1815" t="str">
        <f>F65</f>
        <v>Agricultural Producers</v>
      </c>
      <c r="G90" s="1815" t="s">
        <v>1838</v>
      </c>
      <c r="H90" s="1816">
        <f>I67</f>
        <v>0.57899999999999996</v>
      </c>
      <c r="I90" s="1817">
        <f>L65</f>
        <v>0.1734</v>
      </c>
      <c r="J90" s="1808">
        <f t="shared" si="0"/>
        <v>0.49343787284813362</v>
      </c>
    </row>
    <row r="91" spans="4:10" ht="19" thickBot="1">
      <c r="D91" s="1818" t="s">
        <v>1076</v>
      </c>
      <c r="E91" s="1819"/>
      <c r="F91" s="1819"/>
      <c r="G91" s="1819"/>
      <c r="H91" s="1820"/>
      <c r="I91" s="1821"/>
      <c r="J91" s="1822">
        <f>AVERAGE(J79:J90)</f>
        <v>0.52649933158196716</v>
      </c>
    </row>
    <row r="93" spans="4:10">
      <c r="D93" s="9" t="s">
        <v>1733</v>
      </c>
    </row>
  </sheetData>
  <mergeCells count="13">
    <mergeCell ref="D61:G64"/>
    <mergeCell ref="D66:G69"/>
    <mergeCell ref="D46:G49"/>
    <mergeCell ref="D51:G54"/>
    <mergeCell ref="D56:G59"/>
    <mergeCell ref="D31:G34"/>
    <mergeCell ref="D36:G39"/>
    <mergeCell ref="D41:G44"/>
    <mergeCell ref="D26:G29"/>
    <mergeCell ref="D4:G7"/>
    <mergeCell ref="D11:G14"/>
    <mergeCell ref="D16:G19"/>
    <mergeCell ref="D21:G24"/>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D3:P28"/>
  <sheetViews>
    <sheetView showGridLines="0" topLeftCell="B1" zoomScale="75" zoomScaleNormal="75" zoomScalePageLayoutView="75" workbookViewId="0">
      <selection activeCell="U42" sqref="U42"/>
    </sheetView>
  </sheetViews>
  <sheetFormatPr baseColWidth="10" defaultRowHeight="15" x14ac:dyDescent="0"/>
  <cols>
    <col min="4" max="4" width="40" customWidth="1"/>
    <col min="5" max="5" width="6" customWidth="1"/>
    <col min="6" max="8" width="6.5" bestFit="1" customWidth="1"/>
    <col min="9" max="9" width="5" customWidth="1"/>
    <col min="11" max="11" width="5.1640625" customWidth="1"/>
    <col min="12" max="12" width="9.6640625" customWidth="1"/>
    <col min="15" max="16" width="13.1640625" bestFit="1" customWidth="1"/>
    <col min="17" max="17" width="5.83203125" customWidth="1"/>
    <col min="20" max="20" width="1" customWidth="1"/>
    <col min="22" max="22" width="10.83203125" customWidth="1"/>
  </cols>
  <sheetData>
    <row r="3" spans="4:16" ht="16" thickBot="1"/>
    <row r="4" spans="4:16">
      <c r="D4" s="1221" t="s">
        <v>1700</v>
      </c>
      <c r="E4" s="1222" t="s">
        <v>17</v>
      </c>
      <c r="F4" s="1222" t="s">
        <v>18</v>
      </c>
      <c r="G4" s="1222" t="s">
        <v>19</v>
      </c>
      <c r="H4" s="1222" t="s">
        <v>20</v>
      </c>
      <c r="I4" s="1222" t="s">
        <v>21</v>
      </c>
      <c r="J4" s="1222" t="s">
        <v>22</v>
      </c>
      <c r="K4" s="1222" t="s">
        <v>23</v>
      </c>
      <c r="L4" s="1222" t="s">
        <v>24</v>
      </c>
      <c r="M4" s="1222" t="s">
        <v>25</v>
      </c>
      <c r="N4" s="1223" t="s">
        <v>26</v>
      </c>
      <c r="O4" s="1242" t="s">
        <v>1705</v>
      </c>
      <c r="P4" s="1223" t="s">
        <v>1706</v>
      </c>
    </row>
    <row r="5" spans="4:16" s="7" customFormat="1" ht="14">
      <c r="D5" s="624" t="s">
        <v>1707</v>
      </c>
      <c r="E5" s="1235">
        <v>-2.8000000000000001E-2</v>
      </c>
      <c r="F5" s="1235">
        <v>2.5000000000000001E-2</v>
      </c>
      <c r="G5" s="1235">
        <v>1.6E-2</v>
      </c>
      <c r="H5" s="1235">
        <v>2.1999999999999999E-2</v>
      </c>
      <c r="I5" s="1235">
        <v>1.4999999999999999E-2</v>
      </c>
      <c r="J5" s="1235">
        <v>2.4E-2</v>
      </c>
      <c r="K5" s="1235">
        <v>2.4E-2</v>
      </c>
      <c r="L5" s="1235">
        <v>1.7999999999999999E-2</v>
      </c>
      <c r="M5" s="1235">
        <v>2.3E-2</v>
      </c>
      <c r="N5" s="1236">
        <v>2.1999999999999999E-2</v>
      </c>
      <c r="O5" s="1238">
        <f>AVERAGE(F5:K5)</f>
        <v>2.1000000000000001E-2</v>
      </c>
      <c r="P5" s="1239">
        <f>AVERAGE(L5:N5)</f>
        <v>2.1000000000000001E-2</v>
      </c>
    </row>
    <row r="6" spans="4:16" s="7" customFormat="1" ht="14">
      <c r="D6" s="624" t="s">
        <v>1708</v>
      </c>
      <c r="E6" s="1235">
        <f>E5</f>
        <v>-2.8000000000000001E-2</v>
      </c>
      <c r="F6" s="1235">
        <f>F5</f>
        <v>2.5000000000000001E-2</v>
      </c>
      <c r="G6" s="1235">
        <f>G5</f>
        <v>1.6E-2</v>
      </c>
      <c r="H6" s="1235">
        <f t="shared" ref="H6:K6" si="0">H5</f>
        <v>2.1999999999999999E-2</v>
      </c>
      <c r="I6" s="1235">
        <f t="shared" si="0"/>
        <v>1.4999999999999999E-2</v>
      </c>
      <c r="J6" s="1235">
        <f t="shared" si="0"/>
        <v>2.4E-2</v>
      </c>
      <c r="K6" s="1235">
        <f t="shared" si="0"/>
        <v>2.4E-2</v>
      </c>
      <c r="L6" s="1235">
        <v>2.7E-2</v>
      </c>
      <c r="M6" s="1235">
        <v>2.4E-2</v>
      </c>
      <c r="N6" s="1236">
        <v>2.1999999999999999E-2</v>
      </c>
      <c r="O6" s="1238">
        <f>AVERAGE(F6:K6)</f>
        <v>2.1000000000000001E-2</v>
      </c>
      <c r="P6" s="1239">
        <f>AVERAGE(L6:N6)</f>
        <v>2.4333333333333335E-2</v>
      </c>
    </row>
    <row r="7" spans="4:16" s="7" customFormat="1" ht="14">
      <c r="D7" s="1243" t="s">
        <v>1709</v>
      </c>
      <c r="E7" s="1244">
        <v>-1.4999999999999999E-2</v>
      </c>
      <c r="F7" s="1244">
        <v>0.03</v>
      </c>
      <c r="G7" s="1244">
        <v>3.2000000000000001E-2</v>
      </c>
      <c r="H7" s="1244">
        <v>2.1999999999999999E-2</v>
      </c>
      <c r="I7" s="1244">
        <v>2.1999999999999999E-2</v>
      </c>
      <c r="J7" s="1244">
        <v>1.4999999999999999E-2</v>
      </c>
      <c r="K7" s="1244">
        <v>1.2999999999999999E-2</v>
      </c>
      <c r="L7" s="1244">
        <v>7.0000000000000001E-3</v>
      </c>
      <c r="M7" s="1244">
        <v>1.4E-2</v>
      </c>
      <c r="N7" s="1245">
        <v>1.7999999999999999E-2</v>
      </c>
      <c r="O7" s="1246">
        <f>AVERAGE(F7:K7)</f>
        <v>2.233333333333333E-2</v>
      </c>
      <c r="P7" s="1247">
        <f>AVERAGE(L7:N7)</f>
        <v>1.2999999999999999E-2</v>
      </c>
    </row>
    <row r="8" spans="4:16" s="7" customFormat="1" thickBot="1">
      <c r="D8" s="625" t="s">
        <v>1710</v>
      </c>
      <c r="E8" s="1237">
        <f>E7</f>
        <v>-1.4999999999999999E-2</v>
      </c>
      <c r="F8" s="1237">
        <f t="shared" ref="F8:K8" si="1">F7</f>
        <v>0.03</v>
      </c>
      <c r="G8" s="1237">
        <f t="shared" si="1"/>
        <v>3.2000000000000001E-2</v>
      </c>
      <c r="H8" s="1237">
        <f t="shared" si="1"/>
        <v>2.1999999999999999E-2</v>
      </c>
      <c r="I8" s="1237">
        <f t="shared" si="1"/>
        <v>2.1999999999999999E-2</v>
      </c>
      <c r="J8" s="1237">
        <f t="shared" si="1"/>
        <v>1.4999999999999999E-2</v>
      </c>
      <c r="K8" s="1237">
        <f t="shared" si="1"/>
        <v>1.2999999999999999E-2</v>
      </c>
      <c r="L8" s="1237">
        <v>1.4E-2</v>
      </c>
      <c r="M8" s="1237">
        <v>1.6E-2</v>
      </c>
      <c r="N8" s="1237">
        <v>1.6E-2</v>
      </c>
      <c r="O8" s="1240">
        <f>AVERAGE(F8:K8)</f>
        <v>2.233333333333333E-2</v>
      </c>
      <c r="P8" s="1241">
        <f>AVERAGE(L8:N8)</f>
        <v>1.5333333333333332E-2</v>
      </c>
    </row>
    <row r="9" spans="4:16">
      <c r="D9" t="s">
        <v>1734</v>
      </c>
    </row>
    <row r="11" spans="4:16" ht="20">
      <c r="G11" s="1197" t="s">
        <v>1777</v>
      </c>
      <c r="H11" s="1197"/>
      <c r="I11" s="1197"/>
      <c r="J11" s="1197"/>
      <c r="K11" s="1197"/>
    </row>
    <row r="28" spans="7:7">
      <c r="G28" t="s">
        <v>1724</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D2:I82"/>
  <sheetViews>
    <sheetView showGridLines="0" zoomScale="75" zoomScaleNormal="75" zoomScalePageLayoutView="75" workbookViewId="0">
      <selection activeCell="K78" sqref="K78"/>
    </sheetView>
  </sheetViews>
  <sheetFormatPr baseColWidth="10" defaultRowHeight="15" x14ac:dyDescent="0"/>
  <cols>
    <col min="4" max="4" width="35.6640625" customWidth="1"/>
    <col min="5" max="5" width="21.1640625" customWidth="1"/>
    <col min="6" max="6" width="20.1640625" bestFit="1" customWidth="1"/>
    <col min="7" max="7" width="7" bestFit="1" customWidth="1"/>
    <col min="8" max="8" width="13.33203125" bestFit="1" customWidth="1"/>
    <col min="9" max="9" width="11.83203125" bestFit="1" customWidth="1"/>
  </cols>
  <sheetData>
    <row r="2" spans="4:9" ht="16" thickBot="1"/>
    <row r="3" spans="4:9" ht="16" thickBot="1">
      <c r="D3" s="1847" t="s">
        <v>1670</v>
      </c>
      <c r="E3" s="474" t="s">
        <v>1362</v>
      </c>
      <c r="F3" s="474" t="s">
        <v>1561</v>
      </c>
      <c r="G3" s="474" t="s">
        <v>834</v>
      </c>
      <c r="H3" s="491" t="s">
        <v>1890</v>
      </c>
      <c r="I3" s="513" t="s">
        <v>1891</v>
      </c>
    </row>
    <row r="4" spans="4:9">
      <c r="D4" s="1269" t="s">
        <v>1671</v>
      </c>
      <c r="E4" s="1273" t="s">
        <v>841</v>
      </c>
      <c r="F4" s="1273" t="s">
        <v>1562</v>
      </c>
      <c r="G4" s="1273" t="s">
        <v>1565</v>
      </c>
      <c r="H4" s="1600">
        <v>5.88</v>
      </c>
      <c r="I4" s="1864">
        <v>9.52</v>
      </c>
    </row>
    <row r="5" spans="4:9">
      <c r="D5" s="1918" t="s">
        <v>1674</v>
      </c>
      <c r="E5" s="1919"/>
      <c r="F5" s="1919"/>
      <c r="G5" s="1919"/>
      <c r="I5" s="123"/>
    </row>
    <row r="6" spans="4:9">
      <c r="D6" s="1918"/>
      <c r="E6" s="1919"/>
      <c r="F6" s="1919"/>
      <c r="G6" s="1919"/>
      <c r="I6" s="123"/>
    </row>
    <row r="7" spans="4:9">
      <c r="D7" s="1918"/>
      <c r="E7" s="1919"/>
      <c r="F7" s="1919"/>
      <c r="G7" s="1919"/>
      <c r="I7" s="123"/>
    </row>
    <row r="8" spans="4:9">
      <c r="D8" s="1922"/>
      <c r="E8" s="1923"/>
      <c r="F8" s="1923"/>
      <c r="G8" s="1923"/>
      <c r="I8" s="123"/>
    </row>
    <row r="9" spans="4:9">
      <c r="D9" s="1269" t="s">
        <v>1672</v>
      </c>
      <c r="E9" s="1273" t="s">
        <v>842</v>
      </c>
      <c r="F9" s="1273" t="s">
        <v>1566</v>
      </c>
      <c r="G9" s="1273" t="s">
        <v>1567</v>
      </c>
      <c r="H9" s="57">
        <v>10.61</v>
      </c>
      <c r="I9" s="1862"/>
    </row>
    <row r="10" spans="4:9">
      <c r="D10" s="1918" t="s">
        <v>1673</v>
      </c>
      <c r="E10" s="1919"/>
      <c r="F10" s="1919"/>
      <c r="G10" s="1919"/>
      <c r="I10" s="123"/>
    </row>
    <row r="11" spans="4:9">
      <c r="D11" s="1918"/>
      <c r="E11" s="1919"/>
      <c r="F11" s="1919"/>
      <c r="G11" s="1919"/>
      <c r="I11" s="123"/>
    </row>
    <row r="12" spans="4:9">
      <c r="D12" s="1918"/>
      <c r="E12" s="1919"/>
      <c r="F12" s="1919"/>
      <c r="G12" s="1919"/>
      <c r="I12" s="123"/>
    </row>
    <row r="13" spans="4:9">
      <c r="D13" s="1922"/>
      <c r="E13" s="1923"/>
      <c r="F13" s="1923"/>
      <c r="G13" s="1923"/>
      <c r="I13" s="123"/>
    </row>
    <row r="14" spans="4:9">
      <c r="D14" s="1270" t="s">
        <v>1372</v>
      </c>
      <c r="E14" s="1272" t="s">
        <v>841</v>
      </c>
      <c r="F14" s="1272" t="s">
        <v>1562</v>
      </c>
      <c r="G14" s="1272" t="s">
        <v>1565</v>
      </c>
      <c r="H14" s="48">
        <v>9.59</v>
      </c>
      <c r="I14" s="1861">
        <v>13.93</v>
      </c>
    </row>
    <row r="15" spans="4:9">
      <c r="D15" s="1914" t="s">
        <v>1675</v>
      </c>
      <c r="E15" s="1915"/>
      <c r="F15" s="1915"/>
      <c r="G15" s="1915"/>
      <c r="I15" s="123"/>
    </row>
    <row r="16" spans="4:9">
      <c r="D16" s="1914"/>
      <c r="E16" s="1915"/>
      <c r="F16" s="1915"/>
      <c r="G16" s="1915"/>
      <c r="I16" s="123"/>
    </row>
    <row r="17" spans="4:9">
      <c r="D17" s="1914"/>
      <c r="E17" s="1915"/>
      <c r="F17" s="1915"/>
      <c r="G17" s="1915"/>
      <c r="I17" s="123"/>
    </row>
    <row r="18" spans="4:9">
      <c r="D18" s="1916"/>
      <c r="E18" s="1917"/>
      <c r="F18" s="1917"/>
      <c r="G18" s="1917"/>
      <c r="I18" s="123"/>
    </row>
    <row r="19" spans="4:9">
      <c r="D19" s="1270" t="s">
        <v>1676</v>
      </c>
      <c r="E19" s="1272" t="s">
        <v>841</v>
      </c>
      <c r="F19" s="1272" t="s">
        <v>1562</v>
      </c>
      <c r="G19" s="1272" t="s">
        <v>1565</v>
      </c>
      <c r="H19" s="57">
        <v>9.89</v>
      </c>
      <c r="I19" s="1862">
        <v>14.07</v>
      </c>
    </row>
    <row r="20" spans="4:9">
      <c r="D20" s="1914" t="s">
        <v>1677</v>
      </c>
      <c r="E20" s="1915"/>
      <c r="F20" s="1915"/>
      <c r="G20" s="1915"/>
      <c r="I20" s="123"/>
    </row>
    <row r="21" spans="4:9">
      <c r="D21" s="1914"/>
      <c r="E21" s="1915"/>
      <c r="F21" s="1915"/>
      <c r="G21" s="1915"/>
      <c r="I21" s="123"/>
    </row>
    <row r="22" spans="4:9">
      <c r="D22" s="1914"/>
      <c r="E22" s="1915"/>
      <c r="F22" s="1915"/>
      <c r="G22" s="1915"/>
      <c r="I22" s="123"/>
    </row>
    <row r="23" spans="4:9">
      <c r="D23" s="1916"/>
      <c r="E23" s="1917"/>
      <c r="F23" s="1917"/>
      <c r="G23" s="1917"/>
      <c r="I23" s="123"/>
    </row>
    <row r="24" spans="4:9">
      <c r="D24" s="1271" t="s">
        <v>1678</v>
      </c>
      <c r="E24" s="1272" t="s">
        <v>841</v>
      </c>
      <c r="F24" s="1272" t="s">
        <v>1568</v>
      </c>
      <c r="G24" s="1272" t="s">
        <v>1565</v>
      </c>
      <c r="H24" s="57">
        <v>7.86</v>
      </c>
      <c r="I24" s="1862">
        <v>11.59</v>
      </c>
    </row>
    <row r="25" spans="4:9">
      <c r="D25" s="1914" t="s">
        <v>1679</v>
      </c>
      <c r="E25" s="1915"/>
      <c r="F25" s="1915"/>
      <c r="G25" s="1915"/>
      <c r="I25" s="123"/>
    </row>
    <row r="26" spans="4:9">
      <c r="D26" s="1914"/>
      <c r="E26" s="1915"/>
      <c r="F26" s="1915"/>
      <c r="G26" s="1915"/>
      <c r="I26" s="123"/>
    </row>
    <row r="27" spans="4:9">
      <c r="D27" s="1914"/>
      <c r="E27" s="1915"/>
      <c r="F27" s="1915"/>
      <c r="G27" s="1915"/>
      <c r="I27" s="123"/>
    </row>
    <row r="28" spans="4:9">
      <c r="D28" s="1916"/>
      <c r="E28" s="1917"/>
      <c r="F28" s="1917"/>
      <c r="G28" s="1917"/>
      <c r="I28" s="123"/>
    </row>
    <row r="29" spans="4:9">
      <c r="D29" s="1270" t="s">
        <v>1680</v>
      </c>
      <c r="E29" s="1272" t="s">
        <v>791</v>
      </c>
      <c r="F29" s="1272" t="s">
        <v>1566</v>
      </c>
      <c r="G29" s="1272" t="s">
        <v>1563</v>
      </c>
      <c r="H29" s="57">
        <v>13.89</v>
      </c>
      <c r="I29" s="1862"/>
    </row>
    <row r="30" spans="4:9">
      <c r="D30" s="1914" t="s">
        <v>1681</v>
      </c>
      <c r="E30" s="1915"/>
      <c r="F30" s="1915"/>
      <c r="G30" s="1915"/>
      <c r="I30" s="123"/>
    </row>
    <row r="31" spans="4:9">
      <c r="D31" s="1914"/>
      <c r="E31" s="1915"/>
      <c r="F31" s="1915"/>
      <c r="G31" s="1915"/>
      <c r="I31" s="123"/>
    </row>
    <row r="32" spans="4:9">
      <c r="D32" s="1914"/>
      <c r="E32" s="1915"/>
      <c r="F32" s="1915"/>
      <c r="G32" s="1915"/>
      <c r="I32" s="123"/>
    </row>
    <row r="33" spans="4:9">
      <c r="D33" s="1916"/>
      <c r="E33" s="1917"/>
      <c r="F33" s="1917"/>
      <c r="G33" s="1917"/>
      <c r="I33" s="123"/>
    </row>
    <row r="34" spans="4:9">
      <c r="D34" s="1270" t="s">
        <v>1682</v>
      </c>
      <c r="E34" s="1272" t="s">
        <v>791</v>
      </c>
      <c r="F34" s="1272" t="s">
        <v>1562</v>
      </c>
      <c r="G34" s="1272" t="s">
        <v>1563</v>
      </c>
      <c r="H34" s="57">
        <v>9.67</v>
      </c>
      <c r="I34" s="1862">
        <v>16.52</v>
      </c>
    </row>
    <row r="35" spans="4:9">
      <c r="D35" s="1914" t="s">
        <v>1683</v>
      </c>
      <c r="E35" s="1915"/>
      <c r="F35" s="1915"/>
      <c r="G35" s="1915"/>
      <c r="I35" s="123"/>
    </row>
    <row r="36" spans="4:9">
      <c r="D36" s="1914"/>
      <c r="E36" s="1915"/>
      <c r="F36" s="1915"/>
      <c r="G36" s="1915"/>
      <c r="I36" s="123"/>
    </row>
    <row r="37" spans="4:9">
      <c r="D37" s="1914"/>
      <c r="E37" s="1915"/>
      <c r="F37" s="1915"/>
      <c r="G37" s="1915"/>
      <c r="I37" s="123"/>
    </row>
    <row r="38" spans="4:9">
      <c r="D38" s="1916"/>
      <c r="E38" s="1917"/>
      <c r="F38" s="1917"/>
      <c r="G38" s="1917"/>
      <c r="I38" s="123"/>
    </row>
    <row r="39" spans="4:9">
      <c r="D39" s="1270" t="s">
        <v>1684</v>
      </c>
      <c r="E39" s="1272" t="s">
        <v>791</v>
      </c>
      <c r="F39" s="1272" t="s">
        <v>1562</v>
      </c>
      <c r="G39" s="1272" t="s">
        <v>1563</v>
      </c>
      <c r="H39" s="57">
        <v>6.87</v>
      </c>
      <c r="I39" s="1862">
        <v>10.27</v>
      </c>
    </row>
    <row r="40" spans="4:9">
      <c r="D40" s="1914" t="s">
        <v>1685</v>
      </c>
      <c r="E40" s="1915"/>
      <c r="F40" s="1915"/>
      <c r="G40" s="1915"/>
      <c r="I40" s="123"/>
    </row>
    <row r="41" spans="4:9">
      <c r="D41" s="1914"/>
      <c r="E41" s="1915"/>
      <c r="F41" s="1915"/>
      <c r="G41" s="1915"/>
      <c r="I41" s="123"/>
    </row>
    <row r="42" spans="4:9">
      <c r="D42" s="1914"/>
      <c r="E42" s="1915"/>
      <c r="F42" s="1915"/>
      <c r="G42" s="1915"/>
      <c r="I42" s="123"/>
    </row>
    <row r="43" spans="4:9">
      <c r="D43" s="1916"/>
      <c r="E43" s="1917"/>
      <c r="F43" s="1917"/>
      <c r="G43" s="1917"/>
      <c r="I43" s="123"/>
    </row>
    <row r="44" spans="4:9">
      <c r="D44" s="1270" t="s">
        <v>1686</v>
      </c>
      <c r="E44" s="1272" t="s">
        <v>839</v>
      </c>
      <c r="F44" s="1272" t="s">
        <v>1562</v>
      </c>
      <c r="G44" s="1272" t="s">
        <v>1564</v>
      </c>
      <c r="H44" s="57">
        <v>11.22</v>
      </c>
      <c r="I44" s="1862">
        <v>27.74</v>
      </c>
    </row>
    <row r="45" spans="4:9">
      <c r="D45" s="1914" t="s">
        <v>1687</v>
      </c>
      <c r="E45" s="1915"/>
      <c r="F45" s="1915"/>
      <c r="G45" s="1915"/>
      <c r="I45" s="123"/>
    </row>
    <row r="46" spans="4:9">
      <c r="D46" s="1914"/>
      <c r="E46" s="1915"/>
      <c r="F46" s="1915"/>
      <c r="G46" s="1915"/>
      <c r="I46" s="123"/>
    </row>
    <row r="47" spans="4:9">
      <c r="D47" s="1914"/>
      <c r="E47" s="1915"/>
      <c r="F47" s="1915"/>
      <c r="G47" s="1915"/>
      <c r="I47" s="123"/>
    </row>
    <row r="48" spans="4:9">
      <c r="D48" s="1916"/>
      <c r="E48" s="1917"/>
      <c r="F48" s="1917"/>
      <c r="G48" s="1917"/>
      <c r="I48" s="123"/>
    </row>
    <row r="49" spans="4:9">
      <c r="D49" s="1270" t="s">
        <v>1688</v>
      </c>
      <c r="E49" s="1272" t="s">
        <v>839</v>
      </c>
      <c r="F49" s="1272" t="s">
        <v>1562</v>
      </c>
      <c r="G49" s="1272" t="s">
        <v>1564</v>
      </c>
      <c r="H49" s="57">
        <v>10.37</v>
      </c>
      <c r="I49" s="1862">
        <v>39.479999999999997</v>
      </c>
    </row>
    <row r="50" spans="4:9">
      <c r="D50" s="1914" t="s">
        <v>1689</v>
      </c>
      <c r="E50" s="1915"/>
      <c r="F50" s="1915"/>
      <c r="G50" s="1915"/>
      <c r="I50" s="123"/>
    </row>
    <row r="51" spans="4:9">
      <c r="D51" s="1914"/>
      <c r="E51" s="1915"/>
      <c r="F51" s="1915"/>
      <c r="G51" s="1915"/>
      <c r="I51" s="123"/>
    </row>
    <row r="52" spans="4:9">
      <c r="D52" s="1914"/>
      <c r="E52" s="1915"/>
      <c r="F52" s="1915"/>
      <c r="G52" s="1915"/>
      <c r="I52" s="123"/>
    </row>
    <row r="53" spans="4:9">
      <c r="D53" s="1916"/>
      <c r="E53" s="1917"/>
      <c r="F53" s="1917"/>
      <c r="G53" s="1917"/>
      <c r="I53" s="123"/>
    </row>
    <row r="54" spans="4:9">
      <c r="D54" s="1270" t="s">
        <v>1690</v>
      </c>
      <c r="E54" s="1272" t="s">
        <v>841</v>
      </c>
      <c r="F54" s="1272" t="s">
        <v>1562</v>
      </c>
      <c r="G54" s="1272" t="s">
        <v>1565</v>
      </c>
      <c r="H54" s="57">
        <v>6.54</v>
      </c>
      <c r="I54" s="1862">
        <v>8.99</v>
      </c>
    </row>
    <row r="55" spans="4:9">
      <c r="D55" s="1914" t="s">
        <v>1692</v>
      </c>
      <c r="E55" s="1915"/>
      <c r="F55" s="1915"/>
      <c r="G55" s="1915"/>
      <c r="I55" s="123"/>
    </row>
    <row r="56" spans="4:9">
      <c r="D56" s="1914"/>
      <c r="E56" s="1915"/>
      <c r="F56" s="1915"/>
      <c r="G56" s="1915"/>
      <c r="I56" s="123"/>
    </row>
    <row r="57" spans="4:9">
      <c r="D57" s="1914"/>
      <c r="E57" s="1915"/>
      <c r="F57" s="1915"/>
      <c r="G57" s="1915"/>
      <c r="I57" s="123"/>
    </row>
    <row r="58" spans="4:9">
      <c r="D58" s="1916"/>
      <c r="E58" s="1917"/>
      <c r="F58" s="1917"/>
      <c r="G58" s="1917"/>
      <c r="I58" s="123"/>
    </row>
    <row r="59" spans="4:9">
      <c r="D59" s="1270" t="s">
        <v>1691</v>
      </c>
      <c r="E59" s="1272" t="s">
        <v>841</v>
      </c>
      <c r="F59" s="1272" t="s">
        <v>1562</v>
      </c>
      <c r="G59" s="1272" t="s">
        <v>1565</v>
      </c>
      <c r="H59" s="57">
        <v>10.09</v>
      </c>
      <c r="I59" s="1862">
        <v>15.09</v>
      </c>
    </row>
    <row r="60" spans="4:9">
      <c r="D60" s="1914" t="s">
        <v>1693</v>
      </c>
      <c r="E60" s="1915"/>
      <c r="F60" s="1915"/>
      <c r="G60" s="1915"/>
      <c r="I60" s="123"/>
    </row>
    <row r="61" spans="4:9">
      <c r="D61" s="1914"/>
      <c r="E61" s="1915"/>
      <c r="F61" s="1915"/>
      <c r="G61" s="1915"/>
      <c r="I61" s="123"/>
    </row>
    <row r="62" spans="4:9">
      <c r="D62" s="1914"/>
      <c r="E62" s="1915"/>
      <c r="F62" s="1915"/>
      <c r="G62" s="1915"/>
      <c r="I62" s="123"/>
    </row>
    <row r="63" spans="4:9" ht="16" thickBot="1">
      <c r="D63" s="1914"/>
      <c r="E63" s="1915"/>
      <c r="F63" s="1915"/>
      <c r="G63" s="1915"/>
      <c r="I63" s="123"/>
    </row>
    <row r="64" spans="4:9" ht="19" thickBot="1">
      <c r="D64" s="1290" t="s">
        <v>1892</v>
      </c>
      <c r="E64" s="1291"/>
      <c r="F64" s="1291"/>
      <c r="G64" s="1291"/>
      <c r="H64" s="1863">
        <f>AVERAGE(H59,H54,H49,H44,H39,H34,H29,H24,H19,H14,H9,H4)</f>
        <v>9.3733333333333331</v>
      </c>
      <c r="I64" s="1863">
        <f>AVERAGE(I59,I54,I49,I44,I39,I34,I29,I24,I19,I14,I9,I4)</f>
        <v>16.72</v>
      </c>
    </row>
    <row r="65" spans="4:9" ht="16" thickBot="1">
      <c r="D65" s="1860" t="s">
        <v>1893</v>
      </c>
      <c r="E65" s="408"/>
      <c r="F65" s="408"/>
      <c r="G65" s="408"/>
      <c r="H65" s="1865">
        <f>'1a. Whole and SOTP Valuation'!I127/'2a. Income Statement'!P56</f>
        <v>11.218306672779216</v>
      </c>
      <c r="I65" s="1866">
        <f>'1a. Whole and SOTP Valuation'!I137/'KPIs Analysis'!I23</f>
        <v>18.150306962761167</v>
      </c>
    </row>
    <row r="67" spans="4:9">
      <c r="F67" s="1867"/>
    </row>
    <row r="68" spans="4:9" ht="20">
      <c r="D68" s="1197" t="s">
        <v>1900</v>
      </c>
      <c r="E68" s="1197"/>
    </row>
    <row r="69" spans="4:9" ht="16" thickBot="1"/>
    <row r="70" spans="4:9" ht="16" thickBot="1">
      <c r="D70" s="1909" t="s">
        <v>1899</v>
      </c>
      <c r="E70" s="1926"/>
    </row>
    <row r="71" spans="4:9">
      <c r="D71" s="1868" t="s">
        <v>1526</v>
      </c>
      <c r="E71" s="1869" t="s">
        <v>1890</v>
      </c>
    </row>
    <row r="72" spans="4:9">
      <c r="D72" s="726" t="s">
        <v>1894</v>
      </c>
      <c r="E72" s="1850">
        <f>H64</f>
        <v>9.3733333333333331</v>
      </c>
    </row>
    <row r="73" spans="4:9">
      <c r="D73" s="1870" t="s">
        <v>1895</v>
      </c>
      <c r="E73" s="1871">
        <f>E72*'2a. Income Statement'!P56</f>
        <v>17477435.939312167</v>
      </c>
    </row>
    <row r="74" spans="4:9">
      <c r="D74" s="726" t="s">
        <v>1893</v>
      </c>
      <c r="E74" s="1850">
        <f>H65</f>
        <v>11.218306672779216</v>
      </c>
    </row>
    <row r="75" spans="4:9">
      <c r="D75" s="181" t="s">
        <v>1897</v>
      </c>
      <c r="E75" s="1871">
        <f>E74*'2a. Income Statement'!P56</f>
        <v>20917557.207082894</v>
      </c>
    </row>
    <row r="76" spans="4:9">
      <c r="D76" s="1868" t="s">
        <v>1526</v>
      </c>
      <c r="E76" s="1869" t="s">
        <v>1891</v>
      </c>
    </row>
    <row r="77" spans="4:9">
      <c r="D77" s="726" t="s">
        <v>1894</v>
      </c>
      <c r="E77" s="1850">
        <f>I64</f>
        <v>16.72</v>
      </c>
      <c r="F77" s="969"/>
    </row>
    <row r="78" spans="4:9">
      <c r="D78" s="181" t="s">
        <v>1896</v>
      </c>
      <c r="E78" s="1872">
        <f>E77*'KPIs Analysis'!I23</f>
        <v>120.22891260739193</v>
      </c>
    </row>
    <row r="79" spans="4:9">
      <c r="D79" s="726" t="s">
        <v>1893</v>
      </c>
      <c r="E79" s="1850">
        <f>I65</f>
        <v>18.150306962761167</v>
      </c>
    </row>
    <row r="80" spans="4:9" ht="16" thickBot="1">
      <c r="D80" s="1135" t="s">
        <v>1898</v>
      </c>
      <c r="E80" s="1873">
        <f>E79*'KPIs Analysis'!I23</f>
        <v>130.51385583870513</v>
      </c>
      <c r="F80" s="969"/>
    </row>
    <row r="82" spans="4:5">
      <c r="D82" t="s">
        <v>1901</v>
      </c>
      <c r="E82" s="969"/>
    </row>
  </sheetData>
  <mergeCells count="13">
    <mergeCell ref="D30:G33"/>
    <mergeCell ref="D35:G38"/>
    <mergeCell ref="D40:G43"/>
    <mergeCell ref="D5:G8"/>
    <mergeCell ref="D10:G13"/>
    <mergeCell ref="D15:G18"/>
    <mergeCell ref="D20:G23"/>
    <mergeCell ref="D25:G28"/>
    <mergeCell ref="D45:G48"/>
    <mergeCell ref="D50:G53"/>
    <mergeCell ref="D55:G58"/>
    <mergeCell ref="D60:G63"/>
    <mergeCell ref="D70:E70"/>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42</vt:i4>
      </vt:variant>
    </vt:vector>
  </HeadingPairs>
  <TitlesOfParts>
    <vt:vector size="42" baseType="lpstr">
      <vt:lpstr>Front Page</vt:lpstr>
      <vt:lpstr>Proforma IS and BS</vt:lpstr>
      <vt:lpstr>KPIs Analysis</vt:lpstr>
      <vt:lpstr>Bloomberg Fin Data</vt:lpstr>
      <vt:lpstr>1. Valuation &gt;&gt;</vt:lpstr>
      <vt:lpstr>1a. Whole and SOTP Valuation</vt:lpstr>
      <vt:lpstr>1b. Valuation Comparables Data</vt:lpstr>
      <vt:lpstr>1c. GDP Growth Analysis</vt:lpstr>
      <vt:lpstr>1d. Multiples Valuation</vt:lpstr>
      <vt:lpstr>2. Oceana Financials &gt;&gt;</vt:lpstr>
      <vt:lpstr>2a. Income Statement</vt:lpstr>
      <vt:lpstr>2b. Balance Sheet</vt:lpstr>
      <vt:lpstr>2c. Cash Flow Statement</vt:lpstr>
      <vt:lpstr>2d. Changes in Equity</vt:lpstr>
      <vt:lpstr>2e. Notes to the New Fin Stat</vt:lpstr>
      <vt:lpstr>3. Business Segments Report &gt;&gt;</vt:lpstr>
      <vt:lpstr>All Together</vt:lpstr>
      <vt:lpstr>3a. InShore Fishing Div.</vt:lpstr>
      <vt:lpstr>3b. Mid Deep Water Fishing Div.</vt:lpstr>
      <vt:lpstr>3c. Commercial Cold Stor Div.</vt:lpstr>
      <vt:lpstr>3d. Daybrook</vt:lpstr>
      <vt:lpstr>3e. Daybrook Currency Adjusted</vt:lpstr>
      <vt:lpstr>3f. Exchange Rate USDZAR</vt:lpstr>
      <vt:lpstr>3g. Peruvian Fishmeal Prices</vt:lpstr>
      <vt:lpstr>3h. Segmental Volume Drivers</vt:lpstr>
      <vt:lpstr>4.Other Relevant Information &gt;&gt;</vt:lpstr>
      <vt:lpstr>4a. Information for Tables</vt:lpstr>
      <vt:lpstr>4b. Information for Graphs</vt:lpstr>
      <vt:lpstr>Alternative 1 FCF</vt:lpstr>
      <vt:lpstr>Alternative 2 FCF</vt:lpstr>
      <vt:lpstr>Notes to the Income Statement</vt:lpstr>
      <vt:lpstr>Notes to the Balance Sheet</vt:lpstr>
      <vt:lpstr>Notes to the cash flow statemen</vt:lpstr>
      <vt:lpstr>4c. Oceana Comparables</vt:lpstr>
      <vt:lpstr>4d. Shareholder Structure</vt:lpstr>
      <vt:lpstr>4e. Industry Analysis</vt:lpstr>
      <vt:lpstr>4f. JALSH vs Oceana Prices</vt:lpstr>
      <vt:lpstr>4g. Oceana Stock</vt:lpstr>
      <vt:lpstr>4h. Fish vs Meat Consumption</vt:lpstr>
      <vt:lpstr>4i. CCI</vt:lpstr>
      <vt:lpstr>4j. South Africa Macro</vt:lpstr>
      <vt:lpstr>4k. Daybrook Valuation (FY15)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Fausto Moura</dc:creator>
  <cp:lastModifiedBy>Fausto Moura</cp:lastModifiedBy>
  <dcterms:created xsi:type="dcterms:W3CDTF">2016-03-02T14:40:56Z</dcterms:created>
  <dcterms:modified xsi:type="dcterms:W3CDTF">2016-05-22T14:11:17Z</dcterms:modified>
</cp:coreProperties>
</file>